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charts/chart3.xml" ContentType="application/vnd.openxmlformats-officedocument.drawingml.chart+xml"/>
  <Override PartName="/xl/drawings/drawing3.xml" ContentType="application/vnd.openxmlformats-officedocument.drawingml.chartshapes+xml"/>
  <Override PartName="/xl/charts/chart4.xml" ContentType="application/vnd.openxmlformats-officedocument.drawingml.chart+xml"/>
  <Override PartName="/xl/drawings/drawing4.xml" ContentType="application/vnd.openxmlformats-officedocument.drawingml.chartshapes+xml"/>
  <Override PartName="/xl/charts/chart5.xml" ContentType="application/vnd.openxmlformats-officedocument.drawingml.chart+xml"/>
  <Override PartName="/xl/drawings/drawing5.xml" ContentType="application/vnd.openxmlformats-officedocument.drawingml.chartshapes+xml"/>
  <Override PartName="/xl/charts/chart6.xml" ContentType="application/vnd.openxmlformats-officedocument.drawingml.chart+xml"/>
  <Override PartName="/xl/drawings/drawing6.xml" ContentType="application/vnd.openxmlformats-officedocument.drawingml.chartshapes+xml"/>
  <Override PartName="/xl/charts/chart7.xml" ContentType="application/vnd.openxmlformats-officedocument.drawingml.chart+xml"/>
  <Override PartName="/xl/drawings/drawing7.xml" ContentType="application/vnd.openxmlformats-officedocument.drawingml.chartshapes+xml"/>
  <Override PartName="/xl/charts/chart8.xml" ContentType="application/vnd.openxmlformats-officedocument.drawingml.chart+xml"/>
  <Override PartName="/xl/drawings/drawing8.xml" ContentType="application/vnd.openxmlformats-officedocument.drawingml.chartshap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9.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drawings/drawing10.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omments11.xml" ContentType="application/vnd.openxmlformats-officedocument.spreadsheetml.comments+xml"/>
  <Override PartName="/xl/drawings/drawing11.xml" ContentType="application/vnd.openxmlformats-officedocument.drawing+xml"/>
  <Override PartName="/xl/comments12.xml" ContentType="application/vnd.openxmlformats-officedocument.spreadsheetml.comments+xml"/>
  <Override PartName="/xl/charts/chart1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067"/>
  <workbookPr codeName="ThisWorkbook"/>
  <mc:AlternateContent xmlns:mc="http://schemas.openxmlformats.org/markup-compatibility/2006">
    <mc:Choice Requires="x15">
      <x15ac:absPath xmlns:x15ac="http://schemas.microsoft.com/office/spreadsheetml/2010/11/ac" url="C:\Users\ALLEN ARAVINDAN\Dropbox\Academics Internal Allen\faculty files_fm\New Models\Assesment 4 New\fmmodelbajajauto\"/>
    </mc:Choice>
  </mc:AlternateContent>
  <workbookProtection workbookPassword="CF34" lockStructure="1"/>
  <bookViews>
    <workbookView xWindow="0" yWindow="0" windowWidth="20490" windowHeight="7530" tabRatio="870" firstSheet="2" activeTab="10"/>
  </bookViews>
  <sheets>
    <sheet name="Dashboard" sheetId="10" state="hidden" r:id="rId1"/>
    <sheet name="Summary Financials" sheetId="12" r:id="rId2"/>
    <sheet name="DCF" sheetId="54" r:id="rId3"/>
    <sheet name="KTM" sheetId="55" state="hidden" r:id="rId4"/>
    <sheet name=" Valuation" sheetId="18" state="hidden" r:id="rId5"/>
    <sheet name="Uploader" sheetId="45" state="hidden" r:id="rId6"/>
    <sheet name="Ratio Sheet" sheetId="4" r:id="rId7"/>
    <sheet name="Quarterly" sheetId="29" state="hidden" r:id="rId8"/>
    <sheet name="Qtrly Tables" sheetId="48" state="hidden" r:id="rId9"/>
    <sheet name="Monthly Volumes" sheetId="59" state="hidden" r:id="rId10"/>
    <sheet name="Scenario analysis" sheetId="53" r:id="rId11"/>
    <sheet name="Inc Stmt" sheetId="1" r:id="rId12"/>
    <sheet name="Model wise sales" sheetId="44" r:id="rId13"/>
    <sheet name="Bal Sheet" sheetId="2" r:id="rId14"/>
    <sheet name="Driver Sheet" sheetId="28" state="hidden" r:id="rId15"/>
    <sheet name="Quarterly Mix" sheetId="58" state="hidden" r:id="rId16"/>
    <sheet name="Biz highlights" sheetId="49" state="hidden" r:id="rId17"/>
    <sheet name="PantNagar" sheetId="26" state="hidden" r:id="rId18"/>
    <sheet name="Monthly Volume Trend" sheetId="46" state="hidden" r:id="rId19"/>
    <sheet name="Investments" sheetId="38" state="hidden" r:id="rId20"/>
    <sheet name="Fixed Assets" sheetId="6" r:id="rId21"/>
    <sheet name="Cashflow" sheetId="3" r:id="rId22"/>
    <sheet name="Product launches" sheetId="43" state="hidden" r:id="rId23"/>
    <sheet name="Price Hikes" sheetId="42" state="hidden" r:id="rId24"/>
    <sheet name="Plants n capacities" sheetId="27" state="hidden" r:id="rId25"/>
    <sheet name="Export analysis" sheetId="50" state="hidden" r:id="rId26"/>
    <sheet name="Exp mkt data" sheetId="51" state="hidden" r:id="rId27"/>
    <sheet name="AR Highlights" sheetId="56" state="hidden" r:id="rId28"/>
    <sheet name="Export-addn" sheetId="57" state="hidden" r:id="rId29"/>
    <sheet name="Exp mkt share" sheetId="52" state="hidden" r:id="rId30"/>
    <sheet name="Market Return and Beta" sheetId="60" r:id="rId31"/>
  </sheets>
  <externalReferences>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s>
  <definedNames>
    <definedName name="\a" localSheetId="18">#REF!</definedName>
    <definedName name="\a" localSheetId="5">#REF!</definedName>
    <definedName name="\a">#REF!</definedName>
    <definedName name="\b" localSheetId="18">[1]model!#REF!</definedName>
    <definedName name="\b" localSheetId="5">[1]model!#REF!</definedName>
    <definedName name="\B">#REF!</definedName>
    <definedName name="\c" localSheetId="18">[1]model!#REF!</definedName>
    <definedName name="\c" localSheetId="5">[1]model!#REF!</definedName>
    <definedName name="\C">#REF!</definedName>
    <definedName name="\d" localSheetId="18">#REF!</definedName>
    <definedName name="\d" localSheetId="5">#REF!</definedName>
    <definedName name="\d">#REF!</definedName>
    <definedName name="\e" localSheetId="18">#REF!</definedName>
    <definedName name="\e" localSheetId="5">#REF!</definedName>
    <definedName name="\e">#REF!</definedName>
    <definedName name="\f" localSheetId="18">#REF!</definedName>
    <definedName name="\f" localSheetId="5">#REF!</definedName>
    <definedName name="\F">#REF!</definedName>
    <definedName name="\g" localSheetId="18">#REF!</definedName>
    <definedName name="\g" localSheetId="5">#REF!</definedName>
    <definedName name="\g">#REF!</definedName>
    <definedName name="\h" localSheetId="18">#REF!</definedName>
    <definedName name="\h" localSheetId="5">#REF!</definedName>
    <definedName name="\H">#REF!</definedName>
    <definedName name="\i" localSheetId="18">#REF!</definedName>
    <definedName name="\i" localSheetId="5">#REF!</definedName>
    <definedName name="\I">#REF!</definedName>
    <definedName name="\j" localSheetId="18">#REF!</definedName>
    <definedName name="\j" localSheetId="5">#REF!</definedName>
    <definedName name="\j">#REF!</definedName>
    <definedName name="\l" localSheetId="18">#REF!</definedName>
    <definedName name="\l" localSheetId="5">#REF!</definedName>
    <definedName name="\l">#REF!</definedName>
    <definedName name="\M">#REF!</definedName>
    <definedName name="\n">'[2]P&amp;L'!#REF!</definedName>
    <definedName name="\o" localSheetId="18">#REF!</definedName>
    <definedName name="\o" localSheetId="5">#REF!</definedName>
    <definedName name="\O">#REF!</definedName>
    <definedName name="\p" localSheetId="18">#REF!</definedName>
    <definedName name="\p" localSheetId="5">#REF!</definedName>
    <definedName name="\P">#REF!</definedName>
    <definedName name="\q" localSheetId="18">#REF!</definedName>
    <definedName name="\q" localSheetId="5">#REF!</definedName>
    <definedName name="\q">#REF!</definedName>
    <definedName name="\r" localSheetId="18">#REF!</definedName>
    <definedName name="\r" localSheetId="5">#REF!</definedName>
    <definedName name="\r">#REF!</definedName>
    <definedName name="\s" localSheetId="18">#REF!</definedName>
    <definedName name="\s" localSheetId="5">#REF!</definedName>
    <definedName name="\S">#REF!</definedName>
    <definedName name="\t" localSheetId="18">#REF!</definedName>
    <definedName name="\t" localSheetId="5">#REF!</definedName>
    <definedName name="\T">#REF!</definedName>
    <definedName name="\v" localSheetId="18">#REF!</definedName>
    <definedName name="\v" localSheetId="5">#REF!</definedName>
    <definedName name="\v">#REF!</definedName>
    <definedName name="\VAL">#REF!</definedName>
    <definedName name="\w" localSheetId="18">#REF!</definedName>
    <definedName name="\w" localSheetId="5">#REF!</definedName>
    <definedName name="\w">#REF!</definedName>
    <definedName name="\x" localSheetId="18">#REF!</definedName>
    <definedName name="\x" localSheetId="5">#REF!</definedName>
    <definedName name="\x">#REF!</definedName>
    <definedName name="\y" localSheetId="18">#REF!</definedName>
    <definedName name="\y" localSheetId="5">#REF!</definedName>
    <definedName name="\y">#REF!</definedName>
    <definedName name="\z" localSheetId="18">#REF!</definedName>
    <definedName name="\z" localSheetId="5">#REF!</definedName>
    <definedName name="\z">#REF!</definedName>
    <definedName name="__123Graph_A" hidden="1">#N/A</definedName>
    <definedName name="__123Graph_ACAD" hidden="1">#N/A</definedName>
    <definedName name="__123Graph_ACAD1" hidden="1">#N/A</definedName>
    <definedName name="__123Graph_ACAD2" hidden="1">#N/A</definedName>
    <definedName name="__123Graph_ACOL" hidden="1">'[3]Earnings model'!#REF!</definedName>
    <definedName name="__123Graph_ACOL2" hidden="1">'[3]Earnings model'!#REF!</definedName>
    <definedName name="__123Graph_ACOL3" hidden="1">'[3]Earnings model'!#REF!</definedName>
    <definedName name="__123Graph_B" hidden="1">#N/A</definedName>
    <definedName name="__123Graph_BCAD" hidden="1">#N/A</definedName>
    <definedName name="__123Graph_BCAD1" hidden="1">#N/A</definedName>
    <definedName name="__123Graph_BCAD2" hidden="1">#N/A</definedName>
    <definedName name="__123Graph_BCOL" hidden="1">'[3]Earnings model'!#REF!</definedName>
    <definedName name="__123Graph_BCOL2" hidden="1">'[3]Earnings model'!#REF!</definedName>
    <definedName name="__123Graph_BCOL3" hidden="1">'[3]Earnings model'!#REF!</definedName>
    <definedName name="__123Graph_C" hidden="1">#N/A</definedName>
    <definedName name="__123Graph_CCAD" hidden="1">#N/A</definedName>
    <definedName name="__123Graph_CCAD1" hidden="1">#N/A</definedName>
    <definedName name="__123Graph_CCAD2" hidden="1">#N/A</definedName>
    <definedName name="__123Graph_CCOL" hidden="1">'[3]Earnings model'!#REF!</definedName>
    <definedName name="__123Graph_CCOL2" hidden="1">'[3]Earnings model'!#REF!</definedName>
    <definedName name="__123Graph_CCOL3" hidden="1">'[3]Earnings model'!#REF!</definedName>
    <definedName name="__123Graph_D" hidden="1">#N/A</definedName>
    <definedName name="__123Graph_DCAD" hidden="1">#N/A</definedName>
    <definedName name="__123Graph_DCAD1" hidden="1">#N/A</definedName>
    <definedName name="__123Graph_DCAD2" hidden="1">#N/A</definedName>
    <definedName name="__123Graph_DCOL" hidden="1">'[3]Earnings model'!#REF!</definedName>
    <definedName name="__123Graph_DCOL2" hidden="1">'[3]Earnings model'!#REF!</definedName>
    <definedName name="__123Graph_DCOL3" hidden="1">'[3]Earnings model'!#REF!</definedName>
    <definedName name="__123Graph_E" hidden="1">#N/A</definedName>
    <definedName name="__123Graph_ECAD" hidden="1">#N/A</definedName>
    <definedName name="__123Graph_ECAD1" hidden="1">#N/A</definedName>
    <definedName name="__123Graph_ECAD2" hidden="1">#N/A</definedName>
    <definedName name="__123Graph_ECOL" hidden="1">'[3]Earnings model'!#REF!</definedName>
    <definedName name="__123Graph_ECOL2" hidden="1">'[3]Earnings model'!#REF!</definedName>
    <definedName name="__123Graph_ECOL3" hidden="1">'[3]Earnings model'!#REF!</definedName>
    <definedName name="__123Graph_F" hidden="1">#N/A</definedName>
    <definedName name="__123Graph_FCAD2" hidden="1">#N/A</definedName>
    <definedName name="__123Graph_FCOL3" hidden="1">'[3]Earnings model'!#REF!</definedName>
    <definedName name="__123Graph_X" hidden="1">#N/A</definedName>
    <definedName name="__123Graph_XCAD" hidden="1">#N/A</definedName>
    <definedName name="__123Graph_XCAD1" hidden="1">#N/A</definedName>
    <definedName name="__123Graph_XCAD2" hidden="1">#N/A</definedName>
    <definedName name="__123Graph_XCOL" hidden="1">'[3]Earnings model'!#REF!</definedName>
    <definedName name="__123Graph_XCOL2" hidden="1">'[3]Earnings model'!#REF!</definedName>
    <definedName name="__123Graph_XCOL3" hidden="1">'[3]Earnings model'!#REF!</definedName>
    <definedName name="__GROSS_SALES_T" localSheetId="18">#REF!</definedName>
    <definedName name="__GROSS_SALES_T" localSheetId="5">#REF!</definedName>
    <definedName name="__GROSS_SALES_T">#REF!</definedName>
    <definedName name="__NET_SALES_TO_" localSheetId="18">#REF!</definedName>
    <definedName name="__NET_SALES_TO_" localSheetId="5">#REF!</definedName>
    <definedName name="__NET_SALES_TO_">#REF!</definedName>
    <definedName name="_1_0Sales">'[4]Operating Statistics'!#REF!</definedName>
    <definedName name="_2ADV_LIA_PRO">#REF!</definedName>
    <definedName name="_2BAL_SHEET">#REF!</definedName>
    <definedName name="_2CONS">#REF!</definedName>
    <definedName name="_2CONT_LIA">#REF!</definedName>
    <definedName name="_2DET_PL">#REF!</definedName>
    <definedName name="_2DIR_REM">#REF!</definedName>
    <definedName name="_2FIXED_ASSETS">#REF!</definedName>
    <definedName name="_2FOREX">#REF!</definedName>
    <definedName name="_2INVESTMENTS">#REF!</definedName>
    <definedName name="_2LICENSED_CAP">#REF!</definedName>
    <definedName name="_2LOANS">#REF!</definedName>
    <definedName name="_2MAIN_PL">#REF!</definedName>
    <definedName name="_2NOTES_PL">#REF!</definedName>
    <definedName name="_2PROD_SALES">#REF!</definedName>
    <definedName name="_2SH_CAP_RES1">#REF!</definedName>
    <definedName name="_2SH_CAP_RES2">#REF!</definedName>
    <definedName name="_2STOCK_DRS_CAS">#REF!</definedName>
    <definedName name="_2STOCKS">#REF!</definedName>
    <definedName name="_2ÿ_0Current_ass">[5]Summary!#REF!</definedName>
    <definedName name="_3ÿ__Current_ass">[5]Summary!#REF!</definedName>
    <definedName name="_AlF3">'[6]Alu-RawM'!$A$51:$AB$51</definedName>
    <definedName name="_bs2">#REF!</definedName>
    <definedName name="_ccVersion">1.75</definedName>
    <definedName name="_CD201..D205__" localSheetId="18">#REF!</definedName>
    <definedName name="_CD201..D205__" localSheetId="5">#REF!</definedName>
    <definedName name="_CD201..D205__">#REF!</definedName>
    <definedName name="_DOWN_" localSheetId="18">#REF!</definedName>
    <definedName name="_DOWN_" localSheetId="5">#REF!</definedName>
    <definedName name="_DOWN_">#REF!</definedName>
    <definedName name="_EDIT__HOME__DE" localSheetId="18">#REF!</definedName>
    <definedName name="_EDIT__HOME__DE" localSheetId="5">#REF!</definedName>
    <definedName name="_EDIT__HOME__DE">#REF!</definedName>
    <definedName name="_EPS91">'[4]Financials(O)'!$E$33</definedName>
    <definedName name="_EPS92">'[4]Financials(O)'!$F$33</definedName>
    <definedName name="_EPS93">'[4]Financials(O)'!$G$33</definedName>
    <definedName name="_EPs94">'[4]Financials(O)'!$H$33</definedName>
    <definedName name="_EPS95">'[4]Financials(O)'!$I$33</definedName>
    <definedName name="_EPS96">'[4]Financials(O)'!$J$33</definedName>
    <definedName name="_EPs97">'[4]Financials(O)'!$K$33</definedName>
    <definedName name="_Key1" hidden="1">#REF!</definedName>
    <definedName name="_MailAutoSig" localSheetId="7">Quarterly!$Y$217</definedName>
    <definedName name="_Order1" hidden="1">255</definedName>
    <definedName name="_Order2" hidden="1">255</definedName>
    <definedName name="_PEx1">#REF!</definedName>
    <definedName name="_PEx91">#REF!</definedName>
    <definedName name="_PEx92">#REF!</definedName>
    <definedName name="_PEx93">#REF!</definedName>
    <definedName name="_PEx94">#REF!</definedName>
    <definedName name="_PG1" localSheetId="18">#REF!</definedName>
    <definedName name="_PG1" localSheetId="5">#REF!</definedName>
    <definedName name="_PG1">#REF!</definedName>
    <definedName name="_pg10">#REF!</definedName>
    <definedName name="_pg11">#REF!</definedName>
    <definedName name="_pg14">#REF!</definedName>
    <definedName name="_pg15">#REF!</definedName>
    <definedName name="_pg16">#REF!</definedName>
    <definedName name="_pg17">#REF!</definedName>
    <definedName name="_pg18">#REF!</definedName>
    <definedName name="_PG22">#REF!</definedName>
    <definedName name="_PG23">#REF!</definedName>
    <definedName name="_PG24">#REF!</definedName>
    <definedName name="_pg40">#REF!</definedName>
    <definedName name="_PG9">#REF!</definedName>
    <definedName name="_RT1" localSheetId="18">#REF!</definedName>
    <definedName name="_RT1" localSheetId="5">#REF!</definedName>
    <definedName name="_RT1">#REF!</definedName>
    <definedName name="_RT2" localSheetId="18">#REF!</definedName>
    <definedName name="_RT2" localSheetId="5">#REF!</definedName>
    <definedName name="_RT2">#REF!</definedName>
    <definedName name="_RT3" localSheetId="18">#REF!</definedName>
    <definedName name="_RT3" localSheetId="5">#REF!</definedName>
    <definedName name="_RT3">#REF!</definedName>
    <definedName name="_RV__" localSheetId="18">#REF!</definedName>
    <definedName name="_RV__" localSheetId="5">#REF!</definedName>
    <definedName name="_RV__">#REF!</definedName>
    <definedName name="_Sort" localSheetId="18" hidden="1">#REF!</definedName>
    <definedName name="_Sort" localSheetId="5" hidden="1">#REF!</definedName>
    <definedName name="_Sort" hidden="1">#REF!</definedName>
    <definedName name="_Table1_In1" hidden="1">#REF!</definedName>
    <definedName name="_Table1_Out" hidden="1">'[7]Earnings model'!#REF!</definedName>
    <definedName name="_Table2_In1" hidden="1">'[7]Earnings model'!#REF!</definedName>
    <definedName name="_Table2_In2" hidden="1">#REF!</definedName>
    <definedName name="_Table2_Out" hidden="1">#REF!</definedName>
    <definedName name="_ton95">[8]Sales!#REF!</definedName>
    <definedName name="_ton96">[8]Sales!#REF!</definedName>
    <definedName name="_ton97">[8]Sales!#REF!</definedName>
    <definedName name="_ton98">[8]Sales!#REF!</definedName>
    <definedName name="_ton99">[8]Sales!#REF!</definedName>
    <definedName name="_TOP1">#REF!</definedName>
    <definedName name="_val95">[8]Sales!#REF!</definedName>
    <definedName name="_val96">[8]Sales!#REF!</definedName>
    <definedName name="_val97">[8]Sales!#REF!</definedName>
    <definedName name="_val98">[8]Sales!#REF!</definedName>
    <definedName name="_val99">[8]Sales!#REF!</definedName>
    <definedName name="_xx500">[5]template!#REF!</definedName>
    <definedName name="a" localSheetId="18">'Monthly Volume Trend'!cash-'Monthly Volume Trend'!TotalDebt</definedName>
    <definedName name="a" localSheetId="5">Uploader!cash-Uploader!TotalDebt</definedName>
    <definedName name="a">Uploader!cash-Uploader!TotalDebt</definedName>
    <definedName name="aaa" localSheetId="18">'Monthly Volume Trend'!InterestIncome-'Monthly Volume Trend'!InterestExpense</definedName>
    <definedName name="aaa" localSheetId="5">Uploader!InterestIncome-Uploader!InterestExpense</definedName>
    <definedName name="aaa">Uploader!InterestIncome-Uploader!InterestExpense</definedName>
    <definedName name="AccDepreciation">'[6]Alu-Balsheet'!$A$21:$V$21</definedName>
    <definedName name="AccDividends">[9]Model!$B$684:$IV$684</definedName>
    <definedName name="AccIntExpense">[9]Model!$B$686:$IV$686</definedName>
    <definedName name="AccIntIncome">[9]Model!$B$643:$IV$643</definedName>
    <definedName name="Accounts_Payables">#REF!</definedName>
    <definedName name="Accounts_Receivables">#REF!</definedName>
    <definedName name="AccountsPayable">'[4]Financials(O)'!$F$143:$J$143</definedName>
    <definedName name="ActDepr">[10]Input!$K$130:$AA$130</definedName>
    <definedName name="actual_estimates">#REF!</definedName>
    <definedName name="additional_charge" localSheetId="18">#REF!</definedName>
    <definedName name="additional_charge" localSheetId="5">#REF!</definedName>
    <definedName name="additional_charge">[11]Template!$D$349:$T$349</definedName>
    <definedName name="Adj">'[6]Alu-P&amp;L'!$A$118:$R$118</definedName>
    <definedName name="adj_below_net_profit">#REF!</definedName>
    <definedName name="adj_book_value_per_share">'[12]Annual Temp'!#REF!</definedName>
    <definedName name="adj_eps">'[12]Annual Temp'!#REF!</definedName>
    <definedName name="adj_net_profit">#REF!</definedName>
    <definedName name="adj_pat_Q">#REF!</definedName>
    <definedName name="adj_ye_price">#REF!</definedName>
    <definedName name="AdjFactor">#REF!</definedName>
    <definedName name="AdjStock">'[6]Alu-P&amp;L'!$A$7:$Q$7</definedName>
    <definedName name="AdjTax">'[6]Alu-P&amp;L'!$B$48:$P$48</definedName>
    <definedName name="AdmExp">[10]Input!$K$548:$AA$548</definedName>
    <definedName name="AdmExpSer" hidden="1">[13]Profile!$AT$5:$AT$12</definedName>
    <definedName name="Administration">#REF!</definedName>
    <definedName name="ADV_LIA_PRO">#REF!</definedName>
    <definedName name="adv3m">[14]ChartData!$E$75</definedName>
    <definedName name="adv3m2">[14]ChartData!$E$76</definedName>
    <definedName name="Al2O3">'[6]Alu-Sales'!$A$25:$AH$25</definedName>
    <definedName name="ALL">#REF!</definedName>
    <definedName name="All_00_PS">#REF!</definedName>
    <definedName name="All_00_Rev">#REF!</definedName>
    <definedName name="All_97_PS">#REF!</definedName>
    <definedName name="All_97_Rev">#REF!</definedName>
    <definedName name="All_98_PS">#REF!</definedName>
    <definedName name="All_98_Rev">#REF!</definedName>
    <definedName name="All_99_PS">#REF!</definedName>
    <definedName name="All_99_Rev">#REF!</definedName>
    <definedName name="All_EPS_00">#REF!</definedName>
    <definedName name="All_EPS_98">#REF!</definedName>
    <definedName name="All_EPS_99">#REF!</definedName>
    <definedName name="All_Mkt_Cap">#REF!</definedName>
    <definedName name="All_Off_High">#REF!</definedName>
    <definedName name="All_Stocks">#REF!</definedName>
    <definedName name="AlProduction">'[6]Alu-Sales'!$A$29:$AA$29</definedName>
    <definedName name="Alumina">'[6]Alu-RawM'!$A$11:$Z$11</definedName>
    <definedName name="Aluwheels">'[6]Alu-Sales'!$A$135:$IV$135</definedName>
    <definedName name="Amortisation">#REF!</definedName>
    <definedName name="amortisation_goodwill" localSheetId="18">#REF!</definedName>
    <definedName name="amortisation_goodwill" localSheetId="5">#REF!</definedName>
    <definedName name="amortisation_goodwill">[11]Template!$D$53:$T$53</definedName>
    <definedName name="amortisation_other_intangibles" localSheetId="18">#REF!</definedName>
    <definedName name="amortisation_other_intangibles" localSheetId="5">#REF!</definedName>
    <definedName name="amortisation_other_intangibles">[11]Template!$D$54:$T$54</definedName>
    <definedName name="Analyst" localSheetId="18">[15]Introduction!$E$8</definedName>
    <definedName name="Analyst" localSheetId="5">[15]Introduction!$E$8</definedName>
    <definedName name="Analyst">[4]Introduction!$D$6</definedName>
    <definedName name="Argentina">#REF!</definedName>
    <definedName name="As___of_Net_Sales" localSheetId="18">#REF!</definedName>
    <definedName name="As___of_Net_Sales" localSheetId="5">#REF!</definedName>
    <definedName name="As___of_Net_Sales">#REF!</definedName>
    <definedName name="Asset_composition" localSheetId="18">#REF!</definedName>
    <definedName name="Asset_composition" localSheetId="5">#REF!</definedName>
    <definedName name="Asset_composition">#REF!</definedName>
    <definedName name="assmp1">'[6]Copper-assumptions summary'!$A$1:$D$23</definedName>
    <definedName name="associate_company_pl">#REF!</definedName>
    <definedName name="associate_dividends_received" localSheetId="18">#REF!</definedName>
    <definedName name="associate_dividends_received" localSheetId="5">#REF!</definedName>
    <definedName name="associate_dividends_received">[11]Template!$D$59:$T$59</definedName>
    <definedName name="AssociateIncome">[9]Model!$B$312:$IV$312</definedName>
    <definedName name="associates" localSheetId="18">#REF!</definedName>
    <definedName name="associates" localSheetId="5">#REF!</definedName>
    <definedName name="associates">[11]Template!$D$152:$T$152</definedName>
    <definedName name="associates_pl" localSheetId="18">#REF!</definedName>
    <definedName name="associates_pl" localSheetId="5">#REF!</definedName>
    <definedName name="associates_pl">[11]Template!$D$20:$T$20</definedName>
    <definedName name="associates_tax_charge" localSheetId="18">#REF!</definedName>
    <definedName name="associates_tax_charge" localSheetId="5">#REF!</definedName>
    <definedName name="associates_tax_charge">[11]Template!$D$60:$T$60</definedName>
    <definedName name="assum_print1">#REF!</definedName>
    <definedName name="assum_print2">#REF!</definedName>
    <definedName name="assum_print3">#REF!</definedName>
    <definedName name="assum_print4">#REF!</definedName>
    <definedName name="assume">#REF!</definedName>
    <definedName name="Assumptions">[16]Group!$A$104</definedName>
    <definedName name="Attrition">#REF!</definedName>
    <definedName name="Australian_Sales">[16]Group!#REF!</definedName>
    <definedName name="_xlnm.Auto_Close" localSheetId="7">[0]!AdaytumSheetClose</definedName>
    <definedName name="_xlnm.Auto_Close">[0]!AdaytumSheetClose</definedName>
    <definedName name="AvCapitalEmployed">'[6]Alu-Balsheet'!#REF!</definedName>
    <definedName name="AvDebt">'[6]Alu-Balsheet'!$A$132:$IV$132</definedName>
    <definedName name="AveragePowerCost">'[4]Cost Of Sales'!$G$199:$N$199</definedName>
    <definedName name="avg_shares">#REF!</definedName>
    <definedName name="AvgDebt">[13]Debt!$K$153:$AA$153</definedName>
    <definedName name="AvgIntRate">[13]Debt!$K$250:$AA$250</definedName>
    <definedName name="AvgNW">[13]Formats!$K$62:$AA$62</definedName>
    <definedName name="AvgSellPr" hidden="1">[17]Input!$K$162:$AC$162,[17]Input!$K$180:$AC$180,[17]Input!$K$198:$AC$198,[17]Input!$K$216:$AC$216,[17]Input!$K$234:$AC$234,[17]Input!$K$252:$AC$252,[17]Input!$K$270:$AC$270,[17]Input!$K$288:$AC$288</definedName>
    <definedName name="AvPxAlu">'[6]Alu-Sales'!$A$149:$AA$149</definedName>
    <definedName name="AvPxAlumina">'[6]Alu-RawM'!$A$9:$X$9</definedName>
    <definedName name="AvPxBauxite">'[6]Alu-RawM'!$A$16:$W$16</definedName>
    <definedName name="AvPxConductor">'[6]Alu-Sales'!$A$72:$Y$72</definedName>
    <definedName name="AvPxConversion">'[6]Alu-Sales'!$A$139:$AA$139</definedName>
    <definedName name="AvPxCRRods">'[6]Alu-Sales'!$A$105:$Z$105</definedName>
    <definedName name="AvPxExtrusion">'[6]Alu-Sales'!$A$86:$AE$86</definedName>
    <definedName name="AvPxFoil">'[6]Alu-Sales'!$A$119:$AD$119</definedName>
    <definedName name="AvPxFuelOil">'[6]Alu-RawM'!$A$66:$Z$66</definedName>
    <definedName name="AvPxIngots">'[6]Alu-Sales'!$A$48:$AG$48</definedName>
    <definedName name="AvPxMetal">'[6]Alu-Sales'!$A$48:$AG$48</definedName>
    <definedName name="AvPxPower">'[6]Alu-Costs'!$A$63:$Y$63</definedName>
    <definedName name="AvPxRods">'[6]Alu-Sales'!$A$105:$AC$105</definedName>
    <definedName name="AvPxRolled">'[6]Alu-Sales'!$A$72:$AC$72</definedName>
    <definedName name="AvPxSodaAsh">'[6]Alu-RawM'!$A$82:$W$82</definedName>
    <definedName name="AvPxSteamCoal">'[6]Alu-RawM'!$A$74:$X$74</definedName>
    <definedName name="AvPxValueAdded">'[6]Alu-Sales'!$A$187:$AB$187</definedName>
    <definedName name="AvSFunds">'[6]Alu-Balsheet'!$A$9:$X$9</definedName>
    <definedName name="B_S">#REF!</definedName>
    <definedName name="B_S_ratios">#REF!</definedName>
    <definedName name="Ba">'[16]DCF Valuation'!$B$8</definedName>
    <definedName name="babyfood">#REF!</definedName>
    <definedName name="bad">#REF!</definedName>
    <definedName name="bad_debt_provision" localSheetId="18">#REF!</definedName>
    <definedName name="bad_debt_provision" localSheetId="5">#REF!</definedName>
    <definedName name="bad_debt_provision">[11]Template!$D$44:$T$44</definedName>
    <definedName name="bae">#REF!</definedName>
    <definedName name="Bal.Sh.">#REF!</definedName>
    <definedName name="BAL_SHEET">#REF!</definedName>
    <definedName name="balance" localSheetId="18">#REF!</definedName>
    <definedName name="balance" localSheetId="5">#REF!</definedName>
    <definedName name="BALANCE">'[4]Financials(O)'!$A$119:$K$184</definedName>
    <definedName name="Balance_Sheet" localSheetId="18">#REF!</definedName>
    <definedName name="Balance_Sheet" localSheetId="5">#REF!</definedName>
    <definedName name="Balance_Sheet">#REF!</definedName>
    <definedName name="Balance_Sheet__Pm">#REF!</definedName>
    <definedName name="BalanceSheet">'[4]Financials(O)'!$A$119:$M$186</definedName>
    <definedName name="BalanceSheetFormat">'[4]Financials(O)'!$A$124:$C$161</definedName>
    <definedName name="BalDate">'[16]DCF Valuation'!$K$8</definedName>
    <definedName name="balsh">'[18]Forecast summary'!#REF!</definedName>
    <definedName name="BanksOnly">#REF!,#REF!,#REF!,#REF!,#REF!,#REF!,#REF!,#REF!,#REF!,#REF!</definedName>
    <definedName name="bao">#REF!</definedName>
    <definedName name="bap">#REF!</definedName>
    <definedName name="BasicDPS" localSheetId="18">'[15]Financials '!$J$33:$R$33</definedName>
    <definedName name="BasicDPS" localSheetId="5">'[15]Financials '!$J$33:$R$33</definedName>
    <definedName name="BasicDPS">[4]Financials!$C$32:$K$32</definedName>
    <definedName name="BasicEPS">#REF!</definedName>
    <definedName name="BasicShares" localSheetId="18">#REF!</definedName>
    <definedName name="BasicShares" localSheetId="5">#REF!</definedName>
    <definedName name="Basicshares">[4]Financials!$C$36:$K$36</definedName>
    <definedName name="Basicsharesoutstanding">[4]Financials!$C$36:$K$36</definedName>
    <definedName name="BasicSharesOutstandingR">'[4]Financials(O)'!$E$40:$K$40</definedName>
    <definedName name="BasicYearEndEPS" localSheetId="18">'[15]Financials '!$J$31:$R$31</definedName>
    <definedName name="BasicYearEndEPS" localSheetId="5">'[15]Financials '!$J$31:$R$31</definedName>
    <definedName name="BasicYearEndEPS">[4]Financials!$C$30:$K$30</definedName>
    <definedName name="BasicYearEndShares" localSheetId="18">'[15]Financials '!$J$37:$R$37</definedName>
    <definedName name="BasicYearEndShares" localSheetId="5">'[15]Financials '!$J$37:$R$37</definedName>
    <definedName name="BasicYearEndShares">[4]Financials!$C$36:$K$36</definedName>
    <definedName name="bat">#REF!</definedName>
    <definedName name="Bauxite">'[6]Alu-RawM'!$A$17:$Y$17</definedName>
    <definedName name="bay">#REF!</definedName>
    <definedName name="bb">#REF!</definedName>
    <definedName name="bca">#REF!</definedName>
    <definedName name="bcb">#REF!</definedName>
    <definedName name="bce">#REF!</definedName>
    <definedName name="bcl">#REF!</definedName>
    <definedName name="bcm">#REF!</definedName>
    <definedName name="bcp">#REF!</definedName>
    <definedName name="bdp">#REF!</definedName>
    <definedName name="Be">'[16]DCF Valuation'!$F$4</definedName>
    <definedName name="BESale">[13]Formats!$K$141:$AA$141</definedName>
    <definedName name="BESaleVal">[13]Formats!$K$142:$AA$142</definedName>
    <definedName name="bet">#REF!</definedName>
    <definedName name="Beta">[6]Summary!$N$1</definedName>
    <definedName name="bfc">#REF!</definedName>
    <definedName name="bia">#REF!</definedName>
    <definedName name="Bill_rates">#REF!</definedName>
    <definedName name="bin">#REF!</definedName>
    <definedName name="bio">#REF!</definedName>
    <definedName name="bir">#REF!</definedName>
    <definedName name="bit">#REF!</definedName>
    <definedName name="bll">#REF!</definedName>
    <definedName name="Bloomberg">[4]Introduction!#REF!</definedName>
    <definedName name="BloombergCode">[4]Introduction!$D$14</definedName>
    <definedName name="blt">#REF!</definedName>
    <definedName name="bmi">#REF!</definedName>
    <definedName name="bnd">#REF!</definedName>
    <definedName name="bnf">#REF!</definedName>
    <definedName name="boc">#REF!</definedName>
    <definedName name="bol">#REF!</definedName>
    <definedName name="bonds" localSheetId="18">#REF!</definedName>
    <definedName name="bonds" localSheetId="5">#REF!</definedName>
    <definedName name="bonds">[11]Template!$D$170:$T$170</definedName>
    <definedName name="bonds_debenture">#REF!</definedName>
    <definedName name="book">#REF!</definedName>
    <definedName name="book_nav_share" localSheetId="18">#REF!</definedName>
    <definedName name="book_nav_share" localSheetId="5">#REF!</definedName>
    <definedName name="book_nav_share">[11]Template!$D$270:$T$270</definedName>
    <definedName name="BookDepr">[10]CapEx!$K$81:$AA$81</definedName>
    <definedName name="BOOKVALUE" localSheetId="18">'[19]Balance Sheet'!$E$99:$J$99</definedName>
    <definedName name="BOOKVALUE" localSheetId="5">'[19]Balance Sheet'!$E$99:$J$99</definedName>
    <definedName name="BookValue">'[4]Financials(O)'!#REF!</definedName>
    <definedName name="BookValueLessRevaluationReserve">'[4]Financials(O)'!$F$175:$J$175</definedName>
    <definedName name="BookValuePerShare">[4]Financials!$G$126:$M$126</definedName>
    <definedName name="bor">#REF!</definedName>
    <definedName name="bot">#REF!</definedName>
    <definedName name="bpp">#REF!</definedName>
    <definedName name="bpu">#REF!</definedName>
    <definedName name="brands_patents_rights" localSheetId="18">#REF!</definedName>
    <definedName name="brands_patents_rights" localSheetId="5">#REF!</definedName>
    <definedName name="brands_patents_rights">[11]Template!$D$204:$T$204</definedName>
    <definedName name="bre">#REF!</definedName>
    <definedName name="BriefCoName">#REF!</definedName>
    <definedName name="BriefDate">#REF!</definedName>
    <definedName name="BriefInvPlay">#REF!</definedName>
    <definedName name="BriefPrevDate">#REF!</definedName>
    <definedName name="BriefPrevRecom">#REF!</definedName>
    <definedName name="BriefRationale">#REF!</definedName>
    <definedName name="BriefRecom">#REF!</definedName>
    <definedName name="BriefSummary">#REF!</definedName>
    <definedName name="BriefTime">#REF!</definedName>
    <definedName name="BS" localSheetId="18">#REF!</definedName>
    <definedName name="BS" localSheetId="5">#REF!</definedName>
    <definedName name="bs">#REF!</definedName>
    <definedName name="BSDiff">[13]Input!$K$565:$AA$565</definedName>
    <definedName name="BSEcode" localSheetId="18">[15]Introduction!$E$25</definedName>
    <definedName name="BSEcode" localSheetId="5">[15]Introduction!$E$25</definedName>
    <definedName name="BSECode">[4]Introduction!$D$15</definedName>
    <definedName name="BSES_Interim_Results">#REF!</definedName>
    <definedName name="BSESensex">#REF!</definedName>
    <definedName name="BSESensexIndexed">#REF!</definedName>
    <definedName name="bsf">#REF!</definedName>
    <definedName name="bst">#REF!</definedName>
    <definedName name="bta">#REF!</definedName>
    <definedName name="btd">#REF!</definedName>
    <definedName name="bte">#REF!</definedName>
    <definedName name="btl">#REF!</definedName>
    <definedName name="btp">#REF!</definedName>
    <definedName name="BVps">#REF!</definedName>
    <definedName name="bye">#REF!</definedName>
    <definedName name="CA">[10]Input!$K$86:$AA$86</definedName>
    <definedName name="cac">#REF!</definedName>
    <definedName name="cam">#REF!</definedName>
    <definedName name="CapacityAl">'[6]Alu-Sales'!$A$27:$AC$27</definedName>
    <definedName name="CapAl">'[6]Alu-Sales'!$A$27:$AC$27</definedName>
    <definedName name="CapCARods">#REF!</definedName>
    <definedName name="CapChanges">#REF!</definedName>
    <definedName name="CapConductor">'[6]Alu-Sales'!$A$92:$AD$92</definedName>
    <definedName name="CapCRRods">'[6]Alu-Sales'!$A$92:$AD$92</definedName>
    <definedName name="Capex" localSheetId="18">'[6]Alu-cashflow'!$A$13:$AP$13</definedName>
    <definedName name="Capex" localSheetId="5">'[6]Alu-cashflow'!$A$13:$AP$13</definedName>
    <definedName name="Capex">'[4]Financials(O)'!$F$87:$J$87</definedName>
    <definedName name="CapexR">'[4]Financials(O)'!$F$87:$K$87</definedName>
    <definedName name="CapExtrusion">'[6]Alu-Sales'!$A$78:$AD$78</definedName>
    <definedName name="CapFoil">'[6]Alu-Sales'!$A$111:$AD$111</definedName>
    <definedName name="capital">[20]Template!$P$247</definedName>
    <definedName name="CAPITAL_DEPLOYE" localSheetId="18">#REF!</definedName>
    <definedName name="CAPITAL_DEPLOYE" localSheetId="5">#REF!</definedName>
    <definedName name="CAPITAL_DEPLOYE">#REF!</definedName>
    <definedName name="CAPITAL_EMPLOYE" localSheetId="18">#REF!</definedName>
    <definedName name="CAPITAL_EMPLOYE" localSheetId="5">#REF!</definedName>
    <definedName name="CAPITAL_EMPLOYE">#REF!</definedName>
    <definedName name="capital_employed" localSheetId="18">#REF!</definedName>
    <definedName name="capital_employed" localSheetId="5">#REF!</definedName>
    <definedName name="capital_employed">[11]Template!$D$213:$T$213</definedName>
    <definedName name="capital_employed_avg" localSheetId="18">#REF!</definedName>
    <definedName name="capital_employed_avg" localSheetId="5">#REF!</definedName>
    <definedName name="capital_employed_avg">[11]Template!$D$214:$T$214</definedName>
    <definedName name="capital_expenditure" localSheetId="18">#REF!</definedName>
    <definedName name="capital_expenditure" localSheetId="5">#REF!</definedName>
    <definedName name="capital_expenditure">[11]Template!$D$92:$T$92</definedName>
    <definedName name="capital_wip" localSheetId="18">#REF!</definedName>
    <definedName name="capital_wip" localSheetId="5">#REF!</definedName>
    <definedName name="capital_wip">[11]Template!$D$155:$T$155</definedName>
    <definedName name="CapitalEmployed" localSheetId="18">'[21]Financials '!$J$115:$R$115</definedName>
    <definedName name="CapitalEmployed" localSheetId="5">'[21]Financials '!$J$115:$R$115</definedName>
    <definedName name="CapitalEmployed">[4]Financials!$C$111:$K$111</definedName>
    <definedName name="CapitalExpenditure" localSheetId="18">'[15]Financials '!$J$78:$R$78</definedName>
    <definedName name="CapitalExpenditure" localSheetId="5">'[15]Financials '!$J$78:$R$78</definedName>
    <definedName name="CapitalExpenditure">[4]Financials!$C$76:$K$76</definedName>
    <definedName name="Capitalisation">[15]Debt!$A$1:$S$209</definedName>
    <definedName name="capitalised_int" localSheetId="18">#REF!</definedName>
    <definedName name="capitalised_int" localSheetId="5">#REF!</definedName>
    <definedName name="capitalised_int">[11]Template!$D$31:$T$31</definedName>
    <definedName name="CapitalWIPR">'[4]Financials(O)'!$F$88:$K$88</definedName>
    <definedName name="CapitalWork_inProgress">'[4]Financials(O)'!$F$88:$J$88</definedName>
    <definedName name="CapitalWork_inProgressDelta">'[4]Financials(O)'!$F$88:$J$88</definedName>
    <definedName name="CapitalWorkInProgress">'[4]Financials(O)'!$F$138:$J$138</definedName>
    <definedName name="CapRods">'[6]Alu-Sales'!$A$92:$AD$92</definedName>
    <definedName name="CapRolled">'[6]Alu-Sales'!$A$55:$AC$55</definedName>
    <definedName name="CaptivePowerCost">'[4]Cost Of Sales'!$G$199:$L$199</definedName>
    <definedName name="CardCoName">#REF!</definedName>
    <definedName name="CardDate">#REF!</definedName>
    <definedName name="CardInvPlay">#REF!</definedName>
    <definedName name="CardPrevDate">#REF!</definedName>
    <definedName name="CardPrevRecom">#REF!</definedName>
    <definedName name="CardRationale">#REF!</definedName>
    <definedName name="CardRecom">#REF!</definedName>
    <definedName name="CardSummary">#REF!</definedName>
    <definedName name="CardTime">#REF!</definedName>
    <definedName name="cash" localSheetId="18">'[22]Financials '!$I$99:$R$99</definedName>
    <definedName name="cash" localSheetId="5">'[22]Financials '!$I$99:$R$99</definedName>
    <definedName name="Cash">[4]Financials!$C$96:$K$96</definedName>
    <definedName name="cash_and_casheq">#REF!</definedName>
    <definedName name="cash_bank" localSheetId="18">#REF!</definedName>
    <definedName name="cash_bank" localSheetId="5">#REF!</definedName>
    <definedName name="cash_bank">[11]Template!$D$144:$T$144</definedName>
    <definedName name="cash_flow_from_financing_activities" localSheetId="18">#REF!</definedName>
    <definedName name="cash_flow_from_financing_activities" localSheetId="5">#REF!</definedName>
    <definedName name="cash_flow_from_financing_activities">[11]Template!$D$106:$T$106</definedName>
    <definedName name="cash_flow_from_investing_activities" localSheetId="18">#REF!</definedName>
    <definedName name="cash_flow_from_investing_activities" localSheetId="5">#REF!</definedName>
    <definedName name="cash_flow_from_investing_activities">[11]Template!$D$99:$T$99</definedName>
    <definedName name="cash_flow_from_operating_activities" localSheetId="18">#REF!</definedName>
    <definedName name="cash_flow_from_operating_activities" localSheetId="5">#REF!</definedName>
    <definedName name="cash_flow_from_operating_activities">[11]Template!$D$91:$T$91</definedName>
    <definedName name="Cash_Flow_Statement" localSheetId="18">#REF!</definedName>
    <definedName name="Cash_Flow_Statement" localSheetId="5">#REF!</definedName>
    <definedName name="Cash_Flow_Statement">#REF!</definedName>
    <definedName name="CashandBank">'[4]Financials(O)'!$F$127:$J$127</definedName>
    <definedName name="CashChg">[10]Input!$K$98:$AA$98</definedName>
    <definedName name="CashCr">[13]Debt!$K$144:$AA$144</definedName>
    <definedName name="CashEPS">'[4]Financials(O)'!$E$35:$J$35</definedName>
    <definedName name="CashEq">'[6]Alu-Balsheet'!$A$35:$T$35</definedName>
    <definedName name="CashFlow" localSheetId="18">#REF!</definedName>
    <definedName name="CashFlow" localSheetId="5">#REF!</definedName>
    <definedName name="CashFlow">#REF!</definedName>
    <definedName name="CashflowfromOperations" localSheetId="18">'[15]Financials '!$J$75:$R$75</definedName>
    <definedName name="CashflowfromOperations" localSheetId="5">'[15]Financials '!$J$75:$R$75</definedName>
    <definedName name="CashflowfromOperations">[4]Financials!$C$73:$K$73</definedName>
    <definedName name="CashFlowStatement">'[4]Financials(O)'!$A$64:$M$118</definedName>
    <definedName name="CashOp_TonneUSD">'[6]Alu-P&amp;L'!#REF!</definedName>
    <definedName name="CashOperating">'[6]Alu-P&amp;L'!$A$20:$X$20</definedName>
    <definedName name="CashPr">[13]Formats!$K$34:$AA$34</definedName>
    <definedName name="cashROE">#REF!</definedName>
    <definedName name="catdry">#REF!</definedName>
    <definedName name="catmoist">#REF!</definedName>
    <definedName name="catsup">#REF!</definedName>
    <definedName name="catwet">#REF!</definedName>
    <definedName name="cc_12mthRecom">#REF!</definedName>
    <definedName name="cc_3mthRecom">#REF!</definedName>
    <definedName name="cc_AdjInvestCapital">#REF!</definedName>
    <definedName name="cc_AdjNOPAT">#REF!</definedName>
    <definedName name="cc_AdjWeightShares">#REF!</definedName>
    <definedName name="cc_AmortGoodwill">#REF!</definedName>
    <definedName name="cc_AnalystUpdated">#REF!</definedName>
    <definedName name="cc_AorF">#REF!</definedName>
    <definedName name="cc_AssocDiv">#REF!</definedName>
    <definedName name="cc_AssocProfit">#REF!</definedName>
    <definedName name="cc_AttEarnings">#REF!</definedName>
    <definedName name="cc_AvgAdjInvestCapital">#REF!</definedName>
    <definedName name="cc_AvgCODebt">#REF!</definedName>
    <definedName name="cc_bkABVPS">#REF!</definedName>
    <definedName name="cc_bkAdjBV">#REF!</definedName>
    <definedName name="cc_bkAvgCoF">#REF!</definedName>
    <definedName name="cc_bkAvgGrossLoans">#REF!</definedName>
    <definedName name="cc_bkAvgIntBearingAsset">#REF!</definedName>
    <definedName name="cc_bkBills">#REF!</definedName>
    <definedName name="cc_bkCalAdjBV">#REF!</definedName>
    <definedName name="cc_bkCAR">#REF!</definedName>
    <definedName name="cc_bkCash">#REF!</definedName>
    <definedName name="cc_bkCheckPreAssoProfit">#REF!</definedName>
    <definedName name="cc_bkCheckSum">#REF!</definedName>
    <definedName name="cc_bkCommitConti">#REF!</definedName>
    <definedName name="cc_bkCumGenProvision">#REF!</definedName>
    <definedName name="cc_bkCumProvision">#REF!</definedName>
    <definedName name="cc_bkCumSpeProvision">#REF!</definedName>
    <definedName name="cc_bkCustDeposits">#REF!</definedName>
    <definedName name="cc_bkDeferTaxation">#REF!</definedName>
    <definedName name="cc_bkDividendsNII">#REF!</definedName>
    <definedName name="cc_bkExCapRaised_Eq">#REF!</definedName>
    <definedName name="cc_bkFeeCommission">#REF!</definedName>
    <definedName name="cc_bkFinalModelAdjBV">#REF!</definedName>
    <definedName name="cc_bkFixedAsset">#REF!</definedName>
    <definedName name="cc_bkForexIncome">#REF!</definedName>
    <definedName name="cc_bkFRCD">#REF!</definedName>
    <definedName name="cc_bkGPRatio">#REF!</definedName>
    <definedName name="cc_bkGrossLoans">#REF!</definedName>
    <definedName name="cc_bkGrossNPL">#REF!</definedName>
    <definedName name="cc_bkICG">#REF!</definedName>
    <definedName name="cc_bkIntangibleAssets">#REF!</definedName>
    <definedName name="cc_bkIntBearingAsset">#REF!</definedName>
    <definedName name="cc_bkInterbankDeposits">#REF!</definedName>
    <definedName name="cc_bkInterBankLoans">#REF!</definedName>
    <definedName name="cc_bkIntExpense">#REF!</definedName>
    <definedName name="cc_bkIntIncome">#REF!</definedName>
    <definedName name="cc_bkIntInSusp">#REF!</definedName>
    <definedName name="cc_bkInvestments">#REF!</definedName>
    <definedName name="cc_bkInvtAssoc">#REF!</definedName>
    <definedName name="cc_bkLending_ConCredit">#REF!</definedName>
    <definedName name="cc_bkLending_Housing">#REF!</definedName>
    <definedName name="cc_bkLending_Prop_Cons">#REF!</definedName>
    <definedName name="cc_bkLiabSHFundsMI">#REF!</definedName>
    <definedName name="cc_bkLoanLossProvision">#REF!</definedName>
    <definedName name="cc_bkLoans">#REF!</definedName>
    <definedName name="cc_bkLTBorrowings">#REF!</definedName>
    <definedName name="cc_bkMinoritiesBS">#REF!</definedName>
    <definedName name="cc_bkMinoritiesPL">#REF!</definedName>
    <definedName name="cc_bkMktRelatedInc_bankIncome">#REF!</definedName>
    <definedName name="cc_bkMktRelatedInc_PTProfit">#REF!</definedName>
    <definedName name="cc_bkModelAdjBV">#REF!</definedName>
    <definedName name="cc_bkNBV">#REF!</definedName>
    <definedName name="cc_bkNetIncome">#REF!</definedName>
    <definedName name="cc_bkNetInterest">#REF!</definedName>
    <definedName name="cc_bkNetIntMargin">#REF!</definedName>
    <definedName name="cc_bkNetIntSpread">#REF!</definedName>
    <definedName name="cc_bkNetProfit">#REF!</definedName>
    <definedName name="cc_bkNonIntIncome">#REF!</definedName>
    <definedName name="cc_bkNPL">#REF!</definedName>
    <definedName name="cc_bkObligRepo">#REF!</definedName>
    <definedName name="cc_bkOffBalSht">#REF!</definedName>
    <definedName name="cc_bkOp_Exp">#REF!</definedName>
    <definedName name="cc_bkOtherAssets">#REF!</definedName>
    <definedName name="cc_bkOtherLiab">#REF!</definedName>
    <definedName name="cc_bkOthersNII">#REF!</definedName>
    <definedName name="cc_bkPeakNPL">#REF!</definedName>
    <definedName name="cc_bkPreAssoProfit">#REF!</definedName>
    <definedName name="cc_bkReserves">#REF!</definedName>
    <definedName name="cc_bkRWA">#REF!</definedName>
    <definedName name="cc_bkSecPurchased">#REF!</definedName>
    <definedName name="cc_bkShareCap">#REF!</definedName>
    <definedName name="cc_bkSHFunds">#REF!</definedName>
    <definedName name="cc_bkSP_GrossLoans">#REF!</definedName>
    <definedName name="cc_bkSP_GrossNPL">#REF!</definedName>
    <definedName name="cc_bkStatRes">#REF!</definedName>
    <definedName name="cc_bkStatReserves">#REF!</definedName>
    <definedName name="cc_bkSTBorrowings">#REF!</definedName>
    <definedName name="cc_bkSTLiab_BorrFunds">#REF!</definedName>
    <definedName name="cc_bkSubObligation">#REF!</definedName>
    <definedName name="cc_bkTax">#REF!</definedName>
    <definedName name="cc_bkTier1Cap">#REF!</definedName>
    <definedName name="cc_bkTier1Ratio">#REF!</definedName>
    <definedName name="cc_bkTotalAsset">#REF!</definedName>
    <definedName name="cc_bkTotalIncome">#REF!</definedName>
    <definedName name="cc_bkTotalLiab">#REF!</definedName>
    <definedName name="cc_bkYieldonEarningsAsset">#REF!</definedName>
    <definedName name="cc_BuyAtPrice">#REF!</definedName>
    <definedName name="cc_BuyAtTargetPriceDate">#REF!</definedName>
    <definedName name="cc_CapEmp">#REF!</definedName>
    <definedName name="cc_CapEx">#REF!</definedName>
    <definedName name="cc_CapitalYield">#REF!</definedName>
    <definedName name="cc_Cash">#REF!</definedName>
    <definedName name="cc_CashFlowPS">#REF!</definedName>
    <definedName name="cc_CFAssocDiv">#REF!</definedName>
    <definedName name="cc_CFAssocProfit">#REF!</definedName>
    <definedName name="cc_CFCheckSum">#REF!</definedName>
    <definedName name="cc_CFDebtSTMktSecMove">#REF!</definedName>
    <definedName name="cc_CFDepreciation">#REF!</definedName>
    <definedName name="cc_CFDividends">#REF!</definedName>
    <definedName name="cc_CFExcepItems">#REF!</definedName>
    <definedName name="cc_CFFxValuationAdj">#REF!</definedName>
    <definedName name="cc_CFInvestments">#REF!</definedName>
    <definedName name="cc_CFOthers">#REF!</definedName>
    <definedName name="cc_CFProceedsFromDisposal">#REF!</definedName>
    <definedName name="cc_CFPTProfit">#REF!</definedName>
    <definedName name="cc_CFReconciliation">#REF!</definedName>
    <definedName name="cc_CFSharesIssues">#REF!</definedName>
    <definedName name="cc_ChangeWorkCap">#REF!</definedName>
    <definedName name="cc_CheckSum">#REF!</definedName>
    <definedName name="cc_ChginDeferredtax">#REF!</definedName>
    <definedName name="cc_COE">#REF!</definedName>
    <definedName name="cc_CostofBorrowings">#REF!</definedName>
    <definedName name="cc_CostPrefShares">#REF!</definedName>
    <definedName name="cc_CumAmortGoodwill">#REF!</definedName>
    <definedName name="cc_DateLastModified">#REF!</definedName>
    <definedName name="cc_DeferTaxation">#REF!</definedName>
    <definedName name="cc_Depreciation">#REF!</definedName>
    <definedName name="cc_DividendPayable">#REF!</definedName>
    <definedName name="cc_DPSTaxRate">#REF!</definedName>
    <definedName name="cc_EBIT">#REF!</definedName>
    <definedName name="cc_EBITDA">#REF!</definedName>
    <definedName name="cc_EBITDAwithoutAssoc">#REF!</definedName>
    <definedName name="cc_EBITwithoutAssoc">#REF!</definedName>
    <definedName name="cc_EffectiveTaxRate">#REF!</definedName>
    <definedName name="cc_EnlgdGrossCashFlow">#REF!</definedName>
    <definedName name="cc_EnlgdNetProfit">#REF!</definedName>
    <definedName name="cc_EPSAdj">#REF!</definedName>
    <definedName name="cc_EPSDiluted">#REF!</definedName>
    <definedName name="cc_EVA">#REF!</definedName>
    <definedName name="cc_ExcepItems">#REF!</definedName>
    <definedName name="cc_ExcepItemsaftertax">#REF!</definedName>
    <definedName name="cc_ExtraItems">#REF!</definedName>
    <definedName name="cc_FDCFPS">#REF!</definedName>
    <definedName name="cc_FixedAssets">#REF!</definedName>
    <definedName name="cc_FutureLeasePayments">#REF!</definedName>
    <definedName name="cc_FYEnd">#REF!</definedName>
    <definedName name="cc_GEMRecommendation">#REF!</definedName>
    <definedName name="cc_GEMTargetPrice">#REF!</definedName>
    <definedName name="cc_GrossCashFlow">#REF!</definedName>
    <definedName name="cc_GrossDebt">#REF!</definedName>
    <definedName name="cc_GrossDPSUnadj">#REF!</definedName>
    <definedName name="cc_gsAvgstaffcost">#REF!</definedName>
    <definedName name="cc_gsCoreEarnings">#REF!</definedName>
    <definedName name="cc_gsCoreEPS">#REF!</definedName>
    <definedName name="cc_gsEmployees">#REF!</definedName>
    <definedName name="cc_gsEnlgdSHF">#REF!</definedName>
    <definedName name="cc_gsFXgainloss">#REF!</definedName>
    <definedName name="cc_gsIncperemployee">#REF!</definedName>
    <definedName name="cc_gsModelFDNBVPS">#REF!</definedName>
    <definedName name="cc_gsParValue">#REF!</definedName>
    <definedName name="cc_IntangibleAssets">#REF!</definedName>
    <definedName name="cc_InterestPaid">#REF!</definedName>
    <definedName name="cc_IntExpense">#REF!</definedName>
    <definedName name="cc_IntIncome">#REF!</definedName>
    <definedName name="cc_IntPVOperatingLease">#REF!</definedName>
    <definedName name="cc_InvestCapital">#REF!</definedName>
    <definedName name="cc_InvestInc">#REF!</definedName>
    <definedName name="cc_LTDebt">#REF!</definedName>
    <definedName name="cc_LTDebtRepay">#REF!</definedName>
    <definedName name="cc_MinoritiesBS">#REF!</definedName>
    <definedName name="cc_MinoritiesPL">#REF!</definedName>
    <definedName name="cc_ModifiedDate">#REF!</definedName>
    <definedName name="cc_NetCashDebtBSYE">#REF!</definedName>
    <definedName name="cc_NetCashDebtYE">#REF!</definedName>
    <definedName name="cc_NetCashFlow">#REF!</definedName>
    <definedName name="cc_NetDebt">#REF!</definedName>
    <definedName name="cc_NetDPS">#REF!</definedName>
    <definedName name="cc_NetInterest">#REF!</definedName>
    <definedName name="cc_NetProfit">#REF!</definedName>
    <definedName name="cc_NetProfit1H">#REF!</definedName>
    <definedName name="cc_NetProfit2H">#REF!</definedName>
    <definedName name="cc_non_op_inc">#REF!</definedName>
    <definedName name="cc_NonCashMovement">#REF!</definedName>
    <definedName name="cc_NOPAT">#REF!</definedName>
    <definedName name="cc_OtherAdj">#REF!</definedName>
    <definedName name="cc_OtherCreditors">#REF!</definedName>
    <definedName name="cc_OtherCurAssets">#REF!</definedName>
    <definedName name="cc_OtherCurLiabilities">#REF!</definedName>
    <definedName name="cc_OtherDebtors">#REF!</definedName>
    <definedName name="cc_OtherLTAssets">#REF!</definedName>
    <definedName name="cc_OtherLTLiabilities">#REF!</definedName>
    <definedName name="cc_Others">#REF!</definedName>
    <definedName name="cc_Overdraft">#REF!</definedName>
    <definedName name="cc_PostedDate">#REF!</definedName>
    <definedName name="cc_PrefDiv">#REF!</definedName>
    <definedName name="cc_PrefShares">#REF!</definedName>
    <definedName name="cc_PrevailingTaxRate">#REF!</definedName>
    <definedName name="cc_PTProfit">#REF!</definedName>
    <definedName name="cc_RDcosts">#REF!</definedName>
    <definedName name="cc_RDexp">#REF!</definedName>
    <definedName name="cc_RecommendDate">#REF!</definedName>
    <definedName name="cc_ReportCurrency">"INDR"</definedName>
    <definedName name="cc_ReportCurrencyUnit">"Rs"</definedName>
    <definedName name="cc_ReportCurrencyUnitFactor">1</definedName>
    <definedName name="cc_Reserves">#REF!</definedName>
    <definedName name="cc_RetainEarn">#REF!</definedName>
    <definedName name="cc_RetainedFreeCashFlow">#REF!</definedName>
    <definedName name="cc_RevalueReserve">#REF!</definedName>
    <definedName name="cc_RevNAV">#REF!</definedName>
    <definedName name="cc_RNBVPS">#REF!</definedName>
    <definedName name="cc_ROIC">#REF!</definedName>
    <definedName name="cc_ShareCap">#REF!</definedName>
    <definedName name="cc_SharePremium">#REF!</definedName>
    <definedName name="cc_SharesAtYE">#REF!</definedName>
    <definedName name="cc_SHFunds">#REF!</definedName>
    <definedName name="cc_STDebt">#REF!</definedName>
    <definedName name="cc_STDebtRepay">#REF!</definedName>
    <definedName name="cc_STMktSecurities">#REF!</definedName>
    <definedName name="cc_Stock">#REF!</definedName>
    <definedName name="cc_TargetPrice">#REF!</definedName>
    <definedName name="cc_Tax">#REF!</definedName>
    <definedName name="cc_TaxPaid">#REF!</definedName>
    <definedName name="cc_TaxPayable">#REF!</definedName>
    <definedName name="cc_tlAllincost">#REF!</definedName>
    <definedName name="cc_tlARPU">#REF!</definedName>
    <definedName name="cc_tlARPUCellular">#REF!</definedName>
    <definedName name="cc_tlARPUFixed">#REF!</definedName>
    <definedName name="cc_tlBasicfee_bus">#REF!</definedName>
    <definedName name="cc_tlBasicfee_res">#REF!</definedName>
    <definedName name="cc_tlCablefee">#REF!</definedName>
    <definedName name="cc_tlCellfee">#REF!</definedName>
    <definedName name="cc_tlCellMktShare">#REF!</definedName>
    <definedName name="cc_tlCellrate_MOU">#REF!</definedName>
    <definedName name="cc_tlCellsubscribers">#REF!</definedName>
    <definedName name="cc_tlDigital">#REF!</definedName>
    <definedName name="cc_tlDLD_MOU">#REF!</definedName>
    <definedName name="cc_tlFixedMktShare">#REF!</definedName>
    <definedName name="cc_tlIDD_MOU">#REF!</definedName>
    <definedName name="cc_tlInstalBus">#REF!</definedName>
    <definedName name="cc_tlInstalRes">#REF!</definedName>
    <definedName name="cc_tlInternetsubscribers">#REF!</definedName>
    <definedName name="cc_tlLinesconnect">#REF!</definedName>
    <definedName name="cc_tlLinesinstall">#REF!</definedName>
    <definedName name="cc_tlLocal_MOU">#REF!</definedName>
    <definedName name="cc_tlMOU">#REF!</definedName>
    <definedName name="cc_tlRevCellular">#REF!</definedName>
    <definedName name="cc_tlRevFixed">#REF!</definedName>
    <definedName name="cc_tlRevMisc">#REF!</definedName>
    <definedName name="cc_tlSettle">#REF!</definedName>
    <definedName name="cc_TO">#REF!</definedName>
    <definedName name="cc_ToReserve">#REF!</definedName>
    <definedName name="cc_TotalAssets">#REF!</definedName>
    <definedName name="cc_TotalCurAssets">#REF!</definedName>
    <definedName name="cc_TotalCurLiabilities">#REF!</definedName>
    <definedName name="cc_TotalDebtRepay">#REF!</definedName>
    <definedName name="cc_TotalDivPL">#REF!</definedName>
    <definedName name="cc_TotalLiabSHFundsMI">#REF!</definedName>
    <definedName name="cc_TotalLTAssets">#REF!</definedName>
    <definedName name="cc_TotalLTLiabilities">#REF!</definedName>
    <definedName name="cc_TotalNotionalInterestSavings">#REF!</definedName>
    <definedName name="cc_TotalOutstandingShares">#REF!</definedName>
    <definedName name="cc_TradeCreditors">#REF!</definedName>
    <definedName name="cc_TradeDebtors">#REF!</definedName>
    <definedName name="cc_utAttCap">#REF!</definedName>
    <definedName name="cc_utFuelcost">#REF!</definedName>
    <definedName name="cc_utInstalCap">#REF!</definedName>
    <definedName name="cc_utKWh">#REF!</definedName>
    <definedName name="cc_utNewCap">#REF!</definedName>
    <definedName name="cc_utPowerpurchased">#REF!</definedName>
    <definedName name="cc_utTariff">#REF!</definedName>
    <definedName name="cc_WACC">#REF!</definedName>
    <definedName name="cc_WACCDebt">#REF!</definedName>
    <definedName name="cc_WACCEquity">#REF!</definedName>
    <definedName name="cc_WACCPrefShares">#REF!</definedName>
    <definedName name="cc_WeightEnlgdShCap">#REF!</definedName>
    <definedName name="cc_WorkingCapital">#REF!</definedName>
    <definedName name="CC_Yr1">#REF!</definedName>
    <definedName name="CC_Yr10">#REF!</definedName>
    <definedName name="CC_Yr11">#REF!</definedName>
    <definedName name="CC_Yr12">#REF!</definedName>
    <definedName name="CC_Yr13">#REF!</definedName>
    <definedName name="CC_Yr14">#REF!</definedName>
    <definedName name="CC_Yr15">#REF!</definedName>
    <definedName name="CC_Yr16">#REF!</definedName>
    <definedName name="CC_Yr17">#REF!</definedName>
    <definedName name="CC_Yr18">#REF!</definedName>
    <definedName name="CC_Yr2">#REF!</definedName>
    <definedName name="CC_Yr3">#REF!</definedName>
    <definedName name="CC_Yr4">#REF!</definedName>
    <definedName name="CC_Yr5">#REF!</definedName>
    <definedName name="CC_Yr6">#REF!</definedName>
    <definedName name="CC_Yr7">#REF!</definedName>
    <definedName name="CC_Yr8">#REF!</definedName>
    <definedName name="CC_Yr9">#REF!</definedName>
    <definedName name="cce">#REF!</definedName>
    <definedName name="ccn">#REF!</definedName>
    <definedName name="cde">#REF!</definedName>
    <definedName name="cdi">#REF!</definedName>
    <definedName name="cdp">#REF!</definedName>
    <definedName name="CDsubunit">[23]ChartData!$E$40</definedName>
    <definedName name="CDunit">[23]ChartData!$E$39</definedName>
    <definedName name="Cellnet">[16]Group!#REF!</definedName>
    <definedName name="CEPS" localSheetId="18">'[19]P&amp;L'!$E$87:$J$87</definedName>
    <definedName name="CEPS" localSheetId="5">'[19]P&amp;L'!$E$87:$J$87</definedName>
    <definedName name="ceps">[11]Template!$D$267:$T$267</definedName>
    <definedName name="CF" localSheetId="18">#REF!</definedName>
    <definedName name="CF" localSheetId="5">#REF!</definedName>
    <definedName name="cf">#REF!</definedName>
    <definedName name="cfc">#REF!</definedName>
    <definedName name="CFDiff">[13]Input!$K$566:$AA$566</definedName>
    <definedName name="cfps" localSheetId="18">#REF!</definedName>
    <definedName name="cfps" localSheetId="5">#REF!</definedName>
    <definedName name="cfps">[11]Template!$D$268:$T$268</definedName>
    <definedName name="CFPS___eoy_shares">#REF!</definedName>
    <definedName name="CFPS_analysis_on_normalised_profits">#REF!</definedName>
    <definedName name="cfx">#REF!</definedName>
    <definedName name="ChangeInShortTermDebt">'[4]Financials(O)'!$F$107:$J$107</definedName>
    <definedName name="ChangesInInvestments">'[4]Financials(O)'!$F$90:$J$90</definedName>
    <definedName name="ChangesInLOngtermDebt">'[4]Financials(O)'!$F$108:$J$108</definedName>
    <definedName name="ChangesInWorkingCapital" localSheetId="18">'[15]Financials '!$J$79:$R$79</definedName>
    <definedName name="ChangesInWorkingCapital" localSheetId="5">'[15]Financials '!$J$79:$R$79</definedName>
    <definedName name="ChangesInWorkingCapital">'[4]Financials(O)'!$F$81:$J$81</definedName>
    <definedName name="Charges_OtherServices">[24]mAssmp!#REF!</definedName>
    <definedName name="Charts1">#REF!</definedName>
    <definedName name="Charts2">#REF!</definedName>
    <definedName name="chg_in_current_liabilities" localSheetId="18">#REF!</definedName>
    <definedName name="chg_in_current_liabilities" localSheetId="5">#REF!</definedName>
    <definedName name="chg_in_current_liabilities">[11]Template!$D$85:$T$85</definedName>
    <definedName name="chg_in_debt" localSheetId="18">#REF!</definedName>
    <definedName name="chg_in_debt" localSheetId="5">#REF!</definedName>
    <definedName name="chg_in_debt">[11]Template!$D$103:$T$103</definedName>
    <definedName name="chg_in_debtors" localSheetId="18">#REF!</definedName>
    <definedName name="chg_in_debtors" localSheetId="5">#REF!</definedName>
    <definedName name="chg_in_debtors">[11]Template!$D$79:$T$79</definedName>
    <definedName name="chg_in_inventory" localSheetId="18">#REF!</definedName>
    <definedName name="chg_in_inventory" localSheetId="5">#REF!</definedName>
    <definedName name="chg_in_inventory">[11]Template!$D$80:$T$80</definedName>
    <definedName name="chg_in_investment" localSheetId="18">#REF!</definedName>
    <definedName name="chg_in_investment" localSheetId="5">#REF!</definedName>
    <definedName name="chg_in_investment">[11]Template!$D$93:$T$93</definedName>
    <definedName name="chg_in_loans_advances" localSheetId="18">#REF!</definedName>
    <definedName name="chg_in_loans_advances" localSheetId="5">#REF!</definedName>
    <definedName name="chg_in_loans_advances">[11]Template!$D$81:$T$81</definedName>
    <definedName name="chg_in_marketable_securities" localSheetId="18">#REF!</definedName>
    <definedName name="chg_in_marketable_securities" localSheetId="5">#REF!</definedName>
    <definedName name="chg_in_marketable_securities">[11]Template!$D$95:$T$95</definedName>
    <definedName name="chg_in_minorities">'[12]Annual Temp'!#REF!</definedName>
    <definedName name="chg_in_other_current_assets" localSheetId="18">#REF!</definedName>
    <definedName name="chg_in_other_current_assets" localSheetId="5">#REF!</definedName>
    <definedName name="chg_in_other_current_assets">[11]Template!$D$82:$T$82</definedName>
    <definedName name="chg_in_provisions" localSheetId="18">#REF!</definedName>
    <definedName name="chg_in_provisions" localSheetId="5">#REF!</definedName>
    <definedName name="chg_in_provisions">[11]Template!$D$86:$T$86</definedName>
    <definedName name="chg_in_working_cap" localSheetId="18">#REF!</definedName>
    <definedName name="chg_in_working_cap" localSheetId="5">#REF!</definedName>
    <definedName name="chg_in_working_cap">[11]Template!$D$128:$T$128</definedName>
    <definedName name="Chile1">#REF!</definedName>
    <definedName name="Chile2">#REF!</definedName>
    <definedName name="ChInventory">'[6]Alu-P&amp;L'!$A$7:$Q$7</definedName>
    <definedName name="ChInvestment">'[6]Alu-cashflow'!$A$15:$AN$15</definedName>
    <definedName name="ChInvestments">'[6]Alu-cashflow'!$A$15:$AS$15</definedName>
    <definedName name="ChLoans">'[6]Alu-cashflow'!$A$16:$AR$16</definedName>
    <definedName name="ChNetDebt">'[6]Alu-cashflow'!$A$20:$AP$20</definedName>
    <definedName name="Choices_Wrapper" localSheetId="18">'Monthly Volume Trend'!Choices_Wrapper</definedName>
    <definedName name="Choices_Wrapper" localSheetId="5">Uploader!Choices_Wrapper</definedName>
    <definedName name="Choices_Wrapper">'Monthly Volume Trend'!Choices_Wrapper</definedName>
    <definedName name="ChRevaluation">'[6]Alu-cashflow'!$A$24:$AQ$24</definedName>
    <definedName name="ChWorkingCapital">'[6]Alu-cashflow'!$A$6:$AO$6</definedName>
    <definedName name="cii">#REF!</definedName>
    <definedName name="civ">#REF!</definedName>
    <definedName name="CL">[10]Input!$K$94:$AA$94</definedName>
    <definedName name="ClEqSh">[13]Capital!$K$17:$AA$17</definedName>
    <definedName name="Close">#REF!</definedName>
    <definedName name="Closed_End">#REF!</definedName>
    <definedName name="CMP">[10]Profile!$H$14</definedName>
    <definedName name="cni">#REF!</definedName>
    <definedName name="coc">#REF!</definedName>
    <definedName name="COGS" localSheetId="18">'[15]Operating Statistics'!$J$121:$R$121</definedName>
    <definedName name="COGS" localSheetId="5">'[15]Operating Statistics'!$J$121:$R$121</definedName>
    <definedName name="COGS">'[4]Cost Of Sales'!$H$20:$O$20</definedName>
    <definedName name="COGS1">'[4]Cost Of Sales'!$L$20:$M$20</definedName>
    <definedName name="COGSS">'[4]Cost Of Sales'!$H$20:$O$20</definedName>
    <definedName name="COGStoSalesRatio">'[4]Financials(O)'!$F$46:$J$46</definedName>
    <definedName name="coi">#REF!</definedName>
    <definedName name="ColNum1">#REF!</definedName>
    <definedName name="comments">#REF!</definedName>
    <definedName name="commerce">#REF!</definedName>
    <definedName name="Commissions">#REF!</definedName>
    <definedName name="CommonDividendPaidOut" localSheetId="18">'[15]Financials '!$J$77:$R$77</definedName>
    <definedName name="CommonDividendPaidOut" localSheetId="5">'[15]Financials '!$J$77:$R$77</definedName>
    <definedName name="CommonDividendPaidOut">[4]Financials!$C$75:$K$75</definedName>
    <definedName name="CommonStock" localSheetId="18">'[15]Financials '!$J$117:$R$117</definedName>
    <definedName name="CommonStock" localSheetId="5">'[15]Financials '!$J$117:$R$117</definedName>
    <definedName name="CommonStock">[4]Financials!$C$113:$K$113</definedName>
    <definedName name="Company" localSheetId="18">[15]Introduction!$E$11</definedName>
    <definedName name="Company" localSheetId="5">[15]Introduction!$E$11</definedName>
    <definedName name="Company">[4]Introduction!$D$4</definedName>
    <definedName name="COMPANY_SUMMARY">#REF!</definedName>
    <definedName name="COMPANYA">#REF!</definedName>
    <definedName name="CompanyCard">#REF!</definedName>
    <definedName name="CompanyName">[6]Summary!$J$1</definedName>
    <definedName name="CoName" hidden="1">[10]Profile!$D$4</definedName>
    <definedName name="CONS">#REF!</definedName>
    <definedName name="ConsumerDeposits">[9]Model!$B$526:$IV$526</definedName>
    <definedName name="CONT_LIA">#REF!</definedName>
    <definedName name="contingent_liabilities">#REF!</definedName>
    <definedName name="ContrbUnit">[13]Formats!$K$132:$AA$132</definedName>
    <definedName name="ContrbVal">[13]Formats!$K$131:$AA$131</definedName>
    <definedName name="Contribution">'[6]Alu-P&amp;L'!#REF!</definedName>
    <definedName name="convertible_bonds" localSheetId="18">#REF!</definedName>
    <definedName name="convertible_bonds" localSheetId="5">#REF!</definedName>
    <definedName name="convertible_bonds">[11]Template!$D$171:$T$171</definedName>
    <definedName name="Convertiblelongtermdebt">'[15]Financials '!$J$148:$R$148</definedName>
    <definedName name="cop">#REF!</definedName>
    <definedName name="CorporateDeposits">'[4]Financials(O)'!$F$130:$J$130</definedName>
    <definedName name="cost_of_debt" localSheetId="18">#REF!</definedName>
    <definedName name="cost_of_debt" localSheetId="5">#REF!</definedName>
    <definedName name="cost_of_debt">[11]Template!$D$350:$T$350</definedName>
    <definedName name="cost_of_equity" localSheetId="18">#REF!</definedName>
    <definedName name="cost_of_equity" localSheetId="5">#REF!</definedName>
    <definedName name="cost_of_equity">[11]Template!$D$354:$T$354</definedName>
    <definedName name="cost_of_good_sold">#REF!</definedName>
    <definedName name="COST_OF_SALES" localSheetId="18">#REF!</definedName>
    <definedName name="COST_OF_SALES" localSheetId="5">#REF!</definedName>
    <definedName name="COST_OF_SALES">#REF!</definedName>
    <definedName name="CostOfGoodsSold">'[4]Cost Of Sales'!$A$1:$M$54</definedName>
    <definedName name="CostOfSales">'[4]Cost Of Sales'!$A$1:$O$56</definedName>
    <definedName name="cot">#REF!</definedName>
    <definedName name="Country" localSheetId="18">[15]Introduction!$E$13</definedName>
    <definedName name="Country" localSheetId="5">[15]Introduction!$E$13</definedName>
    <definedName name="COUNTRY">'[4]Financials(O)'!#REF!</definedName>
    <definedName name="COUNTRY1">#REF!</definedName>
    <definedName name="COUNTRY1a">#REF!</definedName>
    <definedName name="COUNTRYa">#REF!</definedName>
    <definedName name="County_Core">[16]Group!$A$232</definedName>
    <definedName name="Cov_00_PS">#REF!</definedName>
    <definedName name="Cov_00_Rev">#REF!</definedName>
    <definedName name="Cov_97_PS">#REF!</definedName>
    <definedName name="Cov_97_Rev">#REF!</definedName>
    <definedName name="Cov_98_PS">#REF!</definedName>
    <definedName name="Cov_98_Rev">#REF!</definedName>
    <definedName name="Cov_99_PS">#REF!</definedName>
    <definedName name="Cov_99_Rev">#REF!</definedName>
    <definedName name="Cov_EPS_00">#REF!</definedName>
    <definedName name="Cov_EPS_98">#REF!</definedName>
    <definedName name="Cov_EPS_99">#REF!</definedName>
    <definedName name="Cov_Mkt_Cap">#REF!</definedName>
    <definedName name="Cov_Off_High">#REF!</definedName>
    <definedName name="Cov_Perf_97">#REF!</definedName>
    <definedName name="Cov_Perf_98">#REF!</definedName>
    <definedName name="Cov_Perf_99">#REF!</definedName>
    <definedName name="cov_perf_99b">'[25]#REF'!$Q$162</definedName>
    <definedName name="Cov_Univ_Avg">#REF!</definedName>
    <definedName name="Cov_Univ_Total">#REF!</definedName>
    <definedName name="CP">[13]Debt!$K$145:$AA$145</definedName>
    <definedName name="CPCoke">'[6]Alu-RawM'!$A$35:$AE$35</definedName>
    <definedName name="CPL">#REF!</definedName>
    <definedName name="cProfits">#REF!</definedName>
    <definedName name="creditors" localSheetId="18">#REF!</definedName>
    <definedName name="creditors" localSheetId="5">#REF!</definedName>
    <definedName name="creditors">[11]Template!$D$162:$T$162</definedName>
    <definedName name="CreditorsOther">[9]Model!$B$683:$IV$683</definedName>
    <definedName name="CreditorsTrade">[9]Model!$B$682:$IV$682</definedName>
    <definedName name="csbs">#REF!</definedName>
    <definedName name="cscf">#REF!</definedName>
    <definedName name="csi">#REF!</definedName>
    <definedName name="Csoda">'[6]Alu-RawM'!$A$27:$AA$27</definedName>
    <definedName name="cspl">#REF!</definedName>
    <definedName name="cta">#REF!</definedName>
    <definedName name="CTPitch">'[6]Alu-RawM'!$A$44:$AB$44</definedName>
    <definedName name="CurrAssets">'[6]Alu-Balsheet'!#REF!</definedName>
    <definedName name="Currency" localSheetId="18">[21]Introduction!$E$14</definedName>
    <definedName name="Currency" localSheetId="5">[21]Introduction!$E$14</definedName>
    <definedName name="Currency">[4]Introduction!$D$20</definedName>
    <definedName name="currencyList">#REF!</definedName>
    <definedName name="current_tax">#REF!</definedName>
    <definedName name="current_tax_Q">#REF!</definedName>
    <definedName name="CurrentLiab" localSheetId="18">'[21]Financials '!$J$112:$R$112</definedName>
    <definedName name="CurrentLiab" localSheetId="5">'[21]Financials '!$J$112:$R$112</definedName>
    <definedName name="CurrentLiab">[4]Financials!$C$108:$K$108</definedName>
    <definedName name="CurrentPortion" localSheetId="18">'[21]Financials '!$J$149:$R$149</definedName>
    <definedName name="CurrentPortion" localSheetId="5">'[21]Financials '!$J$149:$R$149</definedName>
    <definedName name="CurrentPortion">[4]Financials!$C$143:$K$143</definedName>
    <definedName name="CurrentRatio">'[4]Financials(O)'!#REF!</definedName>
    <definedName name="CurrentYear">[4]Introduction!$D$9</definedName>
    <definedName name="CurrLiabilities">'[6]Alu-Balsheet'!#REF!</definedName>
    <definedName name="CWIP">[10]CapEx!$K$112:$AA$112</definedName>
    <definedName name="CWIPChg">[10]CapEx!$K$118:$AA$118</definedName>
    <definedName name="cwo">#REF!</definedName>
    <definedName name="cwt">#REF!</definedName>
    <definedName name="cye">#REF!</definedName>
    <definedName name="daf">#REF!</definedName>
    <definedName name="dai">#REF!</definedName>
    <definedName name="das">#REF!</definedName>
    <definedName name="Data_for_RTZ">#REF!</definedName>
    <definedName name="Data1" localSheetId="7"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Data1"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data2" localSheetId="7"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data2"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DataAnaPhNo">[26]MenuData!$B$10</definedName>
    <definedName name="_xlnm.Database">#REF!</definedName>
    <definedName name="DataBriefTime">[26]MenuData!$B$4</definedName>
    <definedName name="DataCardDate">[26]MenuData!$B$14</definedName>
    <definedName name="DataCardTime">[26]MenuData!$B$3</definedName>
    <definedName name="DataDate">[26]MenuData!$B$2</definedName>
    <definedName name="DataInterim">#REF!</definedName>
    <definedName name="DataInvPlay">[26]MenuData!$B$9</definedName>
    <definedName name="DataPeriod">[26]MenuData!$B$13</definedName>
    <definedName name="DataPeriodEnd">[26]MenuData!$B$12</definedName>
    <definedName name="DataPhone">[27]MenuData!#REF!</definedName>
    <definedName name="DataPrevDate">[26]MenuData!$B$6</definedName>
    <definedName name="DataPrevRecom">[26]MenuData!$B$5</definedName>
    <definedName name="DataPrevTime">[26]MenuData!$B$7</definedName>
    <definedName name="DataRationale">[26]MenuData!$B$8</definedName>
    <definedName name="DataRecom">[26]MenuData!$B$1</definedName>
    <definedName name="DataSummary">[26]MenuData!$B$11</definedName>
    <definedName name="DataTime">[26]MenuData!$B$3</definedName>
    <definedName name="Date">[4]Introduction!$D$7</definedName>
    <definedName name="Dates" localSheetId="18">'[15]Market Info'!$D$13:$D$412</definedName>
    <definedName name="Dates" localSheetId="5">'[15]Market Info'!$D$13:$D$412</definedName>
    <definedName name="Dates">#REF!</definedName>
    <definedName name="Dates1">#REF!</definedName>
    <definedName name="Days_Inventory">[24]mAssmp!#REF!</definedName>
    <definedName name="Days_Payables">[24]mAssmp!#REF!</definedName>
    <definedName name="Days_Receivables">[24]mAssmp!#REF!</definedName>
    <definedName name="DaysCreditors">'[6]Alu-Balsheet'!#REF!</definedName>
    <definedName name="DaysDebtors">'[6]Alu-Balsheet'!#REF!</definedName>
    <definedName name="DaysInventory">'[6]Alu-Balsheet'!#REF!</definedName>
    <definedName name="DaysInventoryFG">'[6]Alu-Balsheet'!$A$44:$X$44</definedName>
    <definedName name="DaysInventoryRM">'[6]Alu-Balsheet'!$A$42:$AD$42</definedName>
    <definedName name="DaysInventoryTrade">'[6]Alu-Balsheet'!#REF!</definedName>
    <definedName name="DaysInventoryWIP">'[6]Alu-Balsheet'!$A$40:$V$40</definedName>
    <definedName name="dcfb">#REF!</definedName>
    <definedName name="dd">#REF!</definedName>
    <definedName name="debentures" localSheetId="18">#REF!</definedName>
    <definedName name="debentures" localSheetId="5">#REF!</definedName>
    <definedName name="debentures">[11]Template!$D$173:$T$173</definedName>
    <definedName name="Debt">'[6]Alu-Balsheet'!#REF!</definedName>
    <definedName name="debt_at_mv" localSheetId="18">#REF!</definedName>
    <definedName name="debt_at_mv" localSheetId="5">#REF!</definedName>
    <definedName name="debt_at_mv">[11]Template!$D$220:$T$220</definedName>
    <definedName name="debtnet" localSheetId="18">'Monthly Volume Trend'!cash-'Monthly Volume Trend'!TotalDebt</definedName>
    <definedName name="debtnet" localSheetId="5">Uploader!cash-Uploader!TotalDebt</definedName>
    <definedName name="debtnet">Uploader!cash-Uploader!TotalDebt</definedName>
    <definedName name="debtors" localSheetId="18">#REF!</definedName>
    <definedName name="debtors" localSheetId="5">#REF!</definedName>
    <definedName name="debtors">[11]Template!$D$146:$T$146</definedName>
    <definedName name="DebtToEquity">'[4]Financials(O)'!$F$170:$J$170</definedName>
    <definedName name="Deferred_revenue_exp_w_off">#REF!</definedName>
    <definedName name="deferred_tax">#REF!</definedName>
    <definedName name="deferred_tax_assets" localSheetId="18">#REF!</definedName>
    <definedName name="deferred_tax_assets" localSheetId="5">#REF!</definedName>
    <definedName name="deferred_tax_assets">[11]Template!$D$157:$T$157</definedName>
    <definedName name="deferred_tax_liabilities" localSheetId="18">#REF!</definedName>
    <definedName name="deferred_tax_liabilities" localSheetId="5">#REF!</definedName>
    <definedName name="deferred_tax_liabilities">[11]Template!$D$176:$T$176</definedName>
    <definedName name="deferred_tax_Q">#REF!</definedName>
    <definedName name="depn_and_amortn">#REF!</definedName>
    <definedName name="Depreciation" localSheetId="18">'[15]Financials '!$J$13:$R$13</definedName>
    <definedName name="Depreciation" localSheetId="5">'[15]Financials '!$J$13:$R$13</definedName>
    <definedName name="depreciation">[11]Template!$D$13:$T$13</definedName>
    <definedName name="depreciation_amortisation">#REF!</definedName>
    <definedName name="Depreciation_Book">#REF!</definedName>
    <definedName name="depreciation_bs" localSheetId="18">#REF!</definedName>
    <definedName name="depreciation_bs" localSheetId="5">#REF!</definedName>
    <definedName name="depreciation_bs">[11]Template!$D$154:$T$154</definedName>
    <definedName name="depreciation_fixed_assets" localSheetId="18">#REF!</definedName>
    <definedName name="depreciation_fixed_assets" localSheetId="5">#REF!</definedName>
    <definedName name="depreciation_fixed_assets">[11]Template!$D$50:$T$50</definedName>
    <definedName name="depreciation_other" localSheetId="18">#REF!</definedName>
    <definedName name="depreciation_other" localSheetId="5">#REF!</definedName>
    <definedName name="depreciation_other">[11]Template!$D$51:$T$51</definedName>
    <definedName name="depreciation_Q">#REF!</definedName>
    <definedName name="Depreciation_Tax">#REF!</definedName>
    <definedName name="DepreciationProvisions">'[4]Cost Of Sales'!$G$237:$M$237</definedName>
    <definedName name="desktop">#REF!</definedName>
    <definedName name="DET_PL">#REF!</definedName>
    <definedName name="df" localSheetId="18">'Monthly Volume Trend'!InterestIncome-'Monthly Volume Trend'!InterestExpense</definedName>
    <definedName name="df" localSheetId="5">Uploader!InterestIncome-Uploader!InterestExpense</definedName>
    <definedName name="df">Uploader!InterestIncome-Uploader!InterestExpense</definedName>
    <definedName name="dfd">#REF!</definedName>
    <definedName name="did">#REF!</definedName>
    <definedName name="DilEqSh">[13]Capital!$K$72:$AA$72</definedName>
    <definedName name="DIR_REM">#REF!</definedName>
    <definedName name="Discounts">'[6]Alu-P&amp;L'!#REF!</definedName>
    <definedName name="DispFmt" hidden="1">[13]Input!$AB$3:$AE$3</definedName>
    <definedName name="Disposals">'[6]Alu-cashflow'!$A$14:$AO$14</definedName>
    <definedName name="Divdates">'[18]Forecast summary'!#REF!</definedName>
    <definedName name="Dividend_declared_Rs__m">#REF!</definedName>
    <definedName name="dividend_incl_tax" localSheetId="18">#REF!</definedName>
    <definedName name="dividend_incl_tax" localSheetId="5">#REF!</definedName>
    <definedName name="dividend_incl_tax">[11]Template!$D$104:$T$104</definedName>
    <definedName name="dividend_paid" localSheetId="18">#REF!</definedName>
    <definedName name="dividend_paid" localSheetId="5">#REF!</definedName>
    <definedName name="dividend_paid">[11]Template!$D$57:$T$57</definedName>
    <definedName name="Dividend_payout_ratio">#REF!</definedName>
    <definedName name="dividend_provision">#REF!</definedName>
    <definedName name="dividend_Q">#REF!</definedName>
    <definedName name="DividendPaid">'[4]Financials(O)'!$F$28:$J$28</definedName>
    <definedName name="DividendProvision" localSheetId="18">'[6]Alu-P&amp;L'!$B$49:$U$49</definedName>
    <definedName name="DividendProvision" localSheetId="5">'[6]Alu-P&amp;L'!$B$49:$U$49</definedName>
    <definedName name="DividendProvision">'[4]Financials(O)'!$F$144:$J$144</definedName>
    <definedName name="Dividends">'[4]Financials(O)'!$F$103:$J$103</definedName>
    <definedName name="dividends_payable" localSheetId="18">#REF!</definedName>
    <definedName name="dividends_payable" localSheetId="5">#REF!</definedName>
    <definedName name="dividends_payable">[11]Template!$D$166:$T$166</definedName>
    <definedName name="Dividends_per_share">[16]Group!$A$156</definedName>
    <definedName name="DividendsPaid">'[6]Alu-cashflow'!$A$18:$AO$18</definedName>
    <definedName name="DividendTax">'[6]Alu-P&amp;L'!$B$52:$R$52</definedName>
    <definedName name="division">'[18]Forecast summary'!#REF!</definedName>
    <definedName name="Divisional_Ebit">[16]Group!#REF!</definedName>
    <definedName name="DivOut">[10]Input!$K$142:$AA$142</definedName>
    <definedName name="DivTax">[13]Profile!$K$18:$AA$18</definedName>
    <definedName name="docs">#REF!</definedName>
    <definedName name="dogcat">#REF!</definedName>
    <definedName name="dogdry">#REF!</definedName>
    <definedName name="dogmoist">#REF!</definedName>
    <definedName name="dogwet">#REF!</definedName>
    <definedName name="dp">#REF!</definedName>
    <definedName name="dps" localSheetId="18">#REF!</definedName>
    <definedName name="dps" localSheetId="5">#REF!</definedName>
    <definedName name="dps">[11]Template!$D$269:$T$269</definedName>
    <definedName name="DPS___Rs_per_share">#REF!</definedName>
    <definedName name="Draft" localSheetId="18">[15]Introduction!$E$9</definedName>
    <definedName name="Draft" localSheetId="5">[15]Introduction!$E$9</definedName>
    <definedName name="Draft">[4]Introduction!$E$9</definedName>
    <definedName name="dsd">#REF!</definedName>
    <definedName name="dtd">#REF!</definedName>
    <definedName name="dupont">#REF!</definedName>
    <definedName name="e">'[2]P&amp;L'!#REF!</definedName>
    <definedName name="eaa">#REF!</definedName>
    <definedName name="eap">#REF!</definedName>
    <definedName name="earn_summary">#REF!</definedName>
    <definedName name="EarnChk">[13]Profile!$L$19:$AA$19</definedName>
    <definedName name="eat">#REF!</definedName>
    <definedName name="EBDT">[13]Formats!$K$25:$AA$25</definedName>
    <definedName name="ebida" localSheetId="18">#REF!</definedName>
    <definedName name="ebida" localSheetId="5">#REF!</definedName>
    <definedName name="ebida">[11]Template!$D$68:$T$68</definedName>
    <definedName name="ebida_core_activity" localSheetId="18">#REF!</definedName>
    <definedName name="ebida_core_activity" localSheetId="5">#REF!</definedName>
    <definedName name="ebida_core_activity">[11]Template!$D$69:$T$69</definedName>
    <definedName name="EBIDTA">'[6]Alu-P&amp;L'!$A$22:$P$22</definedName>
    <definedName name="EBIT" localSheetId="18">'[15]Financials '!$J$14:$R$14</definedName>
    <definedName name="EBIT" localSheetId="5">'[15]Financials '!$J$14:$R$14</definedName>
    <definedName name="ebit">[11]Template!$D$14:$T$14</definedName>
    <definedName name="ebit_core_activity" localSheetId="18">#REF!</definedName>
    <definedName name="ebit_core_activity" localSheetId="5">#REF!</definedName>
    <definedName name="ebit_core_activity">[11]Template!$D$67:$T$67</definedName>
    <definedName name="ebit_core_Q">#REF!</definedName>
    <definedName name="ebit_Q">#REF!</definedName>
    <definedName name="EBITAmargin">'[6]Alu-P&amp;L'!#REF!</definedName>
    <definedName name="EBITDA" localSheetId="18">'[15]Financials '!$J$12:$R$12</definedName>
    <definedName name="EBITDA" localSheetId="5">'[15]Financials '!$J$12:$R$12</definedName>
    <definedName name="ebitda">[11]Template!$D$12:$T$12</definedName>
    <definedName name="ebitda_core_activity" localSheetId="18">#REF!</definedName>
    <definedName name="ebitda_core_activity" localSheetId="5">#REF!</definedName>
    <definedName name="ebitda_core_activity">[11]Template!$D$66:$T$66</definedName>
    <definedName name="ebitda_core_Q">#REF!</definedName>
    <definedName name="ebitda_Q">#REF!</definedName>
    <definedName name="EBITDAgrowth">'[6]Alu-P&amp;L'!#REF!</definedName>
    <definedName name="EBITDAmargin">'[6]Alu-P&amp;L'!#REF!</definedName>
    <definedName name="EBITgrowth">'[6]Alu-P&amp;L'!#REF!</definedName>
    <definedName name="EBITmargin">'[6]Alu-P&amp;L'!#REF!</definedName>
    <definedName name="EDvTax">[10]Input!$K$140:$AA$140</definedName>
    <definedName name="eei">#REF!</definedName>
    <definedName name="eep">#REF!</definedName>
    <definedName name="ees">#REF!</definedName>
    <definedName name="Effective_tax_rate">#REF!</definedName>
    <definedName name="EffEqShAd">[13]Capital!$K$52:$AA$52</definedName>
    <definedName name="Effort_util">#REF!</definedName>
    <definedName name="Emp_Data">#REF!</definedName>
    <definedName name="employee_exp_Q">#REF!</definedName>
    <definedName name="employee_expenses" localSheetId="18">#REF!</definedName>
    <definedName name="employee_expenses" localSheetId="5">#REF!</definedName>
    <definedName name="employee_expenses">[11]Template!$D$40:$T$40</definedName>
    <definedName name="Employees" localSheetId="18">'[15]Financials '!$J$146:$R$146</definedName>
    <definedName name="Employees" localSheetId="5">'[15]Financials '!$J$146:$R$146</definedName>
    <definedName name="employees">[11]Template!$D$62:$T$62</definedName>
    <definedName name="Emps_PeriodEnd">#REF!</definedName>
    <definedName name="EnEsMode" hidden="1">[13]Profile!$K$9</definedName>
    <definedName name="Engineering_sector">'[28]NEW Earnings Guide'!#REF!</definedName>
    <definedName name="enp">#REF!</definedName>
    <definedName name="enterprise">#REF!</definedName>
    <definedName name="Enterprise_Value">[16]Group!$A$247</definedName>
    <definedName name="enterprise_value_core" localSheetId="18">#REF!</definedName>
    <definedName name="enterprise_value_core" localSheetId="5">#REF!</definedName>
    <definedName name="enterprise_value_core">[11]Template!$D$225:$T$225</definedName>
    <definedName name="EnterpriseValue">#REF!</definedName>
    <definedName name="EntValue">#REF!</definedName>
    <definedName name="EnYrRng" hidden="1">[13]Profile!$L$11:$AA$11</definedName>
    <definedName name="ep">[6]Database!$A$323:$IV$323</definedName>
    <definedName name="epa">#REF!</definedName>
    <definedName name="epc">#REF!</definedName>
    <definedName name="EPS" localSheetId="18">'[19]P&amp;L'!$E$86:$J$86</definedName>
    <definedName name="EPS" localSheetId="5">'[19]P&amp;L'!$E$86:$J$86</definedName>
    <definedName name="EPS">[4]Financials!$G$28:$M$28</definedName>
    <definedName name="EPS___eoy_shares">#REF!</definedName>
    <definedName name="EPS___fully_diluted">#REF!</definedName>
    <definedName name="EPS___on_PAT_rep.___eoy">#REF!</definedName>
    <definedName name="EPS___wt._avg_basis">#REF!</definedName>
    <definedName name="EPS_analysis_on_normalised_profits">#REF!</definedName>
    <definedName name="eps_growth" localSheetId="18">#REF!</definedName>
    <definedName name="eps_growth" localSheetId="5">#REF!</definedName>
    <definedName name="eps_growth">[11]Template!$D$284:$T$284</definedName>
    <definedName name="EPScagr2">#REF!</definedName>
    <definedName name="EPScagr3">#REF!</definedName>
    <definedName name="EPSgrowth">#REF!</definedName>
    <definedName name="epw">#REF!</definedName>
    <definedName name="epx">#REF!</definedName>
    <definedName name="EqDiv">[10]Input!$K$137:$AA$137</definedName>
    <definedName name="EqMult" hidden="1">[13]Capital!$K$18:$AA$18</definedName>
    <definedName name="equity" localSheetId="18">[20]Template!$P$111</definedName>
    <definedName name="equity" localSheetId="5">[20]Template!$P$111</definedName>
    <definedName name="Equity">'[4]Financials(O)'!$F$155:$J$155</definedName>
    <definedName name="equity_capital_Q">#REF!</definedName>
    <definedName name="equity_raised" localSheetId="18">#REF!</definedName>
    <definedName name="equity_raised" localSheetId="5">#REF!</definedName>
    <definedName name="equity_raised">[11]Template!$D$101:$T$101</definedName>
    <definedName name="EquityCapital">'[6]Alu-Balsheet'!$A$6:$V$6</definedName>
    <definedName name="ER">[4]Introduction!$D$42</definedName>
    <definedName name="ERate">[4]Introduction!$D$42</definedName>
    <definedName name="ERD">[4]Introduction!$F$42</definedName>
    <definedName name="ERDFive">[4]Introduction!$F$47</definedName>
    <definedName name="ERDFour">[4]Introduction!$F$46</definedName>
    <definedName name="ERDone">[4]Introduction!$F$43</definedName>
    <definedName name="ERDSeven">[4]Introduction!$F$49</definedName>
    <definedName name="ERDSix">[4]Introduction!$F$48</definedName>
    <definedName name="ERDThree">[4]Introduction!$F$45</definedName>
    <definedName name="ERDTwo">[4]Introduction!$F$44</definedName>
    <definedName name="ERFive">[4]Introduction!$D$47</definedName>
    <definedName name="ERFour">[4]Introduction!$D$46</definedName>
    <definedName name="EROne">[4]Introduction!$D$43</definedName>
    <definedName name="ERSeven">[4]Introduction!$D$49</definedName>
    <definedName name="ERSix">[4]Introduction!$D$48</definedName>
    <definedName name="ERThree">[4]Introduction!$D$45</definedName>
    <definedName name="ERTThree">[4]Introduction!$F$44</definedName>
    <definedName name="ERTwo">[4]Introduction!$D$44</definedName>
    <definedName name="ESbaldate">[6]CLSA!$A$2</definedName>
    <definedName name="esf">#REF!</definedName>
    <definedName name="EstInt">[13]Debt!$K$245:$AA$245</definedName>
    <definedName name="EstRef" hidden="1">[10]Profile!$K$13:$AA$13</definedName>
    <definedName name="ESyear">[6]CLSA!$A$2:$IV$2</definedName>
    <definedName name="EsYrRng" hidden="1">[13]Profile!$L$12:$AA$12</definedName>
    <definedName name="eta">#REF!</definedName>
    <definedName name="etr">#REF!</definedName>
    <definedName name="ev_ic" localSheetId="18">#REF!</definedName>
    <definedName name="ev_ic" localSheetId="5">#REF!</definedName>
    <definedName name="ev_ic">[11]Template!$D$342:$T$342</definedName>
    <definedName name="EVA">[13]Formats!$K$173:$AA$173</definedName>
    <definedName name="EVATable">[6]EVA!$J$84:$M$93</definedName>
    <definedName name="EVAtoCapital">#REF!</definedName>
    <definedName name="EVAtoEquity">#REF!</definedName>
    <definedName name="EvperTonne">#REF!</definedName>
    <definedName name="EVtoEBITDA">#REF!</definedName>
    <definedName name="EVtoSales">#REF!</definedName>
    <definedName name="Exc">[10]Input!$K$304:$AA$304</definedName>
    <definedName name="Exceptional">'[6]Alu-P&amp;L'!#REF!</definedName>
    <definedName name="excise">'[4]Operating Statistics'!$K$55:$U$55</definedName>
    <definedName name="Excise_duty" localSheetId="18">#REF!</definedName>
    <definedName name="Excise_duty" localSheetId="5">#REF!</definedName>
    <definedName name="excise_duty">[11]Template!$D$7:$T$7</definedName>
    <definedName name="excise_duty_Q">#REF!</definedName>
    <definedName name="ExciseDuty" localSheetId="18">'[6]Alu-P&amp;L'!$A$4:$IV$4</definedName>
    <definedName name="ExciseDuty" localSheetId="5">'[6]Alu-P&amp;L'!$A$4:$IV$4</definedName>
    <definedName name="ExciseDuty">'[4]Cost Of Sales'!$H$17:$O$17</definedName>
    <definedName name="ExItem">[10]Input!$K$132:$AA$132</definedName>
    <definedName name="ExpAdmDmy">[13]Input!$A$547:$IV$547</definedName>
    <definedName name="Expense">#REF!</definedName>
    <definedName name="Expenses">#REF!</definedName>
    <definedName name="ExpensesCap">[10]Input!$K$559:$AA$559</definedName>
    <definedName name="ExpMfgDmy" hidden="1">[13]Input!$A$497:$IV$500</definedName>
    <definedName name="exports" localSheetId="18">#REF!</definedName>
    <definedName name="exports" localSheetId="5">#REF!</definedName>
    <definedName name="exports">[11]Template!$D$64:$T$64</definedName>
    <definedName name="ExpPerDmy" hidden="1">[13]Input!$A$531:$IV$531</definedName>
    <definedName name="ExpPr">[13]Input!$K$311:$AA$311</definedName>
    <definedName name="ExpSaleDmy" hidden="1">[13]Input!$A$515:$IV$515</definedName>
    <definedName name="ext" localSheetId="18">#REF!</definedName>
    <definedName name="ext" localSheetId="5">#REF!</definedName>
    <definedName name="ext">#REF!</definedName>
    <definedName name="extra_ordinary_items_Q">#REF!</definedName>
    <definedName name="extraordinary_items" localSheetId="18">#REF!</definedName>
    <definedName name="extraordinary_items" localSheetId="5">#REF!</definedName>
    <definedName name="extraordinary_items">[11]Template!$D$30:$T$30</definedName>
    <definedName name="Extraordinary_items_included_above">#REF!</definedName>
    <definedName name="ExtraOrdinaryItems">'[4]Financials(O)'!$F$24:$J$24</definedName>
    <definedName name="ExtraordinaryitemsDelta">'[4]Financials(O)'!$F$101:$J$101</definedName>
    <definedName name="face_value_Q">#REF!</definedName>
    <definedName name="FaceVal" hidden="1">[13]Profile!$K$15:$AA$15</definedName>
    <definedName name="FAIncr">[13]CapEx!$K$32:$AA$32</definedName>
    <definedName name="FARange">#REF!</definedName>
    <definedName name="FARedc">[13]CapEx!$K$43:$AA$43</definedName>
    <definedName name="FASer" hidden="1">[13]Profile!$BT$5:$BT$12</definedName>
    <definedName name="fbt">#REF!</definedName>
    <definedName name="fccb">#REF!</definedName>
    <definedName name="fcf">#REF!</definedName>
    <definedName name="FCFps">#REF!</definedName>
    <definedName name="FD">[13]Debt!$K$143:$AA$143</definedName>
    <definedName name="fdeps">#REF!</definedName>
    <definedName name="FDEPS__Rs">#REF!</definedName>
    <definedName name="fdeps_rs">#REF!</definedName>
    <definedName name="FDEqSh">[10]Capital!$K$10:$AA$10</definedName>
    <definedName name="fdShares">#REF!</definedName>
    <definedName name="fdv" localSheetId="7" hidden="1">{"quarterly",#N/A,FALSE,"Income Statement";#N/A,#N/A,FALSE,"print segment";#N/A,#N/A,FALSE,"Balance Sheet";#N/A,#N/A,FALSE,"Annl Inc";#N/A,#N/A,FALSE,"Cash Flow"}</definedName>
    <definedName name="fdv" hidden="1">{"quarterly",#N/A,FALSE,"Income Statement";#N/A,#N/A,FALSE,"print segment";#N/A,#N/A,FALSE,"Balance Sheet";#N/A,#N/A,FALSE,"Annl Inc";#N/A,#N/A,FALSE,"Cash Flow"}</definedName>
    <definedName name="financial_leverage">'[12]Annual Temp'!#REF!</definedName>
    <definedName name="FinancialActivities" localSheetId="18">'[15]Financials '!$J$86:$R$86</definedName>
    <definedName name="FinancialActivities" localSheetId="5">'[15]Financials '!$J$86:$R$86</definedName>
    <definedName name="FinancialActivities">[4]Financials!$C$84:$K$84</definedName>
    <definedName name="Financials" localSheetId="18">#REF!</definedName>
    <definedName name="Financials" localSheetId="5">#REF!</definedName>
    <definedName name="Financials">[4]Financials!$A$1:$P$134</definedName>
    <definedName name="Financialspage1">'[4]Financials(O)'!$A$1:$M$59</definedName>
    <definedName name="FinInc">[10]Input!$K$126:$AA$126</definedName>
    <definedName name="FinSum1">'[16]Financial Links'!$A$1:$R$52</definedName>
    <definedName name="FinSum2">'[16]Financial Links'!$A$55:$R$106</definedName>
    <definedName name="FIOPS">#REF!,#REF!</definedName>
    <definedName name="FirstYear" localSheetId="18">[15]Introduction!$E$16</definedName>
    <definedName name="FirstYear" localSheetId="5">[15]Introduction!$E$16</definedName>
    <definedName name="FirstYear">[4]Introduction!$D$10</definedName>
    <definedName name="Five_Year_Record">#REF!</definedName>
    <definedName name="Fixed">'[6]Alu-P&amp;L'!#REF!</definedName>
    <definedName name="FIXED_ASSETS">#REF!</definedName>
    <definedName name="FixedAssets">'[4]Financials(O)'!$F$137:$J$137</definedName>
    <definedName name="FixedOpExp">'[6]Alu-P&amp;L'!#REF!</definedName>
    <definedName name="FixExp">[13]Formats!$K$139:$AA$139</definedName>
    <definedName name="flash" hidden="1">'[29]Earnings model'!#REF!</definedName>
    <definedName name="foractual">[14]ChartData!$E$73</definedName>
    <definedName name="FOREIGN_EXCHANG" localSheetId="18">#REF!</definedName>
    <definedName name="FOREIGN_EXCHANG" localSheetId="5">#REF!</definedName>
    <definedName name="FOREIGN_EXCHANG">#REF!</definedName>
    <definedName name="ForeignDebt">'[6]Alu-Balsheet'!$A$17:$V$17</definedName>
    <definedName name="ForeignDebts">'[6]Alu-Balsheet'!$A$13:$Z$13</definedName>
    <definedName name="ForeignDebtU">'[6]Alu-Balsheet'!$A$16:$AA$16</definedName>
    <definedName name="Forex" localSheetId="18">'[6]Alu-P&amp;L'!$A$111:$Q$111</definedName>
    <definedName name="Forex" localSheetId="5">'[6]Alu-P&amp;L'!$A$111:$Q$111</definedName>
    <definedName name="FOREX">#REF!</definedName>
    <definedName name="forex_gains_losses" localSheetId="18">#REF!</definedName>
    <definedName name="forex_gains_losses" localSheetId="5">#REF!</definedName>
    <definedName name="forex_gains_losses">[11]Template!$D$18:$T$18</definedName>
    <definedName name="ForexOperating">'[6]Alu-P&amp;L'!#REF!</definedName>
    <definedName name="fpnetprofit">'[15]Financials '!$J$20:$P$20</definedName>
    <definedName name="fpotato">#REF!</definedName>
    <definedName name="free_cash_flow" localSheetId="18">#REF!</definedName>
    <definedName name="free_cash_flow" localSheetId="5">#REF!</definedName>
    <definedName name="free_cash_flow">[11]Template!$D$100:$T$100</definedName>
    <definedName name="FreeCashflow">'[6]Alu-cashflow'!$A$12:$AO$12</definedName>
    <definedName name="FreeFloat" localSheetId="18">[15]Introduction!$E$39</definedName>
    <definedName name="FreeFloat" localSheetId="5">[15]Introduction!$E$39</definedName>
    <definedName name="FreeFloat">[4]Introduction!$D$40</definedName>
    <definedName name="FreePulsesMUM">#REF!</definedName>
    <definedName name="freight" localSheetId="18">#REF!</definedName>
    <definedName name="freight" localSheetId="5">#REF!</definedName>
    <definedName name="freight">[11]Template!$D$38:$T$38</definedName>
    <definedName name="fringe_benefit_tax_Q">#REF!</definedName>
    <definedName name="FS1PrintArea">[4]FS1!$A$1:$W$75</definedName>
    <definedName name="FS2PrintArea">[4]FS2!$A$1:$X$76</definedName>
    <definedName name="FSOne" localSheetId="18">[15]FS1!$A$1:$W$75</definedName>
    <definedName name="FSOne" localSheetId="5">[15]FS1!$A$1:$W$75</definedName>
    <definedName name="FSOne">[4]FS1!$A$1:$W$75</definedName>
    <definedName name="FSTwo" localSheetId="18">[15]FS2!$A$1:$X$76</definedName>
    <definedName name="FSTwo" localSheetId="5">[15]FS2!$A$1:$X$76</definedName>
    <definedName name="FSTwo">[4]FS2!$A$1:$X$76</definedName>
    <definedName name="FuelOil">'[6]Alu-RawM'!$A$67:$AB$67</definedName>
    <definedName name="fully_diluted_earnings" localSheetId="18">#REF!</definedName>
    <definedName name="fully_diluted_earnings" localSheetId="5">#REF!</definedName>
    <definedName name="fully_diluted_earnings">[11]Template!#REF!</definedName>
    <definedName name="fully_diluted_shares" localSheetId="18">#REF!</definedName>
    <definedName name="fully_diluted_shares" localSheetId="5">#REF!</definedName>
    <definedName name="fully_diluted_shares">[11]Template!$D$33:$T$33</definedName>
    <definedName name="FullyDilutedCEPS">'[4]Financials(O)'!$E$37:$J$37</definedName>
    <definedName name="FullyDilutedEPS">'[4]Financials(O)'!$E$33:$K$33</definedName>
    <definedName name="FullyDilutedYearEndEPS" localSheetId="18">'[15]Financials '!$J$30:$R$30</definedName>
    <definedName name="FullyDilutedYearEndEPS" localSheetId="5">'[15]Financials '!$J$30:$R$30</definedName>
    <definedName name="FullyDilutedYearEndEPS">[4]Financials!$C$29:$K$29</definedName>
    <definedName name="FullyDilutedYearEndShares" localSheetId="18">'[15]Financials '!$J$36:$R$36</definedName>
    <definedName name="FullyDilutedYearEndShares" localSheetId="5">'[15]Financials '!$J$36:$R$36</definedName>
    <definedName name="FullyDilutedYearEndShares">[4]Financials!$C$35:$K$35</definedName>
    <definedName name="FV" localSheetId="18">[13]Profile!$D$8</definedName>
    <definedName name="FV" localSheetId="5">[13]Profile!$D$8</definedName>
    <definedName name="fv">#REF!</definedName>
    <definedName name="fxa">#REF!</definedName>
    <definedName name="fxe">#REF!</definedName>
    <definedName name="FY00EPS">#REF!</definedName>
    <definedName name="FY01EPS">#REF!</definedName>
    <definedName name="FY02EPS">#REF!</definedName>
    <definedName name="FY03EPS">#REF!</definedName>
    <definedName name="FY04EPS">#REF!</definedName>
    <definedName name="FY05EPS">[30]Financials1!#REF!</definedName>
    <definedName name="FY1991_" localSheetId="18">#REF!</definedName>
    <definedName name="FY1991_" localSheetId="5">#REF!</definedName>
    <definedName name="FY1991_">#REF!</definedName>
    <definedName name="FY1992_" localSheetId="18">#REF!</definedName>
    <definedName name="FY1992_" localSheetId="5">#REF!</definedName>
    <definedName name="FY1992_">#REF!</definedName>
    <definedName name="FY1993_" localSheetId="18">[6]Database!$E$1:$E$65536</definedName>
    <definedName name="FY1993_" localSheetId="5">[6]Database!$E$1:$E$65536</definedName>
    <definedName name="FY1993_">#REF!</definedName>
    <definedName name="FY1993M">[9]Model!$I$2:$I$877</definedName>
    <definedName name="FY1994_" localSheetId="18">[6]Database!$F$1:$F$65536</definedName>
    <definedName name="FY1994_" localSheetId="5">[6]Database!$F$1:$F$65536</definedName>
    <definedName name="FY1994_">#REF!</definedName>
    <definedName name="FY1994M">[9]Model!$J$2:$J$877</definedName>
    <definedName name="FY1995_" localSheetId="18">[6]Database!$G$1:$G$65536</definedName>
    <definedName name="FY1995_" localSheetId="5">[6]Database!$G$1:$G$65536</definedName>
    <definedName name="FY1995_">#REF!</definedName>
    <definedName name="FY1995M">[9]Model!$K$2:$K$877</definedName>
    <definedName name="FY1996_" localSheetId="18">[6]Database!$H$1:$H$65536</definedName>
    <definedName name="FY1996_" localSheetId="5">[6]Database!$H$1:$H$65536</definedName>
    <definedName name="FY1996_">#REF!</definedName>
    <definedName name="FY1996M">[9]Model!$L$2:$L$877</definedName>
    <definedName name="FY1997_" localSheetId="18">[6]Database!$I$1:$I$65536</definedName>
    <definedName name="FY1997_" localSheetId="5">[6]Database!$I$1:$I$65536</definedName>
    <definedName name="FY1997_">#REF!</definedName>
    <definedName name="FY1997M">[9]Model!$M$2:$M$877</definedName>
    <definedName name="FY1998_" localSheetId="18">[6]Database!$J$1:$J$65536</definedName>
    <definedName name="FY1998_" localSheetId="5">[6]Database!$J$1:$J$65536</definedName>
    <definedName name="FY1998_">#REF!</definedName>
    <definedName name="FY1998M">[9]Model!$N$2:$N$877</definedName>
    <definedName name="FY1999_" localSheetId="18">[6]Database!$K$1:$K$65536</definedName>
    <definedName name="FY1999_" localSheetId="5">[6]Database!$K$1:$K$65536</definedName>
    <definedName name="FY1999_">#REF!</definedName>
    <definedName name="FY1999M">[9]Model!$O$2:$O$877</definedName>
    <definedName name="FY2000_" localSheetId="18">[6]Database!$L$1:$L$65536</definedName>
    <definedName name="FY2000_" localSheetId="5">[6]Database!$L$1:$L$65536</definedName>
    <definedName name="FY2000_">#REF!</definedName>
    <definedName name="FY2000M">[9]Model!$P$2:$P$877</definedName>
    <definedName name="FY2001_" localSheetId="18">[6]Database!$M$1:$M$65536</definedName>
    <definedName name="FY2001_" localSheetId="5">[6]Database!$M$1:$M$65536</definedName>
    <definedName name="FY2001_">#REF!</definedName>
    <definedName name="FY2001M">#REF!</definedName>
    <definedName name="FY2002_" localSheetId="18">[6]Database!$N$1:$N$65536</definedName>
    <definedName name="FY2002_" localSheetId="5">[6]Database!$N$1:$N$65536</definedName>
    <definedName name="FY2002_">#REF!</definedName>
    <definedName name="FY2002M">#REF!</definedName>
    <definedName name="FY2003_" localSheetId="18">[6]Database!$O$1:$O$65536</definedName>
    <definedName name="FY2003_" localSheetId="5">[6]Database!$O$1:$O$65536</definedName>
    <definedName name="FY2003_">#REF!</definedName>
    <definedName name="FY2003M">#REF!</definedName>
    <definedName name="FY2004_" localSheetId="18">[6]Database!$P$1:$P$65536</definedName>
    <definedName name="FY2004_" localSheetId="5">[6]Database!$P$1:$P$65536</definedName>
    <definedName name="FY2004_">#REF!</definedName>
    <definedName name="FY2004M">#REF!</definedName>
    <definedName name="FY2005_" localSheetId="18">[6]Database!$Q$1:$Q$65536</definedName>
    <definedName name="FY2005_" localSheetId="5">[6]Database!$Q$1:$Q$65536</definedName>
    <definedName name="FY2005_">#REF!</definedName>
    <definedName name="FY2005M">#REF!</definedName>
    <definedName name="fye">#REF!</definedName>
    <definedName name="FYEnd" localSheetId="18">[21]Introduction!$E$17</definedName>
    <definedName name="FYEnd" localSheetId="5">[21]Introduction!$E$17</definedName>
    <definedName name="FYEnd">[4]Introduction!$D$11</definedName>
    <definedName name="FYENDA">#REF!</definedName>
    <definedName name="fzpotato">#REF!</definedName>
    <definedName name="g">'[16]DCF Valuation'!$F$5</definedName>
    <definedName name="GainAssets">'[6]Alu-P&amp;L'!$A$113:$R$113</definedName>
    <definedName name="GainInvestments">'[6]Alu-P&amp;L'!$A$114:$R$114</definedName>
    <definedName name="GDR__Rs">[6]Summary!$L$4</definedName>
    <definedName name="GDRPRICE">[15]Introduction!$E$18</definedName>
    <definedName name="GDRratio">[6]Summary!$N$5</definedName>
    <definedName name="GenerationOwn">'[6]Alu-Costs'!$A$23:$Z$23</definedName>
    <definedName name="geog">'[18]Forecast summary'!#REF!</definedName>
    <definedName name="geogsp">"Chart 2"</definedName>
    <definedName name="GI">[13]Formats!$K$5:$AA$5</definedName>
    <definedName name="GOBACK">#REF!</definedName>
    <definedName name="goodwill" localSheetId="18">#REF!</definedName>
    <definedName name="goodwill" localSheetId="5">#REF!</definedName>
    <definedName name="goodwill">[11]Template!$D$203:$T$203</definedName>
    <definedName name="GOSALES">#REF!</definedName>
    <definedName name="gross">[20]Template!$P$157</definedName>
    <definedName name="gross_fixed_assets" localSheetId="18">#REF!</definedName>
    <definedName name="gross_fixed_assets" localSheetId="5">#REF!</definedName>
    <definedName name="gross_fixed_assets">[11]Template!$D$153:$T$153</definedName>
    <definedName name="gross_profit">#REF!</definedName>
    <definedName name="gross_sales" localSheetId="18">#REF!</definedName>
    <definedName name="gross_sales" localSheetId="5">#REF!</definedName>
    <definedName name="gross_sales">[11]Template!$D$6:$T$6</definedName>
    <definedName name="gross_sales_Q">#REF!</definedName>
    <definedName name="GrossFixedAssets">'[6]Alu-Balsheet'!$A$20:$AB$20</definedName>
    <definedName name="GrossProfit" localSheetId="18">'[15]Financials '!$J$10:$R$10</definedName>
    <definedName name="GrossProfit" localSheetId="5">'[15]Financials '!$J$10:$R$10</definedName>
    <definedName name="GrossProfit">[4]Financials!$C$8:$K$8</definedName>
    <definedName name="Grossrevenue" localSheetId="18">'[15]Operating Statistics'!$J$62:$R$62</definedName>
    <definedName name="Grossrevenue" localSheetId="5">'[15]Operating Statistics'!$J$62:$R$62</definedName>
    <definedName name="GrossRevenue">'[4]Operating Statistics'!$I$49:$P$49</definedName>
    <definedName name="GrossSales">#REF!</definedName>
    <definedName name="GrossSalesAlu">#REF!</definedName>
    <definedName name="GrossSalesConductor">#REF!</definedName>
    <definedName name="GrossSalesConversion">#REF!</definedName>
    <definedName name="GrossSalesExtrusion">#REF!</definedName>
    <definedName name="GrossSalesFoil">#REF!</definedName>
    <definedName name="GrossSalesIngots">#REF!</definedName>
    <definedName name="GrossSalesMetal">#REF!</definedName>
    <definedName name="GrossSalesOther">#REF!</definedName>
    <definedName name="GrossSalesRedraw">#REF!</definedName>
    <definedName name="GrossSalesRolled">#REF!</definedName>
    <definedName name="GrossSalesValueAdded">#REF!</definedName>
    <definedName name="Growth">#REF!</definedName>
    <definedName name="Growth_97">#REF!</definedName>
    <definedName name="Growth_98">#REF!</definedName>
    <definedName name="Growth_99">#REF!</definedName>
    <definedName name="Growth_ratios__yoy" localSheetId="18">#REF!</definedName>
    <definedName name="Growth_ratios__yoy" localSheetId="5">#REF!</definedName>
    <definedName name="Growth_ratios__yoy">#REF!</definedName>
    <definedName name="GrPbtIt">[13]Tax!$K$33:$AA$33</definedName>
    <definedName name="GS">[10]Input!$K$300:$AA$300</definedName>
    <definedName name="gSales">'[6]Alu-P&amp;L'!$A$3:$IV$3</definedName>
    <definedName name="gSalesAl2O3">'[6]Alu-Sales'!$A$161:$AA$161</definedName>
    <definedName name="gSalesAlu">'[6]Alu-Sales'!$A$152:$AD$152</definedName>
    <definedName name="gSalesCARods">#REF!</definedName>
    <definedName name="gSalesConductor">#REF!</definedName>
    <definedName name="gSalesConversion">'[6]Alu-Sales'!$A$142:$AA$142</definedName>
    <definedName name="gSalesCRRods">#REF!</definedName>
    <definedName name="gSalesExtrusion">'[6]Alu-Sales'!$A$89:$AF$89</definedName>
    <definedName name="gSalesFoil">'[6]Alu-Sales'!$A$122:$AJ$122</definedName>
    <definedName name="gSalesMetal">'[6]Alu-Sales'!$A$52:$AE$52</definedName>
    <definedName name="gSalesOther">'[6]Alu-Sales'!$A$165:$AC$165</definedName>
    <definedName name="gSalesRods">'[6]Alu-Sales'!$A$108:$AC$108</definedName>
    <definedName name="gSalesRolled">'[6]Alu-Sales'!$A$75:$AB$75</definedName>
    <definedName name="gSalesValueAdded">'[6]Alu-Sales'!$A$190:$AA$190</definedName>
    <definedName name="gSalesVanadium">'[6]Alu-Sales'!$A$157:$Z$157</definedName>
    <definedName name="half">'[18]Forecast summary'!$B$133:$F$142</definedName>
    <definedName name="Healthcare">#REF!</definedName>
    <definedName name="hi12m">[14]ChartData!$E$30</definedName>
    <definedName name="HighLow" localSheetId="18">[15]Introduction!$E$23</definedName>
    <definedName name="HighLow" localSheetId="5">[15]Introduction!$E$23</definedName>
    <definedName name="HighLow">[4]Introduction!$E$24</definedName>
    <definedName name="HindalcoIndexed">#REF!</definedName>
    <definedName name="holder1">[14]ChartData!$E$37</definedName>
    <definedName name="holder2">[23]ChartData!$E$46</definedName>
    <definedName name="holding1">[14]ChartData!$E$38</definedName>
    <definedName name="holding2">[23]ChartData!$E$47</definedName>
    <definedName name="Home">#REF!</definedName>
    <definedName name="hsbc_cash_flow" localSheetId="18">#REF!</definedName>
    <definedName name="hsbc_cash_flow" localSheetId="5">#REF!</definedName>
    <definedName name="hsbc_cash_flow">[11]Template!$D$135:$T$135</definedName>
    <definedName name="hsbc_eps" localSheetId="18">#REF!</definedName>
    <definedName name="hsbc_eps" localSheetId="5">#REF!</definedName>
    <definedName name="hsbc_eps">[11]Template!$D$265:$T$265</definedName>
    <definedName name="hsbc_net_profit" localSheetId="18">#REF!</definedName>
    <definedName name="hsbc_net_profit" localSheetId="5">#REF!</definedName>
    <definedName name="hsbc_net_profit">[11]Template!$D$29:$T$29</definedName>
    <definedName name="HSBCTbl_Table1" localSheetId="5">[31]Sheet1!$A$1:$E$7</definedName>
    <definedName name="HSBCTbl_Table1">[32]Sheet1!$A$1:$E$7</definedName>
    <definedName name="HTML_CodePage" hidden="1">1252</definedName>
    <definedName name="HTML_Control" localSheetId="18" hidden="1">{"'IQFY01-Results'!$A$48:$F$55"}</definedName>
    <definedName name="HTML_Control" localSheetId="5" hidden="1">{"'IQFY01-Results'!$A$48:$F$55"}</definedName>
    <definedName name="HTML_Control" hidden="1">{"'IQFY01-Results'!$A$48:$F$55"}</definedName>
    <definedName name="HTML_Description" hidden="1">""</definedName>
    <definedName name="HTML_Email" hidden="1">""</definedName>
    <definedName name="HTML_Header" hidden="1">"IQFY01-Results"</definedName>
    <definedName name="HTML_LastUpdate" hidden="1">"12/5/00"</definedName>
    <definedName name="HTML_LineAfter" hidden="1">FALSE</definedName>
    <definedName name="HTML_LineBefore" hidden="1">FALSE</definedName>
    <definedName name="HTML_Name" hidden="1">"VAISHALI"</definedName>
    <definedName name="HTML_OBDlg2" hidden="1">TRUE</definedName>
    <definedName name="HTML_OBDlg4" hidden="1">TRUE</definedName>
    <definedName name="HTML_OS" hidden="1">0</definedName>
    <definedName name="HTML_PathFile" hidden="1">"c:\asian2.htm"</definedName>
    <definedName name="HTML_Title" hidden="1">"Asian-Final"</definedName>
    <definedName name="ian" localSheetId="18">#REF!</definedName>
    <definedName name="ian" localSheetId="5">#REF!</definedName>
    <definedName name="ian">#REF!</definedName>
    <definedName name="iar">#REF!</definedName>
    <definedName name="iba">#REF!</definedName>
    <definedName name="ibc" localSheetId="18">#REF!</definedName>
    <definedName name="ibc" localSheetId="5">#REF!</definedName>
    <definedName name="ibc">#REF!</definedName>
    <definedName name="ibf" localSheetId="18">#REF!</definedName>
    <definedName name="ibf" localSheetId="5">#REF!</definedName>
    <definedName name="ibf">#REF!</definedName>
    <definedName name="ibx">#REF!</definedName>
    <definedName name="ICD" localSheetId="18">[13]Debt!$K$146:$AA$146</definedName>
    <definedName name="ICD" localSheetId="5">[13]Debt!$K$146:$AA$146</definedName>
    <definedName name="icd">#REF!</definedName>
    <definedName name="ICDInv">[13]Input!$K$55:$AA$55</definedName>
    <definedName name="ict">#REF!</definedName>
    <definedName name="ictsymbol">"$"</definedName>
    <definedName name="icu">#REF!</definedName>
    <definedName name="icusymbol">"$"</definedName>
    <definedName name="ida" localSheetId="18">#REF!</definedName>
    <definedName name="ida" localSheetId="5">#REF!</definedName>
    <definedName name="ida">#REF!</definedName>
    <definedName name="idx">#REF!</definedName>
    <definedName name="ieq">#REF!</definedName>
    <definedName name="iex" localSheetId="18">#REF!</definedName>
    <definedName name="iex" localSheetId="5">#REF!</definedName>
    <definedName name="iex">#REF!</definedName>
    <definedName name="ifd" localSheetId="18">#REF!</definedName>
    <definedName name="ifd" localSheetId="5">#REF!</definedName>
    <definedName name="ifd">#REF!</definedName>
    <definedName name="iff" localSheetId="18">#REF!</definedName>
    <definedName name="iff" localSheetId="5">#REF!</definedName>
    <definedName name="iff">#REF!</definedName>
    <definedName name="ifl" localSheetId="18">#REF!</definedName>
    <definedName name="ifl" localSheetId="5">#REF!</definedName>
    <definedName name="ifl">#REF!</definedName>
    <definedName name="ifn" localSheetId="18">#REF!</definedName>
    <definedName name="ifn" localSheetId="5">#REF!</definedName>
    <definedName name="ifn">#REF!</definedName>
    <definedName name="ifo">#REF!</definedName>
    <definedName name="ihd" localSheetId="18">#REF!</definedName>
    <definedName name="ihd" localSheetId="5">#REF!</definedName>
    <definedName name="ihd">#REF!</definedName>
    <definedName name="ild">#REF!</definedName>
    <definedName name="ilp">#REF!</definedName>
    <definedName name="ime" localSheetId="18">[6]Database!$A$8:$IV$8</definedName>
    <definedName name="ime" localSheetId="5">[6]Database!$A$8:$IV$8</definedName>
    <definedName name="ime">#REF!</definedName>
    <definedName name="impairment_of_assets_Q">#REF!</definedName>
    <definedName name="imports" localSheetId="18">#REF!</definedName>
    <definedName name="imports" localSheetId="5">#REF!</definedName>
    <definedName name="imports">[11]Template!$D$63:$T$63</definedName>
    <definedName name="Imputation">[16]Group!#REF!</definedName>
    <definedName name="Income">#REF!</definedName>
    <definedName name="incomesta">#REF!</definedName>
    <definedName name="IncomeStatement">'[4]Financials(O)'!$A$1:$M$63</definedName>
    <definedName name="IncomeTax" localSheetId="18">'[15]Financials '!$J$19:$R$19</definedName>
    <definedName name="IncomeTax" localSheetId="5">'[15]Financials '!$J$19:$R$19</definedName>
    <definedName name="Incometax">'[4]Financials(O)'!$F$21:$J$21</definedName>
    <definedName name="IncomeTaxPaidOut" localSheetId="18">'[15]Financials '!$J$68:$R$68</definedName>
    <definedName name="IncomeTaxPaidOut" localSheetId="5">'[15]Financials '!$J$68:$R$68</definedName>
    <definedName name="IncomeTaxPaidOut">[4]Financials!#REF!</definedName>
    <definedName name="IND">#REF!</definedName>
    <definedName name="index">[33]RDB!$B$20</definedName>
    <definedName name="IndiaInflation">#REF!</definedName>
    <definedName name="Industry">[15]Introduction!$E$12</definedName>
    <definedName name="Infrastructure">#REF!</definedName>
    <definedName name="IngotPrices">#REF!</definedName>
    <definedName name="Ingots_Landed">#REF!</definedName>
    <definedName name="inm" localSheetId="18">[6]Database!$A$9:$IV$9</definedName>
    <definedName name="inm" localSheetId="5">[6]Database!$A$9:$IV$9</definedName>
    <definedName name="inm">#REF!</definedName>
    <definedName name="InstCap" hidden="1">[17]Input!$K$149:$AC$149,[17]Input!$K$167:$AC$167,[17]Input!$K$185:$AC$185,[17]Input!$K$203:$AC$203,[17]Input!$K$221:$AC$221,[17]Input!$K$239:$AC$239,[17]Input!$K$257:$AC$257,[17]Input!$K$275:$AC$275</definedName>
    <definedName name="int">'[6]Alu-P&amp;L'!$L$122</definedName>
    <definedName name="int_paid" localSheetId="18">#REF!</definedName>
    <definedName name="int_paid" localSheetId="5">#REF!</definedName>
    <definedName name="int_paid">[11]Template!$D$16:$T$16</definedName>
    <definedName name="int_recd" localSheetId="18">#REF!</definedName>
    <definedName name="int_recd" localSheetId="5">#REF!</definedName>
    <definedName name="int_recd">[11]Template!$D$15:$T$15</definedName>
    <definedName name="INTavre">#REF!</definedName>
    <definedName name="IntCap">[13]Debt!$K$246:$AA$246</definedName>
    <definedName name="IntCost">[10]Input!$K$131:$AA$131</definedName>
    <definedName name="IntCover">#REF!</definedName>
    <definedName name="INTdep">#REF!</definedName>
    <definedName name="IntDivTrf">[10]Input!$K$560:$AA$560</definedName>
    <definedName name="INTebitda">#REF!</definedName>
    <definedName name="Interest" localSheetId="18">#REF!</definedName>
    <definedName name="Interest" localSheetId="5">#REF!</definedName>
    <definedName name="interest">'[4]Financials(O)'!$F$17:$J$17</definedName>
    <definedName name="interest_burden">'[12]Annual Temp'!#REF!</definedName>
    <definedName name="interest_paid">#REF!</definedName>
    <definedName name="interest_Q">#REF!</definedName>
    <definedName name="interest_recd">#REF!</definedName>
    <definedName name="InterestCapitalised">#REF!</definedName>
    <definedName name="InterestCover">#REF!</definedName>
    <definedName name="InterestExpense" localSheetId="18">'[21]Financials '!$J$15:$R$15</definedName>
    <definedName name="InterestExpense" localSheetId="5">'[21]Financials '!$J$15:$R$15</definedName>
    <definedName name="InterestExpense">[4]Financials!$C$15:$K$15</definedName>
    <definedName name="InterestIncome" localSheetId="18">'[21]Financials '!$J$16:$R$16</definedName>
    <definedName name="InterestIncome" localSheetId="5">'[21]Financials '!$J$16:$R$16</definedName>
    <definedName name="InterestIncome">'[4]Financials(O)'!$F$18:$J$18</definedName>
    <definedName name="interestnet" localSheetId="18">'Monthly Volume Trend'!InterestIncome-'Monthly Volume Trend'!InterestExpense</definedName>
    <definedName name="interestnet" localSheetId="5">Uploader!InterestIncome-Uploader!InterestExpense</definedName>
    <definedName name="interestnet">Uploader!InterestIncome-Uploader!InterestExpense</definedName>
    <definedName name="INTexcise">#REF!</definedName>
    <definedName name="INTexp">#REF!</definedName>
    <definedName name="INTgsales">#REF!</definedName>
    <definedName name="INTint">#REF!</definedName>
    <definedName name="INTnonop">#REF!</definedName>
    <definedName name="INTnsales">#REF!</definedName>
    <definedName name="INTpat">#REF!</definedName>
    <definedName name="INTpbt">#REF!</definedName>
    <definedName name="INTprod">#REF!</definedName>
    <definedName name="INTsales">#REF!</definedName>
    <definedName name="INTtax">#REF!</definedName>
    <definedName name="INTvol">#REF!</definedName>
    <definedName name="INTvrs">#REF!</definedName>
    <definedName name="Inv">[10]Input!$K$59:$AA$59</definedName>
    <definedName name="InvChg" hidden="1">[10]Input!$K$100:$AA$100</definedName>
    <definedName name="Inventories">'[4]Financials(O)'!$F$129:$J$129</definedName>
    <definedName name="inventory" localSheetId="18">#REF!</definedName>
    <definedName name="inventory" localSheetId="5">#REF!</definedName>
    <definedName name="inventory">[11]Template!$D$147:$T$147</definedName>
    <definedName name="InventoryFG">'[6]Alu-Balsheet'!$A$43:$W$43</definedName>
    <definedName name="InventoryOther">'[6]Alu-Balsheet'!#REF!</definedName>
    <definedName name="InventoryRM">'[6]Alu-Balsheet'!$A$41:$W$41</definedName>
    <definedName name="InventoryTrade">'[6]Alu-Balsheet'!$A$45:$Y$45</definedName>
    <definedName name="InventoryWIP">'[6]Alu-Balsheet'!$A$39:$U$39</definedName>
    <definedName name="invested_capital" localSheetId="18">#REF!</definedName>
    <definedName name="invested_capital" localSheetId="5">#REF!</definedName>
    <definedName name="invested_capital">[11]Template!$D$215:$T$215</definedName>
    <definedName name="invested_capital_avg" localSheetId="18">#REF!</definedName>
    <definedName name="invested_capital_avg" localSheetId="5">#REF!</definedName>
    <definedName name="invested_capital_avg">[11]Template!$D$216:$T$216</definedName>
    <definedName name="InvestmentIncome">'[6]Alu-P&amp;L'!$A$109:$R$109</definedName>
    <definedName name="Investments" localSheetId="18">'[15]Financials '!$J$96:$R$96</definedName>
    <definedName name="Investments" localSheetId="5">'[15]Financials '!$J$96:$R$96</definedName>
    <definedName name="INVESTMENTS">[11]Template!$D$151:$T$151</definedName>
    <definedName name="invst_sub_associates">#REF!</definedName>
    <definedName name="IOPS">#REF!</definedName>
    <definedName name="ip1_" localSheetId="18">#REF!</definedName>
    <definedName name="ip1_" localSheetId="5">#REF!</definedName>
    <definedName name="ip1_">#REF!</definedName>
    <definedName name="ip2_" localSheetId="18">#REF!</definedName>
    <definedName name="ip2_" localSheetId="5">#REF!</definedName>
    <definedName name="ip2_">#REF!</definedName>
    <definedName name="ip3_" localSheetId="18">#REF!</definedName>
    <definedName name="ip3_" localSheetId="5">#REF!</definedName>
    <definedName name="ip3_">#REF!</definedName>
    <definedName name="ip4_" localSheetId="18">#REF!</definedName>
    <definedName name="ip4_" localSheetId="5">#REF!</definedName>
    <definedName name="ip4_">#REF!</definedName>
    <definedName name="ip5_" localSheetId="18">#REF!</definedName>
    <definedName name="ip5_" localSheetId="5">#REF!</definedName>
    <definedName name="ip5_">#REF!</definedName>
    <definedName name="ipr" localSheetId="18">#REF!</definedName>
    <definedName name="ipr" localSheetId="5">#REF!</definedName>
    <definedName name="ipr">#REF!</definedName>
    <definedName name="ipu" localSheetId="18">#REF!</definedName>
    <definedName name="ipu" localSheetId="5">#REF!</definedName>
    <definedName name="ipu">#REF!</definedName>
    <definedName name="ipv" localSheetId="18">#REF!</definedName>
    <definedName name="ipv" localSheetId="5">#REF!</definedName>
    <definedName name="ipv">#REF!</definedName>
    <definedName name="ira">#REF!</definedName>
    <definedName name="irc" localSheetId="18">#REF!</definedName>
    <definedName name="irc" localSheetId="5">#REF!</definedName>
    <definedName name="irc">#REF!</definedName>
    <definedName name="ire" localSheetId="18">#REF!</definedName>
    <definedName name="ire" localSheetId="5">#REF!</definedName>
    <definedName name="ire">#REF!</definedName>
    <definedName name="irf" localSheetId="18">#REF!</definedName>
    <definedName name="irf" localSheetId="5">#REF!</definedName>
    <definedName name="irf">#REF!</definedName>
    <definedName name="irg" localSheetId="18">#REF!</definedName>
    <definedName name="irg" localSheetId="5">#REF!</definedName>
    <definedName name="irg">#REF!</definedName>
    <definedName name="irgList">#REF!</definedName>
    <definedName name="irp" localSheetId="18">#REF!</definedName>
    <definedName name="irp" localSheetId="5">#REF!</definedName>
    <definedName name="irp">#REF!</definedName>
    <definedName name="is1_" localSheetId="18">#REF!</definedName>
    <definedName name="is1_" localSheetId="5">#REF!</definedName>
    <definedName name="is1_">#REF!</definedName>
    <definedName name="is2_" localSheetId="18">#REF!</definedName>
    <definedName name="is2_" localSheetId="5">#REF!</definedName>
    <definedName name="is2_">#REF!</definedName>
    <definedName name="is3_" localSheetId="18">#REF!</definedName>
    <definedName name="is3_" localSheetId="5">#REF!</definedName>
    <definedName name="is3_">#REF!</definedName>
    <definedName name="is4_" localSheetId="18">#REF!</definedName>
    <definedName name="is4_" localSheetId="5">#REF!</definedName>
    <definedName name="is4_">#REF!</definedName>
    <definedName name="is5_" localSheetId="18">#REF!</definedName>
    <definedName name="is5_" localSheetId="5">#REF!</definedName>
    <definedName name="is5_">#REF!</definedName>
    <definedName name="isb">#REF!</definedName>
    <definedName name="isc">#REF!</definedName>
    <definedName name="ise">#REF!</definedName>
    <definedName name="isf" localSheetId="18">#REF!</definedName>
    <definedName name="isf" localSheetId="5">#REF!</definedName>
    <definedName name="isf">#REF!</definedName>
    <definedName name="ishares">#REF!</definedName>
    <definedName name="isi" localSheetId="18">#REF!</definedName>
    <definedName name="isi" localSheetId="5">#REF!</definedName>
    <definedName name="isi">#REF!</definedName>
    <definedName name="isl" localSheetId="18">#REF!</definedName>
    <definedName name="isl" localSheetId="5">#REF!</definedName>
    <definedName name="isl">#REF!</definedName>
    <definedName name="isn">#REF!</definedName>
    <definedName name="Issued_Capital">[16]Group!$A$263</definedName>
    <definedName name="IssueOfShares">'[4]Financials(O)'!$F$109:$J$109</definedName>
    <definedName name="ist" localSheetId="18">#REF!</definedName>
    <definedName name="ist" localSheetId="5">#REF!</definedName>
    <definedName name="ist">#REF!</definedName>
    <definedName name="ITDepr">[13]Tax!$K$22:$AA$22</definedName>
    <definedName name="ITDepRt">[13]Profile!$K$16:$AA$16</definedName>
    <definedName name="iub">#REF!</definedName>
    <definedName name="iue">0.01</definedName>
    <definedName name="iuesymbol">"c"</definedName>
    <definedName name="iun">1000000</definedName>
    <definedName name="iunsymbol">"$m"</definedName>
    <definedName name="ius">#REF!</definedName>
    <definedName name="iusSymbol">#REF!</definedName>
    <definedName name="iva" localSheetId="18">[6]Database!$F$51</definedName>
    <definedName name="iva" localSheetId="5">[6]Database!$F$51</definedName>
    <definedName name="iva">#REF!</definedName>
    <definedName name="Ivnt">[10]Input!$K$64:$AA$64</definedName>
    <definedName name="IvntDays">[10]Input!$K$65:$AA$65</definedName>
    <definedName name="ivr">#REF!</definedName>
    <definedName name="iwb">#REF!</definedName>
    <definedName name="k">#REF!</definedName>
    <definedName name="Key_Ratios" localSheetId="18">#REF!</definedName>
    <definedName name="Key_Ratios" localSheetId="5">#REF!</definedName>
    <definedName name="Key_Ratios">#REF!</definedName>
    <definedName name="l">[34]Input!$K$1</definedName>
    <definedName name="land_buildings" localSheetId="18">#REF!</definedName>
    <definedName name="land_buildings" localSheetId="5">#REF!</definedName>
    <definedName name="land_buildings">[11]Template!$D$199:$T$199</definedName>
    <definedName name="LeaseAdj">[17]Input!#REF!</definedName>
    <definedName name="LICENSED_CAP">#REF!</definedName>
    <definedName name="LME12MMA">'[6]Alu-Sales'!$A$8:$AB$8</definedName>
    <definedName name="lo12m">[14]ChartData!$E$31</definedName>
    <definedName name="Loan">[13]Debt!$K$149:$AA$149</definedName>
    <definedName name="Loans" localSheetId="18">'[6]Alu-Balsheet'!$A$37:$S$37</definedName>
    <definedName name="Loans" localSheetId="5">'[6]Alu-Balsheet'!$A$37:$S$37</definedName>
    <definedName name="LOANS">#REF!</definedName>
    <definedName name="loans_advances" localSheetId="18">#REF!</definedName>
    <definedName name="loans_advances" localSheetId="5">#REF!</definedName>
    <definedName name="loans_advances">[11]Template!$D$148:$T$148</definedName>
    <definedName name="long_debt">#REF!</definedName>
    <definedName name="long_term_debt" localSheetId="18">#REF!</definedName>
    <definedName name="long_term_debt" localSheetId="5">#REF!</definedName>
    <definedName name="long_term_debt">[11]Template!$D$115:$T$115</definedName>
    <definedName name="LongTermDebt" localSheetId="18">'[21]Financials '!$J$147:$R$147</definedName>
    <definedName name="LongTermDebt" localSheetId="5">'[21]Financials '!$J$147:$R$147</definedName>
    <definedName name="LongTermDebt">'[4]Financials(O)'!$F$150:$K$150</definedName>
    <definedName name="Longtermloans">'[4]Financials(O)'!$F$150:$K$150</definedName>
    <definedName name="lt_debt_foreign" localSheetId="18">#REF!</definedName>
    <definedName name="lt_debt_foreign" localSheetId="5">#REF!</definedName>
    <definedName name="lt_debt_foreign">[11]Template!$D$121:$T$121</definedName>
    <definedName name="lt_debt_lease_financing" localSheetId="18">#REF!</definedName>
    <definedName name="lt_debt_lease_financing" localSheetId="5">#REF!</definedName>
    <definedName name="lt_debt_lease_financing">[11]Template!$D$169:$T$169</definedName>
    <definedName name="LTDebt">[10]Debt!$K$139:$AA$139</definedName>
    <definedName name="LtDebtChg" hidden="1">[10]Debt!$K$257:$AA$257</definedName>
    <definedName name="LtDebtDmy" hidden="1">[17]Debt!$A$46:$IV$46,[17]Debt!$A$92:$IV$92,[17]Debt!$A$138:$IV$138,[17]Debt!$A$187:$IV$187,[17]Debt!$A$231:$IV$231</definedName>
    <definedName name="LtDebtInt">[13]Profile!$BF$5:$BF$35</definedName>
    <definedName name="LTDebtSer" hidden="1">[13]Profile!$BE$5:$BE$35</definedName>
    <definedName name="LtInt">[13]Debt!$K$232:$AA$232</definedName>
    <definedName name="MAIN_PL">#REF!</definedName>
    <definedName name="Maintenance">'[6]Alu-P&amp;L'!$A$16:$X$16</definedName>
    <definedName name="man_cash_flow">[11]Template!$D$135:$T$135</definedName>
    <definedName name="Margin">#REF!</definedName>
    <definedName name="Margin_analysis">#REF!</definedName>
    <definedName name="Market">[6]Summary!$L$1</definedName>
    <definedName name="market_capitalisation" localSheetId="18">#REF!</definedName>
    <definedName name="market_capitalisation" localSheetId="5">#REF!</definedName>
    <definedName name="market_capitalisation">[11]Template!$D$219:$T$219</definedName>
    <definedName name="Market_Statistics">#REF!</definedName>
    <definedName name="marketable_securities">#REF!</definedName>
    <definedName name="marketable_securities_at_cost" localSheetId="18">#REF!</definedName>
    <definedName name="marketable_securities_at_cost" localSheetId="5">#REF!</definedName>
    <definedName name="marketable_securities_at_cost">[11]Template!$D$145:$T$145</definedName>
    <definedName name="MarketCap">[15]Introduction!$E$27</definedName>
    <definedName name="marketing_expenses" localSheetId="18">#REF!</definedName>
    <definedName name="marketing_expenses" localSheetId="5">#REF!</definedName>
    <definedName name="marketing_expenses">[11]Template!$D$42:$T$42</definedName>
    <definedName name="mat">#REF!</definedName>
    <definedName name="Materials">#REF!</definedName>
    <definedName name="mcap_raw">[14]ChartData!$E$77</definedName>
    <definedName name="mcap_us">[14]ChartData!$E$36</definedName>
    <definedName name="mcap_us_sign">[14]ChartData!$E$74</definedName>
    <definedName name="meb">#REF!</definedName>
    <definedName name="Metal_Landed">#REF!</definedName>
    <definedName name="Metals">#REF!</definedName>
    <definedName name="Metals1H00">#REF!</definedName>
    <definedName name="Metals1H98">#REF!</definedName>
    <definedName name="Metals1H99">#REF!</definedName>
    <definedName name="Metals1Q00">#REF!</definedName>
    <definedName name="Metals1Q98">#REF!</definedName>
    <definedName name="Metals1Q99">#REF!</definedName>
    <definedName name="Metals2H00">#REF!</definedName>
    <definedName name="Metals2H98">#REF!</definedName>
    <definedName name="Metals2H99">#REF!</definedName>
    <definedName name="Metals2Q00">#REF!</definedName>
    <definedName name="Metals2Q98">#REF!</definedName>
    <definedName name="Metals2Q99">#REF!</definedName>
    <definedName name="Metals3Q00">#REF!</definedName>
    <definedName name="Metals3Q98">#REF!</definedName>
    <definedName name="Metals3Q99">#REF!</definedName>
    <definedName name="Metals4Q00">#REF!</definedName>
    <definedName name="Metals4Q98">#REF!</definedName>
    <definedName name="Metals4Q99">#REF!</definedName>
    <definedName name="Metals9M00">#REF!</definedName>
    <definedName name="Metals9M98">#REF!</definedName>
    <definedName name="Metals9M99">#REF!</definedName>
    <definedName name="MetalsFY00">#REF!</definedName>
    <definedName name="MetalsFY00CL">#REF!</definedName>
    <definedName name="MetalsFY98">#REF!</definedName>
    <definedName name="MetalsFY99">#REF!</definedName>
    <definedName name="MetalsFY99CL">#REF!</definedName>
    <definedName name="Mexico1">#REF!</definedName>
    <definedName name="Mexico2">#REF!</definedName>
    <definedName name="MfgExp">[10]Input!$K$501:$AA$501</definedName>
    <definedName name="MfgExpSer" hidden="1">[13]Profile!$AQ$5:$AQ$12</definedName>
    <definedName name="mgp">#REF!</definedName>
    <definedName name="minorities" localSheetId="18">#REF!</definedName>
    <definedName name="minorities" localSheetId="5">#REF!</definedName>
    <definedName name="minorities">[11]Template!$D$189:$T$189</definedName>
    <definedName name="minorities_pl" localSheetId="18">#REF!</definedName>
    <definedName name="minorities_pl" localSheetId="5">#REF!</definedName>
    <definedName name="minorities_pl">[11]Template!$D$26:$T$26</definedName>
    <definedName name="minority_interests" localSheetId="18">#REF!</definedName>
    <definedName name="minority_interests" localSheetId="5">#REF!</definedName>
    <definedName name="minority_interests">[11]Template!$D$221:$T$221</definedName>
    <definedName name="MinorityInterestDelta">'[4]Financials(O)'!$F$102:$J$102</definedName>
    <definedName name="misc_exp" localSheetId="18">#REF!</definedName>
    <definedName name="misc_exp" localSheetId="5">#REF!</definedName>
    <definedName name="misc_exp">[11]Template!$D$187:$T$187</definedName>
    <definedName name="misc_reserves">#REF!</definedName>
    <definedName name="MiscExpenditure">#REF!</definedName>
    <definedName name="MiscIncome">'[6]Alu-P&amp;L'!$A$116:$R$116</definedName>
    <definedName name="mmnote">#REF!</definedName>
    <definedName name="mn">#REF!</definedName>
    <definedName name="Model">'[4]Financials(O)'!$A$1:$J$566</definedName>
    <definedName name="ModeName">[10]Profile!$K$8</definedName>
    <definedName name="Month">#REF!</definedName>
    <definedName name="Months" localSheetId="18">'[15]Market Info'!$B$13:$B$382</definedName>
    <definedName name="Months" localSheetId="5">'[15]Market Info'!$B$13:$B$382</definedName>
    <definedName name="Months">#REF!</definedName>
    <definedName name="mop">#REF!</definedName>
    <definedName name="MrgnTax">[17]Profile!#REF!</definedName>
    <definedName name="MRP">'[16]DCF Valuation'!$B$7</definedName>
    <definedName name="nas">#REF!</definedName>
    <definedName name="nbd" localSheetId="18">#REF!</definedName>
    <definedName name="nbd" localSheetId="5">#REF!</definedName>
    <definedName name="nbd">#REF!</definedName>
    <definedName name="nbn" localSheetId="18">#REF!</definedName>
    <definedName name="nbn" localSheetId="5">#REF!</definedName>
    <definedName name="nbn">#REF!</definedName>
    <definedName name="NDtoE">#REF!</definedName>
    <definedName name="NDtoFCF">#REF!</definedName>
    <definedName name="net">[20]Template!$P$154</definedName>
    <definedName name="net_chg_in_cash" localSheetId="18">#REF!</definedName>
    <definedName name="net_chg_in_cash" localSheetId="5">#REF!</definedName>
    <definedName name="net_chg_in_cash">[11]Template!$D$107:$T$107</definedName>
    <definedName name="Net_Debt">[16]Group!$A$148</definedName>
    <definedName name="net_debt_cash" localSheetId="18">#REF!</definedName>
    <definedName name="net_debt_cash" localSheetId="5">#REF!</definedName>
    <definedName name="net_debt_cash">[11]Template!$D$119:$T$119</definedName>
    <definedName name="net_fixed_assets" localSheetId="18">#REF!</definedName>
    <definedName name="net_fixed_assets" localSheetId="5">#REF!</definedName>
    <definedName name="net_fixed_assets">[11]Template!$D$156:$T$156</definedName>
    <definedName name="net_fixed_assets_avg" localSheetId="18">#REF!</definedName>
    <definedName name="net_fixed_assets_avg" localSheetId="5">#REF!</definedName>
    <definedName name="net_fixed_assets_avg">[11]Template!$D$210:$T$210</definedName>
    <definedName name="net_int" localSheetId="18">#REF!</definedName>
    <definedName name="net_int" localSheetId="5">#REF!</definedName>
    <definedName name="net_int">[11]Template!$D$17:$T$17</definedName>
    <definedName name="net_interest">#REF!</definedName>
    <definedName name="net_non_recurring_items">#REF!</definedName>
    <definedName name="net_pat">#REF!</definedName>
    <definedName name="net_profit" localSheetId="18">#REF!</definedName>
    <definedName name="net_profit" localSheetId="5">#REF!</definedName>
    <definedName name="net_profit">[11]Template!$D$28:$T$28</definedName>
    <definedName name="net_profit_for_bs">#REF!</definedName>
    <definedName name="net_sales" localSheetId="18">#REF!</definedName>
    <definedName name="net_sales" localSheetId="5">#REF!</definedName>
    <definedName name="net_sales">[11]Template!$D$8:$T$8</definedName>
    <definedName name="net_sales_Q">#REF!</definedName>
    <definedName name="NetCA">[13]Input!$K$96:$AA$96</definedName>
    <definedName name="NetCAChg" hidden="1">[10]Input!$K$101:$AA$101</definedName>
    <definedName name="NetCashGenerated" localSheetId="18">#REF!</definedName>
    <definedName name="NetCashGenerated" localSheetId="5">#REF!</definedName>
    <definedName name="NetCashGenerated">[4]Financials!$C$82:$K$82</definedName>
    <definedName name="NetDebt" localSheetId="18">'Monthly Volume Trend'!cash-'Monthly Volume Trend'!TotalDebt</definedName>
    <definedName name="NetDebt" localSheetId="7">[0]!Cash-[0]!TotalDebt</definedName>
    <definedName name="NetDebt" localSheetId="5">Uploader!cash-Uploader!TotalDebt</definedName>
    <definedName name="NetDebt">[0]!Cash-[0]!TotalDebt</definedName>
    <definedName name="NetDebtChg" hidden="1">[13]Formats!$K$107:$AA$107</definedName>
    <definedName name="NetDebtToEquity" localSheetId="18">'[15]Financials '!$J$126:$R$126</definedName>
    <definedName name="NetDebtToEquity" localSheetId="5">'[15]Financials '!$J$126:$R$126</definedName>
    <definedName name="NetDebtToEquity">[4]Financials!$C$123:$K$123</definedName>
    <definedName name="NetDepreciation">'[4]Financials(O)'!$F$15:$J$15</definedName>
    <definedName name="NetEq">[10]Input!$K$30:$AA$30</definedName>
    <definedName name="NetEqChg" hidden="1">[10]Input!$K$46:$AA$46</definedName>
    <definedName name="NetEstInt">[10]Debt!$K$247:$AA$247</definedName>
    <definedName name="NetFinancing">'[6]Alu-cashflow'!$A$9:$AP$9</definedName>
    <definedName name="NetFixedAssets" localSheetId="18">'[15]Financials '!$J$94:$R$94</definedName>
    <definedName name="NetFixedAssets" localSheetId="5">'[15]Financials '!$J$94:$R$94</definedName>
    <definedName name="NetFixedAssets">[4]Financials!$C$91:$K$91</definedName>
    <definedName name="NetInterest" localSheetId="18">'Monthly Volume Trend'!InterestIncome-'Monthly Volume Trend'!InterestExpense</definedName>
    <definedName name="NetInterest" localSheetId="5">Uploader!InterestIncome-Uploader!InterestExpense</definedName>
    <definedName name="NetInterest">#N/A</definedName>
    <definedName name="NetProfit" localSheetId="18">'[15]Financials '!$J$20:$R$20</definedName>
    <definedName name="NetProfit" localSheetId="5">'[15]Financials '!$J$20:$R$20</definedName>
    <definedName name="NetProfit">[4]Financials!$G$20:$M$20</definedName>
    <definedName name="NetProfitGrowth">#REF!</definedName>
    <definedName name="NetProfitMargin" localSheetId="18">'[15]Financials '!$J$44:$R$44</definedName>
    <definedName name="NetProfitMargin" localSheetId="5">'[15]Financials '!$J$44:$R$44</definedName>
    <definedName name="NetProfitMargin">[4]Financials!$C$43:$K$43</definedName>
    <definedName name="netrevenue">'[15]Operating Statistics'!$J$64:$P$64</definedName>
    <definedName name="NetRsrv">[10]Input!$K$42:$AA$42</definedName>
    <definedName name="NetSales">'[6]Alu-P&amp;L'!$A$5:$IV$5</definedName>
    <definedName name="NetSalesGrowth">'[6]Alu-Sales'!$A$172:$AE$172</definedName>
    <definedName name="networth">#REF!</definedName>
    <definedName name="NewEquity">'[6]Alu-cashflow'!$A$19:$AR$19</definedName>
    <definedName name="NewShares">#REF!</definedName>
    <definedName name="NFA">[10]CapEx!$K$106:$AA$106</definedName>
    <definedName name="NFAChg" hidden="1">[10]CapEx!$K$117:$AA$117</definedName>
    <definedName name="NI">[13]Formats!$K$9:$AA$9</definedName>
    <definedName name="No_of_Months">[24]mAssmp!#REF!</definedName>
    <definedName name="non_recurring_items" localSheetId="18">#REF!</definedName>
    <definedName name="non_recurring_items" localSheetId="5">#REF!</definedName>
    <definedName name="non_recurring_items">[11]Template!$D$21:$T$21</definedName>
    <definedName name="non_recurring_items_Q">#REF!</definedName>
    <definedName name="NonOpFixedAssets">'[6]Alu-Balsheet'!$A$23:$AG$23</definedName>
    <definedName name="NonSFundReserves">[9]Model!$B$502:$IV$502</definedName>
    <definedName name="noplat" localSheetId="18">#REF!</definedName>
    <definedName name="noplat" localSheetId="5">#REF!</definedName>
    <definedName name="noplat">[11]Template!$D$70:$T$70</definedName>
    <definedName name="Normalised_profit">#REF!</definedName>
    <definedName name="notes_payable" localSheetId="18">#REF!</definedName>
    <definedName name="notes_payable" localSheetId="5">#REF!</definedName>
    <definedName name="notes_payable">[11]Template!$D$163:$T$163</definedName>
    <definedName name="NOTES_PL">#REF!</definedName>
    <definedName name="NPAT">'[4]Financials(O)'!$E$22:$K$22</definedName>
    <definedName name="npc">#REF!</definedName>
    <definedName name="npw">#REF!</definedName>
    <definedName name="NRItem">[10]Input!$K$133:$AA$133</definedName>
    <definedName name="NS">[10]Input!$K$308:$AA$308</definedName>
    <definedName name="nsf">#REF!</definedName>
    <definedName name="nta">#REF!</definedName>
    <definedName name="NtnlPr" hidden="1">[13]Capital!$K$77:$AA$77</definedName>
    <definedName name="NW">[13]Formats!$K$61:$AA$61</definedName>
    <definedName name="Off_High_Cov">#REF!</definedName>
    <definedName name="OnePager">#REF!</definedName>
    <definedName name="OpCashflow">'[6]Alu-cashflow'!$A$8:$AP$8</definedName>
    <definedName name="OpEqSh">[13]Capital!$K$15:$AA$15</definedName>
    <definedName name="Operating">#REF!</definedName>
    <definedName name="Operating_costs">#REF!</definedName>
    <definedName name="operating_expenses" localSheetId="18">#REF!</definedName>
    <definedName name="operating_expenses" localSheetId="5">#REF!</definedName>
    <definedName name="operating_expenses">[11]Template!$D$11:$T$11</definedName>
    <definedName name="operating_expenses_Q">#REF!</definedName>
    <definedName name="operating_free_cash_flow" localSheetId="18">#REF!</definedName>
    <definedName name="operating_free_cash_flow" localSheetId="5">#REF!</definedName>
    <definedName name="operating_free_cash_flow">[11]Template!$D$137:$T$137</definedName>
    <definedName name="operating_income">[11]Template!$D$9:$T$9</definedName>
    <definedName name="Operating_profit">#REF!</definedName>
    <definedName name="OperatingCashflow">'[4]Financials(O)'!#REF!</definedName>
    <definedName name="OperatingCurrentRatio">'[4]Financials(O)'!$F$168:$J$168</definedName>
    <definedName name="OperatingMarginRatio">'[4]Financials(O)'!$F$49:$J$49</definedName>
    <definedName name="OperatingProfit" localSheetId="18">#REF!</definedName>
    <definedName name="OperatingProfit" localSheetId="5">#REF!</definedName>
    <definedName name="OperatingProfit">[4]Financials!$G$10:$M$10</definedName>
    <definedName name="OperatingProfitMargin" localSheetId="18">'[15]Financials '!$J$44:$R$44</definedName>
    <definedName name="OperatingProfitMargin" localSheetId="5">'[15]Financials '!$J$44:$R$44</definedName>
    <definedName name="OperatingProfitMargin">[4]Financials!$C$43:$K$43</definedName>
    <definedName name="OperatingStatistics">'[15]Operating Statistics'!$A$1:$T$144</definedName>
    <definedName name="OperatingSummary">'[4]Company Report'!$C$44:$Q$90</definedName>
    <definedName name="OpIncDmy" hidden="1">[13]Input!$A$115:$IV$115</definedName>
    <definedName name="OpIncSer" hidden="1">[13]Profile!$BP$5:$BP$12</definedName>
    <definedName name="OthCFItem">[10]Input!$K$567:$AA$567</definedName>
    <definedName name="other_appropriation">#REF!</definedName>
    <definedName name="other_current_assets" localSheetId="18">#REF!</definedName>
    <definedName name="other_current_assets" localSheetId="5">#REF!</definedName>
    <definedName name="other_current_assets">[11]Template!$D$149:$T$149</definedName>
    <definedName name="other_current_liabilities" localSheetId="18">#REF!</definedName>
    <definedName name="other_current_liabilities" localSheetId="5">#REF!</definedName>
    <definedName name="other_current_liabilities">[11]Template!$D$167:$T$167</definedName>
    <definedName name="other_deferred_assets" localSheetId="18">#REF!</definedName>
    <definedName name="other_deferred_assets" localSheetId="5">#REF!</definedName>
    <definedName name="other_deferred_assets">[11]Template!$D$158:$T$158</definedName>
    <definedName name="other_deferred_liabilities" localSheetId="18">#REF!</definedName>
    <definedName name="other_deferred_liabilities" localSheetId="5">#REF!</definedName>
    <definedName name="other_deferred_liabilities">[11]Template!$D$177:$T$177</definedName>
    <definedName name="other_exp_Q">#REF!</definedName>
    <definedName name="other_income" localSheetId="18">#REF!</definedName>
    <definedName name="other_income" localSheetId="5">#REF!</definedName>
    <definedName name="other_income">[11]Template!$D$19:$T$19</definedName>
    <definedName name="Other_income___investments">#REF!</definedName>
    <definedName name="Other_income___operating">#REF!</definedName>
    <definedName name="Other_income_as___of_PBT">#REF!</definedName>
    <definedName name="other_income_Q">#REF!</definedName>
    <definedName name="other_intangible_fixed_assets" localSheetId="18">#REF!</definedName>
    <definedName name="other_intangible_fixed_assets" localSheetId="5">#REF!</definedName>
    <definedName name="other_intangible_fixed_assets">[11]Template!$D$205:$T$205</definedName>
    <definedName name="other_material">#REF!</definedName>
    <definedName name="other_non_current_assets" localSheetId="18">#REF!</definedName>
    <definedName name="other_non_current_assets" localSheetId="5">#REF!</definedName>
    <definedName name="other_non_current_assets">[11]Template!$D$159:$T$159</definedName>
    <definedName name="other_non_current_liabilities" localSheetId="18">#REF!</definedName>
    <definedName name="other_non_current_liabilities" localSheetId="5">#REF!</definedName>
    <definedName name="other_non_current_liabilities">[11]Template!$D$178:$T$178</definedName>
    <definedName name="other_non_equity_interests" localSheetId="18">#REF!</definedName>
    <definedName name="other_non_equity_interests" localSheetId="5">#REF!</definedName>
    <definedName name="other_non_equity_interests">[11]Template!$D$222:$T$222</definedName>
    <definedName name="other_operating_expenses" localSheetId="18">#REF!</definedName>
    <definedName name="other_operating_expenses" localSheetId="5">#REF!</definedName>
    <definedName name="other_operating_expenses">[11]Template!$D$47:$T$47</definedName>
    <definedName name="other_pretax" localSheetId="18">#REF!</definedName>
    <definedName name="other_pretax" localSheetId="5">#REF!</definedName>
    <definedName name="other_pretax">[11]Template!$D$22:$T$22</definedName>
    <definedName name="other_provision">#REF!</definedName>
    <definedName name="other_provisions" localSheetId="18">#REF!</definedName>
    <definedName name="other_provisions" localSheetId="5">#REF!</definedName>
    <definedName name="other_provisions">[11]Template!$D$45:$T$45</definedName>
    <definedName name="other_provisions_bs" localSheetId="18">#REF!</definedName>
    <definedName name="other_provisions_bs" localSheetId="5">#REF!</definedName>
    <definedName name="other_provisions_bs">[11]Template!$D$175:$T$175</definedName>
    <definedName name="other_reserves" localSheetId="18">#REF!</definedName>
    <definedName name="other_reserves" localSheetId="5">#REF!</definedName>
    <definedName name="other_reserves">[11]Template!$D$185:$T$185</definedName>
    <definedName name="other_tangible_fixed_assets" localSheetId="18">#REF!</definedName>
    <definedName name="other_tangible_fixed_assets" localSheetId="5">#REF!</definedName>
    <definedName name="other_tangible_fixed_assets">[11]Template!$D$201:$T$201</definedName>
    <definedName name="Other1">#REF!</definedName>
    <definedName name="OtherAdmin">'[6]Alu-P&amp;L'!#REF!</definedName>
    <definedName name="OtherCurrentAssets">'[4]Financials(O)'!$F$131:$J$131</definedName>
    <definedName name="OtherCurrentLiabilities">'[4]Financials(O)'!$F$145:$J$145</definedName>
    <definedName name="OtherCurrLiabilities">'[6]Alu-Balsheet'!#REF!</definedName>
    <definedName name="OtherFixed">'[6]Alu-P&amp;L'!#REF!</definedName>
    <definedName name="OtherIncome" localSheetId="18">'[15]Financials '!$J$17:$R$17</definedName>
    <definedName name="OtherIncome" localSheetId="5">'[15]Financials '!$J$17:$R$17</definedName>
    <definedName name="OtherIncome">'[4]Financials(O)'!$F$19:$J$19</definedName>
    <definedName name="OtherInterest">'[6]Alu-P&amp;L'!$M$93</definedName>
    <definedName name="OtherLiabilitiesCurrent">'[4]Financials(O)'!$F$145:$J$145</definedName>
    <definedName name="OtherLongtermliabilities">'[4]Financials(O)'!$F$151:$J$151</definedName>
    <definedName name="OtherLTAssets" localSheetId="18">'[15]Financials '!$J$97:$R$97</definedName>
    <definedName name="OtherLTAssets" localSheetId="5">'[15]Financials '!$J$97:$R$97</definedName>
    <definedName name="OtherLTAssets">[4]Financials!$C$94:$K$94</definedName>
    <definedName name="OtherLTLiabilities" localSheetId="18">'[15]Financials '!$J$122:$R$122</definedName>
    <definedName name="OtherLTLiabilities" localSheetId="5">'[15]Financials '!$J$122:$R$122</definedName>
    <definedName name="OtherLTLiabilities">[4]Financials!$C$119:$K$119</definedName>
    <definedName name="OtherMfrg">'[6]Alu-P&amp;L'!$A$17:$X$17</definedName>
    <definedName name="OtherProductSales">'[4]Operating Statistics'!$J$48:$N$48</definedName>
    <definedName name="OtherRawMaterials">'[6]Alu-RawM'!$A$86:$AA$86</definedName>
    <definedName name="OtherVariable">'[6]Alu-P&amp;L'!$A$12:$Y$12</definedName>
    <definedName name="OthOpInc">[10]Input!$K$116:$AA$116</definedName>
    <definedName name="OUT">#REF!</definedName>
    <definedName name="P_L">#REF!</definedName>
    <definedName name="Page1">#REF!</definedName>
    <definedName name="Page12">#REF!</definedName>
    <definedName name="Page2">#REF!</definedName>
    <definedName name="pai">#REF!</definedName>
    <definedName name="paid_up_capital" localSheetId="18">#REF!</definedName>
    <definedName name="paid_up_capital" localSheetId="5">#REF!</definedName>
    <definedName name="paid_up_capital">[11]Template!$D$181:$T$181</definedName>
    <definedName name="Panasonic">[16]Group!#REF!</definedName>
    <definedName name="pandl">'[18]Forecast summary'!#REF!</definedName>
    <definedName name="ParValue">[15]Introduction!$E$22</definedName>
    <definedName name="PASSWORD">[26]MenuData!$B$200</definedName>
    <definedName name="PAT">[13]Formats!$K$32:$AA$32</definedName>
    <definedName name="PAT_as_reported">#REF!</definedName>
    <definedName name="Payout_ratios" localSheetId="18">#REF!</definedName>
    <definedName name="Payout_ratios" localSheetId="5">#REF!</definedName>
    <definedName name="Payout_ratios">#REF!</definedName>
    <definedName name="PBDIT">#REF!</definedName>
    <definedName name="PBIT">#REF!</definedName>
    <definedName name="PBT">[13]Formats!$K$30:$AA$30</definedName>
    <definedName name="PBV">#REF!</definedName>
    <definedName name="PCF">#REF!</definedName>
    <definedName name="pco">#REF!</definedName>
    <definedName name="pde" localSheetId="18">#REF!</definedName>
    <definedName name="pde" localSheetId="5">#REF!</definedName>
    <definedName name="pde">#REF!</definedName>
    <definedName name="pdp">#REF!</definedName>
    <definedName name="PDvTax">[10]Input!$K$141:$AA$141</definedName>
    <definedName name="PE" localSheetId="18">#REF!</definedName>
    <definedName name="PE" localSheetId="5">#REF!</definedName>
    <definedName name="pe">#REF!</definedName>
    <definedName name="peb">#REF!</definedName>
    <definedName name="ped">#REF!</definedName>
    <definedName name="pei">#REF!</definedName>
    <definedName name="PEMultiplesFirstyear">'[15]Market Info'!$M$13:$M$412</definedName>
    <definedName name="PEMultiplesLastyear">'[15]Market Info'!$L$13:$L$412</definedName>
    <definedName name="Penetration_OtherServices">[24]mAssmp!#REF!</definedName>
    <definedName name="per" localSheetId="18">#REF!</definedName>
    <definedName name="per" localSheetId="5">#REF!</definedName>
    <definedName name="per">[11]Template!$D$329:$T$329</definedName>
    <definedName name="Per_share__Rs" localSheetId="18">#REF!</definedName>
    <definedName name="Per_share__Rs" localSheetId="5">#REF!</definedName>
    <definedName name="Per_share__Rs">#REF!</definedName>
    <definedName name="Perf_97">#REF!</definedName>
    <definedName name="Perf_98">#REF!</definedName>
    <definedName name="Perf_99">#REF!</definedName>
    <definedName name="period_months" localSheetId="18">#REF!</definedName>
    <definedName name="period_months" localSheetId="5">#REF!</definedName>
    <definedName name="period_months">[11]Template!$D$2:$T$2</definedName>
    <definedName name="PeriodEnd">[26]MenuData!$B$12</definedName>
    <definedName name="Personnel">#REF!</definedName>
    <definedName name="pet">#REF!</definedName>
    <definedName name="PFCF">#REF!</definedName>
    <definedName name="pfx">#REF!</definedName>
    <definedName name="PG11A">#REF!</definedName>
    <definedName name="pga">#REF!</definedName>
    <definedName name="pgp">#REF!</definedName>
    <definedName name="pie">#REF!</definedName>
    <definedName name="pii">#REF!</definedName>
    <definedName name="pin">#REF!</definedName>
    <definedName name="PJCapex" localSheetId="18">'[15]Capex &amp; Depreciation'!$N$99:$R$99</definedName>
    <definedName name="PJCapex" localSheetId="5">'[15]Capex &amp; Depreciation'!$N$99:$R$99</definedName>
    <definedName name="PJCapex">'[4]Capex &amp; Depreciation '!$L$124:$P$124</definedName>
    <definedName name="PJConvDebtInterest">[15]Debt!$N$200:$R$200</definedName>
    <definedName name="pjdepreciation">'[15]Capex &amp; Depreciation'!$O$109:$R$109</definedName>
    <definedName name="PJInterestIncome">[15]Debt!$N$13:$R$13</definedName>
    <definedName name="PJLongTermDebtChanges">[15]Debt!$N$197:$R$197</definedName>
    <definedName name="PJLongTermInterestExpense" localSheetId="18">[15]Debt!$N$196:$R$196</definedName>
    <definedName name="PJLongTermInterestExpense" localSheetId="5">[15]Debt!$N$196:$R$196</definedName>
    <definedName name="pjlongterminterestexpense">'[4]Cost Of Sales'!$N$54:$W$54</definedName>
    <definedName name="PJNetCashFlow" localSheetId="18">#REF!</definedName>
    <definedName name="PJNetCashFlow" localSheetId="5">#REF!</definedName>
    <definedName name="pjnetcashflow">[4]Financials!$G$82:$K$82</definedName>
    <definedName name="PJShortTermDebtChanges">[15]Debt!$N$22:$R$22</definedName>
    <definedName name="PJShortTermInterestExpense" localSheetId="18">[15]Debt!$N$21:$R$21</definedName>
    <definedName name="PJShortTermInterestExpense" localSheetId="5">[15]Debt!$N$21:$R$21</definedName>
    <definedName name="pjshortterminterestexpense">'[4]Cost Of Sales'!$N$22:$W$22</definedName>
    <definedName name="PJYears" localSheetId="18">#REF!</definedName>
    <definedName name="PJYears" localSheetId="5">#REF!</definedName>
    <definedName name="PJYears">[4]Financials!#REF!</definedName>
    <definedName name="PL" localSheetId="18">#REF!</definedName>
    <definedName name="PL" localSheetId="5">#REF!</definedName>
    <definedName name="pl">#REF!</definedName>
    <definedName name="plant_equipment" localSheetId="18">#REF!</definedName>
    <definedName name="plant_equipment" localSheetId="5">#REF!</definedName>
    <definedName name="plant_equipment">[11]Template!$D$200:$T$200</definedName>
    <definedName name="plr" localSheetId="18">#REF!</definedName>
    <definedName name="plr" localSheetId="5">#REF!</definedName>
    <definedName name="plr">[11]Template!$D$348:$T$348</definedName>
    <definedName name="pmi">#REF!</definedName>
    <definedName name="pnp">#REF!</definedName>
    <definedName name="Pofitability_analysis">#REF!</definedName>
    <definedName name="poi">#REF!</definedName>
    <definedName name="pop">#REF!</definedName>
    <definedName name="PostDividend">'[6]Alu-P&amp;L'!$B$53:$R$53</definedName>
    <definedName name="PoweOwn">'[6]Alu-Costs'!$A$35:$X$35</definedName>
    <definedName name="power" localSheetId="18">#REF!</definedName>
    <definedName name="power" localSheetId="5">#REF!</definedName>
    <definedName name="power">[11]Template!$D$39:$T$39</definedName>
    <definedName name="power_oil_fuel_Q">#REF!</definedName>
    <definedName name="Power1H00">#REF!</definedName>
    <definedName name="Power1H98">#REF!</definedName>
    <definedName name="Power1H99">#REF!</definedName>
    <definedName name="Power1Q00">#REF!</definedName>
    <definedName name="Power1Q98">#REF!</definedName>
    <definedName name="Power1Q99">#REF!</definedName>
    <definedName name="Power2H98">#REF!</definedName>
    <definedName name="Power2H99">#REF!</definedName>
    <definedName name="Power2Q00">#REF!</definedName>
    <definedName name="Power2Q98">#REF!</definedName>
    <definedName name="Power2Q99">#REF!</definedName>
    <definedName name="Power3Q00">#REF!</definedName>
    <definedName name="Power3Q98">#REF!</definedName>
    <definedName name="Power3Q99">#REF!</definedName>
    <definedName name="Power4Q00">#REF!</definedName>
    <definedName name="Power4Q98">#REF!</definedName>
    <definedName name="Power4Q99">#REF!</definedName>
    <definedName name="Power9M00">#REF!</definedName>
    <definedName name="Power9M98">#REF!</definedName>
    <definedName name="Power9M99">#REF!</definedName>
    <definedName name="PowerCaptive">'[6]Alu-Costs'!$A$41:$W$41</definedName>
    <definedName name="PowerCost">'[4]Cost Of Sales'!$A$139:$O$215</definedName>
    <definedName name="PowerCostAnalysis">'[4]Financials(O)'!$A$263:$K$328</definedName>
    <definedName name="PowerCostStatement">'[4]Cost Of Sales'!$A$139:$M$214</definedName>
    <definedName name="PowerFuel">'[6]Alu-Costs'!$A$65:$Y$65</definedName>
    <definedName name="PowerFY00">#REF!</definedName>
    <definedName name="PowerFY00CL">#REF!</definedName>
    <definedName name="PowerFY98">#REF!</definedName>
    <definedName name="PowerFY99">#REF!</definedName>
    <definedName name="PowerFY99CL">#REF!</definedName>
    <definedName name="PowerJV">#REF!</definedName>
    <definedName name="PowerOwn">'[6]Alu-Costs'!$A$35:$X$35</definedName>
    <definedName name="PowerPurchased">'[6]Alu-Costs'!$A$47:$W$47</definedName>
    <definedName name="ppr">#REF!</definedName>
    <definedName name="ppt">#REF!</definedName>
    <definedName name="PrDiv">[10]Input!$K$138:$AA$138</definedName>
    <definedName name="pre">#REF!</definedName>
    <definedName name="pre_tax_profit" localSheetId="18">#REF!</definedName>
    <definedName name="pre_tax_profit" localSheetId="5">#REF!</definedName>
    <definedName name="pre_tax_profit">[11]Template!$D$23:$T$23</definedName>
    <definedName name="pre_tax_profit_Q">#REF!</definedName>
    <definedName name="PreExceptional">'[6]Alu-P&amp;L'!#REF!</definedName>
    <definedName name="preference_dividend" localSheetId="18">#REF!</definedName>
    <definedName name="preference_dividend" localSheetId="5">#REF!</definedName>
    <definedName name="preference_dividend">[11]Template!$D$27:$T$27</definedName>
    <definedName name="Preference_dividends">#REF!</definedName>
    <definedName name="preference_share_capital" localSheetId="18">#REF!</definedName>
    <definedName name="preference_share_capital" localSheetId="5">#REF!</definedName>
    <definedName name="preference_share_capital">[11]Template!$D$172:$T$172</definedName>
    <definedName name="PremiumOnEquity">'[4]Financials(O)'!$F$110:$J$110</definedName>
    <definedName name="PremiumValueAdded">'[6]Alu-Sales'!$A$189:$X$189</definedName>
    <definedName name="Pretax">'[6]Alu-P&amp;L'!$B$32:$P$32</definedName>
    <definedName name="PretaxProfit" localSheetId="18">'[15]Financials '!$J$18:$R$18</definedName>
    <definedName name="PretaxProfit" localSheetId="5">'[15]Financials '!$J$18:$R$18</definedName>
    <definedName name="PretaxProfit">[4]Financials!$C$18:$K$18</definedName>
    <definedName name="Prexceptionals">'[6]Alu-P&amp;L'!#REF!</definedName>
    <definedName name="PrfDmy" hidden="1">[13]Input!$A$27:$IV$27</definedName>
    <definedName name="PrfShSer" hidden="1">[13]Profile!$AX$5:$AX$12</definedName>
    <definedName name="prg" localSheetId="18">#REF!</definedName>
    <definedName name="prg" localSheetId="5">#REF!</definedName>
    <definedName name="prg">#REF!</definedName>
    <definedName name="PRICE" localSheetId="18">#REF!</definedName>
    <definedName name="PRICE" localSheetId="5">#REF!</definedName>
    <definedName name="price">[11]Template!#REF!</definedName>
    <definedName name="price_b_or_a">[14]ChartData!$E$44</definedName>
    <definedName name="price_dp">[23]ChartData!$E$29</definedName>
    <definedName name="price1">[35]Template!#REF!</definedName>
    <definedName name="PriceChart_CompanyCard">#REF!</definedName>
    <definedName name="PriceChg1" localSheetId="18">[15]Introduction!$E$34</definedName>
    <definedName name="PriceChg1" localSheetId="5">[15]Introduction!$E$34</definedName>
    <definedName name="PriceChg1">[4]Introduction!$E$51</definedName>
    <definedName name="PriceChg12" localSheetId="18">[15]Introduction!$E$36</definedName>
    <definedName name="PriceChg12" localSheetId="5">[15]Introduction!$E$36</definedName>
    <definedName name="PriceChg12">[4]Introduction!$E$37</definedName>
    <definedName name="PriceChg2">[4]Introduction!$E$52</definedName>
    <definedName name="PriceChg3" localSheetId="18">[15]Introduction!$E$35</definedName>
    <definedName name="PriceChg3" localSheetId="5">[15]Introduction!$E$35</definedName>
    <definedName name="PriceChg3">[4]Introduction!$E$53</definedName>
    <definedName name="pricedate">#REF!</definedName>
    <definedName name="Prices" localSheetId="18">'[15]Market Info'!$E$13:$E$412</definedName>
    <definedName name="Prices" localSheetId="5">'[15]Market Info'!$E$13:$E$412</definedName>
    <definedName name="Prices">#REF!</definedName>
    <definedName name="Prices1">#REF!</definedName>
    <definedName name="PricesFYEnd" localSheetId="18">'[21]Capital History'!$J$26:$T$26</definedName>
    <definedName name="PricesFYEnd" localSheetId="5">'[21]Capital History'!$J$26:$T$26</definedName>
    <definedName name="PricesFYEnd">'[4]Capital History'!$J$26:$T$26</definedName>
    <definedName name="PricesIndexed">'[15]Market Info'!$I$13:$I$412</definedName>
    <definedName name="priceu">#REF!</definedName>
    <definedName name="Print_Area_MI">#REF!</definedName>
    <definedName name="PROD_SALES">#REF!</definedName>
    <definedName name="ProdAl">'[6]Alu-Sales'!$A$29:$AA$29</definedName>
    <definedName name="ProdAl203">'[6]Alu-Sales'!$A$24:$AG$24</definedName>
    <definedName name="ProdAl2O3">'[6]Alu-Sales'!$A$24:$AC$24</definedName>
    <definedName name="ProdConductor">'[6]Alu-Sales'!$A$94:$AE$94</definedName>
    <definedName name="ProdCRRods">'[6]Alu-Sales'!$A$94:$AE$94</definedName>
    <definedName name="ProdDmy" hidden="1">[13]Input!$A$274:$AE$291</definedName>
    <definedName name="ProdExtrusion">'[6]Alu-Sales'!$A$80:$AH$80</definedName>
    <definedName name="ProdFoil">'[6]Alu-Sales'!$A$113:$AG$113</definedName>
    <definedName name="ProdRedraw">'[6]Alu-Sales'!$A$94:$AB$94</definedName>
    <definedName name="ProdRods">'[6]Alu-Sales'!$A$94:$AE$94</definedName>
    <definedName name="ProdRolled">'[6]Alu-Sales'!$A$57:$AF$57</definedName>
    <definedName name="Product" hidden="1">[13]Profile!$AE$5:$AE$12</definedName>
    <definedName name="Product1Export">'[4]Operating Statistics'!$I$8:$N$8</definedName>
    <definedName name="Product1Rev">'[4]Operating Statistics'!$I$33:$N$33</definedName>
    <definedName name="Product2Rev">'[4]Operating Statistics'!$I$35:$N$35</definedName>
    <definedName name="Product3Rev">'[4]Operating Statistics'!$I$37:$N$37</definedName>
    <definedName name="Product4Rev">'[4]Operating Statistics'!$I$39:$N$39</definedName>
    <definedName name="Product5Rev">'[4]Operating Statistics'!$I$41:$N$41</definedName>
    <definedName name="ProductFiveEPrice">'[4]Operating Statistics'!$I$29:$N$29</definedName>
    <definedName name="ProductFiveERev">'[4]Operating Statistics'!$I$42:$N$42</definedName>
    <definedName name="ProductFiveExport">'[4]Operating Statistics'!$I$16:$N$16</definedName>
    <definedName name="ProductFiveVolume">'[4]Operating Statistics'!$I$15:$N$15</definedName>
    <definedName name="ProductFourEPrice">'[4]Operating Statistics'!$I$27:$N$27</definedName>
    <definedName name="ProductFourERev">'[4]Operating Statistics'!$I$40:$N$40</definedName>
    <definedName name="ProductFourExport">'[4]Operating Statistics'!$I$14:$N$14</definedName>
    <definedName name="ProductFourPrice">'[4]Operating Statistics'!$I$26:$N$26</definedName>
    <definedName name="ProductFourvolume">'[4]Operating Statistics'!$I$13:$N$13</definedName>
    <definedName name="Production_costs">#REF!</definedName>
    <definedName name="ProductionAl">'[6]Alu-Sales'!$A$29:$AA$29</definedName>
    <definedName name="ProductionAl2O3">'[6]Alu-Sales'!$A$24:$AA$24</definedName>
    <definedName name="ProductOneEPrice">'[4]Operating Statistics'!$I$21:$N$21</definedName>
    <definedName name="ProductOneERev">'[4]Operating Statistics'!$I$34:$N$34</definedName>
    <definedName name="ProductOnePrice">'[4]Operating Statistics'!$I$20:$N$20</definedName>
    <definedName name="ProductOneVolume">'[4]Operating Statistics'!$I$7:$N$7</definedName>
    <definedName name="ProductSource">[4]Introduction!$D$24:$D$32</definedName>
    <definedName name="ProductThreeEPrice">'[4]Operating Statistics'!$I$25:$N$25</definedName>
    <definedName name="ProductThreeERev">'[4]Operating Statistics'!$I$38:$N$38</definedName>
    <definedName name="ProductThreeExport">'[4]Operating Statistics'!$I$12:$N$12</definedName>
    <definedName name="ProductThreePrice">'[4]Operating Statistics'!$I$24:$N$24</definedName>
    <definedName name="ProductThreeVolume">'[4]Operating Statistics'!$I$11:$N$11</definedName>
    <definedName name="ProductTwoEPrice">'[4]Operating Statistics'!$I$23:$N$23</definedName>
    <definedName name="ProductTwoERev">'[4]Operating Statistics'!$I$36:$N$36</definedName>
    <definedName name="ProductTwoExport">'[4]Operating Statistics'!$I$10:$N$10</definedName>
    <definedName name="ProductTwoPrice">'[4]Operating Statistics'!$I$22:$N$22</definedName>
    <definedName name="ProductTwoVolume">'[4]Operating Statistics'!$I$9:$N$9</definedName>
    <definedName name="ProdUnit" hidden="1">[13]Profile!$AF$5:$AF$12</definedName>
    <definedName name="profit_after_tax" localSheetId="18">#REF!</definedName>
    <definedName name="profit_after_tax" localSheetId="5">#REF!</definedName>
    <definedName name="profit_after_tax">[11]Template!$D$25:$T$25</definedName>
    <definedName name="Profit_and_Loss_Account">'[2]P&amp;L'!$A$19</definedName>
    <definedName name="profit_before_tax">#REF!</definedName>
    <definedName name="Profit_Loss" localSheetId="18">#REF!</definedName>
    <definedName name="Profit_Loss" localSheetId="5">#REF!</definedName>
    <definedName name="Profit_Loss">#REF!</definedName>
    <definedName name="ProfitBeforeTax">'[4]Financials(O)'!$F$20:$J$20</definedName>
    <definedName name="ProfitGrowth">'[6]Alu-P&amp;L'!#REF!</definedName>
    <definedName name="Profits_for_equity_shareholders">#REF!</definedName>
    <definedName name="Project" localSheetId="18">[15]Introduction!$E$7</definedName>
    <definedName name="Project" localSheetId="5">[15]Introduction!$E$7</definedName>
    <definedName name="Project">[4]Introduction!$E$7</definedName>
    <definedName name="ProvInvestments">'[6]Alu-P&amp;L'!$A$115:$R$115</definedName>
    <definedName name="Provisions" localSheetId="18">'[6]Alu-Balsheet'!#REF!</definedName>
    <definedName name="Provisions" localSheetId="5">'[6]Alu-Balsheet'!#REF!</definedName>
    <definedName name="Provisions">'[4]Financials(O)'!$F$143:$J$143</definedName>
    <definedName name="provisions_write_offs_Q">#REF!</definedName>
    <definedName name="ProvisionsDividends">'[6]Alu-Balsheet'!#REF!</definedName>
    <definedName name="ProvisionsOther">'[6]Alu-Balsheet'!#REF!</definedName>
    <definedName name="ProvisionsOthers">'[6]Alu-Balsheet'!#REF!</definedName>
    <definedName name="ProvisionsTax">'[6]Alu-Balsheet'!#REF!</definedName>
    <definedName name="ProvisionsTotal">'[6]Alu-Balsheet'!#REF!</definedName>
    <definedName name="PrsExp">[10]Input!$K$532:$AA$532</definedName>
    <definedName name="PrsExpSer" hidden="1">[13]Profile!$AS$5:$AS$12</definedName>
    <definedName name="PrsVar">[10]Input!$K$538:$AA$538</definedName>
    <definedName name="PrTax">[10]Profile!$K$17:$AA$17</definedName>
    <definedName name="pryear">[36]Profile!$K$16:$AA$16</definedName>
    <definedName name="PrYears" hidden="1">[10]Profile!$K$5:$AA$5</definedName>
    <definedName name="pse">#REF!</definedName>
    <definedName name="pta">#REF!</definedName>
    <definedName name="pto" localSheetId="18">[6]Database!$A$230:$IV$230</definedName>
    <definedName name="pto" localSheetId="5">[6]Database!$A$230:$IV$230</definedName>
    <definedName name="pto">#REF!</definedName>
    <definedName name="PtoSales">#REF!</definedName>
    <definedName name="punit">[23]ChartData!$E$25</definedName>
    <definedName name="pur_finished_goods_Q">#REF!</definedName>
    <definedName name="Purchase_of_goods_trading">#REF!</definedName>
    <definedName name="PurchasedPowerCost">'[4]Cost Of Sales'!$G$151:$L$151</definedName>
    <definedName name="Purchases">'[6]Alu-P&amp;L'!$A$11:$Y$11</definedName>
    <definedName name="pxd" localSheetId="18">#REF!</definedName>
    <definedName name="pxd" localSheetId="5">#REF!</definedName>
    <definedName name="pxd">#REF!</definedName>
    <definedName name="Q4FY2005" localSheetId="18" hidden="1">{#N/A,#N/A,FALSE,"One Pager";#N/A,#N/A,FALSE,"Technical"}</definedName>
    <definedName name="Q4FY2005" localSheetId="5" hidden="1">{#N/A,#N/A,FALSE,"One Pager";#N/A,#N/A,FALSE,"Technical"}</definedName>
    <definedName name="Q4FY2005" hidden="1">{#N/A,#N/A,FALSE,"One Pager";#N/A,#N/A,FALSE,"Technical"}</definedName>
    <definedName name="Qstats">#REF!</definedName>
    <definedName name="Qtr_seq_growth">#REF!</definedName>
    <definedName name="QuanOpDmy">#REF!,#REF!,#REF!,#REF!,#REF!,#REF!</definedName>
    <definedName name="Quarters">[37]Halfyear!$A$1:$M$42</definedName>
    <definedName name="ra">#REF!</definedName>
    <definedName name="rad">#REF!</definedName>
    <definedName name="RAM">#REF!</definedName>
    <definedName name="ratios">#REF!</definedName>
    <definedName name="ratios_print1">#REF!</definedName>
    <definedName name="ratios_print2">#REF!</definedName>
    <definedName name="raw_mat_consumed_Q">#REF!</definedName>
    <definedName name="raw_material" localSheetId="18">#REF!</definedName>
    <definedName name="raw_material" localSheetId="5">#REF!</definedName>
    <definedName name="raw_material">[11]Template!$D$37:$T$37</definedName>
    <definedName name="RawMat" hidden="1">[13]Profile!$AK$5:$AK$12</definedName>
    <definedName name="RawMaterial">'[4]Cost Of Sales'!$B$76:$B$84</definedName>
    <definedName name="RawMaterialAnalysis">'[4]Financials(O)'!$K$193:$K$259</definedName>
    <definedName name="RawMaterialCost">'[4]Cost Of Sales'!$A$57:$O$138</definedName>
    <definedName name="RawMaterials">'[6]Alu-P&amp;L'!$A$9:$IV$9</definedName>
    <definedName name="rce">#REF!</definedName>
    <definedName name="rci">#REF!</definedName>
    <definedName name="rcr">#REF!</definedName>
    <definedName name="Rd">'[16]DCF Valuation'!$F$6</definedName>
    <definedName name="rd_expenses" localSheetId="18">#REF!</definedName>
    <definedName name="rd_expenses" localSheetId="5">#REF!</definedName>
    <definedName name="rd_expenses">[11]Template!$D$43:$T$43</definedName>
    <definedName name="RDBdata">[33]RDB!$D$1:$Q$65536</definedName>
    <definedName name="rde">#REF!</definedName>
    <definedName name="Re">'[16]DCF Valuation'!$F$7</definedName>
    <definedName name="Receivables">'[4]Financials(O)'!$F$128:$J$128</definedName>
    <definedName name="reclist">#REF!</definedName>
    <definedName name="Recommendation" localSheetId="18">[15]Introduction!$E$26</definedName>
    <definedName name="Recommendation" localSheetId="5">[15]Introduction!$E$26</definedName>
    <definedName name="Recommendation">[4]Introduction!$D$39</definedName>
    <definedName name="_xlnm.Recorder">#REF!</definedName>
    <definedName name="Recruitment_effort">#REF!</definedName>
    <definedName name="ReductInInvestments" localSheetId="18">'[15]Financials '!$J$80:$R$80</definedName>
    <definedName name="ReductInInvestments" localSheetId="5">'[15]Financials '!$J$80:$R$80</definedName>
    <definedName name="ReductInInvestments">[4]Financials!$C$78:$K$78</definedName>
    <definedName name="RentalIncome">'[6]Alu-P&amp;L'!$A$112:$R$112</definedName>
    <definedName name="REP">#REF!</definedName>
    <definedName name="Reported_Net_profit">#REF!</definedName>
    <definedName name="reported_profit_after_tax_Q">#REF!</definedName>
    <definedName name="Reserves" localSheetId="18">'[6]Alu-Balsheet'!$A$7:$U$7</definedName>
    <definedName name="Reserves" localSheetId="5">'[6]Alu-Balsheet'!$A$7:$U$7</definedName>
    <definedName name="Reserves">'[4]Financials(O)'!$F$157:$J$157</definedName>
    <definedName name="reserves_surplus" localSheetId="18">#REF!</definedName>
    <definedName name="reserves_surplus" localSheetId="5">#REF!</definedName>
    <definedName name="reserves_surplus">[11]Template!$D$186:$T$186</definedName>
    <definedName name="reserves_surplus_Q">#REF!</definedName>
    <definedName name="ReservesAndPremium" localSheetId="18">'[15]Financials '!$J$118:$R$118</definedName>
    <definedName name="ReservesAndPremium" localSheetId="5">'[15]Financials '!$J$118:$R$118</definedName>
    <definedName name="ReservesAndPremium">[4]Financials!$C$114:$K$114</definedName>
    <definedName name="ReservesTotal">'[6]Alu-Balsheet'!#REF!</definedName>
    <definedName name="retained">[6]Database!$J$322</definedName>
    <definedName name="retained_earnings" localSheetId="18">#REF!</definedName>
    <definedName name="retained_earnings" localSheetId="5">#REF!</definedName>
    <definedName name="retained_earnings">[11]Template!$D$183:$T$183</definedName>
    <definedName name="RetainedEarnings" localSheetId="18">'[15]Financials '!$J$119:$R$119</definedName>
    <definedName name="RetainedEarnings" localSheetId="5">'[15]Financials '!$J$119:$R$119</definedName>
    <definedName name="RetainedEarnings">[4]Financials!$C$116:$K$116</definedName>
    <definedName name="RetEarn">[13]Formats!$K$37:$AA$37</definedName>
    <definedName name="retirement_provision" localSheetId="18">#REF!</definedName>
    <definedName name="retirement_provision" localSheetId="5">#REF!</definedName>
    <definedName name="retirement_provision">[11]Template!$D$174:$T$174</definedName>
    <definedName name="ReturnOnAssets">'[4]Financials(O)'!#REF!</definedName>
    <definedName name="ReturnOnEquity">'[4]Financials(O)'!#REF!</definedName>
    <definedName name="REUTERS">#REF!</definedName>
    <definedName name="ReutersCode" localSheetId="18">[15]Introduction!$E$24</definedName>
    <definedName name="ReutersCode" localSheetId="5">[15]Introduction!$E$24</definedName>
    <definedName name="ReutersCode">[4]Introduction!$D$13</definedName>
    <definedName name="rev">#REF!</definedName>
    <definedName name="Rev_anal">#REF!</definedName>
    <definedName name="RevalRsrv">[13]Input!$K$44:$AA$44</definedName>
    <definedName name="revaluation_reserves" localSheetId="18">#REF!</definedName>
    <definedName name="revaluation_reserves" localSheetId="5">#REF!</definedName>
    <definedName name="revaluation_reserves">[11]Template!$D$184:$T$184</definedName>
    <definedName name="REvaluationREserve">'[4]Financials(O)'!$F$158:$J$158</definedName>
    <definedName name="Revanal_client_conc">#REF!</definedName>
    <definedName name="Revanal_contract">#REF!</definedName>
    <definedName name="Revanal_Domain">#REF!</definedName>
    <definedName name="Revanal_Geog">#REF!</definedName>
    <definedName name="Revanal_Service">#REF!</definedName>
    <definedName name="Revanal_tech">#REF!</definedName>
    <definedName name="Revenue" localSheetId="18">'[15]Operating Statistics'!$J$62:$R$62</definedName>
    <definedName name="Revenue" localSheetId="5">'[15]Operating Statistics'!$J$62:$R$62</definedName>
    <definedName name="Revenue">[4]Financials!$G$4:$M$4</definedName>
    <definedName name="RevenueGrowth">'[4]Operating Statistics'!$J$90:$N$90</definedName>
    <definedName name="ReviewOfOperations">'[4]Operating Statistics'!$A$1:$P$92</definedName>
    <definedName name="Rf">'[16]DCF Valuation'!$B$5</definedName>
    <definedName name="rfa">#REF!</definedName>
    <definedName name="rfs">#REF!</definedName>
    <definedName name="ritz">#REF!</definedName>
    <definedName name="ritzz">#REF!</definedName>
    <definedName name="ritzzzz">#REF!</definedName>
    <definedName name="RM">[10]Input!$K$457:$AA$457</definedName>
    <definedName name="RMconsumed">'[38]Operating Statistics'!#REF!</definedName>
    <definedName name="RMDmy" hidden="1">[13]Input!$A$424:$AF$438</definedName>
    <definedName name="rmi">#REF!</definedName>
    <definedName name="RMUnit" hidden="1">[13]Profile!$AL$5:$AL$12</definedName>
    <definedName name="rnf">#REF!</definedName>
    <definedName name="rns">#REF!</definedName>
    <definedName name="RoAE">#REF!</definedName>
    <definedName name="roce" localSheetId="18">#REF!</definedName>
    <definedName name="roce" localSheetId="5">#REF!</definedName>
    <definedName name="roce">#N/A</definedName>
    <definedName name="roe">#REF!</definedName>
    <definedName name="ROIC" localSheetId="18">[13]Formats!$K$163:$AA$163</definedName>
    <definedName name="ROIC" localSheetId="5">[13]Formats!$K$163:$AA$163</definedName>
    <definedName name="roic">[11]Template!$D$295:$T$295</definedName>
    <definedName name="roic_wacc" localSheetId="18">#REF!</definedName>
    <definedName name="roic_wacc" localSheetId="5">#REF!</definedName>
    <definedName name="roic_wacc">[11]Template!$D$296:$T$296</definedName>
    <definedName name="rot">#REF!</definedName>
    <definedName name="royalty" localSheetId="18">#REF!</definedName>
    <definedName name="royalty" localSheetId="5">#REF!</definedName>
    <definedName name="royalty">[11]Template!$D$46:$T$46</definedName>
    <definedName name="RPCOGS">'[4]Financials(O)'!$E$9:$K$9</definedName>
    <definedName name="RPDepreciation">'[4]Financials(O)'!$E$15:$K$15</definedName>
    <definedName name="RPExtraOrdinaryItems">'[4]Financials(O)'!$E$24:$K$24</definedName>
    <definedName name="RPFDCFPS">'[4]Financials(O)'!$E$37:$K$37</definedName>
    <definedName name="RPFDEPS">'[4]Financials(O)'!$E$33:$K$33</definedName>
    <definedName name="RPFullyDilutedShares">'[4]Financials(O)'!$E$42:$K$42</definedName>
    <definedName name="RPIncomeTax">'[4]Financials(O)'!$E$21:$K$21</definedName>
    <definedName name="RPInterestExpense">'[4]Financials(O)'!$E$17:$K$17</definedName>
    <definedName name="RPInterestIncome">'[4]Financials(O)'!$E$18:$K$18</definedName>
    <definedName name="RPOtherIncome">'[4]Financials(O)'!$E$19:$K$19</definedName>
    <definedName name="RPRevenue">'[4]Financials(O)'!$E$8:$K$8</definedName>
    <definedName name="RPSGandA">'[4]Financials(O)'!$E$11:$K$11</definedName>
    <definedName name="rre">#REF!</definedName>
    <definedName name="Rs_m">#REF!</definedName>
    <definedName name="RSAccountsPayable">#REF!</definedName>
    <definedName name="RSBasicDPS">#REF!</definedName>
    <definedName name="RSBasicEPS">#REF!</definedName>
    <definedName name="RSBasicShares">#REF!</definedName>
    <definedName name="RSBookIncomeTax">#REF!</definedName>
    <definedName name="RSCapitalExpenditure">#REF!</definedName>
    <definedName name="RSCash">#REF!</definedName>
    <definedName name="RSChangesinCommonStock">#REF!</definedName>
    <definedName name="RSChangesinLTDebt">#REF!</definedName>
    <definedName name="RSChangesinOtherEquity">#REF!</definedName>
    <definedName name="RSChangesinReservesandPremium">#REF!</definedName>
    <definedName name="RSChangesinSTDebt">#REF!</definedName>
    <definedName name="RSChangesinWorkingCapital">#REF!</definedName>
    <definedName name="RSCOGS">#REF!</definedName>
    <definedName name="RSCommonDividendsPaid">#REF!</definedName>
    <definedName name="RSCommonStock">#REF!</definedName>
    <definedName name="RSDepreciation">#REF!</definedName>
    <definedName name="rsf">#REF!</definedName>
    <definedName name="RSFullyDilutedCEPS">#REF!</definedName>
    <definedName name="RSFullyDilutedEPS">#REF!</definedName>
    <definedName name="RSInvestments">#REF!</definedName>
    <definedName name="RSLongTermDebt">#REF!</definedName>
    <definedName name="RSNetAssets">#REF!</definedName>
    <definedName name="RSNetFixedAssets">#REF!</definedName>
    <definedName name="RSNetInterest">#REF!</definedName>
    <definedName name="RSNetRevenue">#REF!</definedName>
    <definedName name="RSNetWorth">#REF!</definedName>
    <definedName name="RSNPAT">#REF!</definedName>
    <definedName name="RSOperatingProfit">#REF!</definedName>
    <definedName name="RSOtherEquity">#REF!</definedName>
    <definedName name="RSOtherIncome">#REF!</definedName>
    <definedName name="RSOtherLTAssets">#REF!</definedName>
    <definedName name="RSOtherLTLiabilities">#REF!</definedName>
    <definedName name="RSPretaxProfit">#REF!</definedName>
    <definedName name="RSReservesandPremium">#REF!</definedName>
    <definedName name="RSRetainedEarnings">#REF!</definedName>
    <definedName name="RSRONW">#REF!</definedName>
    <definedName name="RSSGandA">#REF!</definedName>
    <definedName name="RSShortTermDebt">#REF!</definedName>
    <definedName name="RSTotalAssets">#REF!</definedName>
    <definedName name="RSTotalCurrentAssets">#REF!</definedName>
    <definedName name="RSTotalCurrentLiabilities">#REF!</definedName>
    <definedName name="RSTotalDebt">#REF!</definedName>
    <definedName name="RSTotalEquity">#REF!</definedName>
    <definedName name="RSTOTALNETASSETS">#REF!</definedName>
    <definedName name="RsUSA12MMA">'[6]Alu-Sales'!$A$6:$AF$6</definedName>
    <definedName name="RsUSD12MMA">'[6]Alu-Sales'!$A$6:$AA$6</definedName>
    <definedName name="RsUSDSpot">'[6]Alu-Sales'!$A$5:$AB$5</definedName>
    <definedName name="RSYears">#REF!</definedName>
    <definedName name="rus" localSheetId="18">#REF!</definedName>
    <definedName name="rus" localSheetId="5">#REF!</definedName>
    <definedName name="rus">#REF!</definedName>
    <definedName name="rwc">#REF!</definedName>
    <definedName name="rwt">#REF!</definedName>
    <definedName name="sad">#REF!</definedName>
    <definedName name="saf">#REF!</definedName>
    <definedName name="sahreholders_equity_Q">#REF!</definedName>
    <definedName name="sal">#REF!</definedName>
    <definedName name="Sales">#REF!</definedName>
    <definedName name="Sales_Breakup">#REF!</definedName>
    <definedName name="SalesEnd">#REF!</definedName>
    <definedName name="SalesGrowth">'[4]Operating Statistics'!$J$56:$N$59</definedName>
    <definedName name="SalesPrice">'[4]Operating Statistics'!$J$20:$N$25</definedName>
    <definedName name="SalesPriceGrowth">'[4]Operating Statistics'!$J$68:$N$74</definedName>
    <definedName name="SalesStart">#REF!</definedName>
    <definedName name="SalesTax">'[39]Operating Statistics'!#REF!</definedName>
    <definedName name="SaleUnit" hidden="1">[17]Input!$K$156:$AC$156,[17]Input!$K$174:$AC$174,[17]Input!$K$192:$AC$192,[17]Input!$K$210:$AC$210,[17]Input!$K$228:$AC$228,[17]Input!$K$246:$AC$246,[17]Input!$K$264:$AC$264,[17]Input!$K$282:$AC$282</definedName>
    <definedName name="SaleVal">[10]Input!$K$294:$AA$294</definedName>
    <definedName name="SaleValue" hidden="1">[17]Input!$K$159:$AC$159,[17]Input!$K$177:$AC$177,[17]Input!$K$195:$AC$195,[17]Input!$K$213:$AC$213,[17]Input!$K$231:$AC$231,[17]Input!$K$249:$AC$249,[17]Input!$K$267:$AC$267,[17]Input!$K$285:$AC$285</definedName>
    <definedName name="SaleVol">[10]Input!$K$293:$AA$293</definedName>
    <definedName name="sampleprint">#REF!</definedName>
    <definedName name="sampleprint1">#REF!</definedName>
    <definedName name="Samples_used_for_launch">#REF!</definedName>
    <definedName name="sas">#REF!</definedName>
    <definedName name="SCapital">'[6]Alu-Balsheet'!$A$6:$V$6</definedName>
    <definedName name="SCrt">[13]Input!$K$88:$AA$88</definedName>
    <definedName name="ScrtDays">[10]Input!$K$89:$AA$89</definedName>
    <definedName name="SDAexpenses">'[6]Alu-P&amp;L'!$A$19:$W$19</definedName>
    <definedName name="SDbt">[10]Input!$K$81:$AA$81</definedName>
    <definedName name="SdbtDays">[10]Input!$K$82:$AA$82</definedName>
    <definedName name="secsplit">"Chart 3"</definedName>
    <definedName name="sector">[40]Input!$B$4</definedName>
    <definedName name="SECTORa">#REF!</definedName>
    <definedName name="SectorTable">#REF!</definedName>
    <definedName name="secured_loans">#REF!</definedName>
    <definedName name="SecuredDebt">'[6]Alu-Balsheet'!#REF!</definedName>
    <definedName name="Security_Deposit">[24]mAssmp!#REF!</definedName>
    <definedName name="SelExp">[10]Input!$K$517:$AA$517</definedName>
    <definedName name="SelExpSer" hidden="1">[13]Profile!$AR$5:$AR$12</definedName>
    <definedName name="Selling">#REF!</definedName>
    <definedName name="selling_admin_exp_Q">#REF!</definedName>
    <definedName name="SellingGeneralAdministration">'[15]Operating Statistics'!$J$133:$R$133</definedName>
    <definedName name="Sensex" localSheetId="18">[15]Introduction!$E$19</definedName>
    <definedName name="Sensex" localSheetId="5">[15]Introduction!$E$19</definedName>
    <definedName name="SENSEX">[4]Introduction!$D$16</definedName>
    <definedName name="SENSEXIndexed">'[15]Market Info'!$J$13:$J$412</definedName>
    <definedName name="SENSEXPrices">'[15]Market Info'!$G$13:$G$412</definedName>
    <definedName name="sensitivity" localSheetId="18"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sensitivity" localSheetId="5"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sensitivity"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Sfunds">'[6]Alu-Balsheet'!$A$8:$V$8</definedName>
    <definedName name="SGA">'[4]Operating Statistics'!#REF!</definedName>
    <definedName name="sga_expenses" localSheetId="18">#REF!</definedName>
    <definedName name="sga_expenses" localSheetId="5">#REF!</definedName>
    <definedName name="sga_expenses">[11]Template!$D$41:$T$41</definedName>
    <definedName name="SGandA">'[4]Cost Of Sales'!$H$32:$O$32</definedName>
    <definedName name="SGandA1">'[4]Cost Of Sales'!$H$32:$O$32</definedName>
    <definedName name="SGCInv">[10]Input!$K$58:$AA$58</definedName>
    <definedName name="SGCInvChg" hidden="1">[10]Input!$K$99:$AA$99</definedName>
    <definedName name="SH_CAP_RES1">#REF!</definedName>
    <definedName name="SH_CAP_RES2">#REF!</definedName>
    <definedName name="share_premium" localSheetId="18">#REF!</definedName>
    <definedName name="share_premium" localSheetId="5">#REF!</definedName>
    <definedName name="share_premium">[11]Template!$D$182:$T$182</definedName>
    <definedName name="Share_price" localSheetId="18">#REF!</definedName>
    <definedName name="Share_price" localSheetId="5">#REF!</definedName>
    <definedName name="Share_price">#REF!</definedName>
    <definedName name="shareholder">#REF!</definedName>
    <definedName name="shareholders_equity" localSheetId="18">#REF!</definedName>
    <definedName name="shareholders_equity" localSheetId="5">#REF!</definedName>
    <definedName name="shareholders_equity">[11]Template!$D$188:$T$188</definedName>
    <definedName name="ShareholdersEquity" localSheetId="18">'[15]Financials '!$J$120:$R$120</definedName>
    <definedName name="ShareholdersEquity" localSheetId="5">'[15]Financials '!$J$120:$R$120</definedName>
    <definedName name="ShareholdersEquity">[4]Financials!$C$117:$K$117</definedName>
    <definedName name="SharePrice">[6]Summary!$J$4</definedName>
    <definedName name="shares" localSheetId="18">[15]Introduction!$E$21</definedName>
    <definedName name="shares" localSheetId="5">[15]Introduction!$E$21</definedName>
    <definedName name="Shares">[4]Introduction!$D$35</definedName>
    <definedName name="Shares_o_s_at_year_end">#REF!</definedName>
    <definedName name="shares_outstanding_Q">#REF!</definedName>
    <definedName name="Shares_wt._avg_for_the_year">#REF!</definedName>
    <definedName name="SharesOutstanding">[4]Introduction!$D$35</definedName>
    <definedName name="short_debt">#REF!</definedName>
    <definedName name="Short_Flow_Data">#REF!</definedName>
    <definedName name="short_term_debt" localSheetId="18">#REF!</definedName>
    <definedName name="short_term_debt" localSheetId="5">#REF!</definedName>
    <definedName name="short_term_debt">[11]Template!$D$114:$T$114</definedName>
    <definedName name="ShortTermDebt" localSheetId="18">'[21]Financials '!$J$150:$R$150</definedName>
    <definedName name="ShortTermDebt" localSheetId="5">'[21]Financials '!$J$150:$R$150</definedName>
    <definedName name="ShortTermDebt">'[4]Financials(O)'!$F$149:$J$149</definedName>
    <definedName name="ShOutst">[10]Capital!$K$7:$AA$7</definedName>
    <definedName name="ShPrm">[10]Input!$K$36:$AA$36</definedName>
    <definedName name="ShPrmChg" hidden="1">[10]Input!$K$47:$AA$47</definedName>
    <definedName name="sixmths_end">#REF!</definedName>
    <definedName name="SodaAsh">'[6]Alu-RawM'!$A$83:$AA$83</definedName>
    <definedName name="software">#REF!</definedName>
    <definedName name="SOL_PHARMACEUTICALS">#REF!</definedName>
    <definedName name="solver_cvg" localSheetId="20" hidden="1">0.0001</definedName>
    <definedName name="solver_drv" localSheetId="20" hidden="1">1</definedName>
    <definedName name="solver_eng" localSheetId="20" hidden="1">1</definedName>
    <definedName name="solver_est" localSheetId="20" hidden="1">1</definedName>
    <definedName name="solver_itr" localSheetId="20" hidden="1">2147483647</definedName>
    <definedName name="solver_mip" localSheetId="20" hidden="1">2147483647</definedName>
    <definedName name="solver_mni" localSheetId="20" hidden="1">30</definedName>
    <definedName name="solver_mrt" localSheetId="20" hidden="1">0.075</definedName>
    <definedName name="solver_msl" localSheetId="20" hidden="1">2</definedName>
    <definedName name="solver_neg" localSheetId="20" hidden="1">1</definedName>
    <definedName name="solver_nod" localSheetId="20" hidden="1">2147483647</definedName>
    <definedName name="solver_num" localSheetId="20" hidden="1">0</definedName>
    <definedName name="solver_nwt" localSheetId="20" hidden="1">1</definedName>
    <definedName name="solver_pre" localSheetId="20" hidden="1">0.000001</definedName>
    <definedName name="solver_rbv" localSheetId="20" hidden="1">1</definedName>
    <definedName name="solver_rlx" localSheetId="20" hidden="1">2</definedName>
    <definedName name="solver_rsd" localSheetId="20" hidden="1">0</definedName>
    <definedName name="solver_scl" localSheetId="20" hidden="1">1</definedName>
    <definedName name="solver_sho" localSheetId="20" hidden="1">2</definedName>
    <definedName name="solver_ssz" localSheetId="20" hidden="1">100</definedName>
    <definedName name="solver_tim" localSheetId="20" hidden="1">2147483647</definedName>
    <definedName name="solver_tol" localSheetId="20" hidden="1">0.01</definedName>
    <definedName name="solver_typ" localSheetId="20" hidden="1">3</definedName>
    <definedName name="solver_ver" localSheetId="20" hidden="1">3</definedName>
    <definedName name="sps">#REF!</definedName>
    <definedName name="st_debt_foreign" localSheetId="18">#REF!</definedName>
    <definedName name="st_debt_foreign" localSheetId="5">#REF!</definedName>
    <definedName name="st_debt_foreign">[11]Template!$D$120:$T$120</definedName>
    <definedName name="st_debt_lease_financing" localSheetId="18">#REF!</definedName>
    <definedName name="st_debt_lease_financing" localSheetId="5">#REF!</definedName>
    <definedName name="st_debt_lease_financing">[11]Template!$D$164:$T$164</definedName>
    <definedName name="statutory_rate_of_tax" localSheetId="18">#REF!</definedName>
    <definedName name="statutory_rate_of_tax" localSheetId="5">#REF!</definedName>
    <definedName name="statutory_rate_of_tax">[11]Template!$D$355:$T$355</definedName>
    <definedName name="StDebt">[10]Debt!$K$150:$AA$150</definedName>
    <definedName name="StDebtChg" hidden="1">[10]Debt!$K$258:$AA$258</definedName>
    <definedName name="StDebtDmy" hidden="1">[17]Debt!$A$57:$IV$57,[17]Debt!$A$103:$IV$103,[17]Debt!$A$149:$IV$149,[17]Debt!$A$197:$IV$197,[17]Debt!$A$242:$IV$242</definedName>
    <definedName name="STDebtSer" hidden="1">[13]Profile!$BK$5:$BK$12</definedName>
    <definedName name="SteamCoal">'[6]Alu-RawM'!$A$75:$AB$75</definedName>
    <definedName name="StInt">[13]Debt!$K$243:$AA$243</definedName>
    <definedName name="stock_adj_Q">#REF!</definedName>
    <definedName name="stock_adjustment">#REF!</definedName>
    <definedName name="Stock_changes">#REF!</definedName>
    <definedName name="STOCK_DRS_CASH">#REF!</definedName>
    <definedName name="StockAdjustment">'[4]Cost Of Sales'!$A$279:$O$302</definedName>
    <definedName name="STOCKS">#REF!</definedName>
    <definedName name="stores">'[6]Alu-P&amp;L'!$A$15:$X$15</definedName>
    <definedName name="StressScore">#REF!</definedName>
    <definedName name="StressTest">#REF!</definedName>
    <definedName name="SurpCashflow">'[6]Alu-cashflow'!$A$17:$AU$17</definedName>
    <definedName name="swa">#REF!</definedName>
    <definedName name="SwitchStock">#REF!</definedName>
    <definedName name="swl">#REF!</definedName>
    <definedName name="sws">#REF!</definedName>
    <definedName name="tad">[6]Database!$P$152</definedName>
    <definedName name="TariffInstMUM">#REF!</definedName>
    <definedName name="TariffInterSTDMUM">#REF!</definedName>
    <definedName name="TariffIntraSTDMUM">#REF!</definedName>
    <definedName name="TariffIntraStdROM">'[41]Tariff ROM and Mum'!#REF!</definedName>
    <definedName name="TariffISDMUM">#REF!</definedName>
    <definedName name="TariffLocalDataMUM">#REF!</definedName>
    <definedName name="TariffLocalDataROM">'[41]Tariff ROM and Mum'!#REF!</definedName>
    <definedName name="TariffLocalVoiceMUM">#REF!</definedName>
    <definedName name="TariffRentalMUM">#REF!</definedName>
    <definedName name="tax">#REF!</definedName>
    <definedName name="tax_burden">'[12]Annual Temp'!#REF!</definedName>
    <definedName name="tax_on_dividend_paid" localSheetId="18">#REF!</definedName>
    <definedName name="tax_on_dividend_paid" localSheetId="5">#REF!</definedName>
    <definedName name="tax_on_dividend_paid">[11]Template!$D$58:$T$58</definedName>
    <definedName name="tax_on_non_recurring_items" localSheetId="18">#REF!</definedName>
    <definedName name="tax_on_non_recurring_items" localSheetId="5">#REF!</definedName>
    <definedName name="tax_on_non_recurring_items">[11]Template!$D$71:$T$71</definedName>
    <definedName name="tax_payable" localSheetId="18">#REF!</definedName>
    <definedName name="tax_payable" localSheetId="5">#REF!</definedName>
    <definedName name="tax_payable">[11]Template!$D$165:$T$165</definedName>
    <definedName name="tax_provided" localSheetId="18">#REF!</definedName>
    <definedName name="tax_provided" localSheetId="5">#REF!</definedName>
    <definedName name="tax_provided">[11]Template!$D$24:$T$24</definedName>
    <definedName name="tax_provided_Q">#REF!</definedName>
    <definedName name="tax_provision">#REF!</definedName>
    <definedName name="tax_rate" localSheetId="18">#REF!</definedName>
    <definedName name="tax_rate" localSheetId="5">#REF!</definedName>
    <definedName name="tax_rate">[11]Template!$D$272:$T$272</definedName>
    <definedName name="TaxPaid">'[6]Alu-cashflow'!$A$11:$AS$11</definedName>
    <definedName name="TaxProvision">'[6]Alu-P&amp;L'!$B$34:$P$34</definedName>
    <definedName name="TaxRate">[30]Financials1!#REF!</definedName>
    <definedName name="Tc">'[16]DCF Valuation'!$B$4</definedName>
    <definedName name="tci" localSheetId="18">[6]Database!$A$120:$IV$120</definedName>
    <definedName name="tci" localSheetId="5">[6]Database!$A$120:$IV$120</definedName>
    <definedName name="tci">#REF!</definedName>
    <definedName name="tcs" localSheetId="18">[6]Database!$A$125:$IV$125</definedName>
    <definedName name="tcs" localSheetId="5">[6]Database!$A$125:$IV$125</definedName>
    <definedName name="tcs">#REF!</definedName>
    <definedName name="Technical">#REF!</definedName>
    <definedName name="temp1">#REF!</definedName>
    <definedName name="tev" localSheetId="18">[6]Database!$A$123:$IV$123</definedName>
    <definedName name="tev" localSheetId="5">[6]Database!$A$123:$IV$123</definedName>
    <definedName name="tev">#REF!</definedName>
    <definedName name="Tevanal_contract">#REF!</definedName>
    <definedName name="tfc">#REF!</definedName>
    <definedName name="tfd">#REF!</definedName>
    <definedName name="tfo">#REF!</definedName>
    <definedName name="tfr">#REF!</definedName>
    <definedName name="tin" localSheetId="18">#REF!</definedName>
    <definedName name="tin" localSheetId="5">#REF!</definedName>
    <definedName name="tin">#REF!</definedName>
    <definedName name="tnd" localSheetId="18">#REF!</definedName>
    <definedName name="tnd" localSheetId="5">#REF!</definedName>
    <definedName name="tnd">#REF!</definedName>
    <definedName name="total">[20]Template!$P$228</definedName>
    <definedName name="total_amortisation" localSheetId="18">#REF!</definedName>
    <definedName name="total_amortisation" localSheetId="5">#REF!</definedName>
    <definedName name="total_amortisation">[11]Template!$D$55:$T$55</definedName>
    <definedName name="total_appropriation">#REF!</definedName>
    <definedName name="total_assets" localSheetId="18">#REF!</definedName>
    <definedName name="total_assets" localSheetId="5">#REF!</definedName>
    <definedName name="total_assets">[11]Template!$D$161:$T$161</definedName>
    <definedName name="total_assets_avg" localSheetId="18">#REF!</definedName>
    <definedName name="total_assets_avg" localSheetId="5">#REF!</definedName>
    <definedName name="total_assets_avg">[11]Template!$D$211:$T$211</definedName>
    <definedName name="total_capex" localSheetId="18">#REF!</definedName>
    <definedName name="total_capex" localSheetId="5">#REF!</definedName>
    <definedName name="total_capex">[11]Template!$D$136:$T$136</definedName>
    <definedName name="total_current_assets" localSheetId="18">#REF!</definedName>
    <definedName name="total_current_assets" localSheetId="5">#REF!</definedName>
    <definedName name="total_current_assets">[11]Template!$D$150:$T$150</definedName>
    <definedName name="total_current_liabilities" localSheetId="18">#REF!</definedName>
    <definedName name="total_current_liabilities" localSheetId="5">#REF!</definedName>
    <definedName name="total_current_liabilities">[11]Template!$D$168:$T$168</definedName>
    <definedName name="total_debt" localSheetId="18">#REF!</definedName>
    <definedName name="total_debt" localSheetId="5">#REF!</definedName>
    <definedName name="total_debt">[11]Template!$D$116:$T$116</definedName>
    <definedName name="total_depreciation" localSheetId="18">#REF!</definedName>
    <definedName name="total_depreciation" localSheetId="5">#REF!</definedName>
    <definedName name="total_depreciation">[11]Template!$D$52:$T$52</definedName>
    <definedName name="total_enterprise_value" localSheetId="18">#REF!</definedName>
    <definedName name="total_enterprise_value" localSheetId="5">#REF!</definedName>
    <definedName name="total_enterprise_value">[11]Template!$D$223:$T$223</definedName>
    <definedName name="total_equity_liabilities" localSheetId="18">#REF!</definedName>
    <definedName name="total_equity_liabilities" localSheetId="5">#REF!</definedName>
    <definedName name="total_equity_liabilities">[11]Template!$D$191:$T$191</definedName>
    <definedName name="total_income" localSheetId="18">#REF!</definedName>
    <definedName name="total_income" localSheetId="5">#REF!</definedName>
    <definedName name="total_income">[11]Template!$D$10:$T$10</definedName>
    <definedName name="total_income_Q">#REF!</definedName>
    <definedName name="total_intangible_fixed_assets" localSheetId="18">#REF!</definedName>
    <definedName name="total_intangible_fixed_assets" localSheetId="5">#REF!</definedName>
    <definedName name="total_intangible_fixed_assets">[11]Template!$D$206:$T$206</definedName>
    <definedName name="total_liabilities" localSheetId="18">#REF!</definedName>
    <definedName name="total_liabilities" localSheetId="5">#REF!</definedName>
    <definedName name="total_liabilities">[11]Template!$D$180:$T$180</definedName>
    <definedName name="total_non_current_assets" localSheetId="18">#REF!</definedName>
    <definedName name="total_non_current_assets" localSheetId="5">#REF!</definedName>
    <definedName name="total_non_current_assets">[11]Template!$D$160:$T$160</definedName>
    <definedName name="total_non_current_liabilities" localSheetId="18">#REF!</definedName>
    <definedName name="total_non_current_liabilities" localSheetId="5">#REF!</definedName>
    <definedName name="total_non_current_liabilities">[11]Template!$D$179:$T$179</definedName>
    <definedName name="total_operating_cash_flow" localSheetId="18">#REF!</definedName>
    <definedName name="total_operating_cash_flow" localSheetId="5">#REF!</definedName>
    <definedName name="total_operating_cash_flow">[11]Template!$D$129:$T$129</definedName>
    <definedName name="total_operating_expenses" localSheetId="18">#REF!</definedName>
    <definedName name="total_operating_expenses" localSheetId="5">#REF!</definedName>
    <definedName name="total_operating_expenses">[11]Template!$D$48:$T$48</definedName>
    <definedName name="total_shareholders_equity" localSheetId="18">#REF!</definedName>
    <definedName name="total_shareholders_equity" localSheetId="5">#REF!</definedName>
    <definedName name="total_shareholders_equity">[11]Template!$D$190:$T$190</definedName>
    <definedName name="total_shareholders_equity_avg" localSheetId="18">#REF!</definedName>
    <definedName name="total_shareholders_equity_avg" localSheetId="5">#REF!</definedName>
    <definedName name="total_shareholders_equity_avg">[11]Template!$D$212:$T$212</definedName>
    <definedName name="total_tangible_fixed_assets" localSheetId="18">#REF!</definedName>
    <definedName name="total_tangible_fixed_assets" localSheetId="5">#REF!</definedName>
    <definedName name="total_tangible_fixed_assets">[11]Template!$D$202:$T$202</definedName>
    <definedName name="total_tax">#REF!</definedName>
    <definedName name="total_tax_paid" localSheetId="18">#REF!</definedName>
    <definedName name="total_tax_paid" localSheetId="5">#REF!</definedName>
    <definedName name="total_tax_paid">[11]Template!$D$89:$T$89</definedName>
    <definedName name="TotalAssets" localSheetId="18">'Monthly Volume Trend'!CapitalEmployed+'Monthly Volume Trend'!CurrentLiab</definedName>
    <definedName name="TotalAssets" localSheetId="7">[0]!CapitalEmployed+[0]!CurrentLiab</definedName>
    <definedName name="TotalAssets" localSheetId="5">Uploader!CapitalEmployed+Uploader!CurrentLiab</definedName>
    <definedName name="TotalAssets">[0]!CapitalEmployed+[0]!CurrentLiab</definedName>
    <definedName name="TotalAssetsNet" localSheetId="18">'[15]Capex &amp; Depreciation'!$N$111:$R$111</definedName>
    <definedName name="TotalAssetsNet" localSheetId="5">'[15]Capex &amp; Depreciation'!$N$111:$R$111</definedName>
    <definedName name="TotalAssetsNet">'[4]Capex &amp; Depreciation '!$L$137:$P$137</definedName>
    <definedName name="TotalChangesInWorkingCapital" localSheetId="18">'[15]Financials '!$J$79:$R$79</definedName>
    <definedName name="TotalChangesInWorkingCapital" localSheetId="5">'[15]Financials '!$J$79:$R$79</definedName>
    <definedName name="TotalChangesInWorkingCapital">[4]Financials!$C$77:$K$77</definedName>
    <definedName name="TotalCurrentAssets" localSheetId="18">'[15]Financials '!$J$104:$R$104</definedName>
    <definedName name="TotalCurrentAssets" localSheetId="5">'[15]Financials '!$J$104:$R$104</definedName>
    <definedName name="TotalCurrentAssets">[4]Financials!$C$101:$K$101</definedName>
    <definedName name="TotalCurrentLiabilities" localSheetId="18">'[15]Financials '!$J$112:$R$112</definedName>
    <definedName name="TotalCurrentLiabilities" localSheetId="5">'[15]Financials '!$J$112:$R$112</definedName>
    <definedName name="TotalCurrentLiabilities">[4]Financials!$C$108:$K$108</definedName>
    <definedName name="TotalDebt" localSheetId="18">#REF!</definedName>
    <definedName name="TotalDebt" localSheetId="5">#REF!</definedName>
    <definedName name="TotalDebt">#N/A</definedName>
    <definedName name="TotalFixedAssets">'[6]Alu-Balsheet'!$A$24:$AB$24</definedName>
    <definedName name="TotalRawMaterialCost">'[4]Cost Of Sales'!$H$72:$M$72</definedName>
    <definedName name="TotAst">[13]Formats!$K$80:$AA$80</definedName>
    <definedName name="TotDebt">[10]Debt!$K$152:$AA$152</definedName>
    <definedName name="TotEqShAd">[13]Capital!$K$51:$AA$51</definedName>
    <definedName name="TotLia">[13]Formats!$K$67:$AA$67</definedName>
    <definedName name="Traffic_Distrbution">[24]mAssmp!#REF!</definedName>
    <definedName name="tre" localSheetId="18">[6]Database!$A$126:$IV$126</definedName>
    <definedName name="tre" localSheetId="5">[6]Database!$A$126:$IV$126</definedName>
    <definedName name="tre">#REF!</definedName>
    <definedName name="tuna">#REF!</definedName>
    <definedName name="twr">[42]Cobook!#REF!</definedName>
    <definedName name="tzs">[6]Database!$A$127:$IV$127</definedName>
    <definedName name="unadj._shares" localSheetId="18">#REF!</definedName>
    <definedName name="unadj._shares" localSheetId="5">#REF!</definedName>
    <definedName name="unadj._shares">[11]Template!$D$32:$T$32</definedName>
    <definedName name="Units" localSheetId="18">[15]Introduction!$E$15</definedName>
    <definedName name="Units" localSheetId="5">[15]Introduction!$E$15</definedName>
    <definedName name="Units">[4]Introduction!$E$17</definedName>
    <definedName name="UnitSales">'[4]Operating Statistics'!$J$7:$N$13</definedName>
    <definedName name="unsecured_loans">#REF!</definedName>
    <definedName name="UnsecuredDebt">'[6]Alu-Balsheet'!#REF!</definedName>
    <definedName name="Update" localSheetId="18">[15]Introduction!$E$10</definedName>
    <definedName name="Update" localSheetId="5">[15]Introduction!$E$10</definedName>
    <definedName name="Update">[4]Introduction!$E$11</definedName>
    <definedName name="UsageCorpIntraSTDROM">'[41]Usage - ROM'!#REF!</definedName>
    <definedName name="UsageCorpLocalDataROM">'[41]Usage - ROM'!#REF!</definedName>
    <definedName name="UsagePCOIntraSTDROM">'[41]Usage - ROM'!#REF!</definedName>
    <definedName name="UsagePCOLocaldataROM">'[41]Usage - ROM'!#REF!</definedName>
    <definedName name="UsageResIntraSTDRom">'[41]Usage - ROM'!#REF!</definedName>
    <definedName name="UsageResLocalDataROM">'[41]Usage - ROM'!#REF!</definedName>
    <definedName name="UsageSMEIntraSTDROM">'[41]Usage - ROM'!#REF!</definedName>
    <definedName name="UsageSMELocalDataROM">'[41]Usage - ROM'!#REF!</definedName>
    <definedName name="USDrate">[6]Summary!$L$2</definedName>
    <definedName name="Util">#REF!</definedName>
    <definedName name="UtilCap" hidden="1">[17]Input!$K$153:$AC$153,[17]Input!$K$171:$AC$171,[17]Input!$K$189:$AC$189,[17]Input!$K$207:$AC$207,[17]Input!$K$225:$AC$225,[17]Input!$K$243:$AC$243,[17]Input!$K$261:$AC$261,[17]Input!$K$279:$AC$279</definedName>
    <definedName name="UtilProd" hidden="1">[17]Input!$K$152:$AC$152,[17]Input!$K$170:$AC$170,[17]Input!$K$188:$AC$188,[17]Input!$K$206:$AC$206,[17]Input!$K$224:$AC$224,[17]Input!$K$242:$AC$242,[17]Input!$K$260:$AC$260,[17]Input!$K$278:$AC$278</definedName>
    <definedName name="vae" localSheetId="18">#REF!</definedName>
    <definedName name="vae" localSheetId="5">#REF!</definedName>
    <definedName name="vae">#REF!</definedName>
    <definedName name="vag">#REF!</definedName>
    <definedName name="val" localSheetId="18">#REF!</definedName>
    <definedName name="val" localSheetId="5">#REF!</definedName>
    <definedName name="VAL">#REF!</definedName>
    <definedName name="Valuation">#REF!</definedName>
    <definedName name="value_of_non_core_assets" localSheetId="18">#REF!</definedName>
    <definedName name="value_of_non_core_assets" localSheetId="5">#REF!</definedName>
    <definedName name="value_of_non_core_assets">[11]Template!$D$224:$T$224</definedName>
    <definedName name="VarExp">[13]Formats!$K$129:$AA$129</definedName>
    <definedName name="Variable">'[6]Alu-P&amp;L'!#REF!</definedName>
    <definedName name="VarNames">#REF!</definedName>
    <definedName name="VARS">#REF!</definedName>
    <definedName name="vay" localSheetId="18">#REF!</definedName>
    <definedName name="vay" localSheetId="5">#REF!</definedName>
    <definedName name="vay">#REF!</definedName>
    <definedName name="vbv">#REF!</definedName>
    <definedName name="vce">#REF!</definedName>
    <definedName name="vcf">#REF!</definedName>
    <definedName name="vcp">#REF!</definedName>
    <definedName name="vdp">#REF!</definedName>
    <definedName name="veb">#REF!</definedName>
    <definedName name="veg">#REF!</definedName>
    <definedName name="vep">#REF!</definedName>
    <definedName name="Version">[36]Profile!$H$12</definedName>
    <definedName name="vev" localSheetId="18">#REF!</definedName>
    <definedName name="vev" localSheetId="5">#REF!</definedName>
    <definedName name="vev">#REF!</definedName>
    <definedName name="vey" localSheetId="18">#REF!</definedName>
    <definedName name="vey" localSheetId="5">#REF!</definedName>
    <definedName name="vey">#REF!</definedName>
    <definedName name="vfa">#REF!</definedName>
    <definedName name="via">#REF!</definedName>
    <definedName name="vio">#REF!</definedName>
    <definedName name="vmc">#REF!</definedName>
    <definedName name="vmh">#REF!</definedName>
    <definedName name="vmv">#REF!</definedName>
    <definedName name="vnd">#REF!</definedName>
    <definedName name="VolAl">'[6]Alu-Sales'!$A$147:$Z$147</definedName>
    <definedName name="VolAlF3">'[6]Alu-RawM'!$A$46:$AA$46</definedName>
    <definedName name="VolAlu">'[6]Alu-Sales'!$A$147:$Z$147</definedName>
    <definedName name="VolAlumina">'[6]Alu-RawM'!$A$6:$X$6</definedName>
    <definedName name="VolBauxite">'[6]Alu-RawM'!$A$13:$Y$13</definedName>
    <definedName name="VolBillets">'[6]Alu-Sales'!$A$34:$AE$34</definedName>
    <definedName name="VolConductor">'[6]Alu-Sales'!$A$96:$Z$96</definedName>
    <definedName name="VolConversion">'[6]Alu-Sales'!$A$138:$AC$138</definedName>
    <definedName name="VolCPCoke">'[6]Alu-RawM'!$A$31:$Y$31</definedName>
    <definedName name="VolCRRods">'[6]Alu-Sales'!$A$96:$Z$96</definedName>
    <definedName name="VolCSoda">'[6]Alu-RawM'!$A$22:$Y$22</definedName>
    <definedName name="VolCTPitch">'[6]Alu-RawM'!$A$39:$W$39</definedName>
    <definedName name="VolExtrusion">'[6]Alu-Sales'!$A$82:$AE$82</definedName>
    <definedName name="VolFoil">'[6]Alu-Sales'!$A$115:$AD$115</definedName>
    <definedName name="VolFuelOil">'[6]Alu-RawM'!$A$64:$AD$64</definedName>
    <definedName name="VolIngots">'[6]Alu-Sales'!$A$33:$AC$33</definedName>
    <definedName name="VolMetal">'[6]Alu-Sales'!$A$38:$AD$38</definedName>
    <definedName name="VolPower">'[6]Alu-Costs'!$A$61:$Y$61</definedName>
    <definedName name="VolPowerCaptive">'[6]Alu-Costs'!$A$30:$AA$30</definedName>
    <definedName name="VolPowerCoGen">'[6]Alu-Costs'!$A$28:$AA$28</definedName>
    <definedName name="VolPowerJV">'[6]Alu-Costs'!$A$28:$AA$28</definedName>
    <definedName name="VolPowerOwn">'[6]Alu-Costs'!$A$35:$Y$35</definedName>
    <definedName name="VolPowerPurchased">'[6]Alu-Costs'!$A$44:$Z$44</definedName>
    <definedName name="VolRedraw">'[6]Alu-Sales'!$A$96:$Z$96</definedName>
    <definedName name="VolRods">'[6]Alu-Sales'!$A$96:$Z$96</definedName>
    <definedName name="VolRolled">'[6]Alu-Sales'!$A$63:$AA$63</definedName>
    <definedName name="VolSodaAsh">'[6]Alu-RawM'!$A$79:$Z$79</definedName>
    <definedName name="VolSteamCoal">'[6]Alu-RawM'!$A$71:$W$71</definedName>
    <definedName name="Volume" localSheetId="18">'[15]Market Info'!$F$13:$F$412</definedName>
    <definedName name="Volume" localSheetId="5">'[15]Market Info'!$F$13:$F$412</definedName>
    <definedName name="Volume">#REF!</definedName>
    <definedName name="Volume1">#REF!</definedName>
    <definedName name="VolValueAdded">'[6]Alu-Sales'!$A1:$AA1</definedName>
    <definedName name="VolValueAddes">'[6]Alu-Sales'!$A1:$AA1</definedName>
    <definedName name="VolVanadium">'[6]Alu-Sales'!$A$155:$Y$155</definedName>
    <definedName name="vpa">#REF!</definedName>
    <definedName name="vpc">#REF!</definedName>
    <definedName name="vpe">#REF!</definedName>
    <definedName name="vpi">#REF!</definedName>
    <definedName name="vpw">#REF!</definedName>
    <definedName name="vpx">#REF!</definedName>
    <definedName name="vrn">#REF!</definedName>
    <definedName name="vsp" localSheetId="18">#REF!</definedName>
    <definedName name="vsp" localSheetId="5">#REF!</definedName>
    <definedName name="vsp">#REF!</definedName>
    <definedName name="vva">#REF!</definedName>
    <definedName name="w" localSheetId="7" hidden="1">{"quarterly",#N/A,FALSE,"Income Statement";#N/A,#N/A,FALSE,"print segment";#N/A,#N/A,FALSE,"Balance Sheet";#N/A,#N/A,FALSE,"Annl Inc";#N/A,#N/A,FALSE,"Cash Flow"}</definedName>
    <definedName name="w" hidden="1">{"quarterly",#N/A,FALSE,"Income Statement";#N/A,#N/A,FALSE,"print segment";#N/A,#N/A,FALSE,"Balance Sheet";#N/A,#N/A,FALSE,"Annl Inc";#N/A,#N/A,FALSE,"Cash Flow"}</definedName>
    <definedName name="WACC" localSheetId="18">[13]Formats!$K$171:$AA$171</definedName>
    <definedName name="WACC" localSheetId="5">[13]Formats!$K$171:$AA$171</definedName>
    <definedName name="wacc">[11]Template!$D$299:$T$299</definedName>
    <definedName name="WAEqSh">[10]Capital!$K$19:$AA$19</definedName>
    <definedName name="WAvShares">#REF!</definedName>
    <definedName name="WCDays">[10]Debt!$K$255:$AA$255</definedName>
    <definedName name="WeightedAverageEPS" localSheetId="18">'[15]Financials '!$J$29:$R$29</definedName>
    <definedName name="WeightedAverageEPS" localSheetId="5">'[15]Financials '!$J$29:$R$29</definedName>
    <definedName name="WeightedAverageEPS">[4]Financials!$C$28:$K$28</definedName>
    <definedName name="WeightedAverageShares" localSheetId="18">'[15]Financials '!$J$35:$R$35</definedName>
    <definedName name="WeightedAverageShares" localSheetId="5">'[15]Financials '!$J$35:$R$35</definedName>
    <definedName name="WeightedAverageShares">[4]Financials!$C$34:$K$34</definedName>
    <definedName name="WeightedPEx">#REF!</definedName>
    <definedName name="Whiteware">[16]Group!#REF!</definedName>
    <definedName name="WLIN1">'[43]P&amp;L'!$A$108:$H$114</definedName>
    <definedName name="WLIN2">'[43]P&amp;L'!$A$126:$F$146</definedName>
    <definedName name="WLINE">'[43]P&amp;L'!$A$7:$H$69</definedName>
    <definedName name="working">[20]Template!$P$191</definedName>
    <definedName name="working_capital" localSheetId="18">#REF!</definedName>
    <definedName name="working_capital" localSheetId="5">#REF!</definedName>
    <definedName name="working_capital">[11]Template!$D$209:$T$209</definedName>
    <definedName name="WorkingCapital">'[6]Alu-Balsheet'!#REF!</definedName>
    <definedName name="Write_back__others">#REF!</definedName>
    <definedName name="WriteBacks">'[6]Alu-P&amp;L'!$A$117:$R$117</definedName>
    <definedName name="wrn.1." localSheetId="7" hidden="1">{#N/A,#N/A,FALSE,"Scenario Summary"}</definedName>
    <definedName name="wrn.1." hidden="1">{#N/A,#N/A,FALSE,"Scenario Summary"}</definedName>
    <definedName name="wrn.All." localSheetId="18"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 localSheetId="7"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 localSheetId="5"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Complete._.Report." localSheetId="18"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wrn.Complete._.Report." localSheetId="7"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wrn.Complete._.Report." localSheetId="5"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wrn.Complete._.Report."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wrn.CompleteReport." localSheetId="18"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wrn.CompleteReport." localSheetId="7"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wrn.CompleteReport." localSheetId="5"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wrn.CompleteReport." hidden="1">{"A",#N/A,FALSE,"Scenario Control";"A",#N/A,FALSE,"Executive Summary";"A",#N/A,FALSE,"P&amp;L";"B",#N/A,FALSE,"P&amp;L";"A",#N/A,FALSE,"BalanceSheet";"B",#N/A,FALSE,"BalanceSheet";"A",#N/A,FALSE,"CashFlow";"A",#N/A,FALSE,"Ratios";"A",#N/A,FALSE,"DCF";"A",#N/A,FALSE,"WACC";"A",#N/A,FALSE,"P&amp;VAssumpts";"A",#N/A,FALSE,"Depr-Capex";"A",#N/A,FALSE,"SHF";"A",#N/A,FALSE,"Debt";"A",#N/A,FALSE,"Working Capital";"A",#N/A,FALSE,"Other Assumptions";"A",#N/A,FALSE,"Regulated Price";"B",#N/A,FALSE,"Regulated Price";"A",#N/A,FALSE,"BG Investment";"A",#N/A,FALSE,"Appendix"}</definedName>
    <definedName name="wrn.Earnings._.Model." localSheetId="7"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Full._.Financials." localSheetId="18" hidden="1">{#N/A,#N/A,TRUE,"Financials";#N/A,#N/A,TRUE,"Operating Statistics";#N/A,#N/A,TRUE,"Capex &amp; Depreciation";#N/A,#N/A,TRUE,"Debt"}</definedName>
    <definedName name="wrn.Full._.Financials." localSheetId="7" hidden="1">{#N/A,#N/A,TRUE,"Financials";#N/A,#N/A,TRUE,"Operating Statistics";#N/A,#N/A,TRUE,"Capex &amp; Depreciation";#N/A,#N/A,TRUE,"Debt"}</definedName>
    <definedName name="wrn.Full._.Financials." localSheetId="5" hidden="1">{#N/A,#N/A,TRUE,"Financials";#N/A,#N/A,TRUE,"Operating Statistics";#N/A,#N/A,TRUE,"Capex &amp; Depreciation";#N/A,#N/A,TRUE,"Debt"}</definedName>
    <definedName name="wrn.Full._.Financials." hidden="1">{#N/A,#N/A,TRUE,"Financials";#N/A,#N/A,TRUE,"Operating Statistics";#N/A,#N/A,TRUE,"Capex &amp; Depreciation";#N/A,#N/A,TRUE,"Debt"}</definedName>
    <definedName name="wrn.handout." localSheetId="7" hidden="1">{"quarterly",#N/A,FALSE,"Income Statement New CPB";"annual",#N/A,FALSE,"Income Statement New CPB";"cash flow",#N/A,FALSE,"Cash Flow";"balance",#N/A,FALSE,"Balance Sheet";"seg",#N/A,FALSE,"New Segment Breakout"}</definedName>
    <definedName name="wrn.handout." hidden="1">{"quarterly",#N/A,FALSE,"Income Statement New CPB";"annual",#N/A,FALSE,"Income Statement New CPB";"cash flow",#N/A,FALSE,"Cash Flow";"balance",#N/A,FALSE,"Balance Sheet";"seg",#N/A,FALSE,"New Segment Breakout"}</definedName>
    <definedName name="wrn.market._.share." localSheetId="7" hidden="1">{#N/A,#N/A,FALSE,"Bestfoods";#N/A,#N/A,FALSE,"Campbell";#N/A,#N/A,FALSE,"ConAgra";#N/A,#N/A,FALSE,"Healthy Choice";#N/A,#N/A,FALSE,"Int'l Home Foods";#N/A,#N/A,FALSE,"General Mills";#N/A,#N/A,FALSE,"Heinz";#N/A,#N/A,FALSE,"Kellogg";#N/A,#N/A,FALSE,"Kraft";#N/A,#N/A,FALSE,"Nabisco";#N/A,#N/A,FALSE,"Quaker Oats";#N/A,#N/A,FALSE,"Sara Lee";#N/A,#N/A,FALSE,"print summary"}</definedName>
    <definedName name="wrn.market._.share." hidden="1">{#N/A,#N/A,FALSE,"Bestfoods";#N/A,#N/A,FALSE,"Campbell";#N/A,#N/A,FALSE,"ConAgra";#N/A,#N/A,FALSE,"Healthy Choice";#N/A,#N/A,FALSE,"Int'l Home Foods";#N/A,#N/A,FALSE,"General Mills";#N/A,#N/A,FALSE,"Heinz";#N/A,#N/A,FALSE,"Kellogg";#N/A,#N/A,FALSE,"Kraft";#N/A,#N/A,FALSE,"Nabisco";#N/A,#N/A,FALSE,"Quaker Oats";#N/A,#N/A,FALSE,"Sara Lee";#N/A,#N/A,FALSE,"print summary"}</definedName>
    <definedName name="wrn.One._.Pager._.plus._.Technicals." localSheetId="18" hidden="1">{#N/A,#N/A,FALSE,"One Pager";#N/A,#N/A,FALSE,"Technical"}</definedName>
    <definedName name="wrn.One._.Pager._.plus._.Technicals." localSheetId="7" hidden="1">{#N/A,#N/A,FALSE,"One Pager";#N/A,#N/A,FALSE,"Technical"}</definedName>
    <definedName name="wrn.One._.Pager._.plus._.Technicals." localSheetId="5" hidden="1">{#N/A,#N/A,FALSE,"One Pager";#N/A,#N/A,FALSE,"Technical"}</definedName>
    <definedName name="wrn.One._.Pager._.plus._.Technicals." hidden="1">{#N/A,#N/A,FALSE,"One Pager";#N/A,#N/A,FALSE,"Technical"}</definedName>
    <definedName name="wtavgeps">#REF!</definedName>
    <definedName name="wtd_avg_shares" localSheetId="18">#REF!</definedName>
    <definedName name="wtd_avg_shares" localSheetId="5">#REF!</definedName>
    <definedName name="wtd_avg_shares">[11]Template!$D$34:$T$34</definedName>
    <definedName name="WTDAVGCEPS">#REF!</definedName>
    <definedName name="xer">#REF!</definedName>
    <definedName name="xfx">#REF!</definedName>
    <definedName name="xitem" localSheetId="18">#REF!</definedName>
    <definedName name="xitem" localSheetId="5">#REF!</definedName>
    <definedName name="xitem">#REF!</definedName>
    <definedName name="xoe">#REF!</definedName>
    <definedName name="xpr">#REF!</definedName>
    <definedName name="xunits" localSheetId="18">#REF!</definedName>
    <definedName name="xunits" localSheetId="5">#REF!</definedName>
    <definedName name="xunits">#REF!</definedName>
    <definedName name="Year">[4]Introduction!$D$9</definedName>
    <definedName name="YEAR_END" localSheetId="18">#REF!</definedName>
    <definedName name="YEAR_END" localSheetId="5">#REF!</definedName>
    <definedName name="year_end">[11]Template!$D$3:$T$3</definedName>
    <definedName name="YEAR_TO__RS_M_" localSheetId="18">#REF!</definedName>
    <definedName name="YEAR_TO__RS_M_" localSheetId="5">#REF!</definedName>
    <definedName name="YEAR_TO__RS_M_">#REF!</definedName>
    <definedName name="Year1">#REF!</definedName>
    <definedName name="YearEnd" localSheetId="18">#REF!</definedName>
    <definedName name="YearEnd" localSheetId="5">#REF!</definedName>
    <definedName name="YearEnd">[4]Introduction!$D$11</definedName>
    <definedName name="years">[40]Input!$C$52:$H$52</definedName>
    <definedName name="YearsR">'[4]Operating Statistics'!$I$4:$O$4</definedName>
    <definedName name="YeEq">[13]Capital!$K$8:$AA$8</definedName>
    <definedName name="YER">#REF!</definedName>
    <definedName name="YERVARS">#REF!</definedName>
    <definedName name="YESharePrice">#REF!</definedName>
    <definedName name="YEShares">#REF!</definedName>
    <definedName name="Yield">#REF!</definedName>
    <definedName name="YoY_Growth">#REF!</definedName>
    <definedName name="YrRange" hidden="1">[13]Profile!$K$10:$AA$10</definedName>
    <definedName name="Zscore">#REF!</definedName>
    <definedName name="ZZ_AA_User1">[15]Reporting!$A$29:$IV$29</definedName>
    <definedName name="ZZ_AA_User2">[15]Reporting!$A$30:$IV$30</definedName>
    <definedName name="ZZ_AA_User3">[15]Reporting!$A$31:$IV$31</definedName>
    <definedName name="ZZ_AA_User4">[15]Reporting!$A$32:$IV$32</definedName>
    <definedName name="ZZ_AA_User5">[15]Reporting!$A$33:$IV$33</definedName>
    <definedName name="ZZ_AAA_BSControl">[15]Reporting!$A$9:$IV$9</definedName>
    <definedName name="ZZ_AAA_IncludeManual">[15]Reporting!$A$1:$IV$1</definedName>
    <definedName name="ZZ_AAA_ISControl">[15]Reporting!$A$8:$IV$8</definedName>
    <definedName name="ZZ_AAA_TerminalStartTest1">[15]Reporting!$A$3:$IV$3</definedName>
    <definedName name="ZZ_AAA_TerminalStartTest2">[15]Reporting!$A$4:$IV$4</definedName>
    <definedName name="ZZ_AAA_TerminalStartTest3">[15]Reporting!$A$5:$IV$5</definedName>
    <definedName name="ZZ_AAA_TerminalStartTest4">[15]Reporting!$A$6:$IV$6</definedName>
    <definedName name="ZZ_AAA_TerminalStartTest5">[15]Reporting!$A$7:$IV$7</definedName>
    <definedName name="ZZ_AAA_YearCount">[15]Reporting!$A$13:$IV$13</definedName>
    <definedName name="ZZ_AAA_YearEndManual">[15]Reporting!$A$2:$IV$2</definedName>
    <definedName name="ZZ_AAA_YearEnds">[15]Reporting!$A$11:$IV$11</definedName>
    <definedName name="ZZ_BAL_AccountsPayable">[15]Reporting!$A$178:$IV$178</definedName>
    <definedName name="ZZ_BAL_AccountsReceivable">[15]Reporting!$A$159:$IV$159</definedName>
    <definedName name="ZZ_BAL_AverageTotalDebt">[15]Reporting!$A$220:$IV$220</definedName>
    <definedName name="ZZ_BAL_Balance">[15]Reporting!$A$206:$IV$206</definedName>
    <definedName name="ZZ_BAL_CapitalizedAssets">[15]Reporting!$A$166:$IV$166</definedName>
    <definedName name="ZZ_BAL_ConstructionInProgress">[15]Reporting!$A$165:$IV$165</definedName>
    <definedName name="ZZ_BAL_DebtNet">[15]Reporting!$A$216:$IV$216</definedName>
    <definedName name="ZZ_BAL_DebtTotal">[15]Reporting!$A$217:$IV$217</definedName>
    <definedName name="ZZ_BAL_DeferredTaxes">[15]Reporting!$A$183:$IV$183</definedName>
    <definedName name="ZZ_BAL_Goodwill">[15]Reporting!$A$167:$IV$167</definedName>
    <definedName name="ZZ_BAL_Inventories">[15]Reporting!$A$160:$IV$160</definedName>
    <definedName name="ZZ_BAL_LongTermDebt">[15]Reporting!$A$182:$IV$182</definedName>
    <definedName name="ZZ_BAL_LongTermInterestAssets">[15]Reporting!$A$168:$IV$168</definedName>
    <definedName name="ZZ_BAL_LongTermNonInterestLiabilities">[15]Reporting!$A$184:$IV$184</definedName>
    <definedName name="ZZ_BAL_LongTermNonOperatingAssets">[15]Reporting!$A$169:$IV$169</definedName>
    <definedName name="ZZ_BAL_MinorityInterest">[15]Reporting!$A$190:$IV$190</definedName>
    <definedName name="ZZ_BAL_NetAssets">[15]Reporting!$A$215:$IV$215</definedName>
    <definedName name="ZZ_BAL_NetAssetsAverage">[15]Reporting!$A$219:$IV$219</definedName>
    <definedName name="ZZ_BAL_NetCurrentAssets">[15]Reporting!$A$214:$IV$214</definedName>
    <definedName name="ZZ_BAL_NetFixedAssets">[15]Reporting!$A$164:$IV$164</definedName>
    <definedName name="ZZ_BAL_NetWorkingCapital">[15]Reporting!$A$213:$IV$213</definedName>
    <definedName name="ZZ_BAL_OBSILeases">[15]Reporting!$A$208:$IV$208</definedName>
    <definedName name="ZZ_BAL_OBSIOther">[15]Reporting!$A$209:$IV$209</definedName>
    <definedName name="ZZ_BAL_OperatingCash">[15]Reporting!$A$157:$IV$157</definedName>
    <definedName name="ZZ_BAL_OtherCurrentAssets">[15]Reporting!$A$161:$IV$161</definedName>
    <definedName name="ZZ_BAL_OtherCurrentLiabilities">[15]Reporting!$A$179:$IV$179</definedName>
    <definedName name="ZZ_BAL_OtherReserves">[15]Reporting!$A$196:$IV$196</definedName>
    <definedName name="ZZ_BAL_PreferredStock">[15]Reporting!$A$191:$IV$191</definedName>
    <definedName name="ZZ_BAL_RetainedEarnings">[15]Reporting!$A$197:$IV$197</definedName>
    <definedName name="ZZ_BAL_RevaluationReserve">[15]Reporting!$A$195:$IV$195</definedName>
    <definedName name="ZZ_BAL_ShareCapital">[15]Reporting!$A$193:$IV$193</definedName>
    <definedName name="ZZ_BAL_SharePremium">[15]Reporting!$A$194:$IV$194</definedName>
    <definedName name="ZZ_BAL_StatutoryReserves">[15]Reporting!$A$201:$IV$201</definedName>
    <definedName name="ZZ_BAL_STDebt">[15]Reporting!$A$177:$IV$177</definedName>
    <definedName name="ZZ_BAL_STInvestments">[15]Reporting!$A$158:$IV$158</definedName>
    <definedName name="ZZ_BAL_TotalAssets">[15]Reporting!$A$171:$IV$171</definedName>
    <definedName name="ZZ_BAL_TotalAssetsAverage">[15]Reporting!$A$218:$IV$218</definedName>
    <definedName name="ZZ_BAL_TotalCommonEquity">[15]Reporting!$A$199:$IV$199</definedName>
    <definedName name="ZZ_BAL_TotalCurrentAssets">[15]Reporting!$A$162:$IV$162</definedName>
    <definedName name="ZZ_BAL_TotalCurrentLiabilities">[15]Reporting!$A$180:$IV$180</definedName>
    <definedName name="ZZ_BAL_TotalEquity">[15]Reporting!$A$202:$IV$202</definedName>
    <definedName name="ZZ_BAL_TotalEquityAverage">[15]Reporting!$A$221:$IV$221</definedName>
    <definedName name="ZZ_BAL_TotalLiabilities">[15]Reporting!$A$187:$IV$187</definedName>
    <definedName name="ZZ_BAL_TotalLiabilitiesPlusEquity">[15]Reporting!$A$204:$IV$204</definedName>
    <definedName name="ZZ_BAL_TotalLongTermLiabilities">[15]Reporting!$A$185:$IV$185</definedName>
    <definedName name="ZZ_BAL_TotalReserves">[15]Reporting!$A$198:$IV$198</definedName>
    <definedName name="ZZ_CAP_AccumulatedGoodwillAmort">[15]Reporting!$A$355:$IV$355</definedName>
    <definedName name="ZZ_CAP_AccumulatedGoodwillAmortManual">[15]Reporting!$A$353:$IV$353</definedName>
    <definedName name="ZZ_CAP_AdjToOperatingCapital">[15]Reporting!$A$312:$IV$312</definedName>
    <definedName name="ZZ_CAP_AdjustedCommonEquity">[15]Reporting!$A$334:$IV$334</definedName>
    <definedName name="ZZ_CAP_Balance">[15]Reporting!$A$344:$IV$344</definedName>
    <definedName name="ZZ_CAP_ChangeInOperatingCapital">[15]Reporting!$A$348:$IV$348</definedName>
    <definedName name="ZZ_CAP_EquityEquivalents">[15]Reporting!$A$358:$IV$358</definedName>
    <definedName name="ZZ_CAP_LIFOReserve">[15]Reporting!$A$354:$IV$354</definedName>
    <definedName name="ZZ_CAP_NetWorkingCapitalAdj">[15]Reporting!$A$304:$IV$304</definedName>
    <definedName name="ZZ_CAP_NonOperatingCapital">[15]Reporting!$A$323:$IV$323</definedName>
    <definedName name="ZZ_CAP_OperatingCapital">[15]Reporting!$A$314:$IV$314</definedName>
    <definedName name="ZZ_CAP_OperatingCapitalAverage">[15]Reporting!$A$346:$IV$346</definedName>
    <definedName name="ZZ_CAP_TotalCapital">[15]Reporting!$A$325:$IV$325</definedName>
    <definedName name="ZZ_CAP_TotalCapitalAverage">[15]Reporting!$A$347:$IV$347</definedName>
    <definedName name="ZZ_CAP_TotalCapitalRecon">[15]Reporting!$A$342:$IV$342</definedName>
    <definedName name="ZZ_CAP_TotalDebtAdj">[15]Reporting!$A$349:$IV$349</definedName>
    <definedName name="ZZ_CAP_ValueOfOperatingLeases">[15]Reporting!$A$310:$IV$310</definedName>
    <definedName name="ZZ_CAS_Balance">[15]Reporting!$A$276:$IV$276</definedName>
    <definedName name="ZZ_CAS_CashFlowFinancing">[15]Reporting!$A$266:$IV$266</definedName>
    <definedName name="ZZ_CAS_CashFlowInvestment">[15]Reporting!$A$248:$IV$248</definedName>
    <definedName name="ZZ_CAS_CashFlowOperational">[15]Reporting!$A$237:$IV$237</definedName>
    <definedName name="ZZ_CAS_CashSTInvestments">[15]Reporting!$A$272:$IV$272</definedName>
    <definedName name="ZZ_CAS_ChangeInCapitalizedAssets">[15]Reporting!$A$243:$IV$243</definedName>
    <definedName name="ZZ_CAS_ChangeInCIP">[15]Reporting!$A$242:$IV$242</definedName>
    <definedName name="ZZ_CAS_ChangeInCommonEquity">[15]Reporting!$A$254:$IV$254</definedName>
    <definedName name="ZZ_CAS_ChangeInGoodwill">[15]Reporting!$A$244:$IV$244</definedName>
    <definedName name="ZZ_CAS_ChangeInInvestmentsAssets">[15]Reporting!$A$245:$IV$245</definedName>
    <definedName name="ZZ_CAS_ChangeInLTDebt">[15]Reporting!$A$264:$IV$264</definedName>
    <definedName name="ZZ_CAS_ChangeInMinorityInterest">[15]Reporting!$A$252:$IV$252</definedName>
    <definedName name="ZZ_CAS_ChangeInNetFixedAssets">[15]Reporting!$A$240:$IV$240</definedName>
    <definedName name="ZZ_CAS_ChangeInOtherLTLiabilities">[15]Reporting!$A$251:$IV$251</definedName>
    <definedName name="ZZ_CAS_ChangeInOtherNonOperatingAssets">[15]Reporting!$A$246:$IV$246</definedName>
    <definedName name="ZZ_CAS_ChangeInOtherReserves">[15]Reporting!$A$256:$IV$256</definedName>
    <definedName name="ZZ_CAS_ChangeInPreferredEquity">[15]Reporting!$A$253:$IV$253</definedName>
    <definedName name="ZZ_CAS_ChangeInRevaluationReserve">[15]Reporting!$A$241:$IV$241</definedName>
    <definedName name="ZZ_CAS_ChangeInSharePremium">[15]Reporting!$A$255:$IV$255</definedName>
    <definedName name="ZZ_CAS_ChangeInStatutoryReserves">[15]Reporting!$A$257:$IV$257</definedName>
    <definedName name="ZZ_CAS_ChangeInSTDebt">[15]Reporting!$A$263:$IV$263</definedName>
    <definedName name="ZZ_CAS_ChangeInWC">[15]Reporting!$A$235:$IV$235</definedName>
    <definedName name="ZZ_CAS_TotalCashFlow">[15]Reporting!$A$268:$IV$268</definedName>
    <definedName name="ZZ_CAS_TotalCashFlowRecon">[15]Reporting!$A$274:$IV$274</definedName>
    <definedName name="ZZ_COM_Assets">[15]Reporting!$A$665:$IV$665</definedName>
    <definedName name="ZZ_COM_Switch1">[15]Reporting!$B$663</definedName>
    <definedName name="ZZ_COS_BetaManual">[15]Reporting!$A$522:$IV$522</definedName>
    <definedName name="ZZ_COS_BVCommonEquity">[15]Reporting!$A$503:$IV$503</definedName>
    <definedName name="ZZ_COS_BVPreferredEquity">[15]Reporting!$A$505:$IV$505</definedName>
    <definedName name="ZZ_COS_BVTotalCapital">[15]Reporting!$A$506:$IV$506</definedName>
    <definedName name="ZZ_COS_BVTotalDebt">[15]Reporting!$A$504:$IV$504</definedName>
    <definedName name="ZZ_COS_CostOfCommonEquity">[15]Reporting!$A$526:$IV$526</definedName>
    <definedName name="ZZ_COS_CostOfDebtPostTax">[15]Reporting!$A$532:$IV$532</definedName>
    <definedName name="ZZ_COS_CostOfDebtPreTaxManual">[15]Reporting!$A$529:$IV$529</definedName>
    <definedName name="ZZ_COS_CostOfPreferredEquityManual">[15]Reporting!$A$535:$IV$535</definedName>
    <definedName name="ZZ_COS_EquityRiskPremiumManual">[15]Reporting!$A$523:$IV$523</definedName>
    <definedName name="ZZ_COS_MVCommonEquity">[15]Reporting!$A$497:$IV$497</definedName>
    <definedName name="ZZ_COS_MVPreferredEquity">[15]Reporting!$A$499:$IV$499</definedName>
    <definedName name="ZZ_COS_MVTotalCapital">[15]Reporting!$A$500:$IV$500</definedName>
    <definedName name="ZZ_COS_MVTotalDebt">[15]Reporting!$A$498:$IV$498</definedName>
    <definedName name="ZZ_COS_RequiredReturnCAPM">[15]Reporting!$A$524:$IV$524</definedName>
    <definedName name="ZZ_COS_RequiredReturnManual">[15]Reporting!$A$519:$IV$519</definedName>
    <definedName name="ZZ_COS_RiskFreeRateManual">[15]Reporting!$A$521:$IV$521</definedName>
    <definedName name="ZZ_COS_Switch1">[15]Reporting!$B$508</definedName>
    <definedName name="ZZ_COS_TargetDebtToCapitalManual">[15]Reporting!$A$509:$IV$509</definedName>
    <definedName name="ZZ_COS_UnleveragedCostOfCapital">[15]Reporting!$A$543:$IV$543</definedName>
    <definedName name="ZZ_COS_WACC">[15]Reporting!$A$540:$IV$540</definedName>
    <definedName name="ZZ_COS_WACCActual">[15]Reporting!$A$542:$IV$542</definedName>
    <definedName name="ZZ_COS_WACCManual">[15]Reporting!$A$539:$IV$539</definedName>
    <definedName name="ZZ_COS_WGTCommonEquity">[15]Reporting!$A$511:$IV$511</definedName>
    <definedName name="ZZ_COS_WGTPreferredEquity">[15]Reporting!$A$513:$IV$513</definedName>
    <definedName name="ZZ_COS_WGTTotalDebt">[15]Reporting!$A$512:$IV$512</definedName>
    <definedName name="ZZ_COV_Cover">[15]Cover!$A$1</definedName>
    <definedName name="ZZ_DCF_Balance">[15]Reporting!$A$925:$IV$925</definedName>
    <definedName name="ZZ_DCF_EVA_Discounted">[15]Reporting!$A$906:$IV$906</definedName>
    <definedName name="ZZ_DCF_EVA_DiscountedTotal">[15]Reporting!$A$907:$IV$907</definedName>
    <definedName name="ZZ_DCF_EVA_DiscountFactor">[15]Reporting!$A$905:$IV$905</definedName>
    <definedName name="ZZ_DCF_EVA_EconomicValueAdded">[15]Reporting!$A$902:$IV$902</definedName>
    <definedName name="ZZ_DCF_EVA_EconomicValueAddedManual">[15]Reporting!$A$899:$IV$899</definedName>
    <definedName name="ZZ_DCF_EVA_ImpliedEquityValue">[15]Reporting!$A$919:$IV$919</definedName>
    <definedName name="ZZ_DCF_EVA_ImpliedEquityValuePerShare">[15]Reporting!$A$922:$IV$922</definedName>
    <definedName name="ZZ_DCF_EVA_MidYearAdjustmentFactor">[15]Reporting!$A$914:$IV$914</definedName>
    <definedName name="ZZ_DCF_EVA_OperatingValue">[15]Reporting!$A$910:$IV$910</definedName>
    <definedName name="ZZ_DCF_EVA_OperatingValueAdj">[15]Reporting!$A$913:$IV$913</definedName>
    <definedName name="ZZ_DCF_EVA_TotalValue">[15]Reporting!$A$916:$IV$916</definedName>
    <definedName name="ZZ_DCF_EVA_WACC">[15]Reporting!$A$904:$IV$904</definedName>
    <definedName name="ZZ_DCF_FCF_Discounted">[15]Reporting!$A$881:$IV$881</definedName>
    <definedName name="ZZ_DCF_FCF_DiscountFactor">[15]Reporting!$A$880:$IV$880</definedName>
    <definedName name="ZZ_DCF_FCF_FreeCashFlow">[15]Reporting!$A$877:$IV$877</definedName>
    <definedName name="ZZ_DCF_FCF_FreeCashFlowManual">[15]Reporting!$A$874:$IV$874</definedName>
    <definedName name="ZZ_DCF_FCF_ImpliedEquityValue">[15]Reporting!$A$891:$IV$891</definedName>
    <definedName name="ZZ_DCF_FCF_ImpliedEquityValuePerShare">[15]Reporting!$A$894:$IV$894</definedName>
    <definedName name="ZZ_DCF_FCF_MidYearAdjustmentFactor">[15]Reporting!$A$883:$IV$883</definedName>
    <definedName name="ZZ_DCF_FCF_NetInvestment">[15]Reporting!$A$876:$IV$876</definedName>
    <definedName name="ZZ_DCF_FCF_NOPAT">[15]Reporting!$A$875:$IV$875</definedName>
    <definedName name="ZZ_DCF_FCF_OperatingValue">[15]Reporting!$A$882:$IV$882</definedName>
    <definedName name="ZZ_DCF_FCF_OperatingValueAdj">[15]Reporting!$A$885:$IV$885</definedName>
    <definedName name="ZZ_DCF_FCF_SharePremiumDiscount">[15]Reporting!$A$895:$IV$895</definedName>
    <definedName name="ZZ_DCF_FCF_TotalValue">[15]Reporting!$A$888:$IV$888</definedName>
    <definedName name="ZZ_DCF_FCF_WACC">[15]Reporting!$A$879:$IV$879</definedName>
    <definedName name="ZZ_DCF_LTGrowthRate">[15]Reporting!$A$870:$IV$870</definedName>
    <definedName name="ZZ_DCF_LTGrowthRateManual">[15]Reporting!$A$869:$IV$869</definedName>
    <definedName name="ZZ_DCF_NON_TotalNonCommonEquity">[15]Reporting!$A$934:$IV$934</definedName>
    <definedName name="ZZ_EPS_BookValuePS">[15]Reporting!$A$86:$IV$86</definedName>
    <definedName name="ZZ_EPS_CFPSFree">[15]Reporting!$A$81:$IV$81</definedName>
    <definedName name="ZZ_EPS_CFPSGross">[15]Reporting!$A$80:$IV$80</definedName>
    <definedName name="ZZ_EPS_DPS">[15]Reporting!$A$76:$IV$76</definedName>
    <definedName name="ZZ_EPS_DPSManual">[15]Reporting!$A$75:$IV$75</definedName>
    <definedName name="ZZ_EPS_EPSBasic">[15]Reporting!$A$69:$IV$69</definedName>
    <definedName name="ZZ_EPS_EPSBasicManual">[15]Reporting!$A$64:$IV$64</definedName>
    <definedName name="ZZ_EPS_EPSBFullyDiluted">[15]Reporting!$A$71:$IV$71</definedName>
    <definedName name="ZZ_EPS_EPSBFullyDilutedManual">[15]Reporting!$A$66:$IV$66</definedName>
    <definedName name="ZZ_EPS_EPSPrimary">[15]Reporting!$A$70:$IV$70</definedName>
    <definedName name="ZZ_EPS_EPSPrimaryManual">[15]Reporting!$A$65:$IV$65</definedName>
    <definedName name="ZZ_EPS_MarketCapCurrent">[15]Reporting!$A$59:$IV$59</definedName>
    <definedName name="ZZ_EPS_PriorYearAdjAnnual">[15]Reporting!$A$37:$IV$37</definedName>
    <definedName name="ZZ_EPS_PriorYearAdjCumulative">[15]Reporting!$A$38:$IV$38</definedName>
    <definedName name="ZZ_EPS_SharePriceAtYE">[15]Reporting!$A$57:$IV$57</definedName>
    <definedName name="ZZ_EPS_SharePriceAtYEManual">[15]Reporting!$A$56:$IV$56</definedName>
    <definedName name="ZZ_EPS_SharesAtYE">[15]Reporting!$A$49:$IV$49</definedName>
    <definedName name="ZZ_EPS_SharesAtYEManual">[15]Reporting!$A$43:$IV$43</definedName>
    <definedName name="ZZ_EPS_SharesFullyDiluted">[15]Reporting!$A$52:$IV$52</definedName>
    <definedName name="ZZ_EPS_SharesFullyDilutedManual">[15]Reporting!$A$46:$IV$46</definedName>
    <definedName name="ZZ_EPS_SharesPrimary">[15]Reporting!$A$51:$IV$51</definedName>
    <definedName name="ZZ_EPS_SharesPrimaryManual">[15]Reporting!$A$45:$IV$45</definedName>
    <definedName name="ZZ_EPS_SharesWgtAvg">[15]Reporting!$A$50:$IV$50</definedName>
    <definedName name="ZZ_EPS_SharesWgtAvgManual">[15]Reporting!$A$44:$IV$44</definedName>
    <definedName name="ZZ_FRE_Amortization">[15]Reporting!$A$429:$IV$429</definedName>
    <definedName name="ZZ_FRE_Balance1">[15]Reporting!$A$452:$IV$452</definedName>
    <definedName name="ZZ_FRE_Balance2">[15]Reporting!$A$486:$IV$486</definedName>
    <definedName name="ZZ_FRE_CapitalNetAdditions">[15]Reporting!$A$472:$IV$472</definedName>
    <definedName name="ZZ_FRE_ChangeInAdjToOperatingInvestedCapital">[15]Reporting!$A$440:$IV$440</definedName>
    <definedName name="ZZ_FRE_Depreciation">[15]Reporting!$A$428:$IV$428</definedName>
    <definedName name="ZZ_FRE_FreeCashFlow">[15]Reporting!$A$444:$IV$444</definedName>
    <definedName name="ZZ_FRE_FreeCashFlowRecon1">[15]Reporting!$A$450:$IV$450</definedName>
    <definedName name="ZZ_FRE_FreeCashFlowRecon2">[15]Reporting!$A$484:$IV$484</definedName>
    <definedName name="ZZ_FRE_GrossCashFlow">[15]Reporting!$A$431:$IV$431</definedName>
    <definedName name="ZZ_FRE_GrossInvestment">[15]Reporting!$A$442:$IV$442</definedName>
    <definedName name="ZZ_FRE_NetInvestment">[15]Reporting!$A$448:$IV$448</definedName>
    <definedName name="ZZ_FRE_NetInvestmentRate">[15]Reporting!$A$489:$IV$489</definedName>
    <definedName name="ZZ_FRE_NOPAT">[15]Reporting!$A$427:$IV$427</definedName>
    <definedName name="ZZ_FRE_PaymentsToInvestors">[15]Reporting!$A$462:$IV$462</definedName>
    <definedName name="ZZ_GRO_BasicEPS">[15]Reporting!$A$725:$IV$725</definedName>
    <definedName name="ZZ_GRO_NetIncome">[15]Reporting!$A$699:$IV$699</definedName>
    <definedName name="ZZ_GRO_NOPAT">[15]Reporting!$A$701:$IV$701</definedName>
    <definedName name="ZZ_GRO_Revenue">[15]Reporting!$A$691:$IV$691</definedName>
    <definedName name="ZZ_INC_AdjToRetainedEarnings">[15]Reporting!$A$135:$IV$135</definedName>
    <definedName name="ZZ_INC_AdminExpense">[15]Reporting!$A$97:$IV$97</definedName>
    <definedName name="ZZ_INC_Amortization">[15]Reporting!$A$101:$IV$101</definedName>
    <definedName name="ZZ_INC_AmortizationGoodwill">[15]Reporting!$A$104:$IV$104</definedName>
    <definedName name="ZZ_INC_Associates">[15]Reporting!$A$107:$IV$107</definedName>
    <definedName name="ZZ_INC_BeginningRetainedEarnings">[15]Reporting!$A$133:$IV$133</definedName>
    <definedName name="ZZ_INC_CashDividends">[15]Reporting!$A$126:$IV$126</definedName>
    <definedName name="ZZ_INC_CGS">[15]Reporting!$A$93:$IV$93</definedName>
    <definedName name="ZZ_INC_Depreciation">[15]Reporting!$A$100:$IV$100</definedName>
    <definedName name="ZZ_INC_EAT">[15]Reporting!$A$117:$IV$117</definedName>
    <definedName name="ZZ_INC_EBIT">[15]Reporting!$A$110:$IV$110</definedName>
    <definedName name="ZZ_INC_EBITDA">[15]Reporting!$A$99:$IV$99</definedName>
    <definedName name="ZZ_INC_EBT">[15]Reporting!$A$113:$IV$113</definedName>
    <definedName name="ZZ_INC_EffectiveTaxRate">[15]Reporting!$A$115:$IV$115</definedName>
    <definedName name="ZZ_INC_Exceptionals">[15]Reporting!$A$108:$IV$108</definedName>
    <definedName name="ZZ_INC_Extraordinaries">[15]Reporting!$A$119:$IV$119</definedName>
    <definedName name="ZZ_INC_GrossProfit">[15]Reporting!$A$95:$IV$95</definedName>
    <definedName name="ZZ_INC_IncomeTax">[15]Reporting!$A$114:$IV$114</definedName>
    <definedName name="ZZ_INC_InterestExpense">[15]Reporting!$A$111:$IV$111</definedName>
    <definedName name="ZZ_INC_InterestIncome">[15]Reporting!$A$106:$IV$106</definedName>
    <definedName name="ZZ_INC_Minorities">[15]Reporting!$A$120:$IV$120</definedName>
    <definedName name="ZZ_INC_NetIncome">[15]Reporting!$A$123:$IV$123</definedName>
    <definedName name="ZZ_INC_NonOperatingIncome">[15]Reporting!$A$148:$IV$148</definedName>
    <definedName name="ZZ_INC_OperatingIncome">[15]Reporting!$A$103:$IV$103</definedName>
    <definedName name="ZZ_INC_OtherAfterTaxIncome">[15]Reporting!$A$118:$IV$118</definedName>
    <definedName name="ZZ_INC_OtherIncome">[15]Reporting!$A$105:$IV$105</definedName>
    <definedName name="ZZ_INC_OtherOperatingIncome">[15]Reporting!$A$96:$IV$96</definedName>
    <definedName name="ZZ_INC_PreferredDividends">[15]Reporting!$A$121:$IV$121</definedName>
    <definedName name="ZZ_INC_RetainedProfit">[15]Reporting!$A$128:$IV$128</definedName>
    <definedName name="ZZ_INC_Revenue">[15]Reporting!$A$92:$IV$92</definedName>
    <definedName name="ZZ_INC_StatutoryAppropriations">[15]Reporting!$A$127:$IV$127</definedName>
    <definedName name="ZZ_NOP_AdjToOperatingIncome">[15]Reporting!$A$368:$IV$368</definedName>
    <definedName name="ZZ_NOP_ATInterestExpense">[15]Reporting!$A$385:$IV$385</definedName>
    <definedName name="ZZ_NOP_ATInterestOnNonCapitalizedLeases">[15]Reporting!$A$386:$IV$386</definedName>
    <definedName name="ZZ_NOP_ATNonOperatingIncome">[15]Reporting!$A$391:$IV$391</definedName>
    <definedName name="ZZ_NOP_Balance">[15]Reporting!$A$395:$IV$395</definedName>
    <definedName name="ZZ_NOP_CashTaxesPaid">[15]Reporting!$A$414:$IV$414</definedName>
    <definedName name="ZZ_NOP_ChangeInDeferredTaxes">[15]Reporting!$A$401:$IV$401</definedName>
    <definedName name="ZZ_NOP_ChangeInLIFOReserve">[15]Reporting!$A$369:$IV$369</definedName>
    <definedName name="ZZ_NOP_EquityEquivalents">[15]Reporting!$A$403:$IV$403</definedName>
    <definedName name="ZZ_NOP_IncomeAvailableToInvestors">[15]Reporting!$A$388:$IV$388</definedName>
    <definedName name="ZZ_NOP_LeaseAdjustment">[15]Reporting!$A$367:$IV$367</definedName>
    <definedName name="ZZ_NOP_MarginalTaxRate">[15]Reporting!$A$409:$IV$409</definedName>
    <definedName name="ZZ_NOP_MarginalTaxRateManual">[15]Reporting!$A$408:$IV$408</definedName>
    <definedName name="ZZ_NOP_NOPAT">[15]Reporting!$A$374:$IV$374</definedName>
    <definedName name="ZZ_NOP_NOPATRecon">[15]Reporting!$A$393:$IV$393</definedName>
    <definedName name="ZZ_NOP_NOPBT">[15]Reporting!$A$371:$IV$371</definedName>
    <definedName name="ZZ_NOP_TaxesOnOperatingIncomeAdj">[15]Reporting!$A$419:$IV$419</definedName>
    <definedName name="ZZ_NOP_TaxOnNonOperatingIncome">[15]Reporting!$A$416:$IV$416</definedName>
    <definedName name="ZZ_NOP_TaxShieldOnInterestExpense">[15]Reporting!$A$415:$IV$415</definedName>
    <definedName name="ZZ_OTH_AverageAccountsPayable">[15]Reporting!$A$744:$IV$744</definedName>
    <definedName name="ZZ_OTH_AverageAccountsReceivable">[15]Reporting!$A$742:$IV$742</definedName>
    <definedName name="ZZ_OTH_AverageCapitalizedAssets">[15]Reporting!$A$747:$IV$747</definedName>
    <definedName name="ZZ_OTH_AverageInventories">[15]Reporting!$A$743:$IV$743</definedName>
    <definedName name="ZZ_OTH_AverageNetFixedAssets">[15]Reporting!$A$746:$IV$746</definedName>
    <definedName name="ZZ_OTH_AverageNWC">[15]Reporting!$A$745:$IV$745</definedName>
    <definedName name="ZZ_OTH_CashTaxRate">[15]Reporting!$A$807:$IV$807</definedName>
    <definedName name="ZZ_OTH_DaysInInventory">[15]Reporting!$A$754:$IV$754</definedName>
    <definedName name="ZZ_OTH_DaysPayable">[15]Reporting!$A$768:$IV$768</definedName>
    <definedName name="ZZ_OTH_DaysReceivable">[15]Reporting!$A$752:$IV$752</definedName>
    <definedName name="ZZ_OTH_DividendPayoutRatio">[15]Reporting!$A$805:$IV$805</definedName>
    <definedName name="ZZ_OTH_RetentionRate">[15]Reporting!$A$806:$IV$806</definedName>
    <definedName name="ZZ_PRI_BAL_All">[15]Reporting!$D$152:$Q$223</definedName>
    <definedName name="ZZ_PRI_CAS_All">[15]Reporting!$D$224:$Q$296</definedName>
    <definedName name="ZZ_PRI_COM_All">[15]Reporting!$D$620:$Q$686</definedName>
    <definedName name="ZZ_PRI_COS_All">[15]Reporting!$D$492:$Q$546</definedName>
    <definedName name="ZZ_PRI_DCF_All">[15]Reporting!$D$867:$Q$936</definedName>
    <definedName name="ZZ_PRI_EPS_All">[15]Reporting!$D$35:$Q$89</definedName>
    <definedName name="ZZ_PRI_FRE_All">[15]Reporting!$D$423:$Q$491</definedName>
    <definedName name="ZZ_PRI_GRO_All">[15]Reporting!$D$687:$Q$739</definedName>
    <definedName name="ZZ_PRI_INC_All">[15]Reporting!$D$90:$Q$151</definedName>
    <definedName name="ZZ_PRI_INV_All">[15]Reporting!$D$297:$Q$361</definedName>
    <definedName name="ZZ_PRI_NOP_All">[15]Reporting!$D$362:$Q$422</definedName>
    <definedName name="ZZ_PRI_OTH_All">[15]Reporting!$D$740:$Q$811</definedName>
    <definedName name="ZZ_PRI_RET_All">[15]Reporting!$D$812:$Q$866</definedName>
    <definedName name="ZZ_PRI_SUM_All">[15]Reporting!$D$547:$Q$619</definedName>
    <definedName name="ZZ_PRI_VAL_0">[15]Reporting!$D$937:$Q$998</definedName>
    <definedName name="ZZ_PRI_VAL_1">[15]Reporting!$D$999:$Q$1038</definedName>
    <definedName name="ZZ_RET_DuPont1">[15]Reporting!$A$822:$IV$822</definedName>
    <definedName name="ZZ_RET_DuPont10">[15]Reporting!$A$831:$IV$831</definedName>
    <definedName name="ZZ_RET_DuPont11">[15]Reporting!$A$832:$IV$832</definedName>
    <definedName name="ZZ_RET_DuPont12">[15]Reporting!$A$833:$IV$833</definedName>
    <definedName name="ZZ_RET_DuPont2">[15]Reporting!$A$823:$IV$823</definedName>
    <definedName name="ZZ_RET_DuPont3">[15]Reporting!$A$824:$IV$824</definedName>
    <definedName name="ZZ_RET_DuPont4">[15]Reporting!$A$825:$IV$825</definedName>
    <definedName name="ZZ_RET_DuPont5">[15]Reporting!$A$826:$IV$826</definedName>
    <definedName name="ZZ_RET_DuPont6">[15]Reporting!$A$827:$IV$827</definedName>
    <definedName name="ZZ_RET_DuPont7">[15]Reporting!$A$828:$IV$828</definedName>
    <definedName name="ZZ_RET_DuPont8">[15]Reporting!$A$829:$IV$829</definedName>
    <definedName name="ZZ_RET_DuPont9">[15]Reporting!$A$830:$IV$830</definedName>
    <definedName name="ZZ_RET_InternalGrowth">[15]Reporting!$A$849:$IV$849</definedName>
    <definedName name="ZZ_RET_ROEAfterTax">[15]Reporting!$A$844:$IV$844</definedName>
    <definedName name="ZZ_RET_ROEPreTax">[15]Reporting!$A$843:$IV$843</definedName>
    <definedName name="ZZ_RET_Switch1">[15]Reporting!$B$820</definedName>
    <definedName name="ZZ_RET_TotalAssets">[15]Reporting!$A$815:$IV$815</definedName>
    <definedName name="ZZ_RET_TotalCapital">[15]Reporting!$A$814:$IV$814</definedName>
    <definedName name="ZZ_RET_TotalEquity">[15]Reporting!$A$816:$IV$816</definedName>
    <definedName name="ZZ_RET_TotalOperatingInvestedCapital">[15]Reporting!$A$817:$IV$817</definedName>
    <definedName name="ZZ_SUM_AdjBVPS">[15]Reporting!$A$606:$IV$606</definedName>
    <definedName name="ZZ_SUM_BegOperatingCapital">[15]Reporting!$A$583:$IV$583</definedName>
    <definedName name="ZZ_SUM_CapitalCharge">[15]Reporting!$A$589:$IV$589</definedName>
    <definedName name="ZZ_SUM_ChangeInEVA">[15]Reporting!$A$593:$IV$593</definedName>
    <definedName name="ZZ_SUM_ChangeInMVA">[15]Reporting!$A$603:$IV$603</definedName>
    <definedName name="ZZ_SUM_EVA">[15]Reporting!$A$585:$IV$585</definedName>
    <definedName name="ZZ_SUM_EVASpread">[15]Reporting!$A$582:$IV$582</definedName>
    <definedName name="ZZ_SUM_MVA">[15]Reporting!$A$602:$IV$602</definedName>
    <definedName name="ZZ_SUM_MVAPS">[15]Reporting!$A$607:$IV$607</definedName>
    <definedName name="ZZ_SUM_OperatingGrowth">[15]Reporting!$A$577:$IV$577</definedName>
    <definedName name="ZZ_SUM_ReturnOnCapital">[15]Reporting!$A$574:$IV$574</definedName>
    <definedName name="ZZ_SUM_TotalCapital">[15]Reporting!$A$598:$IV$598</definedName>
    <definedName name="ZZ_SYS_AnalystName">[15]System_Defaults!$D$4</definedName>
    <definedName name="ZZ_SYS_AutomaticData">[15]System_Defaults!$H$57</definedName>
    <definedName name="ZZ_SYS_AvailableToForeigners">[15]System_Defaults!$H$29</definedName>
    <definedName name="ZZ_SYS_Beta">[15]System_Defaults!$D$37</definedName>
    <definedName name="ZZ_SYS_CodeBloomberg">[15]System_Defaults!$D$9</definedName>
    <definedName name="ZZ_SYS_CodeDatastream">[15]System_Defaults!$H$9</definedName>
    <definedName name="ZZ_SYS_CodeFileName">[15]System_Defaults!$F$59</definedName>
    <definedName name="ZZ_SYS_CodeFilePath">[15]System_Defaults!$F$60</definedName>
    <definedName name="ZZ_SYS_CodeFilePathTemp">[15]System_Defaults!$F$61</definedName>
    <definedName name="ZZ_SYS_CodeLocal">[15]System_Defaults!$D$8</definedName>
    <definedName name="ZZ_SYS_CodeReuters">[15]System_Defaults!$H$8</definedName>
    <definedName name="ZZ_SYS_CompanyName">[15]System_Defaults!$D$2</definedName>
    <definedName name="ZZ_SYS_CostOfDebt">[15]System_Defaults!$H$36</definedName>
    <definedName name="ZZ_SYS_Country">[15]System_Defaults!$D$3</definedName>
    <definedName name="ZZ_SYS_Currency">[15]System_Defaults!$D$81</definedName>
    <definedName name="ZZ_SYS_CurrencyManual">[15]System_Defaults!$D$33</definedName>
    <definedName name="ZZ_SYS_CurrentDateManual">[15]System_Defaults!$D$39</definedName>
    <definedName name="ZZ_SYS_CurrentFreeFloatLocalManual">[15]System_Defaults!$D$25</definedName>
    <definedName name="ZZ_SYS_CurrentMarketCapIssuedForeignManual">[15]System_Defaults!$D$31</definedName>
    <definedName name="ZZ_SYS_CurrentMarketCapIssuedLocalAuto">[15]System_Defaults!$D$60</definedName>
    <definedName name="ZZ_SYS_CurrentMarketCapIssuedLocalManual">[15]System_Defaults!$D$19</definedName>
    <definedName name="ZZ_SYS_CurrentMonthNo">[15]System_Defaults!$H$39</definedName>
    <definedName name="ZZ_SYS_CurrentPriceForeignAuto">[15]System_Defaults!$D$58</definedName>
    <definedName name="ZZ_SYS_CurrentPriceForeignManual">[15]System_Defaults!$D$29</definedName>
    <definedName name="ZZ_SYS_CurrentPriceLocalAuto">[15]System_Defaults!$D$57</definedName>
    <definedName name="ZZ_SYS_CurrentPriceLocalManual">[15]System_Defaults!$D$17</definedName>
    <definedName name="ZZ_SYS_CurrentSharesFreeFloatLocalManual">[15]System_Defaults!$D$24</definedName>
    <definedName name="ZZ_SYS_CurrentSharesIssuedLocalAuto">[15]System_Defaults!$D$59</definedName>
    <definedName name="ZZ_SYS_CurrentSharesIssuedLocalManual">[15]System_Defaults!$D$18</definedName>
    <definedName name="ZZ_SYS_CurrentYearEnd">[15]System_Defaults!$H$2</definedName>
    <definedName name="ZZ_SYS_Customize">[15]System_Defaults!$D$89</definedName>
    <definedName name="ZZ_SYS_CustomPassword">[15]System_Defaults!$H$89</definedName>
    <definedName name="ZZ_SYS_DecimalPlacesChoices">[15]System_Defaults!$B$44:$B$47</definedName>
    <definedName name="ZZ_SYS_DecimalPlacesMainIndex">[15]System_Defaults!$D$49</definedName>
    <definedName name="ZZ_SYS_DecimalPlacesMultiplesIndex">[15]System_Defaults!$D$52</definedName>
    <definedName name="ZZ_SYS_DecimalPlacesOtherIndex">[15]System_Defaults!$D$51</definedName>
    <definedName name="ZZ_SYS_DecimalPlacesPercentIndex">[15]System_Defaults!$D$53</definedName>
    <definedName name="ZZ_SYS_DecimalPlacesPriceIndex">[15]System_Defaults!$D$50</definedName>
    <definedName name="ZZ_SYS_EquityRiskPremium">[15]System_Defaults!$H$37</definedName>
    <definedName name="ZZ_SYS_Error1">[15]System_Defaults!$H$35</definedName>
    <definedName name="ZZ_SYS_ExcludeMidYearAdj">[15]System_Defaults!$H$52</definedName>
    <definedName name="ZZ_SYS_ExcludeTerminalValues">[15]System_Defaults!$H$53</definedName>
    <definedName name="ZZ_SYS_ExpiryDate">[15]System_Defaults!$F$87</definedName>
    <definedName name="ZZ_SYS_ExpiryStatus">[15]System_Defaults!$H$87</definedName>
    <definedName name="ZZ_SYS_HideLicenseAgreement">[15]System_Defaults!$D$88</definedName>
    <definedName name="ZZ_SYS_Installed">[15]System_Defaults!$D$86</definedName>
    <definedName name="ZZ_SYS_InstalledBy">[15]System_Defaults!$F$86</definedName>
    <definedName name="ZZ_SYS_InstalledDate">[15]System_Defaults!$H$86</definedName>
    <definedName name="ZZ_SYS_LatestModelUpdate">[15]System_Defaults!$H$4</definedName>
    <definedName name="ZZ_SYS_LatestModelUpdateAuto">[15]System_Defaults!$H$88</definedName>
    <definedName name="ZZ_SYS_LatestModelUpdateManual">[15]System_Defaults!$H$14</definedName>
    <definedName name="ZZ_SYS_LatestPriceUpdate">[15]System_Defaults!$H$12</definedName>
    <definedName name="ZZ_SYS_LatestPriceUpdateAuto">[15]System_Defaults!$D$61</definedName>
    <definedName name="ZZ_SYS_LatestPriceUpdateManual">[15]System_Defaults!$D$20</definedName>
    <definedName name="ZZ_SYS_LocalCodeName">[15]System_Defaults!$D$35</definedName>
    <definedName name="ZZ_SYS_MarketCapIssued">[15]System_Defaults!$D$14</definedName>
    <definedName name="ZZ_SYS_MarketCode">[15]System_Defaults!$H$84</definedName>
    <definedName name="ZZ_SYS_MarketCodeUsed">[15]System_Defaults!$H$5</definedName>
    <definedName name="ZZ_SYS_MarketEPSGrowth">[15]System_Defaults!$H$38</definedName>
    <definedName name="ZZ_SYS_MarketID">[15]System_Defaults!$D$84</definedName>
    <definedName name="ZZ_SYS_MarketIDUsed">[15]System_Defaults!$D$5</definedName>
    <definedName name="ZZ_SYS_MarketName">[15]System_Defaults!$F$84</definedName>
    <definedName name="ZZ_SYS_MarketNameUsed">[15]System_Defaults!$F$5</definedName>
    <definedName name="ZZ_SYS_MarketPE">[15]System_Defaults!$D$38</definedName>
    <definedName name="ZZ_SYS_ModelID">[15]System_Defaults!$H$83</definedName>
    <definedName name="ZZ_SYS_ModelType">[15]System_Defaults!$D$83</definedName>
    <definedName name="ZZ_SYS_PRI_Activity">[15]System_Defaults!$D$64:$D$79</definedName>
    <definedName name="ZZ_SYS_PRI_BAL_All">[15]System_Defaults!$D$66</definedName>
    <definedName name="ZZ_SYS_PRI_CAS_All">[15]System_Defaults!$D$67</definedName>
    <definedName name="ZZ_SYS_PRI_COM_All">[15]System_Defaults!$D$73</definedName>
    <definedName name="ZZ_SYS_PRI_COS_All">[15]System_Defaults!$D$71</definedName>
    <definedName name="ZZ_SYS_PRI_DCF_All">[15]System_Defaults!$D$77</definedName>
    <definedName name="ZZ_SYS_PRI_EPS_All">[15]System_Defaults!$D$64</definedName>
    <definedName name="ZZ_SYS_PRI_Favourites">[15]System_Defaults!$C$64:$C$79</definedName>
    <definedName name="ZZ_SYS_PRI_FRE_All">[15]System_Defaults!$D$70</definedName>
    <definedName name="ZZ_SYS_PRI_GRO_All">[15]System_Defaults!$D$74</definedName>
    <definedName name="ZZ_SYS_PRI_INC_All">[15]System_Defaults!$D$65</definedName>
    <definedName name="ZZ_SYS_PRI_INV_All">[15]System_Defaults!$D$68</definedName>
    <definedName name="ZZ_SYS_PRI_NOP_All">[15]System_Defaults!$D$69</definedName>
    <definedName name="ZZ_SYS_PRI_OTH_All">[15]System_Defaults!$D$75</definedName>
    <definedName name="ZZ_SYS_PRI_RangeNames">[15]System_Defaults!$B$64:$B$79</definedName>
    <definedName name="ZZ_SYS_PRI_RangeTitles">[15]System_Defaults!$F$63:$F$79</definedName>
    <definedName name="ZZ_SYS_PRI_RET_All">[15]System_Defaults!$D$76</definedName>
    <definedName name="ZZ_SYS_PRI_SUM_All">[15]System_Defaults!$D$72</definedName>
    <definedName name="ZZ_SYS_PRI_VAL0">[15]System_Defaults!$D$78</definedName>
    <definedName name="ZZ_SYS_PRI_VAL1">[15]System_Defaults!$D$79</definedName>
    <definedName name="ZZ_SYS_Recommendation">[15]System_Defaults!$D$11</definedName>
    <definedName name="ZZ_SYS_RecommendationDate">[15]System_Defaults!$H$11</definedName>
    <definedName name="ZZ_SYS_RiskFreeRate">[15]System_Defaults!$D$36</definedName>
    <definedName name="ZZ_SYS_Rounding">[15]System_Defaults!$F$41</definedName>
    <definedName name="ZZ_SYS_RoundingIndex">[15]System_Defaults!$D$54</definedName>
    <definedName name="ZZ_SYS_SectionName01">[15]System_Defaults!$F$64</definedName>
    <definedName name="ZZ_SYS_SectionName02">[15]System_Defaults!$F$65</definedName>
    <definedName name="ZZ_SYS_SectionName03">[15]System_Defaults!$F$66</definedName>
    <definedName name="ZZ_SYS_SectionName04">[15]System_Defaults!$F$67</definedName>
    <definedName name="ZZ_SYS_SectionName05">[15]System_Defaults!$F$68</definedName>
    <definedName name="ZZ_SYS_SectionName06">[15]System_Defaults!$F$69</definedName>
    <definedName name="ZZ_SYS_SectionName07">[15]System_Defaults!$F$70</definedName>
    <definedName name="ZZ_SYS_SectionName08">[15]System_Defaults!$F$71</definedName>
    <definedName name="ZZ_SYS_SectionName09">[15]System_Defaults!$F$72</definedName>
    <definedName name="ZZ_SYS_SectionName10">[15]System_Defaults!$F$73</definedName>
    <definedName name="ZZ_SYS_SectionName11">[15]System_Defaults!$F$74</definedName>
    <definedName name="ZZ_SYS_SectionName12">[15]System_Defaults!$F$75</definedName>
    <definedName name="ZZ_SYS_SectionName13">[15]System_Defaults!$F$76</definedName>
    <definedName name="ZZ_SYS_SectionName14">[15]System_Defaults!$F$77</definedName>
    <definedName name="ZZ_SYS_SectionName15">[15]System_Defaults!$F$78</definedName>
    <definedName name="ZZ_SYS_SectionName16">[15]System_Defaults!$F$79</definedName>
    <definedName name="ZZ_SYS_SectorCode">[15]System_Defaults!$H$85</definedName>
    <definedName name="ZZ_SYS_SectorCodeUsed">[15]System_Defaults!$H$6</definedName>
    <definedName name="ZZ_SYS_SectorID">[15]System_Defaults!$D$85</definedName>
    <definedName name="ZZ_SYS_SectorIDUsed">[15]System_Defaults!$D$6</definedName>
    <definedName name="ZZ_SYS_SectorName">[15]System_Defaults!$F$85</definedName>
    <definedName name="ZZ_SYS_SectorNameUsed">[15]System_Defaults!$F$6</definedName>
    <definedName name="ZZ_SYS_SharePrice">[15]System_Defaults!$D$12</definedName>
    <definedName name="ZZ_SYS_SharesIssued">[15]System_Defaults!$D$13</definedName>
    <definedName name="ZZ_SYS_SheetNames">[15]System_Defaults!$F$44:$F$47</definedName>
    <definedName name="ZZ_SYS_ShowPercents">[15]System_Defaults!$H$56</definedName>
    <definedName name="ZZ_SYS_ShowXs">[15]System_Defaults!$H$55</definedName>
    <definedName name="ZZ_SYS_Units">[15]System_Defaults!$H$81</definedName>
    <definedName name="ZZ_SYS_UnitsManual">[15]System_Defaults!$H$33</definedName>
    <definedName name="ZZ_SYS_UseCalculationHandling">[15]System_Defaults!$H$49</definedName>
    <definedName name="ZZ_SYS_UseForeignPrice">[15]System_Defaults!$H$54</definedName>
    <definedName name="ZZ_SYS_UsePrintRangeHandling">[15]System_Defaults!$H$50</definedName>
    <definedName name="ZZ_SYS_UserMode">[15]System_Defaults!$D$87</definedName>
    <definedName name="ZZ_SYS_UseTaxDeductibleGoodwillAmort">[15]System_Defaults!$H$51</definedName>
    <definedName name="ZZ_SYS_VersionDate">[15]System_Defaults!$H$82</definedName>
    <definedName name="ZZ_SYS_VersionNo">[15]System_Defaults!$D$82</definedName>
    <definedName name="ZZ_SYS_YearCodeForecast">[15]System_Defaults!$H$34</definedName>
    <definedName name="ZZ_SYS_YearCodeHistoric">[15]System_Defaults!$D$34</definedName>
    <definedName name="ZZ_VAL_DDM_DiscountedDividends">[15]Reporting!$A$1028:$IV$1028</definedName>
    <definedName name="ZZ_VAL_DDM_DiscountFactor">[15]Reporting!$A$1027:$IV$1027</definedName>
    <definedName name="ZZ_VAL_DDM_DiscountRate">[15]Reporting!$A$1026:$IV$1026</definedName>
    <definedName name="ZZ_VAL_DDM_DiscountRateManual">[15]Reporting!$A$1018:$IV$1018</definedName>
    <definedName name="ZZ_VAL_DDM_Dividends">[15]Reporting!$A$1025:$IV$1025</definedName>
    <definedName name="ZZ_VAL_DDM_DividendsManual">[15]Reporting!$A$1017:$IV$1017</definedName>
    <definedName name="ZZ_VAL_DDM_ImpliedEquityValue">[15]Reporting!$A$1032:$IV$1032</definedName>
    <definedName name="ZZ_VAL_DDM_ImpliedEquityValuePerShare">[15]Reporting!$A$1035:$IV$1035</definedName>
    <definedName name="ZZ_VAL_DDM_LTGrowthRate">[15]Reporting!$A$1023:$IV$1023</definedName>
    <definedName name="ZZ_VAL_DDM_LTGrowthRateManual">[15]Reporting!$A$1019:$IV$1019</definedName>
    <definedName name="ZZ_VAL_DDM_TotalValue">[15]Reporting!$A$1029:$IV$1029</definedName>
    <definedName name="ZZ_VAL_ENT_AdjToEquityValue">[15]Reporting!$A$971:$IV$971</definedName>
    <definedName name="ZZ_VAL_ENT_EBITDA">[15]Reporting!$A$964:$IV$964</definedName>
    <definedName name="ZZ_VAL_ENT_EnterpriseValue">[15]Reporting!$A$972:$IV$972</definedName>
    <definedName name="ZZ_VAL_ENT_EquityValue">[15]Reporting!$A$966:$IV$966</definedName>
    <definedName name="ZZ_VAL_IRR_FreeCashFlow">[15]Reporting!$A$1004:$IV$1004</definedName>
    <definedName name="ZZ_VAL_IRR_FreeCashFlowManual">[15]Reporting!$A$1003:$IV$1003</definedName>
    <definedName name="ZZ_VAL_PER_MarketCapActual">[15]Reporting!$A$951:$IV$951</definedName>
    <definedName name="ZZ_VAL_PER_NetIncome">[15]Reporting!$A$941:$IV$941</definedName>
    <definedName name="ZZ_VAL_PER_PEMultiple">[15]Reporting!$A$942:$IV$942</definedName>
    <definedName name="ZZ_VAL_PER_PriceActual">[15]Reporting!$A$959:$IV$959</definedName>
  </definedNames>
  <calcPr calcId="171027"/>
</workbook>
</file>

<file path=xl/calcChain.xml><?xml version="1.0" encoding="utf-8"?>
<calcChain xmlns="http://schemas.openxmlformats.org/spreadsheetml/2006/main">
  <c r="E24" i="53" l="1"/>
  <c r="E23" i="53" s="1"/>
  <c r="D23" i="53"/>
  <c r="D24" i="53"/>
  <c r="E19" i="53"/>
  <c r="D19" i="53"/>
  <c r="D20" i="53"/>
  <c r="I62" i="54"/>
  <c r="I59" i="54"/>
  <c r="I56" i="54"/>
  <c r="I54" i="54"/>
  <c r="I53" i="54"/>
  <c r="I48" i="54"/>
  <c r="I47" i="54"/>
  <c r="I46" i="54"/>
  <c r="P30" i="54"/>
  <c r="O30" i="54"/>
  <c r="N30" i="54"/>
  <c r="M30" i="54"/>
  <c r="L30" i="54"/>
  <c r="K30" i="54"/>
  <c r="J30" i="54"/>
  <c r="N61" i="54"/>
  <c r="N59" i="54"/>
  <c r="N55" i="54"/>
  <c r="N54" i="54"/>
  <c r="N53" i="54"/>
  <c r="M5" i="60"/>
  <c r="M3" i="60"/>
  <c r="E4" i="60"/>
  <c r="E3" i="60"/>
  <c r="P25" i="54"/>
  <c r="O25" i="54"/>
  <c r="N25" i="54"/>
  <c r="M25" i="54"/>
  <c r="L25" i="54"/>
  <c r="K25" i="54"/>
  <c r="J25" i="54"/>
  <c r="P27" i="54"/>
  <c r="O27" i="54"/>
  <c r="N27" i="54"/>
  <c r="M27" i="54"/>
  <c r="L27" i="54"/>
  <c r="K27" i="54"/>
  <c r="J27" i="54"/>
  <c r="K20" i="54"/>
  <c r="L20" i="54" s="1"/>
  <c r="M20" i="54" s="1"/>
  <c r="N20" i="54" s="1"/>
  <c r="O20" i="54" s="1"/>
  <c r="P20" i="54" s="1"/>
  <c r="J20" i="54"/>
  <c r="P16" i="54"/>
  <c r="O16" i="54"/>
  <c r="N16" i="54"/>
  <c r="M16" i="54"/>
  <c r="L16" i="54"/>
  <c r="K16" i="54"/>
  <c r="J16" i="54"/>
  <c r="P15" i="54"/>
  <c r="O15" i="54"/>
  <c r="N15" i="54"/>
  <c r="M15" i="54"/>
  <c r="L15" i="54"/>
  <c r="K15" i="54"/>
  <c r="J15" i="54"/>
  <c r="L13" i="54"/>
  <c r="M13" i="54" s="1"/>
  <c r="N13" i="54" s="1"/>
  <c r="O13" i="54" s="1"/>
  <c r="P13" i="54" s="1"/>
  <c r="K13" i="54"/>
  <c r="M14" i="54"/>
  <c r="N14" i="54" s="1"/>
  <c r="O14" i="54" s="1"/>
  <c r="P14" i="54" s="1"/>
  <c r="L14" i="54"/>
  <c r="K14" i="54"/>
  <c r="J13" i="54"/>
  <c r="P11" i="54"/>
  <c r="O11" i="54"/>
  <c r="N11" i="54"/>
  <c r="M11" i="54"/>
  <c r="L11" i="54"/>
  <c r="K11" i="54"/>
  <c r="J11" i="54"/>
  <c r="K12" i="54"/>
  <c r="K7" i="54"/>
  <c r="L7" i="54" s="1"/>
  <c r="M7" i="54" s="1"/>
  <c r="N7" i="54" s="1"/>
  <c r="O7" i="54" s="1"/>
  <c r="P7" i="54" s="1"/>
  <c r="J7" i="54"/>
  <c r="K5" i="54"/>
  <c r="L5" i="54" s="1"/>
  <c r="M5" i="54" s="1"/>
  <c r="N5" i="54" s="1"/>
  <c r="O5" i="54" s="1"/>
  <c r="P5" i="54" s="1"/>
  <c r="J5" i="54"/>
  <c r="S185" i="2"/>
  <c r="T185" i="2" s="1"/>
  <c r="R185" i="2"/>
  <c r="T182" i="2"/>
  <c r="S182" i="2"/>
  <c r="R182" i="2"/>
  <c r="S180" i="2"/>
  <c r="T180" i="2" s="1"/>
  <c r="R180" i="2"/>
  <c r="T177" i="2"/>
  <c r="S177" i="2"/>
  <c r="R177" i="2"/>
  <c r="S176" i="2"/>
  <c r="T176" i="2" s="1"/>
  <c r="R176" i="2"/>
  <c r="T175" i="2"/>
  <c r="S175" i="2"/>
  <c r="R175" i="2"/>
  <c r="S158" i="2"/>
  <c r="T158" i="2" s="1"/>
  <c r="R158" i="2"/>
  <c r="S148" i="2"/>
  <c r="T148" i="2" s="1"/>
  <c r="S147" i="2"/>
  <c r="T147" i="2" s="1"/>
  <c r="R148" i="2"/>
  <c r="R147" i="2"/>
  <c r="T146" i="2"/>
  <c r="S146" i="2"/>
  <c r="R146" i="2"/>
  <c r="T135" i="2"/>
  <c r="S135" i="2"/>
  <c r="R135" i="2"/>
  <c r="S121" i="2"/>
  <c r="T121" i="2" s="1"/>
  <c r="R121" i="2"/>
  <c r="S66" i="2"/>
  <c r="T66" i="2" s="1"/>
  <c r="R66" i="2"/>
  <c r="T56" i="2"/>
  <c r="S56" i="2"/>
  <c r="R56" i="2"/>
  <c r="T48" i="2"/>
  <c r="S48" i="2"/>
  <c r="R48" i="2"/>
  <c r="T39" i="2"/>
  <c r="S39" i="2"/>
  <c r="R39" i="2"/>
  <c r="T63" i="1"/>
  <c r="S63" i="1"/>
  <c r="R63" i="1"/>
  <c r="T61" i="1"/>
  <c r="S61" i="1"/>
  <c r="R61" i="1"/>
  <c r="T62" i="1"/>
  <c r="S62" i="1"/>
  <c r="T54" i="1"/>
  <c r="S54" i="1"/>
  <c r="T53" i="1"/>
  <c r="S53" i="1"/>
  <c r="R54" i="1"/>
  <c r="R53" i="1"/>
  <c r="S49" i="1"/>
  <c r="T49" i="1" s="1"/>
  <c r="S48" i="1"/>
  <c r="T48" i="1" s="1"/>
  <c r="R49" i="1"/>
  <c r="R48" i="1"/>
  <c r="S46" i="1"/>
  <c r="T46" i="1" s="1"/>
  <c r="S45" i="1"/>
  <c r="T45" i="1" s="1"/>
  <c r="R46" i="1"/>
  <c r="R45" i="1"/>
  <c r="T167" i="1"/>
  <c r="S167" i="1"/>
  <c r="R167" i="1"/>
  <c r="T176" i="1"/>
  <c r="S176" i="1"/>
  <c r="T126" i="1"/>
  <c r="S126" i="1"/>
  <c r="S90" i="1"/>
  <c r="T90" i="1" s="1"/>
  <c r="R90" i="1"/>
  <c r="R103" i="1"/>
  <c r="T104" i="1"/>
  <c r="S104" i="1"/>
  <c r="S108" i="1"/>
  <c r="T108" i="1" s="1"/>
  <c r="R108" i="1"/>
  <c r="R107" i="1"/>
  <c r="S107" i="1" s="1"/>
  <c r="T107" i="1" s="1"/>
  <c r="S106" i="1"/>
  <c r="T106" i="1" s="1"/>
  <c r="R106" i="1"/>
  <c r="S105" i="1"/>
  <c r="T105" i="1" s="1"/>
  <c r="R105" i="1"/>
  <c r="R102" i="1"/>
  <c r="R101" i="1"/>
  <c r="R100" i="1"/>
  <c r="T103" i="1"/>
  <c r="T102" i="1"/>
  <c r="T101" i="1"/>
  <c r="T100" i="1"/>
  <c r="T99" i="1"/>
  <c r="S103" i="1"/>
  <c r="S102" i="1"/>
  <c r="S101" i="1"/>
  <c r="S100" i="1"/>
  <c r="S117" i="1"/>
  <c r="T117" i="1" s="1"/>
  <c r="R117" i="1"/>
  <c r="T116" i="1"/>
  <c r="S116" i="1"/>
  <c r="S115" i="1"/>
  <c r="R115" i="1"/>
  <c r="S145" i="2"/>
  <c r="T145" i="2" s="1"/>
  <c r="R145" i="2"/>
  <c r="T93" i="44"/>
  <c r="S93" i="44"/>
  <c r="S91" i="44"/>
  <c r="T91" i="44" s="1"/>
  <c r="R91" i="44"/>
  <c r="T90" i="44"/>
  <c r="S90" i="44"/>
  <c r="T83" i="44"/>
  <c r="S83" i="44"/>
  <c r="R83" i="44"/>
  <c r="R15" i="44"/>
  <c r="S15" i="44" s="1"/>
  <c r="T75" i="44"/>
  <c r="S81" i="44"/>
  <c r="T81" i="44" s="1"/>
  <c r="R81" i="44"/>
  <c r="S85" i="44"/>
  <c r="T85" i="44" s="1"/>
  <c r="S13" i="44"/>
  <c r="T13" i="44" s="1"/>
  <c r="T54" i="44"/>
  <c r="S54" i="44"/>
  <c r="R54" i="44"/>
  <c r="S55" i="44"/>
  <c r="T55" i="44" s="1"/>
  <c r="R55" i="44"/>
  <c r="T56" i="44"/>
  <c r="S56" i="44"/>
  <c r="R52" i="44"/>
  <c r="S52" i="44" s="1"/>
  <c r="T52" i="44" s="1"/>
  <c r="S51" i="44"/>
  <c r="T51" i="44" s="1"/>
  <c r="R51" i="44"/>
  <c r="S49" i="44"/>
  <c r="T49" i="44" s="1"/>
  <c r="S48" i="44"/>
  <c r="T48" i="44" s="1"/>
  <c r="R49" i="44"/>
  <c r="R48" i="44"/>
  <c r="T47" i="44"/>
  <c r="S47" i="44"/>
  <c r="T64" i="44"/>
  <c r="T63" i="44"/>
  <c r="S64" i="44"/>
  <c r="S63" i="44"/>
  <c r="T61" i="44"/>
  <c r="S61" i="44"/>
  <c r="R61" i="44"/>
  <c r="S59" i="44"/>
  <c r="T59" i="44" s="1"/>
  <c r="T15" i="44"/>
  <c r="S14" i="44"/>
  <c r="T14" i="44" s="1"/>
  <c r="R14" i="44"/>
  <c r="T11" i="44"/>
  <c r="S11" i="44"/>
  <c r="S10" i="44"/>
  <c r="T10" i="44" s="1"/>
  <c r="T8" i="44"/>
  <c r="S8" i="44"/>
  <c r="R8" i="44"/>
  <c r="T7" i="44"/>
  <c r="S7" i="44"/>
  <c r="S6" i="44"/>
  <c r="T6" i="44" s="1"/>
  <c r="T27" i="44"/>
  <c r="S20" i="44"/>
  <c r="S99" i="1" l="1"/>
  <c r="Q7" i="44"/>
  <c r="R7" i="44" s="1"/>
  <c r="T137" i="1"/>
  <c r="S137" i="1"/>
  <c r="S142" i="1"/>
  <c r="T142" i="1" s="1"/>
  <c r="R142" i="1"/>
  <c r="T139" i="1"/>
  <c r="S139" i="1"/>
  <c r="R139" i="1"/>
  <c r="R137" i="1"/>
  <c r="R113" i="2"/>
  <c r="S113" i="2" s="1"/>
  <c r="T113" i="2" s="1"/>
  <c r="S111" i="2"/>
  <c r="T111" i="2" s="1"/>
  <c r="R111" i="2"/>
  <c r="R110" i="2"/>
  <c r="S110" i="2" s="1"/>
  <c r="T110" i="2" s="1"/>
  <c r="S109" i="2"/>
  <c r="T109" i="2" s="1"/>
  <c r="R109" i="2"/>
  <c r="R107" i="2"/>
  <c r="S107" i="2" s="1"/>
  <c r="T107" i="2" s="1"/>
  <c r="T55" i="6"/>
  <c r="U55" i="6" s="1"/>
  <c r="R159" i="1"/>
  <c r="T159" i="1"/>
  <c r="S159" i="1"/>
  <c r="U31" i="6"/>
  <c r="J250" i="60" l="1"/>
  <c r="J249" i="60"/>
  <c r="J248" i="60"/>
  <c r="J247" i="60"/>
  <c r="J246" i="60"/>
  <c r="J245" i="60"/>
  <c r="J244" i="60"/>
  <c r="J243" i="60"/>
  <c r="J242" i="60"/>
  <c r="J241" i="60"/>
  <c r="J240" i="60"/>
  <c r="J239" i="60"/>
  <c r="J238" i="60"/>
  <c r="J237" i="60"/>
  <c r="J236" i="60"/>
  <c r="J235" i="60"/>
  <c r="J234" i="60"/>
  <c r="J233" i="60"/>
  <c r="J232" i="60"/>
  <c r="J231" i="60"/>
  <c r="J230" i="60"/>
  <c r="J229" i="60"/>
  <c r="J228" i="60"/>
  <c r="J227" i="60"/>
  <c r="J226" i="60"/>
  <c r="J225" i="60"/>
  <c r="J224" i="60"/>
  <c r="J223" i="60"/>
  <c r="J222" i="60"/>
  <c r="J221" i="60"/>
  <c r="J220" i="60"/>
  <c r="J219" i="60"/>
  <c r="J218" i="60"/>
  <c r="J217" i="60"/>
  <c r="J216" i="60"/>
  <c r="J215" i="60"/>
  <c r="J214" i="60"/>
  <c r="J213" i="60"/>
  <c r="J212" i="60"/>
  <c r="J211" i="60"/>
  <c r="J210" i="60"/>
  <c r="J209" i="60"/>
  <c r="J208" i="60"/>
  <c r="J207" i="60"/>
  <c r="J206" i="60"/>
  <c r="J205" i="60"/>
  <c r="J204" i="60"/>
  <c r="J203" i="60"/>
  <c r="J202" i="60"/>
  <c r="J201" i="60"/>
  <c r="J200" i="60"/>
  <c r="J199" i="60"/>
  <c r="J198" i="60"/>
  <c r="J197" i="60"/>
  <c r="J196" i="60"/>
  <c r="J195" i="60"/>
  <c r="J194" i="60"/>
  <c r="J193" i="60"/>
  <c r="J192" i="60"/>
  <c r="J191" i="60"/>
  <c r="J190" i="60"/>
  <c r="J189" i="60"/>
  <c r="J188" i="60"/>
  <c r="J187" i="60"/>
  <c r="J186" i="60"/>
  <c r="J185" i="60"/>
  <c r="J184" i="60"/>
  <c r="J183" i="60"/>
  <c r="J182" i="60"/>
  <c r="J181" i="60"/>
  <c r="J180" i="60"/>
  <c r="J179" i="60"/>
  <c r="J178" i="60"/>
  <c r="J177" i="60"/>
  <c r="J176" i="60"/>
  <c r="J175" i="60"/>
  <c r="J174" i="60"/>
  <c r="J173" i="60"/>
  <c r="J172" i="60"/>
  <c r="J171" i="60"/>
  <c r="J170" i="60"/>
  <c r="J169" i="60"/>
  <c r="J168" i="60"/>
  <c r="J167" i="60"/>
  <c r="J166" i="60"/>
  <c r="J165" i="60"/>
  <c r="J164" i="60"/>
  <c r="J163" i="60"/>
  <c r="J162" i="60"/>
  <c r="J161" i="60"/>
  <c r="J160" i="60"/>
  <c r="J159" i="60"/>
  <c r="J158" i="60"/>
  <c r="J157" i="60"/>
  <c r="J156" i="60"/>
  <c r="J155" i="60"/>
  <c r="J154" i="60"/>
  <c r="J153" i="60"/>
  <c r="J152" i="60"/>
  <c r="J151" i="60"/>
  <c r="J150" i="60"/>
  <c r="J149" i="60"/>
  <c r="J148" i="60"/>
  <c r="J147" i="60"/>
  <c r="J146" i="60"/>
  <c r="J145" i="60"/>
  <c r="J144" i="60"/>
  <c r="J143" i="60"/>
  <c r="J142" i="60"/>
  <c r="J141" i="60"/>
  <c r="J140" i="60"/>
  <c r="J139" i="60"/>
  <c r="J138" i="60"/>
  <c r="J137" i="60"/>
  <c r="J136" i="60"/>
  <c r="J135" i="60"/>
  <c r="J134" i="60"/>
  <c r="J133" i="60"/>
  <c r="J132" i="60"/>
  <c r="J131" i="60"/>
  <c r="J130" i="60"/>
  <c r="J129" i="60"/>
  <c r="J128" i="60"/>
  <c r="J127" i="60"/>
  <c r="J126" i="60"/>
  <c r="J125" i="60"/>
  <c r="J124" i="60"/>
  <c r="J123" i="60"/>
  <c r="J122" i="60"/>
  <c r="J121" i="60"/>
  <c r="J120" i="60"/>
  <c r="J119" i="60"/>
  <c r="J118" i="60"/>
  <c r="J117" i="60"/>
  <c r="J116" i="60"/>
  <c r="J115" i="60"/>
  <c r="J114" i="60"/>
  <c r="J113" i="60"/>
  <c r="J112" i="60"/>
  <c r="J111" i="60"/>
  <c r="J110" i="60"/>
  <c r="J109" i="60"/>
  <c r="J108" i="60"/>
  <c r="J107" i="60"/>
  <c r="J106" i="60"/>
  <c r="J105" i="60"/>
  <c r="J104" i="60"/>
  <c r="J103" i="60"/>
  <c r="J102" i="60"/>
  <c r="J101" i="60"/>
  <c r="J100" i="60"/>
  <c r="J99" i="60"/>
  <c r="J98" i="60"/>
  <c r="J97" i="60"/>
  <c r="J96" i="60"/>
  <c r="J95" i="60"/>
  <c r="J94" i="60"/>
  <c r="J93" i="60"/>
  <c r="J92" i="60"/>
  <c r="J91" i="60"/>
  <c r="J90" i="60"/>
  <c r="J89" i="60"/>
  <c r="J88" i="60"/>
  <c r="J87" i="60"/>
  <c r="J86" i="60"/>
  <c r="J85" i="60"/>
  <c r="J84" i="60"/>
  <c r="J83" i="60"/>
  <c r="J82" i="60"/>
  <c r="J81" i="60"/>
  <c r="J80" i="60"/>
  <c r="J79" i="60"/>
  <c r="J78" i="60"/>
  <c r="J77" i="60"/>
  <c r="J76" i="60"/>
  <c r="J75" i="60"/>
  <c r="J74" i="60"/>
  <c r="J73" i="60"/>
  <c r="J72" i="60"/>
  <c r="J71" i="60"/>
  <c r="J70" i="60"/>
  <c r="J69" i="60"/>
  <c r="J68" i="60"/>
  <c r="J67" i="60"/>
  <c r="J66" i="60"/>
  <c r="J65" i="60"/>
  <c r="J64" i="60"/>
  <c r="J63" i="60"/>
  <c r="J62" i="60"/>
  <c r="J61" i="60"/>
  <c r="J60" i="60"/>
  <c r="J59" i="60"/>
  <c r="J58" i="60"/>
  <c r="J57" i="60"/>
  <c r="J56" i="60"/>
  <c r="J55" i="60"/>
  <c r="J54" i="60"/>
  <c r="J53" i="60"/>
  <c r="J52" i="60"/>
  <c r="J51" i="60"/>
  <c r="J50" i="60"/>
  <c r="J49" i="60"/>
  <c r="J48" i="60"/>
  <c r="J47" i="60"/>
  <c r="J46" i="60"/>
  <c r="J45" i="60"/>
  <c r="J44" i="60"/>
  <c r="J43" i="60"/>
  <c r="J42" i="60"/>
  <c r="J41" i="60"/>
  <c r="J40" i="60"/>
  <c r="J39" i="60"/>
  <c r="J38" i="60"/>
  <c r="J37" i="60"/>
  <c r="J36" i="60"/>
  <c r="J35" i="60"/>
  <c r="J34" i="60"/>
  <c r="J33" i="60"/>
  <c r="J32" i="60"/>
  <c r="J31" i="60"/>
  <c r="J30" i="60"/>
  <c r="J29" i="60"/>
  <c r="J28" i="60"/>
  <c r="J27" i="60"/>
  <c r="J26" i="60"/>
  <c r="J25" i="60"/>
  <c r="J24" i="60"/>
  <c r="J23" i="60"/>
  <c r="J22" i="60"/>
  <c r="J21" i="60"/>
  <c r="J20" i="60"/>
  <c r="J19" i="60"/>
  <c r="J18" i="60"/>
  <c r="J17" i="60"/>
  <c r="J16" i="60"/>
  <c r="J15" i="60"/>
  <c r="J14" i="60"/>
  <c r="J13" i="60"/>
  <c r="J12" i="60"/>
  <c r="J11" i="60"/>
  <c r="J10" i="60"/>
  <c r="J9" i="60"/>
  <c r="J3" i="60" s="1"/>
  <c r="E250" i="60"/>
  <c r="E249" i="60"/>
  <c r="E248" i="60"/>
  <c r="E247" i="60"/>
  <c r="E246" i="60"/>
  <c r="E245" i="60"/>
  <c r="E244" i="60"/>
  <c r="E243" i="60"/>
  <c r="E242" i="60"/>
  <c r="E241" i="60"/>
  <c r="E240" i="60"/>
  <c r="E239" i="60"/>
  <c r="E238" i="60"/>
  <c r="E237" i="60"/>
  <c r="E236" i="60"/>
  <c r="E235" i="60"/>
  <c r="E234" i="60"/>
  <c r="E233" i="60"/>
  <c r="E232" i="60"/>
  <c r="E231" i="60"/>
  <c r="E230" i="60"/>
  <c r="E229" i="60"/>
  <c r="E228" i="60"/>
  <c r="E227" i="60"/>
  <c r="E226" i="60"/>
  <c r="E225" i="60"/>
  <c r="E224" i="60"/>
  <c r="E223" i="60"/>
  <c r="E222" i="60"/>
  <c r="E221" i="60"/>
  <c r="E220" i="60"/>
  <c r="E219" i="60"/>
  <c r="E218" i="60"/>
  <c r="E217" i="60"/>
  <c r="E216" i="60"/>
  <c r="E215" i="60"/>
  <c r="E214" i="60"/>
  <c r="E213" i="60"/>
  <c r="E212" i="60"/>
  <c r="E211" i="60"/>
  <c r="E210" i="60"/>
  <c r="E209" i="60"/>
  <c r="E208" i="60"/>
  <c r="E207" i="60"/>
  <c r="E206" i="60"/>
  <c r="E205" i="60"/>
  <c r="E204" i="60"/>
  <c r="E203" i="60"/>
  <c r="E202" i="60"/>
  <c r="E201" i="60"/>
  <c r="E200" i="60"/>
  <c r="E199" i="60"/>
  <c r="E198" i="60"/>
  <c r="E197" i="60"/>
  <c r="E196" i="60"/>
  <c r="E195" i="60"/>
  <c r="E194" i="60"/>
  <c r="E193" i="60"/>
  <c r="E192" i="60"/>
  <c r="E191" i="60"/>
  <c r="E190" i="60"/>
  <c r="E189" i="60"/>
  <c r="E188" i="60"/>
  <c r="E187" i="60"/>
  <c r="E186" i="60"/>
  <c r="E185" i="60"/>
  <c r="E184" i="60"/>
  <c r="E183" i="60"/>
  <c r="E182" i="60"/>
  <c r="E181" i="60"/>
  <c r="E180" i="60"/>
  <c r="E179" i="60"/>
  <c r="E178" i="60"/>
  <c r="E177" i="60"/>
  <c r="E176" i="60"/>
  <c r="E175" i="60"/>
  <c r="E174" i="60"/>
  <c r="E173" i="60"/>
  <c r="E172" i="60"/>
  <c r="E171" i="60"/>
  <c r="E170" i="60"/>
  <c r="E169" i="60"/>
  <c r="E168" i="60"/>
  <c r="E167" i="60"/>
  <c r="E166" i="60"/>
  <c r="E165" i="60"/>
  <c r="E164" i="60"/>
  <c r="E163" i="60"/>
  <c r="E162" i="60"/>
  <c r="E161" i="60"/>
  <c r="E160" i="60"/>
  <c r="E159" i="60"/>
  <c r="E158" i="60"/>
  <c r="E157" i="60"/>
  <c r="E156" i="60"/>
  <c r="E155" i="60"/>
  <c r="E154" i="60"/>
  <c r="E153" i="60"/>
  <c r="E152" i="60"/>
  <c r="E151" i="60"/>
  <c r="E150" i="60"/>
  <c r="E149" i="60"/>
  <c r="E148" i="60"/>
  <c r="E147" i="60"/>
  <c r="E146" i="60"/>
  <c r="E145" i="60"/>
  <c r="E144" i="60"/>
  <c r="E143" i="60"/>
  <c r="E142" i="60"/>
  <c r="E141" i="60"/>
  <c r="E140" i="60"/>
  <c r="E139" i="60"/>
  <c r="E138" i="60"/>
  <c r="E137" i="60"/>
  <c r="E136" i="60"/>
  <c r="E135" i="60"/>
  <c r="E134" i="60"/>
  <c r="E133" i="60"/>
  <c r="E132" i="60"/>
  <c r="E131" i="60"/>
  <c r="E130" i="60"/>
  <c r="E129" i="60"/>
  <c r="E128" i="60"/>
  <c r="E127" i="60"/>
  <c r="E126" i="60"/>
  <c r="E125" i="60"/>
  <c r="E124" i="60"/>
  <c r="E123" i="60"/>
  <c r="E122" i="60"/>
  <c r="E121" i="60"/>
  <c r="E120" i="60"/>
  <c r="E119" i="60"/>
  <c r="E118" i="60"/>
  <c r="E117" i="60"/>
  <c r="E116" i="60"/>
  <c r="E115" i="60"/>
  <c r="E114" i="60"/>
  <c r="E113" i="60"/>
  <c r="E112" i="60"/>
  <c r="E111" i="60"/>
  <c r="E110" i="60"/>
  <c r="E109" i="60"/>
  <c r="E108" i="60"/>
  <c r="E107" i="60"/>
  <c r="E106" i="60"/>
  <c r="E105" i="60"/>
  <c r="E104" i="60"/>
  <c r="E103" i="60"/>
  <c r="E102" i="60"/>
  <c r="E101" i="60"/>
  <c r="E100" i="60"/>
  <c r="E99" i="60"/>
  <c r="E98" i="60"/>
  <c r="E97" i="60"/>
  <c r="E96" i="60"/>
  <c r="E95" i="60"/>
  <c r="E94" i="60"/>
  <c r="E93" i="60"/>
  <c r="E92" i="60"/>
  <c r="E91" i="60"/>
  <c r="E90" i="60"/>
  <c r="E89" i="60"/>
  <c r="E88" i="60"/>
  <c r="E87" i="60"/>
  <c r="E86" i="60"/>
  <c r="E85" i="60"/>
  <c r="E84" i="60"/>
  <c r="E83" i="60"/>
  <c r="E82" i="60"/>
  <c r="E81" i="60"/>
  <c r="E80" i="60"/>
  <c r="E79" i="60"/>
  <c r="E78" i="60"/>
  <c r="E77" i="60"/>
  <c r="E76" i="60"/>
  <c r="E75" i="60"/>
  <c r="E74" i="60"/>
  <c r="E73" i="60"/>
  <c r="E72" i="60"/>
  <c r="E71" i="60"/>
  <c r="E70" i="60"/>
  <c r="E69" i="60"/>
  <c r="E68" i="60"/>
  <c r="E67" i="60"/>
  <c r="E66" i="60"/>
  <c r="E65" i="60"/>
  <c r="E64" i="60"/>
  <c r="E63" i="60"/>
  <c r="E62" i="60"/>
  <c r="E61" i="60"/>
  <c r="E60" i="60"/>
  <c r="E59" i="60"/>
  <c r="E58" i="60"/>
  <c r="E57" i="60"/>
  <c r="E56" i="60"/>
  <c r="E55" i="60"/>
  <c r="E54" i="60"/>
  <c r="E53" i="60"/>
  <c r="E52" i="60"/>
  <c r="E51" i="60"/>
  <c r="E50" i="60"/>
  <c r="E49" i="60"/>
  <c r="E48" i="60"/>
  <c r="E47" i="60"/>
  <c r="E46" i="60"/>
  <c r="E45" i="60"/>
  <c r="E44" i="60"/>
  <c r="E43" i="60"/>
  <c r="E42" i="60"/>
  <c r="E41" i="60"/>
  <c r="E40" i="60"/>
  <c r="E39" i="60"/>
  <c r="E38" i="60"/>
  <c r="E37" i="60"/>
  <c r="E36" i="60"/>
  <c r="E35" i="60"/>
  <c r="E34" i="60"/>
  <c r="E33" i="60"/>
  <c r="E32" i="60"/>
  <c r="E31" i="60"/>
  <c r="E30" i="60"/>
  <c r="E29" i="60"/>
  <c r="E28" i="60"/>
  <c r="E27" i="60"/>
  <c r="E26" i="60"/>
  <c r="E25" i="60"/>
  <c r="E24" i="60"/>
  <c r="E23" i="60"/>
  <c r="E22" i="60"/>
  <c r="E21" i="60"/>
  <c r="E20" i="60"/>
  <c r="E19" i="60"/>
  <c r="E18" i="60"/>
  <c r="E17" i="60"/>
  <c r="E16" i="60"/>
  <c r="E15" i="60"/>
  <c r="E14" i="60"/>
  <c r="E13" i="60"/>
  <c r="E12" i="60"/>
  <c r="E11" i="60"/>
  <c r="E10" i="60"/>
  <c r="E9" i="60"/>
  <c r="J28" i="54"/>
  <c r="P28" i="54"/>
  <c r="G15" i="54"/>
  <c r="F15" i="54"/>
  <c r="E15" i="54"/>
  <c r="D15" i="54"/>
  <c r="C15" i="54"/>
  <c r="J4" i="60" l="1"/>
  <c r="L28" i="54"/>
  <c r="M28" i="54"/>
  <c r="N28" i="54"/>
  <c r="K28" i="54"/>
  <c r="O28" i="54"/>
  <c r="I39" i="54"/>
  <c r="C39" i="54"/>
  <c r="Q8" i="44" l="1"/>
  <c r="E11" i="45"/>
  <c r="Q27" i="44" l="1"/>
  <c r="Q28" i="44"/>
  <c r="Q22" i="44"/>
  <c r="Q24" i="44"/>
  <c r="Q21" i="44"/>
  <c r="Q6" i="44"/>
  <c r="L38" i="28"/>
  <c r="M38" i="28"/>
  <c r="L31" i="28"/>
  <c r="M31" i="28"/>
  <c r="L30" i="28"/>
  <c r="M30" i="28"/>
  <c r="L28" i="28"/>
  <c r="M28" i="28"/>
  <c r="L22" i="28"/>
  <c r="M22" i="28"/>
  <c r="L21" i="28"/>
  <c r="M21" i="28"/>
  <c r="L19" i="28"/>
  <c r="M19" i="28"/>
  <c r="L12" i="28"/>
  <c r="M12" i="28"/>
  <c r="L11" i="28"/>
  <c r="M11" i="28"/>
  <c r="L9" i="28"/>
  <c r="M9" i="28"/>
  <c r="P90" i="1"/>
  <c r="Q90" i="1"/>
  <c r="Q80" i="1"/>
  <c r="Q10" i="1"/>
  <c r="P32" i="1"/>
  <c r="P167" i="1" s="1"/>
  <c r="P15" i="1"/>
  <c r="P10" i="1"/>
  <c r="P80" i="1" s="1"/>
  <c r="P9" i="1"/>
  <c r="Q32" i="1"/>
  <c r="Q167" i="1" s="1"/>
  <c r="Q15" i="1"/>
  <c r="Q9" i="1"/>
  <c r="Q11" i="4" s="1"/>
  <c r="AT132" i="29" l="1"/>
  <c r="AP57" i="29"/>
  <c r="AP31" i="29"/>
  <c r="AT23" i="29"/>
  <c r="AT57" i="29"/>
  <c r="AT31" i="29"/>
  <c r="FC14" i="59" l="1"/>
  <c r="FD14" i="59"/>
  <c r="FC9" i="59"/>
  <c r="FD9" i="59"/>
  <c r="FC4" i="59"/>
  <c r="FD4" i="59"/>
  <c r="FB20" i="59"/>
  <c r="FB24" i="59" s="1"/>
  <c r="FC20" i="59"/>
  <c r="FD20" i="59"/>
  <c r="FD24" i="59" s="1"/>
  <c r="FB21" i="59"/>
  <c r="FC21" i="59"/>
  <c r="FC25" i="59" s="1"/>
  <c r="FD21" i="59"/>
  <c r="FC24" i="59"/>
  <c r="FB25" i="59"/>
  <c r="FD25" i="59"/>
  <c r="FA20" i="59"/>
  <c r="FA24" i="59" s="1"/>
  <c r="FA21" i="59"/>
  <c r="FA25" i="59" s="1"/>
  <c r="FB4" i="59"/>
  <c r="FB9" i="59"/>
  <c r="FB14" i="59"/>
  <c r="FB19" i="59" s="1"/>
  <c r="FB23" i="59" s="1"/>
  <c r="FD19" i="59" l="1"/>
  <c r="FD23" i="59" s="1"/>
  <c r="FC19" i="59"/>
  <c r="FC23" i="59" s="1"/>
  <c r="K44" i="48"/>
  <c r="K43" i="48"/>
  <c r="K41" i="48"/>
  <c r="K40" i="48"/>
  <c r="Q2" i="48"/>
  <c r="Q8" i="48"/>
  <c r="Q10" i="48"/>
  <c r="Q13" i="48"/>
  <c r="Q15" i="48"/>
  <c r="Q16" i="48"/>
  <c r="Q18" i="48"/>
  <c r="Q20" i="48"/>
  <c r="AT14" i="29"/>
  <c r="AT19" i="29"/>
  <c r="Q6" i="48" s="1"/>
  <c r="AT29" i="29"/>
  <c r="AT30" i="29"/>
  <c r="AT33" i="29"/>
  <c r="AT43" i="29"/>
  <c r="AT44" i="29"/>
  <c r="AT52" i="29"/>
  <c r="AT66" i="29"/>
  <c r="AT80" i="29"/>
  <c r="AT133" i="29"/>
  <c r="AT134" i="29"/>
  <c r="AT135" i="29"/>
  <c r="AT129" i="29" s="1"/>
  <c r="AT176" i="29"/>
  <c r="AT180" i="29"/>
  <c r="AT185" i="29"/>
  <c r="AT138" i="29" s="1"/>
  <c r="AT190" i="29"/>
  <c r="AT141" i="29" s="1"/>
  <c r="AT210" i="29"/>
  <c r="AT212" i="29" s="1"/>
  <c r="AT228" i="29"/>
  <c r="AT229" i="29"/>
  <c r="AT232" i="29"/>
  <c r="AT233" i="29"/>
  <c r="AT318" i="29"/>
  <c r="AT324" i="29"/>
  <c r="AU43" i="29"/>
  <c r="AU44" i="29"/>
  <c r="AU66" i="29"/>
  <c r="AU80" i="29"/>
  <c r="AU133" i="29"/>
  <c r="AU134" i="29"/>
  <c r="AU176" i="29"/>
  <c r="AU180" i="29"/>
  <c r="AU183" i="29"/>
  <c r="AU185" i="29" s="1"/>
  <c r="AU188" i="29"/>
  <c r="AU210" i="29"/>
  <c r="AU212" i="29" s="1"/>
  <c r="AU232" i="29"/>
  <c r="AU233" i="29"/>
  <c r="AU318" i="29"/>
  <c r="Q4" i="48" l="1"/>
  <c r="Q3" i="48"/>
  <c r="Q9" i="48" s="1"/>
  <c r="AU229" i="29"/>
  <c r="FD27" i="59"/>
  <c r="FD28" i="59" s="1"/>
  <c r="AU228" i="29"/>
  <c r="AU324" i="29"/>
  <c r="AT207" i="29"/>
  <c r="AT221" i="29"/>
  <c r="AT225" i="29"/>
  <c r="AT320" i="29"/>
  <c r="AT224" i="29"/>
  <c r="AT206" i="29"/>
  <c r="AT186" i="29"/>
  <c r="AT323" i="29"/>
  <c r="AT220" i="29"/>
  <c r="AT213" i="29"/>
  <c r="AT236" i="29"/>
  <c r="AT192" i="29"/>
  <c r="AT42" i="29"/>
  <c r="AT18" i="29"/>
  <c r="AT25" i="29" s="1"/>
  <c r="AT22" i="29"/>
  <c r="AT147" i="29"/>
  <c r="AT160" i="29"/>
  <c r="AT156" i="29"/>
  <c r="AT32" i="29"/>
  <c r="AT28" i="29"/>
  <c r="AT26" i="29"/>
  <c r="AT150" i="29"/>
  <c r="AU138" i="29"/>
  <c r="AU206" i="29"/>
  <c r="AU320" i="29"/>
  <c r="AU186" i="29"/>
  <c r="AU224" i="29"/>
  <c r="AU225" i="29"/>
  <c r="AU190" i="29"/>
  <c r="Q5" i="48" l="1"/>
  <c r="Q12" i="48"/>
  <c r="Q14" i="48" s="1"/>
  <c r="Q11" i="48"/>
  <c r="Q7" i="48"/>
  <c r="J40" i="48"/>
  <c r="AU236" i="29"/>
  <c r="AU237" i="29" s="1"/>
  <c r="AT197" i="29"/>
  <c r="AT196" i="29"/>
  <c r="AT198" i="29"/>
  <c r="AT95" i="29"/>
  <c r="AT191" i="29"/>
  <c r="AT208" i="29"/>
  <c r="AT36" i="29"/>
  <c r="AT86" i="29"/>
  <c r="AT306" i="29"/>
  <c r="AT312" i="29"/>
  <c r="AT309" i="29"/>
  <c r="AU140" i="29"/>
  <c r="AU221" i="29"/>
  <c r="AU192" i="29"/>
  <c r="AU191" i="29" s="1"/>
  <c r="AU207" i="29"/>
  <c r="AU323" i="29"/>
  <c r="AU141" i="29"/>
  <c r="AU220" i="29"/>
  <c r="BW3" i="45"/>
  <c r="BW5" i="45"/>
  <c r="BW39" i="45"/>
  <c r="BW66" i="45"/>
  <c r="BW69" i="45"/>
  <c r="BW79" i="45"/>
  <c r="BW78" i="45" s="1"/>
  <c r="BW82" i="45"/>
  <c r="BW86" i="45"/>
  <c r="BW84" i="45" s="1"/>
  <c r="BW96" i="45"/>
  <c r="BW93" i="45" s="1"/>
  <c r="BW215" i="45"/>
  <c r="BW216" i="45" s="1"/>
  <c r="BW218" i="45" s="1"/>
  <c r="BW230" i="45"/>
  <c r="BW231" i="45"/>
  <c r="BW232" i="45"/>
  <c r="BW234" i="45"/>
  <c r="BW235" i="45"/>
  <c r="BW236" i="45"/>
  <c r="BW237" i="45"/>
  <c r="BW238" i="45" s="1"/>
  <c r="BW239" i="45"/>
  <c r="BW240" i="45" s="1"/>
  <c r="Q25" i="48" l="1"/>
  <c r="J41" i="48"/>
  <c r="Q26" i="48"/>
  <c r="Q17" i="48"/>
  <c r="AT1" i="29"/>
  <c r="AT107" i="29"/>
  <c r="AT113" i="29"/>
  <c r="AT119" i="29"/>
  <c r="AT101" i="29"/>
  <c r="AT144" i="29"/>
  <c r="AT98" i="29"/>
  <c r="AT104" i="29"/>
  <c r="AT94" i="29"/>
  <c r="AT47" i="29"/>
  <c r="AT110" i="29"/>
  <c r="AT87" i="29"/>
  <c r="AT39" i="29" s="1"/>
  <c r="AU198" i="29"/>
  <c r="AU95" i="29"/>
  <c r="AU196" i="29"/>
  <c r="AU208" i="29"/>
  <c r="AU197" i="29"/>
  <c r="AU150" i="29"/>
  <c r="AU143" i="29"/>
  <c r="AU213" i="29"/>
  <c r="BW225" i="45"/>
  <c r="BW226" i="45"/>
  <c r="BW227" i="45"/>
  <c r="Q19" i="48" l="1"/>
  <c r="Q29" i="48"/>
  <c r="Q27" i="48"/>
  <c r="AT315" i="29"/>
  <c r="AT128" i="29"/>
  <c r="AT153" i="29"/>
  <c r="AT55" i="29"/>
  <c r="AT88" i="29"/>
  <c r="AU1" i="29"/>
  <c r="AU94" i="29"/>
  <c r="AU144" i="29"/>
  <c r="AU97" i="29"/>
  <c r="AU113" i="29"/>
  <c r="AU152" i="29"/>
  <c r="AU312" i="29"/>
  <c r="BW256" i="45"/>
  <c r="EY20" i="59"/>
  <c r="EY24" i="59" s="1"/>
  <c r="EZ20" i="59"/>
  <c r="EZ24" i="59" s="1"/>
  <c r="EY21" i="59"/>
  <c r="EY25" i="59" s="1"/>
  <c r="EZ21" i="59"/>
  <c r="EZ25" i="59" s="1"/>
  <c r="EY14" i="59"/>
  <c r="EZ14" i="59"/>
  <c r="FA14" i="59"/>
  <c r="FA19" i="59" s="1"/>
  <c r="EY9" i="59"/>
  <c r="EZ9" i="59"/>
  <c r="FA9" i="59"/>
  <c r="EY4" i="59"/>
  <c r="EZ4" i="59"/>
  <c r="FA4" i="59"/>
  <c r="EY19" i="59" l="1"/>
  <c r="J43" i="48"/>
  <c r="FA23" i="59"/>
  <c r="Q28" i="48"/>
  <c r="Q21" i="48"/>
  <c r="AU153" i="29"/>
  <c r="AT58" i="29"/>
  <c r="AT89" i="29"/>
  <c r="AT62" i="29"/>
  <c r="AT116" i="29"/>
  <c r="AU2" i="29"/>
  <c r="AU146" i="29"/>
  <c r="AU128" i="29"/>
  <c r="AU115" i="29"/>
  <c r="EZ19" i="59"/>
  <c r="FA27" i="59" s="1"/>
  <c r="EY23" i="59"/>
  <c r="AO10" i="29"/>
  <c r="FA28" i="59" l="1"/>
  <c r="EZ23" i="59"/>
  <c r="AU11" i="29"/>
  <c r="AU135" i="29" s="1"/>
  <c r="AT72" i="29"/>
  <c r="AT67" i="29"/>
  <c r="AT73" i="29"/>
  <c r="AT90" i="29"/>
  <c r="AS318" i="29"/>
  <c r="AU12" i="29" l="1"/>
  <c r="AU14" i="29" s="1"/>
  <c r="AT77" i="29"/>
  <c r="AT122" i="29"/>
  <c r="AT76" i="29"/>
  <c r="Q22" i="48" s="1"/>
  <c r="AT91" i="29"/>
  <c r="AU129" i="29"/>
  <c r="J44" i="48" l="1"/>
  <c r="AU160" i="29"/>
  <c r="AU23" i="29"/>
  <c r="AU19" i="29" s="1"/>
  <c r="AU98" i="29"/>
  <c r="AU42" i="29"/>
  <c r="AU31" i="29"/>
  <c r="AU27" i="29"/>
  <c r="AU52" i="29"/>
  <c r="AU147" i="29"/>
  <c r="AU156" i="29"/>
  <c r="O188" i="28"/>
  <c r="P188" i="28"/>
  <c r="N188" i="28"/>
  <c r="E10" i="45"/>
  <c r="E9" i="45"/>
  <c r="AU309" i="29" l="1"/>
  <c r="AU18" i="29"/>
  <c r="AU25" i="29" s="1"/>
  <c r="AU101" i="29"/>
  <c r="AU29" i="29"/>
  <c r="AU26" i="29"/>
  <c r="AU104" i="29"/>
  <c r="AU306" i="29"/>
  <c r="AU107" i="29"/>
  <c r="AU315" i="29"/>
  <c r="D17" i="10"/>
  <c r="R11" i="44"/>
  <c r="AU36" i="29" l="1"/>
  <c r="AU86" i="29"/>
  <c r="AY189" i="29"/>
  <c r="AU47" i="29" l="1"/>
  <c r="AU110" i="29"/>
  <c r="AU87" i="29"/>
  <c r="AU39" i="29" s="1"/>
  <c r="BW36" i="45"/>
  <c r="BW35" i="45"/>
  <c r="AU55" i="29" l="1"/>
  <c r="AU88" i="29"/>
  <c r="BW37" i="45"/>
  <c r="BW40" i="45" s="1"/>
  <c r="FF21" i="59"/>
  <c r="FF25" i="59" s="1"/>
  <c r="FG26" i="59"/>
  <c r="FF26" i="59"/>
  <c r="FG17" i="59"/>
  <c r="FF17" i="59"/>
  <c r="FG16" i="59"/>
  <c r="FG21" i="59" s="1"/>
  <c r="FG25" i="59" s="1"/>
  <c r="FF16" i="59"/>
  <c r="FG15" i="59"/>
  <c r="FG20" i="59" s="1"/>
  <c r="FG24" i="59" s="1"/>
  <c r="FF15" i="59"/>
  <c r="FF14" i="59" s="1"/>
  <c r="FG11" i="59"/>
  <c r="FF11" i="59"/>
  <c r="FG10" i="59"/>
  <c r="FG9" i="59" s="1"/>
  <c r="FF10" i="59"/>
  <c r="FF9" i="59" s="1"/>
  <c r="FG6" i="59"/>
  <c r="FF6" i="59"/>
  <c r="FG5" i="59"/>
  <c r="FG4" i="59" s="1"/>
  <c r="FF5" i="59"/>
  <c r="FF4" i="59" s="1"/>
  <c r="EX20" i="59"/>
  <c r="EX21" i="59"/>
  <c r="FG14" i="59" l="1"/>
  <c r="FF20" i="59"/>
  <c r="FF24" i="59" s="1"/>
  <c r="FF19" i="59"/>
  <c r="FF23" i="59" s="1"/>
  <c r="AU57" i="29"/>
  <c r="AU119" i="29" s="1"/>
  <c r="AU89" i="29"/>
  <c r="AU116" i="29"/>
  <c r="BW254" i="45"/>
  <c r="BW249" i="45"/>
  <c r="BW253" i="45"/>
  <c r="FG19" i="59"/>
  <c r="FG23" i="59" s="1"/>
  <c r="Z28" i="1"/>
  <c r="AA28" i="1" s="1"/>
  <c r="AB28" i="1" s="1"/>
  <c r="Z23" i="1"/>
  <c r="AO31" i="29"/>
  <c r="AS31" i="29"/>
  <c r="AT34" i="29" s="1"/>
  <c r="AS23" i="29"/>
  <c r="AZ44" i="29"/>
  <c r="AU62" i="29" l="1"/>
  <c r="AU72" i="29" s="1"/>
  <c r="AA23" i="1"/>
  <c r="AB23" i="1" s="1"/>
  <c r="AU90" i="29" l="1"/>
  <c r="AU73" i="29"/>
  <c r="AU67" i="29"/>
  <c r="AU76" i="29" s="1"/>
  <c r="BA46" i="29"/>
  <c r="BA43" i="29"/>
  <c r="BB43" i="29" s="1"/>
  <c r="BA42" i="29"/>
  <c r="BA41" i="29"/>
  <c r="BB41" i="29" s="1"/>
  <c r="AU122" i="29" l="1"/>
  <c r="AU77" i="29"/>
  <c r="AU91" i="29"/>
  <c r="BB42" i="29"/>
  <c r="BA44" i="29"/>
  <c r="AZ45" i="29"/>
  <c r="BA45" i="29"/>
  <c r="P2" i="48" l="1"/>
  <c r="P8" i="48"/>
  <c r="S8" i="48" s="1"/>
  <c r="P10" i="48"/>
  <c r="S10" i="48" s="1"/>
  <c r="P13" i="48"/>
  <c r="S13" i="48" s="1"/>
  <c r="P15" i="48"/>
  <c r="S15" i="48" s="1"/>
  <c r="P16" i="48"/>
  <c r="S16" i="48" s="1"/>
  <c r="P18" i="48"/>
  <c r="S18" i="48" s="1"/>
  <c r="P20" i="48"/>
  <c r="AS210" i="29"/>
  <c r="AS212" i="29" s="1"/>
  <c r="AS176" i="29"/>
  <c r="AS135" i="29"/>
  <c r="AT137" i="29" s="1"/>
  <c r="AS133" i="29"/>
  <c r="AS134" i="29"/>
  <c r="AS80" i="29"/>
  <c r="AS66" i="29"/>
  <c r="AS43" i="29"/>
  <c r="AS44" i="29"/>
  <c r="AS33" i="29"/>
  <c r="AS29" i="29"/>
  <c r="AS30" i="29"/>
  <c r="AS26" i="29"/>
  <c r="AS19" i="29"/>
  <c r="AT21" i="29" s="1"/>
  <c r="AS14" i="29"/>
  <c r="AT16" i="29" s="1"/>
  <c r="P6" i="48" l="1"/>
  <c r="AS18" i="29"/>
  <c r="AS25" i="29" s="1"/>
  <c r="P3" i="48"/>
  <c r="S3" i="48" s="1"/>
  <c r="AS22" i="29"/>
  <c r="AS32" i="29"/>
  <c r="AS42" i="29"/>
  <c r="AS28" i="29"/>
  <c r="AS52" i="29"/>
  <c r="AS129" i="29"/>
  <c r="AT131" i="29" s="1"/>
  <c r="AM23" i="29"/>
  <c r="AP23" i="29"/>
  <c r="P4" i="48" l="1"/>
  <c r="S4" i="48" s="1"/>
  <c r="S6" i="48"/>
  <c r="AS160" i="29"/>
  <c r="P5" i="48"/>
  <c r="P9" i="48"/>
  <c r="AS36" i="29"/>
  <c r="AT38" i="29" s="1"/>
  <c r="AS86" i="29"/>
  <c r="P12" i="48"/>
  <c r="S12" i="48" s="1"/>
  <c r="P7" i="48"/>
  <c r="P11" i="48"/>
  <c r="BV239" i="45"/>
  <c r="BV240" i="45" s="1"/>
  <c r="BV237" i="45"/>
  <c r="BV238" i="45" s="1"/>
  <c r="BV236" i="45"/>
  <c r="BV235" i="45"/>
  <c r="BV234" i="45"/>
  <c r="BV232" i="45"/>
  <c r="BV231" i="45"/>
  <c r="BV230" i="45"/>
  <c r="BV215" i="45"/>
  <c r="BV216" i="45" s="1"/>
  <c r="BV218" i="45" s="1"/>
  <c r="BV96" i="45"/>
  <c r="BV93" i="45" s="1"/>
  <c r="BV86" i="45"/>
  <c r="BV84" i="45" s="1"/>
  <c r="BV82" i="45"/>
  <c r="BV79" i="45"/>
  <c r="BV78" i="45" s="1"/>
  <c r="BV69" i="45"/>
  <c r="BV66" i="45"/>
  <c r="BV39" i="45"/>
  <c r="BV36" i="45"/>
  <c r="BV35" i="45"/>
  <c r="BV5" i="45"/>
  <c r="BV3" i="45"/>
  <c r="BV37" i="45" l="1"/>
  <c r="P14" i="48"/>
  <c r="S14" i="48" s="1"/>
  <c r="P25" i="48"/>
  <c r="S25" i="48" s="1"/>
  <c r="AS87" i="29"/>
  <c r="AS47" i="29"/>
  <c r="AT49" i="29" s="1"/>
  <c r="BV40" i="45"/>
  <c r="BV227" i="45"/>
  <c r="BV226" i="45"/>
  <c r="BV225" i="45"/>
  <c r="EX25" i="59"/>
  <c r="EX24" i="59"/>
  <c r="AS88" i="29" l="1"/>
  <c r="P17" i="48"/>
  <c r="S17" i="48" s="1"/>
  <c r="P26" i="48"/>
  <c r="S26" i="48" s="1"/>
  <c r="BV253" i="45"/>
  <c r="BV249" i="45"/>
  <c r="BV254" i="45"/>
  <c r="BV256" i="45"/>
  <c r="P19" i="48" l="1"/>
  <c r="S19" i="48" s="1"/>
  <c r="P29" i="48"/>
  <c r="S29" i="48" s="1"/>
  <c r="P27" i="48"/>
  <c r="S27" i="48" s="1"/>
  <c r="AR135" i="29"/>
  <c r="AS137" i="29" s="1"/>
  <c r="P21" i="48" l="1"/>
  <c r="S21" i="48" s="1"/>
  <c r="P28" i="48"/>
  <c r="S28" i="48" s="1"/>
  <c r="EW24" i="59"/>
  <c r="EW25" i="59"/>
  <c r="EW20" i="59"/>
  <c r="EW21" i="59"/>
  <c r="EW14" i="59"/>
  <c r="EX14" i="59"/>
  <c r="EW9" i="59"/>
  <c r="EX9" i="59"/>
  <c r="EW4" i="59"/>
  <c r="EX4" i="59"/>
  <c r="AS190" i="29"/>
  <c r="AS323" i="29" s="1"/>
  <c r="AS185" i="29"/>
  <c r="AS180" i="29"/>
  <c r="AS242" i="29"/>
  <c r="AS232" i="29"/>
  <c r="AS233" i="29"/>
  <c r="AS221" i="29"/>
  <c r="AS224" i="29"/>
  <c r="AS228" i="29"/>
  <c r="AS229" i="29"/>
  <c r="AS321" i="29" l="1"/>
  <c r="AS320" i="29"/>
  <c r="EX19" i="59"/>
  <c r="EX23" i="59" s="1"/>
  <c r="AS220" i="29"/>
  <c r="AS141" i="29"/>
  <c r="AT143" i="29" s="1"/>
  <c r="AS186" i="29"/>
  <c r="AS138" i="29"/>
  <c r="AT140" i="29" s="1"/>
  <c r="EW19" i="59"/>
  <c r="EW23" i="59"/>
  <c r="AS192" i="29"/>
  <c r="AS206" i="29"/>
  <c r="AS207" i="29"/>
  <c r="AS225" i="29"/>
  <c r="AS236" i="29" s="1"/>
  <c r="AT237" i="29" s="1"/>
  <c r="Q111" i="2"/>
  <c r="AS147" i="29" l="1"/>
  <c r="AS156" i="29"/>
  <c r="AS191" i="29"/>
  <c r="AS95" i="29"/>
  <c r="AT97" i="29" s="1"/>
  <c r="AS213" i="29"/>
  <c r="AS150" i="29"/>
  <c r="AS198" i="29"/>
  <c r="AS208" i="29"/>
  <c r="AS196" i="29"/>
  <c r="AS197" i="29"/>
  <c r="AS1" i="29"/>
  <c r="AT2" i="29" s="1"/>
  <c r="AS113" i="29"/>
  <c r="AT115" i="29" s="1"/>
  <c r="AT152" i="29" l="1"/>
  <c r="AS312" i="29"/>
  <c r="AT158" i="29"/>
  <c r="AT239" i="29" s="1"/>
  <c r="AS309" i="29"/>
  <c r="AT149" i="29"/>
  <c r="AS306" i="29"/>
  <c r="AS104" i="29"/>
  <c r="AT106" i="29" s="1"/>
  <c r="AS144" i="29"/>
  <c r="AT146" i="29" s="1"/>
  <c r="AS101" i="29"/>
  <c r="AT103" i="29" s="1"/>
  <c r="AS94" i="29"/>
  <c r="AS98" i="29"/>
  <c r="AT100" i="29" l="1"/>
  <c r="AS315" i="29"/>
  <c r="AS153" i="29"/>
  <c r="AT155" i="29" s="1"/>
  <c r="AS128" i="29"/>
  <c r="AR212" i="29" l="1"/>
  <c r="AR210" i="29"/>
  <c r="AR129" i="29"/>
  <c r="AS131" i="29" s="1"/>
  <c r="AN23" i="29" l="1"/>
  <c r="AQ23" i="29"/>
  <c r="AR23" i="29"/>
  <c r="S1" i="44" l="1"/>
  <c r="EL14" i="59" l="1"/>
  <c r="EK14" i="59"/>
  <c r="EJ14" i="59"/>
  <c r="EI14" i="59"/>
  <c r="EH14" i="59"/>
  <c r="EG14" i="59"/>
  <c r="EF14" i="59"/>
  <c r="EE14" i="59"/>
  <c r="ED14" i="59"/>
  <c r="EV20" i="59" l="1"/>
  <c r="EV21" i="59"/>
  <c r="EV24" i="59"/>
  <c r="EV25" i="59"/>
  <c r="FH4" i="59" l="1"/>
  <c r="FH11" i="59"/>
  <c r="FH6" i="59"/>
  <c r="FH5" i="59"/>
  <c r="EP24" i="59"/>
  <c r="EQ24" i="59"/>
  <c r="ER24" i="59"/>
  <c r="ES24" i="59"/>
  <c r="ET24" i="59"/>
  <c r="EU24" i="59"/>
  <c r="EP25" i="59"/>
  <c r="EQ25" i="59"/>
  <c r="ER25" i="59"/>
  <c r="ES25" i="59"/>
  <c r="ET25" i="59"/>
  <c r="EU25" i="59"/>
  <c r="EP20" i="59"/>
  <c r="EQ20" i="59"/>
  <c r="ER20" i="59"/>
  <c r="ES20" i="59"/>
  <c r="ET20" i="59"/>
  <c r="EU20" i="59"/>
  <c r="EP21" i="59"/>
  <c r="EQ21" i="59"/>
  <c r="ER21" i="59"/>
  <c r="ES21" i="59"/>
  <c r="ET21" i="59"/>
  <c r="EU21" i="59"/>
  <c r="FH16" i="59"/>
  <c r="FH10" i="59"/>
  <c r="FH15" i="59" l="1"/>
  <c r="FH17" i="59"/>
  <c r="ES14" i="59"/>
  <c r="ET14" i="59"/>
  <c r="EU14" i="59"/>
  <c r="EV14" i="59"/>
  <c r="ES9" i="59"/>
  <c r="ET9" i="59"/>
  <c r="EU9" i="59"/>
  <c r="EV9" i="59"/>
  <c r="ES4" i="59"/>
  <c r="ET4" i="59"/>
  <c r="EU4" i="59"/>
  <c r="EV4" i="59"/>
  <c r="ET23" i="59" l="1"/>
  <c r="ET19" i="59"/>
  <c r="ES23" i="59"/>
  <c r="ES19" i="59"/>
  <c r="EU23" i="59"/>
  <c r="EU19" i="59"/>
  <c r="EV23" i="59"/>
  <c r="EV19" i="59"/>
  <c r="FH9" i="59"/>
  <c r="EB4" i="59"/>
  <c r="EC4" i="59"/>
  <c r="ED4" i="59"/>
  <c r="EE4" i="59"/>
  <c r="EF4" i="59"/>
  <c r="EG4" i="59"/>
  <c r="EH4" i="59"/>
  <c r="EI4" i="59"/>
  <c r="EJ4" i="59"/>
  <c r="EK4" i="59"/>
  <c r="EL4" i="59"/>
  <c r="EL23" i="59" s="1"/>
  <c r="EM4" i="59"/>
  <c r="EN4" i="59"/>
  <c r="EO4" i="59"/>
  <c r="EP4" i="59"/>
  <c r="EQ4" i="59"/>
  <c r="ER4" i="59"/>
  <c r="AG49" i="59"/>
  <c r="AF49" i="59"/>
  <c r="AE49" i="59"/>
  <c r="AK56" i="59" s="1"/>
  <c r="AD49" i="59"/>
  <c r="AC49" i="59"/>
  <c r="AB49" i="59"/>
  <c r="AA49" i="59"/>
  <c r="Z49" i="59"/>
  <c r="Y49" i="59"/>
  <c r="X49" i="59"/>
  <c r="W49" i="59"/>
  <c r="V49" i="59"/>
  <c r="AH56" i="59" s="1"/>
  <c r="AG48" i="59"/>
  <c r="AF48" i="59"/>
  <c r="AE48" i="59"/>
  <c r="AD48" i="59"/>
  <c r="AC48" i="59"/>
  <c r="AB48" i="59"/>
  <c r="AA48" i="59"/>
  <c r="Z48" i="59"/>
  <c r="Y48" i="59"/>
  <c r="X48" i="59"/>
  <c r="W48" i="59"/>
  <c r="V48" i="59"/>
  <c r="AG46" i="59"/>
  <c r="AF46" i="59"/>
  <c r="AE46" i="59"/>
  <c r="AG56" i="59" s="1"/>
  <c r="AD46" i="59"/>
  <c r="AC46" i="59"/>
  <c r="AB46" i="59"/>
  <c r="AA46" i="59"/>
  <c r="Z46" i="59"/>
  <c r="Y46" i="59"/>
  <c r="X46" i="59"/>
  <c r="W46" i="59"/>
  <c r="V46" i="59"/>
  <c r="AD56" i="59" s="1"/>
  <c r="AG45" i="59"/>
  <c r="AF45" i="59"/>
  <c r="AE45" i="59"/>
  <c r="AD45" i="59"/>
  <c r="AC45" i="59"/>
  <c r="AB45" i="59"/>
  <c r="AA45" i="59"/>
  <c r="Z45" i="59"/>
  <c r="Y45" i="59"/>
  <c r="X45" i="59"/>
  <c r="W45" i="59"/>
  <c r="V45" i="59"/>
  <c r="AG43" i="59"/>
  <c r="AF43" i="59"/>
  <c r="AE43" i="59"/>
  <c r="AC56" i="59" s="1"/>
  <c r="AD43" i="59"/>
  <c r="AC43" i="59"/>
  <c r="AB43" i="59"/>
  <c r="AA43" i="59"/>
  <c r="Z43" i="59"/>
  <c r="Y43" i="59"/>
  <c r="X43" i="59"/>
  <c r="W43" i="59"/>
  <c r="V43" i="59"/>
  <c r="Z56" i="59" s="1"/>
  <c r="AG42" i="59"/>
  <c r="AF42" i="59"/>
  <c r="AE42" i="59"/>
  <c r="AD42" i="59"/>
  <c r="AC42" i="59"/>
  <c r="AB42" i="59"/>
  <c r="AA42" i="59"/>
  <c r="Z42" i="59"/>
  <c r="Y42" i="59"/>
  <c r="X42" i="59"/>
  <c r="W42" i="59"/>
  <c r="V42" i="59"/>
  <c r="AG40" i="59"/>
  <c r="AF40" i="59"/>
  <c r="AE40" i="59"/>
  <c r="AD40" i="59"/>
  <c r="AC40" i="59"/>
  <c r="AB40" i="59"/>
  <c r="AA40" i="59"/>
  <c r="Z40" i="59"/>
  <c r="W56" i="59" s="1"/>
  <c r="Y40" i="59"/>
  <c r="X40" i="59"/>
  <c r="W40" i="59"/>
  <c r="V40" i="59"/>
  <c r="V56" i="59" s="1"/>
  <c r="AG39" i="59"/>
  <c r="AF39" i="59"/>
  <c r="AE39" i="59"/>
  <c r="AD39" i="59"/>
  <c r="AC39" i="59"/>
  <c r="AB39" i="59"/>
  <c r="AA39" i="59"/>
  <c r="Z39" i="59"/>
  <c r="Y39" i="59"/>
  <c r="X39" i="59"/>
  <c r="W39" i="59"/>
  <c r="V39" i="59"/>
  <c r="CQ33" i="59"/>
  <c r="CP33" i="59"/>
  <c r="CO33" i="59"/>
  <c r="CN33" i="59"/>
  <c r="CM33" i="59"/>
  <c r="CL33" i="59"/>
  <c r="CK33" i="59"/>
  <c r="CJ33" i="59"/>
  <c r="CI33" i="59"/>
  <c r="CH33" i="59"/>
  <c r="CG33" i="59"/>
  <c r="CF33" i="59"/>
  <c r="CE33" i="59"/>
  <c r="CD33" i="59"/>
  <c r="CC33" i="59"/>
  <c r="CB33" i="59"/>
  <c r="CA33" i="59"/>
  <c r="BZ33" i="59"/>
  <c r="BY33" i="59"/>
  <c r="BX33" i="59"/>
  <c r="BW33" i="59"/>
  <c r="BV33" i="59"/>
  <c r="BU33" i="59"/>
  <c r="BT33" i="59"/>
  <c r="BS33" i="59"/>
  <c r="BR33" i="59"/>
  <c r="BQ33" i="59"/>
  <c r="BP33" i="59"/>
  <c r="BO33" i="59"/>
  <c r="BN33" i="59"/>
  <c r="BM33" i="59"/>
  <c r="BL33" i="59"/>
  <c r="BK33" i="59"/>
  <c r="BJ33" i="59"/>
  <c r="BI33" i="59"/>
  <c r="BH33" i="59"/>
  <c r="BG33" i="59"/>
  <c r="BF33" i="59"/>
  <c r="BE33" i="59"/>
  <c r="BD33" i="59"/>
  <c r="BC33" i="59"/>
  <c r="BB33" i="59"/>
  <c r="BA33" i="59"/>
  <c r="AZ33" i="59"/>
  <c r="AY33" i="59"/>
  <c r="AX33" i="59"/>
  <c r="AW33" i="59"/>
  <c r="AV33" i="59"/>
  <c r="AU33" i="59"/>
  <c r="AT33" i="59"/>
  <c r="AS33" i="59"/>
  <c r="AR33" i="59"/>
  <c r="AQ33" i="59"/>
  <c r="AP33" i="59"/>
  <c r="AO33" i="59"/>
  <c r="AN33" i="59"/>
  <c r="AM33" i="59"/>
  <c r="AL33" i="59"/>
  <c r="FN25" i="59"/>
  <c r="EO25" i="59"/>
  <c r="EN25" i="59"/>
  <c r="EM25" i="59"/>
  <c r="FM25" i="59" s="1"/>
  <c r="EL25" i="59"/>
  <c r="EK25" i="59"/>
  <c r="EJ25" i="59"/>
  <c r="EI25" i="59"/>
  <c r="EH25" i="59"/>
  <c r="EG25" i="59"/>
  <c r="EF25" i="59"/>
  <c r="EE25" i="59"/>
  <c r="ED25" i="59"/>
  <c r="FH25" i="59" s="1"/>
  <c r="EC25" i="59"/>
  <c r="EB25" i="59"/>
  <c r="EA25" i="59"/>
  <c r="DZ25" i="59"/>
  <c r="DY25" i="59"/>
  <c r="DX25" i="59"/>
  <c r="DW25" i="59"/>
  <c r="DV25" i="59"/>
  <c r="DU25" i="59"/>
  <c r="DT25" i="59"/>
  <c r="DS25" i="59"/>
  <c r="DR25" i="59"/>
  <c r="DQ25" i="59"/>
  <c r="DP25" i="59"/>
  <c r="DO25" i="59"/>
  <c r="DN25" i="59"/>
  <c r="DM25" i="59"/>
  <c r="DL25" i="59"/>
  <c r="DK25" i="59"/>
  <c r="DJ25" i="59"/>
  <c r="DI25" i="59"/>
  <c r="DH25" i="59"/>
  <c r="DG25" i="59"/>
  <c r="DF25" i="59"/>
  <c r="DE25" i="59"/>
  <c r="DD25" i="59"/>
  <c r="DC25" i="59"/>
  <c r="DA25" i="59"/>
  <c r="CZ25" i="59"/>
  <c r="CY25" i="59"/>
  <c r="CX25" i="59"/>
  <c r="CW25" i="59"/>
  <c r="CV25" i="59"/>
  <c r="CU25" i="59"/>
  <c r="CT25" i="59"/>
  <c r="CS25" i="59"/>
  <c r="CR25" i="59"/>
  <c r="CQ25" i="59"/>
  <c r="CP25" i="59"/>
  <c r="CO25" i="59"/>
  <c r="CN25" i="59"/>
  <c r="CM25" i="59"/>
  <c r="CL25" i="59"/>
  <c r="CK25" i="59"/>
  <c r="CJ25" i="59"/>
  <c r="CI25" i="59"/>
  <c r="CH25" i="59"/>
  <c r="CG25" i="59"/>
  <c r="CF25" i="59"/>
  <c r="CE25" i="59"/>
  <c r="CD25" i="59"/>
  <c r="CC25" i="59"/>
  <c r="CB25" i="59"/>
  <c r="CA25" i="59"/>
  <c r="BZ25" i="59"/>
  <c r="BY25" i="59"/>
  <c r="BX25" i="59"/>
  <c r="BW25" i="59"/>
  <c r="BV25" i="59"/>
  <c r="BU25" i="59"/>
  <c r="BT25" i="59"/>
  <c r="BS25" i="59"/>
  <c r="BR25" i="59"/>
  <c r="BQ25" i="59"/>
  <c r="BP25" i="59"/>
  <c r="BO25" i="59"/>
  <c r="BN25" i="59"/>
  <c r="BM25" i="59"/>
  <c r="BL25" i="59"/>
  <c r="BK25" i="59"/>
  <c r="BJ25" i="59"/>
  <c r="BI25" i="59"/>
  <c r="BH25" i="59"/>
  <c r="BG25" i="59"/>
  <c r="BF25" i="59"/>
  <c r="BE25" i="59"/>
  <c r="BD25" i="59"/>
  <c r="BC25" i="59"/>
  <c r="BB25" i="59"/>
  <c r="BA25" i="59"/>
  <c r="AZ25" i="59"/>
  <c r="AY25" i="59"/>
  <c r="AX25" i="59"/>
  <c r="AW25" i="59"/>
  <c r="AV25" i="59"/>
  <c r="AU25" i="59"/>
  <c r="AT25" i="59"/>
  <c r="AS25" i="59"/>
  <c r="AR25" i="59"/>
  <c r="AQ25" i="59"/>
  <c r="AP25" i="59"/>
  <c r="AO25" i="59"/>
  <c r="AN25" i="59"/>
  <c r="AM25" i="59"/>
  <c r="AL25" i="59"/>
  <c r="AK25" i="59"/>
  <c r="AJ25" i="59"/>
  <c r="AI25" i="59"/>
  <c r="AH25" i="59"/>
  <c r="AG25" i="59"/>
  <c r="AF25" i="59"/>
  <c r="AE25" i="59"/>
  <c r="AD25" i="59"/>
  <c r="AC25" i="59"/>
  <c r="AB25" i="59"/>
  <c r="AA25" i="59"/>
  <c r="Z25" i="59"/>
  <c r="Y25" i="59"/>
  <c r="X25" i="59"/>
  <c r="W25" i="59"/>
  <c r="V25" i="59"/>
  <c r="U25" i="59"/>
  <c r="T25" i="59"/>
  <c r="S25" i="59"/>
  <c r="R25" i="59"/>
  <c r="Q25" i="59"/>
  <c r="P25" i="59"/>
  <c r="O25" i="59"/>
  <c r="N25" i="59"/>
  <c r="M25" i="59"/>
  <c r="L25" i="59"/>
  <c r="K25" i="59"/>
  <c r="J25" i="59"/>
  <c r="I25" i="59"/>
  <c r="H25" i="59"/>
  <c r="G25" i="59"/>
  <c r="F25" i="59"/>
  <c r="E25" i="59"/>
  <c r="D25" i="59"/>
  <c r="C25" i="59"/>
  <c r="B25" i="59"/>
  <c r="EO24" i="59"/>
  <c r="EN24" i="59"/>
  <c r="EM24" i="59"/>
  <c r="FM24" i="59" s="1"/>
  <c r="EL24" i="59"/>
  <c r="EK24" i="59"/>
  <c r="EJ24" i="59"/>
  <c r="EI24" i="59"/>
  <c r="EH24" i="59"/>
  <c r="EG24" i="59"/>
  <c r="EF24" i="59"/>
  <c r="EE24" i="59"/>
  <c r="ED24" i="59"/>
  <c r="FH24" i="59" s="1"/>
  <c r="EC24" i="59"/>
  <c r="EB24" i="59"/>
  <c r="EA24" i="59"/>
  <c r="EC30" i="59" s="1"/>
  <c r="DZ24" i="59"/>
  <c r="DZ23" i="59" s="1"/>
  <c r="DY24" i="59"/>
  <c r="DX24" i="59"/>
  <c r="DW24" i="59"/>
  <c r="DV24" i="59"/>
  <c r="DV23" i="59" s="1"/>
  <c r="DU24" i="59"/>
  <c r="DT24" i="59"/>
  <c r="DS24" i="59"/>
  <c r="DR24" i="59"/>
  <c r="DQ24" i="59"/>
  <c r="DP24" i="59"/>
  <c r="DO24" i="59"/>
  <c r="DQ30" i="59" s="1"/>
  <c r="DN24" i="59"/>
  <c r="DN23" i="59" s="1"/>
  <c r="DN27" i="59" s="1"/>
  <c r="DM24" i="59"/>
  <c r="DL24" i="59"/>
  <c r="DK24" i="59"/>
  <c r="DJ24" i="59"/>
  <c r="DJ23" i="59" s="1"/>
  <c r="DI24" i="59"/>
  <c r="DH24" i="59"/>
  <c r="DG24" i="59"/>
  <c r="DF24" i="59"/>
  <c r="DE24" i="59"/>
  <c r="DD24" i="59"/>
  <c r="DC24" i="59"/>
  <c r="DE30" i="59" s="1"/>
  <c r="DB24" i="59"/>
  <c r="DA24" i="59"/>
  <c r="CZ24" i="59"/>
  <c r="CY24" i="59"/>
  <c r="CX24" i="59"/>
  <c r="CW24" i="59"/>
  <c r="CV24" i="59"/>
  <c r="CU24" i="59"/>
  <c r="CT24" i="59"/>
  <c r="CT23" i="59" s="1"/>
  <c r="CS24" i="59"/>
  <c r="CR24" i="59"/>
  <c r="CQ24" i="59"/>
  <c r="CP24" i="59"/>
  <c r="CP23" i="59" s="1"/>
  <c r="CO24" i="59"/>
  <c r="CN24" i="59"/>
  <c r="CM24" i="59"/>
  <c r="CL24" i="59"/>
  <c r="CL23" i="59" s="1"/>
  <c r="CK24" i="59"/>
  <c r="CJ24" i="59"/>
  <c r="CI24" i="59"/>
  <c r="CH24" i="59"/>
  <c r="CG24" i="59"/>
  <c r="CF24" i="59"/>
  <c r="CE24" i="59"/>
  <c r="CD24" i="59"/>
  <c r="CD23" i="59" s="1"/>
  <c r="CC24" i="59"/>
  <c r="CB24" i="59"/>
  <c r="CA24" i="59"/>
  <c r="BZ24" i="59"/>
  <c r="BZ23" i="59" s="1"/>
  <c r="BY24" i="59"/>
  <c r="BX24" i="59"/>
  <c r="BW24" i="59"/>
  <c r="BV24" i="59"/>
  <c r="BV23" i="59" s="1"/>
  <c r="BU24" i="59"/>
  <c r="BT24" i="59"/>
  <c r="BS24" i="59"/>
  <c r="BR24" i="59"/>
  <c r="BQ24" i="59"/>
  <c r="BP24" i="59"/>
  <c r="BO24" i="59"/>
  <c r="BN24" i="59"/>
  <c r="BN23" i="59" s="1"/>
  <c r="BM24" i="59"/>
  <c r="BL24" i="59"/>
  <c r="BK24" i="59"/>
  <c r="BJ24" i="59"/>
  <c r="BJ23" i="59" s="1"/>
  <c r="BI24" i="59"/>
  <c r="BH24" i="59"/>
  <c r="BG24" i="59"/>
  <c r="BF24" i="59"/>
  <c r="BF23" i="59" s="1"/>
  <c r="BE24" i="59"/>
  <c r="BD24" i="59"/>
  <c r="BC24" i="59"/>
  <c r="BB24" i="59"/>
  <c r="BA24" i="59"/>
  <c r="AZ24" i="59"/>
  <c r="AY24" i="59"/>
  <c r="AX24" i="59"/>
  <c r="AX23" i="59" s="1"/>
  <c r="AW24" i="59"/>
  <c r="AV24" i="59"/>
  <c r="AU24" i="59"/>
  <c r="AT24" i="59"/>
  <c r="AT23" i="59" s="1"/>
  <c r="AS24" i="59"/>
  <c r="AR24" i="59"/>
  <c r="AQ24" i="59"/>
  <c r="AP24" i="59"/>
  <c r="AP23" i="59" s="1"/>
  <c r="AO24" i="59"/>
  <c r="AN24" i="59"/>
  <c r="AM24" i="59"/>
  <c r="AL24" i="59"/>
  <c r="AK24" i="59"/>
  <c r="AJ24" i="59"/>
  <c r="AI24" i="59"/>
  <c r="AH24" i="59"/>
  <c r="AH23" i="59" s="1"/>
  <c r="AG24" i="59"/>
  <c r="AF24" i="59"/>
  <c r="AE24" i="59"/>
  <c r="AD24" i="59"/>
  <c r="AD23" i="59" s="1"/>
  <c r="AC24" i="59"/>
  <c r="AB24" i="59"/>
  <c r="AA24" i="59"/>
  <c r="Z24" i="59"/>
  <c r="Z23" i="59" s="1"/>
  <c r="Y24" i="59"/>
  <c r="X24" i="59"/>
  <c r="W24" i="59"/>
  <c r="V24" i="59"/>
  <c r="U24" i="59"/>
  <c r="T24" i="59"/>
  <c r="S24" i="59"/>
  <c r="R24" i="59"/>
  <c r="R23" i="59" s="1"/>
  <c r="Q24" i="59"/>
  <c r="P24" i="59"/>
  <c r="O24" i="59"/>
  <c r="N24" i="59"/>
  <c r="N23" i="59" s="1"/>
  <c r="M24" i="59"/>
  <c r="L24" i="59"/>
  <c r="K24" i="59"/>
  <c r="J24" i="59"/>
  <c r="J23" i="59" s="1"/>
  <c r="I24" i="59"/>
  <c r="H24" i="59"/>
  <c r="G24" i="59"/>
  <c r="F24" i="59"/>
  <c r="E24" i="59"/>
  <c r="D24" i="59"/>
  <c r="C24" i="59"/>
  <c r="B24" i="59"/>
  <c r="B23" i="59" s="1"/>
  <c r="EK23" i="59"/>
  <c r="EJ23" i="59"/>
  <c r="EG23" i="59"/>
  <c r="EF23" i="59"/>
  <c r="EC23" i="59"/>
  <c r="EB23" i="59"/>
  <c r="EA23" i="59"/>
  <c r="DY23" i="59"/>
  <c r="DX23" i="59"/>
  <c r="DW23" i="59"/>
  <c r="DU23" i="59"/>
  <c r="DT23" i="59"/>
  <c r="DS23" i="59"/>
  <c r="DQ23" i="59"/>
  <c r="DP23" i="59"/>
  <c r="DO23" i="59"/>
  <c r="DM23" i="59"/>
  <c r="DL23" i="59"/>
  <c r="DK23" i="59"/>
  <c r="DI23" i="59"/>
  <c r="DH23" i="59"/>
  <c r="DG23" i="59"/>
  <c r="DE23" i="59"/>
  <c r="DD23" i="59"/>
  <c r="DC23" i="59"/>
  <c r="CZ23" i="59"/>
  <c r="CY23" i="59"/>
  <c r="CX23" i="59"/>
  <c r="CV23" i="59"/>
  <c r="CU23" i="59"/>
  <c r="CR23" i="59"/>
  <c r="CQ23" i="59"/>
  <c r="CN23" i="59"/>
  <c r="CM23" i="59"/>
  <c r="CJ23" i="59"/>
  <c r="CI23" i="59"/>
  <c r="CH23" i="59"/>
  <c r="CF23" i="59"/>
  <c r="CE23" i="59"/>
  <c r="CB23" i="59"/>
  <c r="CA23" i="59"/>
  <c r="BX23" i="59"/>
  <c r="BW23" i="59"/>
  <c r="BT23" i="59"/>
  <c r="BS23" i="59"/>
  <c r="BR23" i="59"/>
  <c r="BP23" i="59"/>
  <c r="BO23" i="59"/>
  <c r="BL23" i="59"/>
  <c r="BK23" i="59"/>
  <c r="BH23" i="59"/>
  <c r="BG23" i="59"/>
  <c r="BD23" i="59"/>
  <c r="BC23" i="59"/>
  <c r="BB23" i="59"/>
  <c r="AZ23" i="59"/>
  <c r="AY23" i="59"/>
  <c r="AV23" i="59"/>
  <c r="AU23" i="59"/>
  <c r="AR23" i="59"/>
  <c r="AQ23" i="59"/>
  <c r="AN23" i="59"/>
  <c r="AM23" i="59"/>
  <c r="AL23" i="59"/>
  <c r="AJ23" i="59"/>
  <c r="AI23" i="59"/>
  <c r="AF23" i="59"/>
  <c r="AE23" i="59"/>
  <c r="AB23" i="59"/>
  <c r="AA23" i="59"/>
  <c r="X23" i="59"/>
  <c r="W23" i="59"/>
  <c r="V23" i="59"/>
  <c r="T23" i="59"/>
  <c r="S23" i="59"/>
  <c r="P23" i="59"/>
  <c r="O23" i="59"/>
  <c r="L23" i="59"/>
  <c r="K23" i="59"/>
  <c r="H23" i="59"/>
  <c r="G23" i="59"/>
  <c r="F23" i="59"/>
  <c r="D23" i="59"/>
  <c r="C23" i="59"/>
  <c r="FN21" i="59"/>
  <c r="EO21" i="59"/>
  <c r="EN21" i="59"/>
  <c r="EM21" i="59"/>
  <c r="EL21" i="59"/>
  <c r="EK21" i="59"/>
  <c r="EJ21" i="59"/>
  <c r="EI21" i="59"/>
  <c r="EH21" i="59"/>
  <c r="EG21" i="59"/>
  <c r="EF21" i="59"/>
  <c r="EE21" i="59"/>
  <c r="ED21" i="59"/>
  <c r="EC21" i="59"/>
  <c r="EB21" i="59"/>
  <c r="EA21" i="59"/>
  <c r="DZ21" i="59"/>
  <c r="DY21" i="59"/>
  <c r="DX21" i="59"/>
  <c r="FN20" i="59"/>
  <c r="EO20" i="59"/>
  <c r="EN20" i="59"/>
  <c r="EM20" i="59"/>
  <c r="EL20" i="59"/>
  <c r="EK20" i="59"/>
  <c r="EJ20" i="59"/>
  <c r="EI20" i="59"/>
  <c r="EH20" i="59"/>
  <c r="EG20" i="59"/>
  <c r="EF20" i="59"/>
  <c r="EE20" i="59"/>
  <c r="ED20" i="59"/>
  <c r="EC20" i="59"/>
  <c r="EB20" i="59"/>
  <c r="EA20" i="59"/>
  <c r="DZ20" i="59"/>
  <c r="DY20" i="59"/>
  <c r="DX20" i="59"/>
  <c r="EL19" i="59"/>
  <c r="EK19" i="59"/>
  <c r="EJ19" i="59"/>
  <c r="EI19" i="59"/>
  <c r="EH19" i="59"/>
  <c r="EG19" i="59"/>
  <c r="EF19" i="59"/>
  <c r="EE19" i="59"/>
  <c r="ED19" i="59"/>
  <c r="FN18" i="59"/>
  <c r="FM18" i="59"/>
  <c r="FL18" i="59"/>
  <c r="FN17" i="59"/>
  <c r="FM17" i="59"/>
  <c r="FL17" i="59"/>
  <c r="GA16" i="59"/>
  <c r="FZ16" i="59"/>
  <c r="FN16" i="59"/>
  <c r="FM16" i="59"/>
  <c r="FL16" i="59"/>
  <c r="GE15" i="59"/>
  <c r="GD15" i="59"/>
  <c r="GA15" i="59"/>
  <c r="FZ15" i="59"/>
  <c r="GB15" i="59" s="1"/>
  <c r="FN15" i="59"/>
  <c r="FM15" i="59"/>
  <c r="FL15" i="59"/>
  <c r="FL14" i="59"/>
  <c r="ER14" i="59"/>
  <c r="EQ14" i="59"/>
  <c r="EQ19" i="59" s="1"/>
  <c r="EP14" i="59"/>
  <c r="EO14" i="59"/>
  <c r="EN14" i="59"/>
  <c r="EM14" i="59"/>
  <c r="DJ14" i="59"/>
  <c r="DI14" i="59"/>
  <c r="DH14" i="59"/>
  <c r="DG14" i="59"/>
  <c r="DF14" i="59"/>
  <c r="DE14" i="59"/>
  <c r="DD14" i="59"/>
  <c r="DC14" i="59"/>
  <c r="DB14" i="59"/>
  <c r="DA14" i="59"/>
  <c r="CZ14" i="59"/>
  <c r="CY14" i="59"/>
  <c r="CX14" i="59"/>
  <c r="CW14" i="59"/>
  <c r="CV14" i="59"/>
  <c r="CU14" i="59"/>
  <c r="CT14" i="59"/>
  <c r="CS14" i="59"/>
  <c r="CR14" i="59"/>
  <c r="CQ14" i="59"/>
  <c r="CP14" i="59"/>
  <c r="CO14" i="59"/>
  <c r="CN14" i="59"/>
  <c r="CM14" i="59"/>
  <c r="CL14" i="59"/>
  <c r="CK14" i="59"/>
  <c r="CJ14" i="59"/>
  <c r="CI14" i="59"/>
  <c r="CH14" i="59"/>
  <c r="CG14" i="59"/>
  <c r="CF14" i="59"/>
  <c r="CE14" i="59"/>
  <c r="CD14" i="59"/>
  <c r="CC14" i="59"/>
  <c r="CB14" i="59"/>
  <c r="CA14" i="59"/>
  <c r="BZ14" i="59"/>
  <c r="BY14" i="59"/>
  <c r="BX14" i="59"/>
  <c r="BW14" i="59"/>
  <c r="BV14" i="59"/>
  <c r="BU14" i="59"/>
  <c r="BT14" i="59"/>
  <c r="BS14" i="59"/>
  <c r="BR14" i="59"/>
  <c r="BQ14" i="59"/>
  <c r="BP14" i="59"/>
  <c r="BO14" i="59"/>
  <c r="BN14" i="59"/>
  <c r="BM14" i="59"/>
  <c r="BL14" i="59"/>
  <c r="BK14" i="59"/>
  <c r="BJ14" i="59"/>
  <c r="BI14" i="59"/>
  <c r="BH14" i="59"/>
  <c r="BG14" i="59"/>
  <c r="BF14" i="59"/>
  <c r="BE14" i="59"/>
  <c r="BD14" i="59"/>
  <c r="BC14" i="59"/>
  <c r="BB14" i="59"/>
  <c r="BA14" i="59"/>
  <c r="AZ14" i="59"/>
  <c r="AY14" i="59"/>
  <c r="AX14" i="59"/>
  <c r="AW14" i="59"/>
  <c r="AV14" i="59"/>
  <c r="AU14" i="59"/>
  <c r="AT14" i="59"/>
  <c r="AS14" i="59"/>
  <c r="AR14" i="59"/>
  <c r="AQ14" i="59"/>
  <c r="AP14" i="59"/>
  <c r="AO14" i="59"/>
  <c r="AN14" i="59"/>
  <c r="AM14" i="59"/>
  <c r="AL14" i="59"/>
  <c r="AK14" i="59"/>
  <c r="AJ14" i="59"/>
  <c r="AI14" i="59"/>
  <c r="AH14" i="59"/>
  <c r="AG14" i="59"/>
  <c r="AF14" i="59"/>
  <c r="AE14" i="59"/>
  <c r="AD14" i="59"/>
  <c r="AC14" i="59"/>
  <c r="AB14" i="59"/>
  <c r="AA14" i="59"/>
  <c r="Z14" i="59"/>
  <c r="Y14" i="59"/>
  <c r="X14" i="59"/>
  <c r="W14" i="59"/>
  <c r="V14" i="59"/>
  <c r="U14" i="59"/>
  <c r="T14" i="59"/>
  <c r="S14" i="59"/>
  <c r="R14" i="59"/>
  <c r="Q14" i="59"/>
  <c r="P14" i="59"/>
  <c r="O14" i="59"/>
  <c r="N14" i="59"/>
  <c r="M14" i="59"/>
  <c r="L14" i="59"/>
  <c r="K14" i="59"/>
  <c r="J14" i="59"/>
  <c r="I14" i="59"/>
  <c r="H14" i="59"/>
  <c r="G14" i="59"/>
  <c r="F14" i="59"/>
  <c r="E14" i="59"/>
  <c r="D14" i="59"/>
  <c r="C14" i="59"/>
  <c r="B14" i="59"/>
  <c r="GE11" i="59"/>
  <c r="GD11" i="59"/>
  <c r="GA11" i="59"/>
  <c r="FZ11" i="59"/>
  <c r="GB11" i="59" s="1"/>
  <c r="FN11" i="59"/>
  <c r="FM11" i="59"/>
  <c r="FV9" i="59" s="1"/>
  <c r="FL11" i="59"/>
  <c r="FJ11" i="59"/>
  <c r="FI11" i="59"/>
  <c r="GE10" i="59"/>
  <c r="GD10" i="59"/>
  <c r="GF10" i="59" s="1"/>
  <c r="GA10" i="59"/>
  <c r="FZ10" i="59"/>
  <c r="GB10" i="59" s="1"/>
  <c r="FN10" i="59"/>
  <c r="FM10" i="59"/>
  <c r="FL10" i="59"/>
  <c r="FJ10" i="59"/>
  <c r="FI10" i="59"/>
  <c r="FX9" i="59"/>
  <c r="FT9" i="59"/>
  <c r="FS9" i="59"/>
  <c r="FL9" i="59"/>
  <c r="ER9" i="59"/>
  <c r="EQ9" i="59"/>
  <c r="EP9" i="59"/>
  <c r="EO9" i="59"/>
  <c r="EC9" i="59"/>
  <c r="EC19" i="59" s="1"/>
  <c r="EB9" i="59"/>
  <c r="EA9" i="59"/>
  <c r="EA27" i="59" s="1"/>
  <c r="DZ9" i="59"/>
  <c r="DY9" i="59"/>
  <c r="DY19" i="59" s="1"/>
  <c r="DX9" i="59"/>
  <c r="DW9" i="59"/>
  <c r="DW27" i="59" s="1"/>
  <c r="DV9" i="59"/>
  <c r="DU9" i="59"/>
  <c r="DT9" i="59"/>
  <c r="DT27" i="59" s="1"/>
  <c r="DS9" i="59"/>
  <c r="DS27" i="59" s="1"/>
  <c r="DR9" i="59"/>
  <c r="DQ9" i="59"/>
  <c r="DQ27" i="59" s="1"/>
  <c r="DP9" i="59"/>
  <c r="DP27" i="59" s="1"/>
  <c r="DO9" i="59"/>
  <c r="DM9" i="59"/>
  <c r="DM27" i="59" s="1"/>
  <c r="DL9" i="59"/>
  <c r="DL27" i="59" s="1"/>
  <c r="DK9" i="59"/>
  <c r="DK27" i="59" s="1"/>
  <c r="DJ9" i="59"/>
  <c r="DI9" i="59"/>
  <c r="DH9" i="59"/>
  <c r="DG9" i="59"/>
  <c r="DG27" i="59" s="1"/>
  <c r="DF9" i="59"/>
  <c r="DE9" i="59"/>
  <c r="DD9" i="59"/>
  <c r="DC9" i="59"/>
  <c r="DB9" i="59"/>
  <c r="DB27" i="59" s="1"/>
  <c r="DA9" i="59"/>
  <c r="CZ9" i="59"/>
  <c r="CZ27" i="59" s="1"/>
  <c r="CY9" i="59"/>
  <c r="CX9" i="59"/>
  <c r="CW9" i="59"/>
  <c r="CV9" i="59"/>
  <c r="CU9" i="59"/>
  <c r="CU27" i="59" s="1"/>
  <c r="CT9" i="59"/>
  <c r="CS9" i="59"/>
  <c r="CR9" i="59"/>
  <c r="CQ9" i="59"/>
  <c r="CP9" i="59"/>
  <c r="CO9" i="59"/>
  <c r="CN9" i="59"/>
  <c r="CM9" i="59"/>
  <c r="CL9" i="59"/>
  <c r="CK9" i="59"/>
  <c r="CJ9" i="59"/>
  <c r="CI9" i="59"/>
  <c r="CH9" i="59"/>
  <c r="CG9" i="59"/>
  <c r="CF9" i="59"/>
  <c r="CE9" i="59"/>
  <c r="CD9" i="59"/>
  <c r="CC9" i="59"/>
  <c r="CB9" i="59"/>
  <c r="CA9" i="59"/>
  <c r="BZ9" i="59"/>
  <c r="BY9" i="59"/>
  <c r="BX9" i="59"/>
  <c r="BW9" i="59"/>
  <c r="BV9" i="59"/>
  <c r="BU9" i="59"/>
  <c r="BT9" i="59"/>
  <c r="BS9" i="59"/>
  <c r="BR9" i="59"/>
  <c r="BQ9" i="59"/>
  <c r="BP9" i="59"/>
  <c r="BO9" i="59"/>
  <c r="BN9" i="59"/>
  <c r="BM9" i="59"/>
  <c r="BL9" i="59"/>
  <c r="BK9" i="59"/>
  <c r="BJ9" i="59"/>
  <c r="BI9" i="59"/>
  <c r="BH9" i="59"/>
  <c r="BG9" i="59"/>
  <c r="BF9" i="59"/>
  <c r="BE9" i="59"/>
  <c r="BD9" i="59"/>
  <c r="BC9" i="59"/>
  <c r="BB9" i="59"/>
  <c r="BA9" i="59"/>
  <c r="AZ9" i="59"/>
  <c r="AY9" i="59"/>
  <c r="AX9" i="59"/>
  <c r="AW9" i="59"/>
  <c r="AV9" i="59"/>
  <c r="AU9" i="59"/>
  <c r="AT9" i="59"/>
  <c r="AS9" i="59"/>
  <c r="AR9" i="59"/>
  <c r="AQ9" i="59"/>
  <c r="AP9" i="59"/>
  <c r="AO9" i="59"/>
  <c r="AN9" i="59"/>
  <c r="AM9" i="59"/>
  <c r="AL9" i="59"/>
  <c r="AK9" i="59"/>
  <c r="AJ9" i="59"/>
  <c r="AI9" i="59"/>
  <c r="AH9" i="59"/>
  <c r="AG9" i="59"/>
  <c r="AF9" i="59"/>
  <c r="AE9" i="59"/>
  <c r="AD9" i="59"/>
  <c r="AC9" i="59"/>
  <c r="AB9" i="59"/>
  <c r="AA9" i="59"/>
  <c r="Z9" i="59"/>
  <c r="Y9" i="59"/>
  <c r="X9" i="59"/>
  <c r="W9" i="59"/>
  <c r="V9" i="59"/>
  <c r="U9" i="59"/>
  <c r="T9" i="59"/>
  <c r="S9" i="59"/>
  <c r="R9" i="59"/>
  <c r="Q9" i="59"/>
  <c r="P9" i="59"/>
  <c r="O9" i="59"/>
  <c r="N9" i="59"/>
  <c r="M9" i="59"/>
  <c r="L9" i="59"/>
  <c r="K9" i="59"/>
  <c r="J9" i="59"/>
  <c r="I9" i="59"/>
  <c r="H9" i="59"/>
  <c r="G9" i="59"/>
  <c r="F9" i="59"/>
  <c r="E9" i="59"/>
  <c r="D9" i="59"/>
  <c r="C9" i="59"/>
  <c r="B9" i="59"/>
  <c r="FX8" i="59"/>
  <c r="FV8" i="59"/>
  <c r="FT8" i="59"/>
  <c r="FT7" i="59"/>
  <c r="ER7" i="59"/>
  <c r="EO7" i="59"/>
  <c r="EL7" i="59"/>
  <c r="EI7" i="59"/>
  <c r="EF7" i="59"/>
  <c r="GE6" i="59"/>
  <c r="GD6" i="59"/>
  <c r="GF6" i="59" s="1"/>
  <c r="GA6" i="59"/>
  <c r="FZ6" i="59"/>
  <c r="GB6" i="59" s="1"/>
  <c r="FN6" i="59"/>
  <c r="FM6" i="59"/>
  <c r="FV6" i="59" s="1"/>
  <c r="FL6" i="59"/>
  <c r="FJ6" i="59"/>
  <c r="FI6" i="59"/>
  <c r="FX6" i="59"/>
  <c r="GE5" i="59"/>
  <c r="GD5" i="59"/>
  <c r="GA5" i="59"/>
  <c r="FZ5" i="59"/>
  <c r="FN5" i="59"/>
  <c r="FM5" i="59"/>
  <c r="FV5" i="59" s="1"/>
  <c r="FL5" i="59"/>
  <c r="FT5" i="59" s="1"/>
  <c r="FJ5" i="59"/>
  <c r="FI5" i="59"/>
  <c r="FX5" i="59"/>
  <c r="EA4" i="59"/>
  <c r="DZ4" i="59"/>
  <c r="DY4" i="59"/>
  <c r="DX4" i="59"/>
  <c r="DW4" i="59"/>
  <c r="DV4" i="59"/>
  <c r="DU4" i="59"/>
  <c r="DT4" i="59"/>
  <c r="DS4" i="59"/>
  <c r="DR4" i="59"/>
  <c r="DQ4" i="59"/>
  <c r="DP4" i="59"/>
  <c r="DO4" i="59"/>
  <c r="DN4" i="59"/>
  <c r="DM4" i="59"/>
  <c r="DL4" i="59"/>
  <c r="DK4" i="59"/>
  <c r="DJ4" i="59"/>
  <c r="DI4" i="59"/>
  <c r="DH4" i="59"/>
  <c r="DG4" i="59"/>
  <c r="DF4" i="59"/>
  <c r="DE4" i="59"/>
  <c r="DD4" i="59"/>
  <c r="DC4" i="59"/>
  <c r="DB4" i="59"/>
  <c r="DA4" i="59"/>
  <c r="CZ4" i="59"/>
  <c r="CY4" i="59"/>
  <c r="CX4" i="59"/>
  <c r="CW4" i="59"/>
  <c r="CV4" i="59"/>
  <c r="CU4" i="59"/>
  <c r="CT4" i="59"/>
  <c r="CS4" i="59"/>
  <c r="CR4" i="59"/>
  <c r="CQ4" i="59"/>
  <c r="CP4" i="59"/>
  <c r="CO4" i="59"/>
  <c r="CN4" i="59"/>
  <c r="CM4" i="59"/>
  <c r="CL4" i="59"/>
  <c r="CK4" i="59"/>
  <c r="CJ4" i="59"/>
  <c r="CI4" i="59"/>
  <c r="CH4" i="59"/>
  <c r="CG4" i="59"/>
  <c r="CF4" i="59"/>
  <c r="CE4" i="59"/>
  <c r="CD4" i="59"/>
  <c r="CC4" i="59"/>
  <c r="CB4" i="59"/>
  <c r="CA4" i="59"/>
  <c r="BZ4" i="59"/>
  <c r="BY4" i="59"/>
  <c r="BX4" i="59"/>
  <c r="BW4" i="59"/>
  <c r="BV4" i="59"/>
  <c r="BU4" i="59"/>
  <c r="BT4" i="59"/>
  <c r="BS4" i="59"/>
  <c r="BR4" i="59"/>
  <c r="BQ4" i="59"/>
  <c r="BP4" i="59"/>
  <c r="BO4" i="59"/>
  <c r="BN4" i="59"/>
  <c r="BM4" i="59"/>
  <c r="BL4" i="59"/>
  <c r="BK4" i="59"/>
  <c r="BJ4" i="59"/>
  <c r="BI4" i="59"/>
  <c r="BH4" i="59"/>
  <c r="BG4" i="59"/>
  <c r="BF4" i="59"/>
  <c r="BE4" i="59"/>
  <c r="BD4" i="59"/>
  <c r="BC4" i="59"/>
  <c r="BB4" i="59"/>
  <c r="BA4" i="59"/>
  <c r="AZ4" i="59"/>
  <c r="AY4" i="59"/>
  <c r="AX4" i="59"/>
  <c r="AW4" i="59"/>
  <c r="AV4" i="59"/>
  <c r="AU4" i="59"/>
  <c r="AT4" i="59"/>
  <c r="AS4" i="59"/>
  <c r="AR4" i="59"/>
  <c r="AQ4" i="59"/>
  <c r="AP4" i="59"/>
  <c r="AO4" i="59"/>
  <c r="AN4" i="59"/>
  <c r="AM4" i="59"/>
  <c r="AL4" i="59"/>
  <c r="AK4" i="59"/>
  <c r="AJ4" i="59"/>
  <c r="AI4" i="59"/>
  <c r="AH4" i="59"/>
  <c r="AG4" i="59"/>
  <c r="AF4" i="59"/>
  <c r="AE4" i="59"/>
  <c r="AD4" i="59"/>
  <c r="AC4" i="59"/>
  <c r="AB4" i="59"/>
  <c r="AA4" i="59"/>
  <c r="Z4" i="59"/>
  <c r="Y4" i="59"/>
  <c r="X4" i="59"/>
  <c r="W4" i="59"/>
  <c r="V4" i="59"/>
  <c r="U4" i="59"/>
  <c r="T4" i="59"/>
  <c r="S4" i="59"/>
  <c r="R4" i="59"/>
  <c r="Q4" i="59"/>
  <c r="P4" i="59"/>
  <c r="O4" i="59"/>
  <c r="N4" i="59"/>
  <c r="M4" i="59"/>
  <c r="L4" i="59"/>
  <c r="K4" i="59"/>
  <c r="J4" i="59"/>
  <c r="I4" i="59"/>
  <c r="H4" i="59"/>
  <c r="G4" i="59"/>
  <c r="F4" i="59"/>
  <c r="E4" i="59"/>
  <c r="D4" i="59"/>
  <c r="C4" i="59"/>
  <c r="B4" i="59"/>
  <c r="FV3" i="59"/>
  <c r="FT3" i="59"/>
  <c r="FS3" i="59"/>
  <c r="DI1" i="59"/>
  <c r="DJ1" i="59" s="1"/>
  <c r="DK1" i="59" s="1"/>
  <c r="DL1" i="59" s="1"/>
  <c r="DM1" i="59" s="1"/>
  <c r="DN1" i="59" s="1"/>
  <c r="DO1" i="59" s="1"/>
  <c r="DP1" i="59" s="1"/>
  <c r="DQ1" i="59" s="1"/>
  <c r="DR1" i="59" s="1"/>
  <c r="DS1" i="59" s="1"/>
  <c r="DT1" i="59" s="1"/>
  <c r="DU1" i="59" s="1"/>
  <c r="DV1" i="59" s="1"/>
  <c r="DW1" i="59" s="1"/>
  <c r="DX1" i="59" s="1"/>
  <c r="DY1" i="59" s="1"/>
  <c r="DZ1" i="59" s="1"/>
  <c r="EA1" i="59" s="1"/>
  <c r="EB1" i="59" s="1"/>
  <c r="EC1" i="59" s="1"/>
  <c r="ED1" i="59" s="1"/>
  <c r="EE1" i="59" s="1"/>
  <c r="EF1" i="59" s="1"/>
  <c r="EG1" i="59" s="1"/>
  <c r="EH1" i="59" s="1"/>
  <c r="EI1" i="59" s="1"/>
  <c r="EJ1" i="59" s="1"/>
  <c r="EK1" i="59" s="1"/>
  <c r="EL1" i="59" s="1"/>
  <c r="EM1" i="59" s="1"/>
  <c r="EN1" i="59" s="1"/>
  <c r="EO1" i="59" s="1"/>
  <c r="EP1" i="59" s="1"/>
  <c r="EQ1" i="59" s="1"/>
  <c r="ER1" i="59" s="1"/>
  <c r="ES1" i="59" s="1"/>
  <c r="ET1" i="59" s="1"/>
  <c r="EU1" i="59" s="1"/>
  <c r="EV1" i="59" s="1"/>
  <c r="EW1" i="59" s="1"/>
  <c r="EX1" i="59" s="1"/>
  <c r="EY1" i="59" s="1"/>
  <c r="EZ1" i="59" s="1"/>
  <c r="FA1" i="59" s="1"/>
  <c r="FB1" i="59" s="1"/>
  <c r="FC1" i="59" s="1"/>
  <c r="FD1" i="59" s="1"/>
  <c r="DC1" i="59"/>
  <c r="DD1" i="59" s="1"/>
  <c r="DE1" i="59" s="1"/>
  <c r="DF1" i="59" s="1"/>
  <c r="FV12" i="59" l="1"/>
  <c r="FW9" i="59"/>
  <c r="FU9" i="59"/>
  <c r="E23" i="59"/>
  <c r="I23" i="59"/>
  <c r="M23" i="59"/>
  <c r="Q23" i="59"/>
  <c r="U23" i="59"/>
  <c r="Y23" i="59"/>
  <c r="AC23" i="59"/>
  <c r="AG23" i="59"/>
  <c r="AK23" i="59"/>
  <c r="AO23" i="59"/>
  <c r="AS23" i="59"/>
  <c r="AW23" i="59"/>
  <c r="BA23" i="59"/>
  <c r="BE23" i="59"/>
  <c r="BI23" i="59"/>
  <c r="BM23" i="59"/>
  <c r="BQ23" i="59"/>
  <c r="BU23" i="59"/>
  <c r="BY23" i="59"/>
  <c r="CC23" i="59"/>
  <c r="CG23" i="59"/>
  <c r="CK23" i="59"/>
  <c r="CO23" i="59"/>
  <c r="CS23" i="59"/>
  <c r="CW23" i="59"/>
  <c r="DA23" i="59"/>
  <c r="Y56" i="59"/>
  <c r="FV4" i="59"/>
  <c r="GB5" i="59"/>
  <c r="GF5" i="59"/>
  <c r="FT11" i="59"/>
  <c r="CO27" i="59"/>
  <c r="CS27" i="59"/>
  <c r="CW27" i="59"/>
  <c r="CY27" i="59"/>
  <c r="FN9" i="59"/>
  <c r="GF11" i="59"/>
  <c r="EP19" i="59"/>
  <c r="GF15" i="59"/>
  <c r="FM21" i="59"/>
  <c r="GE24" i="59"/>
  <c r="DB30" i="59"/>
  <c r="FI24" i="59"/>
  <c r="EE23" i="59"/>
  <c r="EI23" i="59"/>
  <c r="AA56" i="59"/>
  <c r="AE56" i="59"/>
  <c r="AI56" i="59"/>
  <c r="CR27" i="59"/>
  <c r="DU27" i="59"/>
  <c r="DE27" i="59"/>
  <c r="EU27" i="59"/>
  <c r="EU28" i="59" s="1"/>
  <c r="EX27" i="59"/>
  <c r="EX28" i="59" s="1"/>
  <c r="CQ27" i="59"/>
  <c r="EO23" i="59"/>
  <c r="FM4" i="59"/>
  <c r="FK36" i="59" s="1"/>
  <c r="FL4" i="59"/>
  <c r="FJ36" i="59" s="1"/>
  <c r="GE9" i="59"/>
  <c r="DC27" i="59"/>
  <c r="GA14" i="59"/>
  <c r="CN27" i="59"/>
  <c r="CV27" i="59"/>
  <c r="DH27" i="59"/>
  <c r="FU16" i="59"/>
  <c r="FN4" i="59"/>
  <c r="FL36" i="59" s="1"/>
  <c r="EQ23" i="59"/>
  <c r="DD27" i="59"/>
  <c r="EO30" i="59"/>
  <c r="EP23" i="59"/>
  <c r="FH14" i="59"/>
  <c r="DI27" i="59"/>
  <c r="FN14" i="59"/>
  <c r="FL38" i="59" s="1"/>
  <c r="ER19" i="59"/>
  <c r="FN19" i="59" s="1"/>
  <c r="ER23" i="59"/>
  <c r="FU14" i="59"/>
  <c r="FU15" i="59"/>
  <c r="EH23" i="59"/>
  <c r="FL21" i="59"/>
  <c r="FH21" i="59"/>
  <c r="EL31" i="59"/>
  <c r="FL20" i="59"/>
  <c r="FH20" i="59"/>
  <c r="GA4" i="59"/>
  <c r="GD4" i="59"/>
  <c r="FI4" i="59"/>
  <c r="EM23" i="59"/>
  <c r="FJ4" i="59"/>
  <c r="GA9" i="59"/>
  <c r="FJ9" i="59"/>
  <c r="FW16" i="59"/>
  <c r="DA27" i="59"/>
  <c r="FZ23" i="59"/>
  <c r="GD23" i="59"/>
  <c r="FP9" i="59"/>
  <c r="FV11" i="59"/>
  <c r="FV10" i="59" s="1"/>
  <c r="FZ4" i="59"/>
  <c r="GE4" i="59"/>
  <c r="FS6" i="59"/>
  <c r="FV7" i="59"/>
  <c r="FS8" i="59"/>
  <c r="FJ39" i="59"/>
  <c r="EO19" i="59"/>
  <c r="FW14" i="59"/>
  <c r="EA19" i="59"/>
  <c r="GE25" i="59"/>
  <c r="FZ25" i="59"/>
  <c r="DE32" i="59"/>
  <c r="DQ32" i="59"/>
  <c r="EC32" i="59"/>
  <c r="FI25" i="59"/>
  <c r="DT29" i="59"/>
  <c r="DZ30" i="59"/>
  <c r="FX4" i="59"/>
  <c r="FZ9" i="59"/>
  <c r="EN23" i="59"/>
  <c r="EN19" i="59"/>
  <c r="FS5" i="59"/>
  <c r="FT6" i="59"/>
  <c r="FT12" i="59" s="1"/>
  <c r="FT10" i="59" s="1"/>
  <c r="DV27" i="59"/>
  <c r="DZ19" i="59"/>
  <c r="DZ27" i="59"/>
  <c r="FJ38" i="59"/>
  <c r="GE14" i="59"/>
  <c r="FZ14" i="59"/>
  <c r="GD14" i="59"/>
  <c r="FL19" i="59"/>
  <c r="EL30" i="59"/>
  <c r="FN24" i="59"/>
  <c r="DN32" i="59"/>
  <c r="DZ32" i="59"/>
  <c r="DY27" i="59"/>
  <c r="EH29" i="59"/>
  <c r="ER30" i="59"/>
  <c r="X56" i="59"/>
  <c r="AB56" i="59"/>
  <c r="AF56" i="59"/>
  <c r="AJ56" i="59"/>
  <c r="DX27" i="59"/>
  <c r="DX19" i="59"/>
  <c r="EB27" i="59"/>
  <c r="EB19" i="59"/>
  <c r="FI9" i="59"/>
  <c r="GA23" i="59"/>
  <c r="GE23" i="59"/>
  <c r="FZ24" i="59"/>
  <c r="GD24" i="59"/>
  <c r="GF24" i="59" s="1"/>
  <c r="DF23" i="59"/>
  <c r="FJ23" i="59" s="1"/>
  <c r="DH30" i="59"/>
  <c r="FJ24" i="59"/>
  <c r="DR23" i="59"/>
  <c r="DT32" i="59" s="1"/>
  <c r="DT30" i="59"/>
  <c r="FX11" i="59"/>
  <c r="ED23" i="59"/>
  <c r="EQ27" i="59"/>
  <c r="FL24" i="59"/>
  <c r="FJ25" i="59"/>
  <c r="DK32" i="59"/>
  <c r="DK29" i="59"/>
  <c r="DW32" i="59"/>
  <c r="DW29" i="59"/>
  <c r="ER27" i="59"/>
  <c r="FX12" i="59"/>
  <c r="FL25" i="59"/>
  <c r="FQ25" i="59" s="1"/>
  <c r="ER31" i="59"/>
  <c r="DH29" i="59"/>
  <c r="DN30" i="59"/>
  <c r="DH32" i="59"/>
  <c r="CP27" i="59"/>
  <c r="CT27" i="59"/>
  <c r="CX27" i="59"/>
  <c r="DJ27" i="59"/>
  <c r="DO27" i="59"/>
  <c r="FN23" i="59"/>
  <c r="FX7" i="59"/>
  <c r="FM9" i="59"/>
  <c r="GD9" i="59"/>
  <c r="GF9" i="59" s="1"/>
  <c r="FM14" i="59"/>
  <c r="FK39" i="59" s="1"/>
  <c r="FW15" i="59"/>
  <c r="EM19" i="59"/>
  <c r="DK30" i="59"/>
  <c r="DW30" i="59"/>
  <c r="GA24" i="59"/>
  <c r="DB29" i="59"/>
  <c r="GA25" i="59"/>
  <c r="EC27" i="59"/>
  <c r="FM20" i="59"/>
  <c r="EO31" i="59"/>
  <c r="GD25" i="59"/>
  <c r="GF25" i="59" s="1"/>
  <c r="DN29" i="59"/>
  <c r="DZ29" i="59"/>
  <c r="DE29" i="59"/>
  <c r="DQ29" i="59"/>
  <c r="EC29" i="59"/>
  <c r="AC358" i="45"/>
  <c r="AD358" i="45"/>
  <c r="AC282" i="45"/>
  <c r="AD282" i="45"/>
  <c r="AC216" i="45"/>
  <c r="AC215" i="45" s="1"/>
  <c r="AD216" i="45"/>
  <c r="AD215" i="45" s="1"/>
  <c r="AC200" i="45"/>
  <c r="AD200" i="45"/>
  <c r="AC11" i="12"/>
  <c r="AD11" i="12"/>
  <c r="AC18" i="12"/>
  <c r="AD18" i="12"/>
  <c r="AC35" i="12"/>
  <c r="AD35" i="12"/>
  <c r="O46" i="12"/>
  <c r="O63" i="12" s="1"/>
  <c r="O73" i="12" s="1"/>
  <c r="AC73" i="12" s="1"/>
  <c r="P46" i="12"/>
  <c r="P63" i="12" s="1"/>
  <c r="P73" i="12" s="1"/>
  <c r="AD73" i="12" s="1"/>
  <c r="O31" i="12"/>
  <c r="P31" i="12"/>
  <c r="O32" i="12"/>
  <c r="P32" i="12"/>
  <c r="O37" i="12"/>
  <c r="P37" i="12"/>
  <c r="O40" i="12"/>
  <c r="P40" i="12"/>
  <c r="T61" i="6"/>
  <c r="U61" i="6"/>
  <c r="T62" i="6"/>
  <c r="U62" i="6"/>
  <c r="T63" i="6"/>
  <c r="U63" i="6"/>
  <c r="T64" i="6"/>
  <c r="U64" i="6"/>
  <c r="T65" i="6"/>
  <c r="U65" i="6"/>
  <c r="T66" i="6"/>
  <c r="U66" i="6"/>
  <c r="T68" i="6"/>
  <c r="U68" i="6"/>
  <c r="T76" i="6"/>
  <c r="U76" i="6"/>
  <c r="T77" i="6"/>
  <c r="U77" i="6"/>
  <c r="T78" i="6"/>
  <c r="U78" i="6"/>
  <c r="T79" i="6"/>
  <c r="U79" i="6"/>
  <c r="T80" i="6"/>
  <c r="U80" i="6"/>
  <c r="T81" i="6"/>
  <c r="U81" i="6"/>
  <c r="T82" i="6"/>
  <c r="U82" i="6"/>
  <c r="M12" i="26"/>
  <c r="O66" i="28"/>
  <c r="P66" i="28"/>
  <c r="O67" i="28"/>
  <c r="P67" i="28"/>
  <c r="O72" i="28"/>
  <c r="P72" i="28"/>
  <c r="O73" i="28"/>
  <c r="P73" i="28"/>
  <c r="S11" i="3"/>
  <c r="S65" i="3" s="1"/>
  <c r="T11" i="3"/>
  <c r="T65" i="3" s="1"/>
  <c r="S15" i="3"/>
  <c r="T15" i="3"/>
  <c r="S16" i="3"/>
  <c r="T16" i="3"/>
  <c r="S17" i="3"/>
  <c r="T17" i="3"/>
  <c r="S18" i="3"/>
  <c r="T18" i="3"/>
  <c r="S130" i="2"/>
  <c r="S131" i="2" s="1"/>
  <c r="S19" i="2" s="1"/>
  <c r="T130" i="2"/>
  <c r="T131" i="2" s="1"/>
  <c r="T19" i="2" s="1"/>
  <c r="AC113" i="45"/>
  <c r="AD113" i="45"/>
  <c r="AC362" i="45"/>
  <c r="AD362" i="45"/>
  <c r="S87" i="1"/>
  <c r="T87" i="1"/>
  <c r="S14" i="3"/>
  <c r="S39" i="3" s="1"/>
  <c r="T14" i="3"/>
  <c r="T39" i="3" s="1"/>
  <c r="S151" i="1"/>
  <c r="S29" i="1" s="1"/>
  <c r="S38" i="1" s="1"/>
  <c r="O34" i="12" s="1"/>
  <c r="T151" i="1"/>
  <c r="T29" i="1" s="1"/>
  <c r="T38" i="1" s="1"/>
  <c r="P34" i="12" s="1"/>
  <c r="O83" i="12" l="1"/>
  <c r="GB25" i="59"/>
  <c r="P83" i="12"/>
  <c r="AD46" i="12"/>
  <c r="AC46" i="12"/>
  <c r="AD203" i="45"/>
  <c r="T77" i="3" s="1"/>
  <c r="P55" i="12" s="1"/>
  <c r="AC36" i="12"/>
  <c r="AD36" i="12"/>
  <c r="AC218" i="45"/>
  <c r="AC217" i="45"/>
  <c r="AD96" i="45"/>
  <c r="AC96" i="45"/>
  <c r="AD361" i="45"/>
  <c r="AD206" i="45" s="1"/>
  <c r="T79" i="3" s="1"/>
  <c r="P57" i="12" s="1"/>
  <c r="AC361" i="45"/>
  <c r="AC226" i="45" s="1"/>
  <c r="AC256" i="45" s="1"/>
  <c r="AD218" i="45"/>
  <c r="FP4" i="59"/>
  <c r="FL39" i="59"/>
  <c r="FK35" i="59"/>
  <c r="FJ35" i="59"/>
  <c r="GF4" i="59"/>
  <c r="GF14" i="59"/>
  <c r="GB14" i="59"/>
  <c r="FM23" i="59"/>
  <c r="FK30" i="59" s="1"/>
  <c r="FL35" i="59"/>
  <c r="FH19" i="59"/>
  <c r="GB9" i="59"/>
  <c r="GB4" i="59"/>
  <c r="FT4" i="59"/>
  <c r="FU8" i="59"/>
  <c r="FS7" i="59"/>
  <c r="FS11" i="59"/>
  <c r="FW8" i="59"/>
  <c r="FL28" i="59"/>
  <c r="FI23" i="59"/>
  <c r="FL29" i="59"/>
  <c r="FP24" i="59"/>
  <c r="FS4" i="59"/>
  <c r="FU5" i="59"/>
  <c r="FW5" i="59"/>
  <c r="FP25" i="59"/>
  <c r="GF23" i="59"/>
  <c r="FM19" i="59"/>
  <c r="FK38" i="59"/>
  <c r="DF27" i="59"/>
  <c r="EP27" i="59"/>
  <c r="FL23" i="59"/>
  <c r="GB24" i="59"/>
  <c r="DR27" i="59"/>
  <c r="FQ24" i="59"/>
  <c r="FU6" i="59"/>
  <c r="FS12" i="59"/>
  <c r="FW6" i="59"/>
  <c r="FL32" i="59"/>
  <c r="FL30" i="59"/>
  <c r="FL33" i="59"/>
  <c r="GB23" i="59"/>
  <c r="AD217" i="45"/>
  <c r="T64" i="1"/>
  <c r="S64" i="1"/>
  <c r="AC206" i="45" l="1"/>
  <c r="S79" i="3" s="1"/>
  <c r="AD201" i="45"/>
  <c r="T48" i="3"/>
  <c r="AD207" i="45"/>
  <c r="AD226" i="45"/>
  <c r="AD256" i="45" s="1"/>
  <c r="FK33" i="59"/>
  <c r="FK32" i="59"/>
  <c r="FK28" i="59"/>
  <c r="FK29" i="59"/>
  <c r="FH23" i="59"/>
  <c r="FX10" i="59" s="1"/>
  <c r="FH26" i="59"/>
  <c r="FJ28" i="59"/>
  <c r="FJ33" i="59"/>
  <c r="FJ32" i="59"/>
  <c r="FP23" i="59"/>
  <c r="FU7" i="59"/>
  <c r="FW7" i="59"/>
  <c r="FJ29" i="59"/>
  <c r="FJ30" i="59"/>
  <c r="FW12" i="59"/>
  <c r="FU12" i="59"/>
  <c r="FW4" i="59"/>
  <c r="FU4" i="59"/>
  <c r="FW11" i="59"/>
  <c r="FU11" i="59"/>
  <c r="FS10" i="59"/>
  <c r="FQ23" i="59"/>
  <c r="O57" i="12"/>
  <c r="FU10" i="59" l="1"/>
  <c r="FW10" i="59"/>
  <c r="AN31" i="29" l="1"/>
  <c r="AR31" i="29"/>
  <c r="AS34" i="29" s="1"/>
  <c r="O2" i="48" l="1"/>
  <c r="N31" i="48" s="1"/>
  <c r="O8" i="48"/>
  <c r="O10" i="48"/>
  <c r="O13" i="48"/>
  <c r="O15" i="48"/>
  <c r="O16" i="48"/>
  <c r="O18" i="48"/>
  <c r="O20" i="48"/>
  <c r="AR228" i="29"/>
  <c r="AR229" i="29"/>
  <c r="AR232" i="29"/>
  <c r="AR233" i="29"/>
  <c r="AR180" i="29"/>
  <c r="AR176" i="29"/>
  <c r="AR133" i="29"/>
  <c r="AR134" i="29"/>
  <c r="AR80" i="29"/>
  <c r="AR66" i="29"/>
  <c r="AR43" i="29"/>
  <c r="AR44" i="29"/>
  <c r="AR33" i="29"/>
  <c r="AR29" i="29"/>
  <c r="AR30" i="29"/>
  <c r="AR26" i="29"/>
  <c r="AR19" i="29"/>
  <c r="AR14" i="29"/>
  <c r="AS16" i="29" s="1"/>
  <c r="AR18" i="29" l="1"/>
  <c r="AS21" i="29"/>
  <c r="O6" i="48"/>
  <c r="AR42" i="29"/>
  <c r="AR28" i="29"/>
  <c r="AR22" i="29"/>
  <c r="AR25" i="29"/>
  <c r="AR32" i="29"/>
  <c r="AR52" i="29"/>
  <c r="O3" i="48"/>
  <c r="O9" i="48" s="1"/>
  <c r="U75" i="1"/>
  <c r="O4" i="48" l="1"/>
  <c r="O12" i="48" s="1"/>
  <c r="N32" i="48"/>
  <c r="O11" i="48"/>
  <c r="O7" i="48"/>
  <c r="W10" i="44"/>
  <c r="W11" i="44"/>
  <c r="X11" i="44"/>
  <c r="W15" i="44"/>
  <c r="X15" i="44"/>
  <c r="O5" i="48" l="1"/>
  <c r="N33" i="48"/>
  <c r="O14" i="48"/>
  <c r="O25" i="48"/>
  <c r="E29" i="18"/>
  <c r="O26" i="48" l="1"/>
  <c r="O17" i="48"/>
  <c r="N34" i="48"/>
  <c r="K31" i="28"/>
  <c r="F38" i="56"/>
  <c r="F40" i="56"/>
  <c r="F42" i="56"/>
  <c r="F44" i="56"/>
  <c r="F34" i="56"/>
  <c r="F53" i="56" s="1"/>
  <c r="F22" i="56"/>
  <c r="F23" i="56"/>
  <c r="F24" i="56"/>
  <c r="F25" i="56"/>
  <c r="F26" i="56"/>
  <c r="F15" i="56"/>
  <c r="F21" i="56" s="1"/>
  <c r="F29" i="56" s="1"/>
  <c r="F33" i="56" s="1"/>
  <c r="F68" i="56" s="1"/>
  <c r="F75" i="56" s="1"/>
  <c r="F7" i="56"/>
  <c r="F8" i="56"/>
  <c r="F2" i="56"/>
  <c r="F3" i="56"/>
  <c r="F9" i="56" l="1"/>
  <c r="F27" i="56"/>
  <c r="F39" i="56"/>
  <c r="F45" i="56"/>
  <c r="F51" i="56"/>
  <c r="F43" i="56"/>
  <c r="F41" i="56"/>
  <c r="O19" i="48"/>
  <c r="O29" i="48"/>
  <c r="O27" i="48"/>
  <c r="N35" i="48" l="1"/>
  <c r="O21" i="48"/>
  <c r="O28" i="48"/>
  <c r="E21" i="55"/>
  <c r="E18" i="55"/>
  <c r="E17" i="55"/>
  <c r="E16" i="55"/>
  <c r="J27" i="27" l="1"/>
  <c r="I27" i="27"/>
  <c r="H27" i="27"/>
  <c r="G27" i="27"/>
  <c r="F27" i="27"/>
  <c r="E27" i="27"/>
  <c r="D27" i="27"/>
  <c r="C27" i="27"/>
  <c r="K24" i="27"/>
  <c r="K10" i="27"/>
  <c r="K13" i="27" s="1"/>
  <c r="K27" i="27" l="1"/>
  <c r="K32" i="27" l="1"/>
  <c r="K31" i="27"/>
  <c r="K30" i="27"/>
  <c r="BT105" i="45"/>
  <c r="BT96" i="45"/>
  <c r="BU96" i="45"/>
  <c r="BT86" i="45"/>
  <c r="BU86" i="45"/>
  <c r="BT82" i="45"/>
  <c r="BU82" i="45"/>
  <c r="BT79" i="45"/>
  <c r="BU79" i="45"/>
  <c r="BT50" i="45"/>
  <c r="BT39" i="45"/>
  <c r="BU39" i="45"/>
  <c r="BT36" i="45"/>
  <c r="BU239" i="45" l="1"/>
  <c r="BU240" i="45" s="1"/>
  <c r="BU237" i="45"/>
  <c r="BU238" i="45" s="1"/>
  <c r="BU236" i="45"/>
  <c r="BU235" i="45"/>
  <c r="BU234" i="45"/>
  <c r="BU232" i="45"/>
  <c r="BU231" i="45"/>
  <c r="BU230" i="45"/>
  <c r="BU93" i="45"/>
  <c r="BU84" i="45"/>
  <c r="BU78" i="45"/>
  <c r="BU69" i="45"/>
  <c r="BU66" i="45"/>
  <c r="BU5" i="45"/>
  <c r="BU3" i="45"/>
  <c r="AQ210" i="29" l="1"/>
  <c r="AV167" i="29" l="1"/>
  <c r="P121" i="1" l="1"/>
  <c r="O121" i="1"/>
  <c r="P104" i="1"/>
  <c r="F48" i="56" s="1"/>
  <c r="F49" i="56" s="1"/>
  <c r="P101" i="1"/>
  <c r="F46" i="56" s="1"/>
  <c r="F47" i="56" s="1"/>
  <c r="P99" i="1"/>
  <c r="P137" i="1"/>
  <c r="Q139" i="1"/>
  <c r="AV189" i="29"/>
  <c r="AV188" i="29"/>
  <c r="AV184" i="29"/>
  <c r="P108" i="1" l="1"/>
  <c r="B18" i="26"/>
  <c r="B22" i="26"/>
  <c r="K7" i="26"/>
  <c r="K11" i="26"/>
  <c r="I7" i="26"/>
  <c r="J7" i="26"/>
  <c r="P79" i="44"/>
  <c r="P94" i="44"/>
  <c r="P92" i="44"/>
  <c r="P81" i="44"/>
  <c r="P78" i="44" l="1"/>
  <c r="AM31" i="29"/>
  <c r="AQ31" i="29"/>
  <c r="AQ11" i="29"/>
  <c r="BT35" i="45" s="1"/>
  <c r="Q31" i="6"/>
  <c r="Q71" i="6"/>
  <c r="P182" i="2"/>
  <c r="P139" i="2"/>
  <c r="P146" i="2"/>
  <c r="P48" i="3"/>
  <c r="P40" i="3"/>
  <c r="P33" i="3"/>
  <c r="P31" i="3"/>
  <c r="F12" i="56" s="1"/>
  <c r="P32" i="3"/>
  <c r="P28" i="3"/>
  <c r="P27" i="3"/>
  <c r="F10" i="56" s="1"/>
  <c r="P14" i="3"/>
  <c r="P16" i="3"/>
  <c r="AU33" i="29" l="1"/>
  <c r="AR34" i="29"/>
  <c r="BT65" i="45"/>
  <c r="N20" i="48"/>
  <c r="T20" i="48" s="1"/>
  <c r="N18" i="48"/>
  <c r="T18" i="48" s="1"/>
  <c r="N16" i="48"/>
  <c r="T16" i="48" s="1"/>
  <c r="N15" i="48"/>
  <c r="T15" i="48" s="1"/>
  <c r="N13" i="48"/>
  <c r="T13" i="48" s="1"/>
  <c r="N10" i="48"/>
  <c r="T10" i="48" s="1"/>
  <c r="N8" i="48"/>
  <c r="T8" i="48" s="1"/>
  <c r="N2" i="48"/>
  <c r="M31" i="48" s="1"/>
  <c r="AQ176" i="29"/>
  <c r="AQ180" i="29"/>
  <c r="AQ324" i="29" l="1"/>
  <c r="AQ318" i="29"/>
  <c r="AQ232" i="29"/>
  <c r="AQ229" i="29"/>
  <c r="AQ228" i="29"/>
  <c r="AQ212" i="29"/>
  <c r="AQ190" i="29"/>
  <c r="AQ185" i="29"/>
  <c r="AQ321" i="29" s="1"/>
  <c r="AQ233" i="29"/>
  <c r="AQ138" i="29"/>
  <c r="AQ135" i="29"/>
  <c r="AQ134" i="29"/>
  <c r="AQ133" i="29"/>
  <c r="AQ80" i="29"/>
  <c r="BT215" i="45" s="1"/>
  <c r="AQ66" i="29"/>
  <c r="AQ44" i="29"/>
  <c r="AQ43" i="29"/>
  <c r="AQ34" i="29"/>
  <c r="AQ30" i="29"/>
  <c r="AQ29" i="29"/>
  <c r="AQ26" i="29"/>
  <c r="AQ19" i="29"/>
  <c r="AQ14" i="29"/>
  <c r="AU136" i="29" l="1"/>
  <c r="AQ129" i="29"/>
  <c r="AQ221" i="29"/>
  <c r="AV190" i="29"/>
  <c r="AR16" i="29"/>
  <c r="AU15" i="29"/>
  <c r="Z9" i="1"/>
  <c r="AA9" i="1" s="1"/>
  <c r="AB9" i="1" s="1"/>
  <c r="AR21" i="29"/>
  <c r="AU20" i="29"/>
  <c r="AU139" i="29"/>
  <c r="N6" i="48"/>
  <c r="AQ52" i="29"/>
  <c r="N3" i="48"/>
  <c r="T3" i="48" s="1"/>
  <c r="AQ18" i="29"/>
  <c r="AQ22" i="29"/>
  <c r="AQ28" i="29"/>
  <c r="AQ32" i="29"/>
  <c r="AQ156" i="29"/>
  <c r="AU157" i="29" s="1"/>
  <c r="AU310" i="29" s="1"/>
  <c r="AQ192" i="29"/>
  <c r="AQ207" i="29"/>
  <c r="AQ209" i="29"/>
  <c r="AQ220" i="29"/>
  <c r="AQ224" i="29"/>
  <c r="AQ320" i="29"/>
  <c r="AQ323" i="29"/>
  <c r="AQ33" i="29"/>
  <c r="AQ42" i="29"/>
  <c r="AQ141" i="29"/>
  <c r="AQ186" i="29"/>
  <c r="AQ191" i="29"/>
  <c r="AQ198" i="29"/>
  <c r="AQ206" i="29"/>
  <c r="AQ208" i="29"/>
  <c r="AQ225" i="29"/>
  <c r="J33" i="48"/>
  <c r="O33" i="48" s="1"/>
  <c r="AQ213" i="29" l="1"/>
  <c r="AU214" i="29" s="1"/>
  <c r="AU142" i="29"/>
  <c r="T6" i="48"/>
  <c r="T4" i="48" s="1"/>
  <c r="T12" i="48" s="1"/>
  <c r="T14" i="48" s="1"/>
  <c r="T17" i="48" s="1"/>
  <c r="T19" i="48" s="1"/>
  <c r="T21" i="48" s="1"/>
  <c r="AU130" i="29"/>
  <c r="AQ147" i="29"/>
  <c r="AU148" i="29" s="1"/>
  <c r="AU307" i="29" s="1"/>
  <c r="AQ160" i="29"/>
  <c r="AQ25" i="29"/>
  <c r="AQ86" i="29" s="1"/>
  <c r="BT44" i="45"/>
  <c r="M32" i="48"/>
  <c r="N4" i="48"/>
  <c r="AQ36" i="29"/>
  <c r="AU37" i="29" s="1"/>
  <c r="N7" i="48"/>
  <c r="N9" i="48"/>
  <c r="N11" i="48"/>
  <c r="AQ309" i="29"/>
  <c r="AQ150" i="29"/>
  <c r="AU151" i="29" s="1"/>
  <c r="AU313" i="29" s="1"/>
  <c r="AQ236" i="29"/>
  <c r="AQ196" i="29"/>
  <c r="AQ95" i="29"/>
  <c r="AU96" i="29" s="1"/>
  <c r="AQ197" i="29"/>
  <c r="BT240" i="45"/>
  <c r="BT239" i="45"/>
  <c r="BT238" i="45"/>
  <c r="BT237" i="45"/>
  <c r="BT236" i="45"/>
  <c r="BT235" i="45"/>
  <c r="BT234" i="45"/>
  <c r="BT232" i="45"/>
  <c r="BT231" i="45"/>
  <c r="BT230" i="45"/>
  <c r="BT216" i="45"/>
  <c r="BT218" i="45" s="1"/>
  <c r="BT93" i="45"/>
  <c r="BT84" i="45"/>
  <c r="BT78" i="45"/>
  <c r="BT69" i="45"/>
  <c r="BT66" i="45"/>
  <c r="BT5" i="45"/>
  <c r="BT3" i="45"/>
  <c r="AQ306" i="29" l="1"/>
  <c r="N5" i="48"/>
  <c r="N12" i="48"/>
  <c r="AQ47" i="29"/>
  <c r="AU48" i="29" s="1"/>
  <c r="AQ87" i="29"/>
  <c r="AQ39" i="29" s="1"/>
  <c r="AQ119" i="29"/>
  <c r="AU120" i="29" s="1"/>
  <c r="AQ113" i="29"/>
  <c r="AU114" i="29" s="1"/>
  <c r="AQ1" i="29"/>
  <c r="AU3" i="29" s="1"/>
  <c r="AQ144" i="29"/>
  <c r="AU145" i="29" s="1"/>
  <c r="AQ104" i="29"/>
  <c r="AU105" i="29" s="1"/>
  <c r="AQ98" i="29"/>
  <c r="AU99" i="29" s="1"/>
  <c r="AU316" i="29" s="1"/>
  <c r="AQ94" i="29"/>
  <c r="AQ101" i="29"/>
  <c r="AU102" i="29" s="1"/>
  <c r="AQ107" i="29"/>
  <c r="AU108" i="29" s="1"/>
  <c r="AQ110" i="29"/>
  <c r="AU111" i="29" s="1"/>
  <c r="AQ312" i="29"/>
  <c r="BT226" i="45"/>
  <c r="BT227" i="45"/>
  <c r="BT225" i="45"/>
  <c r="N14" i="48" l="1"/>
  <c r="N26" i="48" s="1"/>
  <c r="M33" i="48"/>
  <c r="N25" i="48"/>
  <c r="AQ55" i="29"/>
  <c r="AQ88" i="29"/>
  <c r="AQ315" i="29"/>
  <c r="AQ153" i="29"/>
  <c r="AU154" i="29" s="1"/>
  <c r="AQ128" i="29"/>
  <c r="BT256" i="45"/>
  <c r="AR190" i="29"/>
  <c r="AR185" i="29"/>
  <c r="AR221" i="29" l="1"/>
  <c r="AR207" i="29"/>
  <c r="AR141" i="29"/>
  <c r="AR220" i="29"/>
  <c r="AR225" i="29"/>
  <c r="AR224" i="29"/>
  <c r="AR236" i="29" s="1"/>
  <c r="AR206" i="29"/>
  <c r="AR138" i="29"/>
  <c r="N17" i="48"/>
  <c r="N29" i="48" s="1"/>
  <c r="AQ58" i="29"/>
  <c r="AQ62" i="29"/>
  <c r="AU63" i="29" s="1"/>
  <c r="AQ89" i="29"/>
  <c r="AQ116" i="29"/>
  <c r="AU117" i="29" s="1"/>
  <c r="R87" i="1"/>
  <c r="AS140" i="29" l="1"/>
  <c r="AR140" i="29"/>
  <c r="AS237" i="29"/>
  <c r="AR237" i="29"/>
  <c r="AS143" i="29"/>
  <c r="AR213" i="29"/>
  <c r="AR150" i="29"/>
  <c r="AR143" i="29"/>
  <c r="N27" i="48"/>
  <c r="N19" i="48"/>
  <c r="M35" i="48" s="1"/>
  <c r="AQ72" i="29"/>
  <c r="AQ90" i="29"/>
  <c r="AQ67" i="29"/>
  <c r="AU68" i="29" s="1"/>
  <c r="AQ73" i="29"/>
  <c r="K193" i="28"/>
  <c r="AS152" i="29" l="1"/>
  <c r="AR152" i="29"/>
  <c r="N28" i="48"/>
  <c r="N21" i="48"/>
  <c r="AQ76" i="29"/>
  <c r="N22" i="48" s="1"/>
  <c r="AQ77" i="29"/>
  <c r="AQ91" i="29"/>
  <c r="AQ122" i="29"/>
  <c r="AU123" i="29" s="1"/>
  <c r="M36" i="48" l="1"/>
  <c r="P105" i="44" l="1"/>
  <c r="W14" i="44" l="1"/>
  <c r="Q158" i="2" l="1"/>
  <c r="Q121" i="2"/>
  <c r="T159" i="2" l="1"/>
  <c r="T25" i="2" s="1"/>
  <c r="S159" i="2"/>
  <c r="S25" i="2" s="1"/>
  <c r="P148" i="2"/>
  <c r="Q148" i="2" s="1"/>
  <c r="Q139" i="2"/>
  <c r="P56" i="2"/>
  <c r="P43" i="2"/>
  <c r="P45" i="2" s="1"/>
  <c r="P93" i="1"/>
  <c r="AC131" i="45" l="1"/>
  <c r="AD131" i="45"/>
  <c r="AP210" i="29" l="1"/>
  <c r="AP212" i="29" s="1"/>
  <c r="AP135" i="29"/>
  <c r="AP134" i="29"/>
  <c r="AP80" i="29"/>
  <c r="AP66" i="29"/>
  <c r="AP44" i="29"/>
  <c r="AP43" i="29"/>
  <c r="AP34" i="29"/>
  <c r="AP30" i="29"/>
  <c r="AP29" i="29"/>
  <c r="AP26" i="29"/>
  <c r="AP19" i="29"/>
  <c r="AP14" i="29"/>
  <c r="AT15" i="29" s="1"/>
  <c r="AQ21" i="29" l="1"/>
  <c r="AT20" i="29"/>
  <c r="AQ137" i="29"/>
  <c r="AT136" i="29"/>
  <c r="AP42" i="29"/>
  <c r="AQ16" i="29"/>
  <c r="AP129" i="29"/>
  <c r="AT130" i="29" s="1"/>
  <c r="AP18" i="29"/>
  <c r="AP25" i="29" s="1"/>
  <c r="AP22" i="29"/>
  <c r="AP28" i="29"/>
  <c r="AP32" i="29"/>
  <c r="AP52" i="29"/>
  <c r="AP160" i="29" l="1"/>
  <c r="AQ131" i="29"/>
  <c r="AP36" i="29"/>
  <c r="AP86" i="29"/>
  <c r="AY211" i="29"/>
  <c r="AQ38" i="29" l="1"/>
  <c r="AT37" i="29"/>
  <c r="AP87" i="29"/>
  <c r="AP39" i="29" s="1"/>
  <c r="AP47" i="29"/>
  <c r="AQ49" i="29" l="1"/>
  <c r="AT48" i="29"/>
  <c r="AP55" i="29"/>
  <c r="AP88" i="29"/>
  <c r="P29" i="58"/>
  <c r="P34" i="58"/>
  <c r="P14" i="58"/>
  <c r="Y14" i="58" s="1"/>
  <c r="P8" i="58"/>
  <c r="P28" i="58" s="1"/>
  <c r="P13" i="58"/>
  <c r="P33" i="58" s="1"/>
  <c r="P12" i="58"/>
  <c r="Y12" i="58" s="1"/>
  <c r="P9" i="58"/>
  <c r="P5" i="58"/>
  <c r="P25" i="58" s="1"/>
  <c r="P30" i="58"/>
  <c r="P10" i="58"/>
  <c r="P32" i="58" l="1"/>
  <c r="AP89" i="29"/>
  <c r="AP58" i="29"/>
  <c r="AP62" i="29"/>
  <c r="AQ64" i="29" l="1"/>
  <c r="AT63" i="29"/>
  <c r="AP72" i="29"/>
  <c r="AP90" i="29"/>
  <c r="AP73" i="29"/>
  <c r="AP67" i="29"/>
  <c r="P7" i="58"/>
  <c r="P27" i="58" s="1"/>
  <c r="P6" i="58"/>
  <c r="P26" i="58" s="1"/>
  <c r="P4" i="58"/>
  <c r="P24" i="58" s="1"/>
  <c r="P3" i="58"/>
  <c r="P23" i="58" s="1"/>
  <c r="AQ69" i="29" l="1"/>
  <c r="AT68" i="29"/>
  <c r="AP77" i="29"/>
  <c r="AP91" i="29"/>
  <c r="AP76" i="29"/>
  <c r="P11" i="58"/>
  <c r="Y11" i="58" l="1"/>
  <c r="P31" i="58"/>
  <c r="H48" i="58"/>
  <c r="G48" i="58"/>
  <c r="H47" i="58"/>
  <c r="G47" i="58"/>
  <c r="Y21" i="58"/>
  <c r="X21" i="58"/>
  <c r="N22" i="58"/>
  <c r="N38" i="58" s="1"/>
  <c r="X34" i="58" l="1"/>
  <c r="X32" i="58"/>
  <c r="X30" i="58"/>
  <c r="X28" i="58"/>
  <c r="X26" i="58"/>
  <c r="X24" i="58"/>
  <c r="X33" i="58"/>
  <c r="X31" i="58"/>
  <c r="X29" i="58"/>
  <c r="X27" i="58"/>
  <c r="X25" i="58"/>
  <c r="X23" i="58"/>
  <c r="Y30" i="58"/>
  <c r="Y34" i="58"/>
  <c r="Y32" i="58"/>
  <c r="Y28" i="58"/>
  <c r="Y24" i="58"/>
  <c r="Y33" i="58"/>
  <c r="Y29" i="58"/>
  <c r="Y25" i="58"/>
  <c r="Y26" i="58"/>
  <c r="Y31" i="58"/>
  <c r="Y27" i="58"/>
  <c r="Y23" i="58"/>
  <c r="H50" i="58"/>
  <c r="H49" i="58"/>
  <c r="H46" i="58"/>
  <c r="H45" i="58"/>
  <c r="H44" i="58"/>
  <c r="H43" i="58"/>
  <c r="H42" i="58"/>
  <c r="H41" i="58"/>
  <c r="H40" i="58"/>
  <c r="H39" i="58"/>
  <c r="H35" i="58"/>
  <c r="H22" i="58"/>
  <c r="H38" i="58" s="1"/>
  <c r="H15" i="58"/>
  <c r="N32" i="58" l="1"/>
  <c r="N34" i="58"/>
  <c r="N31" i="58"/>
  <c r="X35" i="58"/>
  <c r="N28" i="58"/>
  <c r="N24" i="58"/>
  <c r="N33" i="58"/>
  <c r="N27" i="58"/>
  <c r="N23" i="58"/>
  <c r="N36" i="58"/>
  <c r="N30" i="58"/>
  <c r="N26" i="58"/>
  <c r="N35" i="58"/>
  <c r="N29" i="58"/>
  <c r="N25" i="58"/>
  <c r="N13" i="58"/>
  <c r="N9" i="58"/>
  <c r="N5" i="58"/>
  <c r="N12" i="58"/>
  <c r="N8" i="58"/>
  <c r="N4" i="58"/>
  <c r="N15" i="58"/>
  <c r="N11" i="58"/>
  <c r="N7" i="58"/>
  <c r="N3" i="58"/>
  <c r="N14" i="58"/>
  <c r="N10" i="58"/>
  <c r="N6" i="58"/>
  <c r="H51" i="58"/>
  <c r="N47" i="58" l="1"/>
  <c r="N48" i="58"/>
  <c r="N49" i="58"/>
  <c r="N41" i="58"/>
  <c r="N50" i="58"/>
  <c r="N44" i="58"/>
  <c r="N40" i="58"/>
  <c r="N43" i="58"/>
  <c r="N39" i="58"/>
  <c r="N46" i="58"/>
  <c r="N42" i="58"/>
  <c r="N45" i="58"/>
  <c r="N51" i="58" l="1"/>
  <c r="P28" i="44"/>
  <c r="P27" i="44"/>
  <c r="P24" i="44"/>
  <c r="P22" i="44"/>
  <c r="P21" i="44"/>
  <c r="P6" i="44"/>
  <c r="Q20" i="44" l="1"/>
  <c r="Q23" i="44"/>
  <c r="BS621" i="45"/>
  <c r="BS602" i="45"/>
  <c r="BS239" i="45" s="1"/>
  <c r="BS240" i="45" s="1"/>
  <c r="BS96" i="45"/>
  <c r="BS93" i="45" s="1"/>
  <c r="BS86" i="45"/>
  <c r="BS84" i="45" s="1"/>
  <c r="BS82" i="45"/>
  <c r="BS79" i="45"/>
  <c r="BS78" i="45" s="1"/>
  <c r="BS69" i="45"/>
  <c r="BS66" i="45"/>
  <c r="BS5" i="45"/>
  <c r="BS3" i="45"/>
  <c r="M20" i="48"/>
  <c r="M16" i="48"/>
  <c r="R16" i="48" s="1"/>
  <c r="M15" i="48"/>
  <c r="R15" i="48" s="1"/>
  <c r="M13" i="48"/>
  <c r="R13" i="48" s="1"/>
  <c r="M2" i="48"/>
  <c r="AO210" i="29" l="1"/>
  <c r="AY129" i="29"/>
  <c r="AY130" i="29" s="1"/>
  <c r="B21" i="18" l="1"/>
  <c r="B22" i="18" s="1"/>
  <c r="AV211" i="29" l="1"/>
  <c r="AP190" i="29" l="1"/>
  <c r="AP141" i="29" s="1"/>
  <c r="AQ143" i="29" l="1"/>
  <c r="AT142" i="29"/>
  <c r="AP213" i="29"/>
  <c r="AP150" i="29"/>
  <c r="AR323" i="29"/>
  <c r="AR321" i="29"/>
  <c r="AR320" i="29"/>
  <c r="AR318" i="29"/>
  <c r="AR192" i="29"/>
  <c r="AR324" i="29"/>
  <c r="BU215" i="45"/>
  <c r="BU216" i="45" s="1"/>
  <c r="BU218" i="45" s="1"/>
  <c r="AQ152" i="29" l="1"/>
  <c r="AT151" i="29"/>
  <c r="AT313" i="29" s="1"/>
  <c r="AQ215" i="29"/>
  <c r="AT214" i="29"/>
  <c r="AR95" i="29"/>
  <c r="AR208" i="29"/>
  <c r="AR196" i="29"/>
  <c r="AR197" i="29"/>
  <c r="AR198" i="29"/>
  <c r="BU227" i="45"/>
  <c r="BU226" i="45"/>
  <c r="BU256" i="45" s="1"/>
  <c r="BU225" i="45"/>
  <c r="AR191" i="29"/>
  <c r="AR186" i="29"/>
  <c r="O6" i="49"/>
  <c r="N6" i="49"/>
  <c r="O2" i="49"/>
  <c r="N4" i="49"/>
  <c r="N2" i="49"/>
  <c r="Q2" i="49" s="1"/>
  <c r="O4" i="49"/>
  <c r="AR97" i="29" l="1"/>
  <c r="AY95" i="29"/>
  <c r="AS97" i="29"/>
  <c r="AR119" i="29"/>
  <c r="AR121" i="29" s="1"/>
  <c r="AR144" i="29"/>
  <c r="AR104" i="29"/>
  <c r="AR106" i="29" s="1"/>
  <c r="AR107" i="29"/>
  <c r="AR109" i="29" s="1"/>
  <c r="AR101" i="29"/>
  <c r="AR103" i="29" s="1"/>
  <c r="AR98" i="29"/>
  <c r="AR315" i="29" s="1"/>
  <c r="AR113" i="29"/>
  <c r="AR1" i="29"/>
  <c r="AR94" i="29"/>
  <c r="Q4" i="49"/>
  <c r="Q6" i="49"/>
  <c r="P2" i="49"/>
  <c r="P4" i="49"/>
  <c r="P6" i="49"/>
  <c r="AS115" i="29" l="1"/>
  <c r="AR115" i="29"/>
  <c r="AV98" i="29"/>
  <c r="AR100" i="29"/>
  <c r="AS2" i="29"/>
  <c r="AR2" i="29"/>
  <c r="AS146" i="29"/>
  <c r="AR146" i="29"/>
  <c r="AR153" i="29"/>
  <c r="AR128" i="29"/>
  <c r="W8" i="44"/>
  <c r="AR155" i="29" l="1"/>
  <c r="AS155" i="29"/>
  <c r="AK241" i="29"/>
  <c r="AO242" i="29" s="1"/>
  <c r="W13" i="44"/>
  <c r="AO23" i="29" l="1"/>
  <c r="AP323" i="29"/>
  <c r="AP318" i="29"/>
  <c r="AP207" i="29"/>
  <c r="AP324" i="29"/>
  <c r="AP180" i="29"/>
  <c r="BS215" i="45"/>
  <c r="BS216" i="45" s="1"/>
  <c r="BS218" i="45" s="1"/>
  <c r="BS39" i="45"/>
  <c r="BS225" i="45" l="1"/>
  <c r="BS227" i="45"/>
  <c r="BS226" i="45"/>
  <c r="BS256" i="45" s="1"/>
  <c r="AP220" i="29"/>
  <c r="AP221" i="29"/>
  <c r="AP229" i="29"/>
  <c r="AP228" i="29" l="1"/>
  <c r="AN180" i="29" l="1"/>
  <c r="AO180" i="29"/>
  <c r="AM176" i="29"/>
  <c r="AV176" i="29" s="1"/>
  <c r="AO173" i="29"/>
  <c r="AP173" i="29" s="1"/>
  <c r="AO135" i="29"/>
  <c r="AS136" i="29" s="1"/>
  <c r="AO134" i="29"/>
  <c r="AO133" i="29"/>
  <c r="AO80" i="29"/>
  <c r="AO66" i="29"/>
  <c r="AO44" i="29"/>
  <c r="AO43" i="29"/>
  <c r="AO30" i="29"/>
  <c r="AO29" i="29"/>
  <c r="AO19" i="29"/>
  <c r="AO14" i="29"/>
  <c r="G50" i="58"/>
  <c r="G15" i="58"/>
  <c r="M14" i="58" s="1"/>
  <c r="G35" i="58"/>
  <c r="M34" i="58" l="1"/>
  <c r="M31" i="58"/>
  <c r="M32" i="58"/>
  <c r="AP21" i="29"/>
  <c r="AS20" i="29"/>
  <c r="AS15" i="29"/>
  <c r="AP16" i="29"/>
  <c r="X60" i="58"/>
  <c r="AO129" i="29"/>
  <c r="AP137" i="29"/>
  <c r="M36" i="58"/>
  <c r="M11" i="58"/>
  <c r="M12" i="58"/>
  <c r="AO42" i="29"/>
  <c r="AO22" i="29"/>
  <c r="AO18" i="29"/>
  <c r="AO25" i="29" s="1"/>
  <c r="AO160" i="29"/>
  <c r="AO28" i="29"/>
  <c r="AO32" i="29"/>
  <c r="AO26" i="29"/>
  <c r="AO52" i="29"/>
  <c r="BR621" i="45"/>
  <c r="BR602" i="45"/>
  <c r="BR239" i="45" s="1"/>
  <c r="BR240" i="45" s="1"/>
  <c r="BR215" i="45"/>
  <c r="BR216" i="45" s="1"/>
  <c r="BR218" i="45" s="1"/>
  <c r="BR96" i="45"/>
  <c r="BR93" i="45" s="1"/>
  <c r="BR86" i="45"/>
  <c r="BR84" i="45" s="1"/>
  <c r="BR82" i="45"/>
  <c r="BR79" i="45"/>
  <c r="BR78" i="45" s="1"/>
  <c r="BR69" i="45"/>
  <c r="BR66" i="45"/>
  <c r="BR39" i="45"/>
  <c r="BR5" i="45"/>
  <c r="BR3" i="45"/>
  <c r="L20" i="48"/>
  <c r="L16" i="48"/>
  <c r="L15" i="48"/>
  <c r="L13" i="48"/>
  <c r="L2" i="48"/>
  <c r="AP131" i="29" l="1"/>
  <c r="AS130" i="29"/>
  <c r="AO36" i="29"/>
  <c r="AO86" i="29"/>
  <c r="BR227" i="45"/>
  <c r="BR226" i="45"/>
  <c r="BR225" i="45"/>
  <c r="AV129" i="29"/>
  <c r="AO189" i="29"/>
  <c r="AO190" i="29"/>
  <c r="AO141" i="29" s="1"/>
  <c r="AO185" i="29"/>
  <c r="AP143" i="29" l="1"/>
  <c r="AS142" i="29"/>
  <c r="AO138" i="29"/>
  <c r="AT321" i="29"/>
  <c r="AP38" i="29"/>
  <c r="AS37" i="29"/>
  <c r="AO150" i="29"/>
  <c r="AO156" i="29"/>
  <c r="AO147" i="29"/>
  <c r="AO47" i="29"/>
  <c r="AO87" i="29"/>
  <c r="AO39" i="29" s="1"/>
  <c r="BR256" i="45"/>
  <c r="W21" i="58"/>
  <c r="AP152" i="29" l="1"/>
  <c r="AS151" i="29"/>
  <c r="AS313" i="29" s="1"/>
  <c r="AS139" i="29"/>
  <c r="AS157" i="29"/>
  <c r="AS310" i="29" s="1"/>
  <c r="AP49" i="29"/>
  <c r="AS48" i="29"/>
  <c r="AS148" i="29"/>
  <c r="AS307" i="29" s="1"/>
  <c r="W32" i="58"/>
  <c r="W31" i="58"/>
  <c r="W34" i="58"/>
  <c r="AO309" i="29"/>
  <c r="AO88" i="29"/>
  <c r="AO55" i="29"/>
  <c r="W30" i="58"/>
  <c r="W29" i="58"/>
  <c r="W28" i="58"/>
  <c r="W27" i="58"/>
  <c r="W26" i="58"/>
  <c r="W25" i="58"/>
  <c r="W24" i="58"/>
  <c r="W23" i="58"/>
  <c r="AO58" i="29" l="1"/>
  <c r="AO62" i="29"/>
  <c r="AP64" i="29" s="1"/>
  <c r="AO89" i="29"/>
  <c r="G46" i="58"/>
  <c r="G45" i="58"/>
  <c r="G44" i="58"/>
  <c r="G42" i="58"/>
  <c r="G41" i="58"/>
  <c r="G40" i="58"/>
  <c r="M22" i="58"/>
  <c r="M38" i="58" s="1"/>
  <c r="G22" i="58"/>
  <c r="G38" i="58" s="1"/>
  <c r="G49" i="58"/>
  <c r="AO90" i="29" l="1"/>
  <c r="AO73" i="29"/>
  <c r="AO67" i="29"/>
  <c r="AP69" i="29" s="1"/>
  <c r="AO72" i="29"/>
  <c r="M33" i="58"/>
  <c r="G39" i="58"/>
  <c r="G43" i="58"/>
  <c r="M8" i="58"/>
  <c r="BS36" i="45" l="1"/>
  <c r="G51" i="58"/>
  <c r="AO77" i="29"/>
  <c r="AO91" i="29"/>
  <c r="AO76" i="29"/>
  <c r="M29" i="58"/>
  <c r="M35" i="58"/>
  <c r="M26" i="58"/>
  <c r="M23" i="58"/>
  <c r="M28" i="58"/>
  <c r="M25" i="58"/>
  <c r="M24" i="58"/>
  <c r="M30" i="58"/>
  <c r="M27" i="58"/>
  <c r="M9" i="58"/>
  <c r="M5" i="58"/>
  <c r="M10" i="58"/>
  <c r="M15" i="58"/>
  <c r="M13" i="58"/>
  <c r="M6" i="58"/>
  <c r="M4" i="58"/>
  <c r="M7" i="58"/>
  <c r="M3" i="58"/>
  <c r="M50" i="58" l="1"/>
  <c r="M47" i="58"/>
  <c r="M48" i="58"/>
  <c r="M39" i="58"/>
  <c r="M43" i="58"/>
  <c r="M46" i="58"/>
  <c r="M49" i="58"/>
  <c r="M42" i="58"/>
  <c r="M44" i="58"/>
  <c r="M41" i="58"/>
  <c r="M45" i="58"/>
  <c r="M40" i="58"/>
  <c r="M51" i="58" l="1"/>
  <c r="E17" i="10"/>
  <c r="E15" i="10" l="1"/>
  <c r="E12" i="45"/>
  <c r="AC345" i="45"/>
  <c r="AD345" i="45"/>
  <c r="AC344" i="45"/>
  <c r="AD344" i="45"/>
  <c r="AC309" i="45"/>
  <c r="AD309" i="45"/>
  <c r="AB400" i="45"/>
  <c r="AB381" i="45"/>
  <c r="AB358" i="45"/>
  <c r="AB344" i="45"/>
  <c r="AB282" i="45"/>
  <c r="AB216" i="45"/>
  <c r="AB217" i="45" s="1"/>
  <c r="AB200" i="45"/>
  <c r="AB69" i="45"/>
  <c r="AB66" i="45"/>
  <c r="AB35" i="12"/>
  <c r="AB18" i="12"/>
  <c r="AB11" i="12"/>
  <c r="N116" i="12"/>
  <c r="N109" i="12"/>
  <c r="N110" i="12" s="1"/>
  <c r="N83" i="12"/>
  <c r="N73" i="12"/>
  <c r="AB73" i="12" s="1"/>
  <c r="N46" i="12"/>
  <c r="AB46" i="12" s="1"/>
  <c r="N40" i="12"/>
  <c r="N37" i="12"/>
  <c r="N32" i="12"/>
  <c r="N31" i="12"/>
  <c r="AB218" i="45" l="1"/>
  <c r="AB403" i="45" s="1"/>
  <c r="AB215" i="45"/>
  <c r="AB345" i="45" s="1"/>
  <c r="E33" i="58" l="1"/>
  <c r="D33" i="58"/>
  <c r="C33" i="58"/>
  <c r="V21" i="58"/>
  <c r="U21" i="58"/>
  <c r="T21" i="58"/>
  <c r="S21" i="58"/>
  <c r="E13" i="58"/>
  <c r="D13" i="58"/>
  <c r="C13" i="58"/>
  <c r="D46" i="58"/>
  <c r="W8" i="58"/>
  <c r="Y7" i="58"/>
  <c r="F43" i="58"/>
  <c r="C43" i="58"/>
  <c r="B43" i="58"/>
  <c r="Y6" i="58"/>
  <c r="Y5" i="58"/>
  <c r="B41" i="58"/>
  <c r="F39" i="58"/>
  <c r="U3" i="58"/>
  <c r="C39" i="58"/>
  <c r="B39" i="58"/>
  <c r="AM246" i="29"/>
  <c r="AM244" i="29"/>
  <c r="AN246" i="29"/>
  <c r="AM241" i="29"/>
  <c r="AL241" i="29"/>
  <c r="AL247" i="29" s="1"/>
  <c r="AI241" i="29"/>
  <c r="AI247" i="29" s="1"/>
  <c r="AJ243" i="29"/>
  <c r="AJ241" i="29" s="1"/>
  <c r="AJ247" i="29" s="1"/>
  <c r="AM247" i="29" l="1"/>
  <c r="T33" i="58"/>
  <c r="V33" i="58"/>
  <c r="V29" i="58"/>
  <c r="V25" i="58"/>
  <c r="V24" i="58"/>
  <c r="V30" i="58"/>
  <c r="V32" i="58"/>
  <c r="V28" i="58"/>
  <c r="V26" i="58"/>
  <c r="V31" i="58"/>
  <c r="V27" i="58"/>
  <c r="V23" i="58"/>
  <c r="V34" i="58"/>
  <c r="U33" i="58"/>
  <c r="AM242" i="29"/>
  <c r="Y3" i="58"/>
  <c r="X3" i="58"/>
  <c r="Y8" i="58"/>
  <c r="X8" i="58"/>
  <c r="W5" i="58"/>
  <c r="X9" i="58"/>
  <c r="Y9" i="58"/>
  <c r="X13" i="58"/>
  <c r="Y13" i="58"/>
  <c r="X4" i="58"/>
  <c r="Y4" i="58"/>
  <c r="X10" i="58"/>
  <c r="Y10" i="58"/>
  <c r="V4" i="58"/>
  <c r="C49" i="58"/>
  <c r="X5" i="58"/>
  <c r="X7" i="58"/>
  <c r="U9" i="58"/>
  <c r="S10" i="58"/>
  <c r="W10" i="58"/>
  <c r="U13" i="58"/>
  <c r="T26" i="58"/>
  <c r="X6" i="58"/>
  <c r="C40" i="58"/>
  <c r="C44" i="58"/>
  <c r="E45" i="58"/>
  <c r="U27" i="58"/>
  <c r="E44" i="58"/>
  <c r="T27" i="58"/>
  <c r="F40" i="58"/>
  <c r="D41" i="58"/>
  <c r="B44" i="58"/>
  <c r="T13" i="58"/>
  <c r="C45" i="58"/>
  <c r="C42" i="58"/>
  <c r="C46" i="58"/>
  <c r="E49" i="58"/>
  <c r="W9" i="58"/>
  <c r="F41" i="58"/>
  <c r="D40" i="58"/>
  <c r="D44" i="58"/>
  <c r="B45" i="58"/>
  <c r="F45" i="58"/>
  <c r="T25" i="58"/>
  <c r="E46" i="58"/>
  <c r="C41" i="58"/>
  <c r="B42" i="58"/>
  <c r="F42" i="58"/>
  <c r="S3" i="58"/>
  <c r="T4" i="58"/>
  <c r="S5" i="58"/>
  <c r="S7" i="58"/>
  <c r="S8" i="58"/>
  <c r="T9" i="58"/>
  <c r="E41" i="58"/>
  <c r="T5" i="58"/>
  <c r="D42" i="58"/>
  <c r="U6" i="58"/>
  <c r="W7" i="58"/>
  <c r="E35" i="58"/>
  <c r="S28" i="58"/>
  <c r="W3" i="58"/>
  <c r="B46" i="58"/>
  <c r="S26" i="58"/>
  <c r="E39" i="58"/>
  <c r="E15" i="58"/>
  <c r="K14" i="58" s="1"/>
  <c r="S23" i="58"/>
  <c r="E40" i="58"/>
  <c r="W4" i="58"/>
  <c r="U5" i="58"/>
  <c r="V6" i="58"/>
  <c r="D43" i="58"/>
  <c r="U7" i="58"/>
  <c r="U8" i="58"/>
  <c r="T8" i="58"/>
  <c r="U10" i="58"/>
  <c r="T10" i="58"/>
  <c r="T7" i="58"/>
  <c r="U28" i="58"/>
  <c r="T28" i="58"/>
  <c r="B40" i="58"/>
  <c r="S4" i="58"/>
  <c r="S25" i="58"/>
  <c r="E42" i="58"/>
  <c r="T6" i="58"/>
  <c r="W6" i="58"/>
  <c r="E43" i="58"/>
  <c r="S27" i="58"/>
  <c r="T23" i="58"/>
  <c r="D35" i="58"/>
  <c r="C15" i="58"/>
  <c r="D39" i="58"/>
  <c r="D15" i="58"/>
  <c r="J14" i="58" s="1"/>
  <c r="T3" i="58"/>
  <c r="U4" i="58"/>
  <c r="S6" i="58"/>
  <c r="F44" i="58"/>
  <c r="V8" i="58"/>
  <c r="D45" i="58"/>
  <c r="F46" i="58"/>
  <c r="V10" i="58"/>
  <c r="D49" i="58"/>
  <c r="U23" i="58"/>
  <c r="V3" i="58"/>
  <c r="V5" i="58"/>
  <c r="V7" i="58"/>
  <c r="V9" i="58"/>
  <c r="V13" i="58"/>
  <c r="S9" i="58"/>
  <c r="C35" i="58"/>
  <c r="Y15" i="58" l="1"/>
  <c r="J23" i="58"/>
  <c r="J32" i="58"/>
  <c r="J31" i="58"/>
  <c r="J34" i="58"/>
  <c r="K25" i="58"/>
  <c r="K34" i="58"/>
  <c r="K32" i="58"/>
  <c r="K31" i="58"/>
  <c r="U25" i="58"/>
  <c r="Y17" i="58"/>
  <c r="K13" i="58"/>
  <c r="K12" i="58"/>
  <c r="K11" i="58"/>
  <c r="J7" i="58"/>
  <c r="J12" i="58"/>
  <c r="J11" i="58"/>
  <c r="U26" i="58"/>
  <c r="X15" i="58"/>
  <c r="X17" i="58" s="1"/>
  <c r="K3" i="58"/>
  <c r="K6" i="58"/>
  <c r="E51" i="58"/>
  <c r="C51" i="58"/>
  <c r="D51" i="58"/>
  <c r="K27" i="58"/>
  <c r="J5" i="58"/>
  <c r="K33" i="58"/>
  <c r="K29" i="58"/>
  <c r="K24" i="58"/>
  <c r="J27" i="58"/>
  <c r="K30" i="58"/>
  <c r="J9" i="58"/>
  <c r="K23" i="58"/>
  <c r="K35" i="58"/>
  <c r="K28" i="58"/>
  <c r="U15" i="58"/>
  <c r="U17" i="58" s="1"/>
  <c r="J33" i="58"/>
  <c r="J25" i="58"/>
  <c r="K9" i="58"/>
  <c r="K4" i="58"/>
  <c r="K26" i="58"/>
  <c r="V15" i="58"/>
  <c r="V17" i="58" s="1"/>
  <c r="U30" i="58"/>
  <c r="T30" i="58"/>
  <c r="S30" i="58"/>
  <c r="S29" i="58"/>
  <c r="T29" i="58"/>
  <c r="U29" i="58"/>
  <c r="J4" i="58"/>
  <c r="J6" i="58"/>
  <c r="J15" i="58"/>
  <c r="J3" i="58"/>
  <c r="J10" i="58"/>
  <c r="J8" i="58"/>
  <c r="J35" i="58"/>
  <c r="J28" i="58"/>
  <c r="J30" i="58"/>
  <c r="J26" i="58"/>
  <c r="J24" i="58"/>
  <c r="K15" i="58"/>
  <c r="K10" i="58"/>
  <c r="K7" i="58"/>
  <c r="K5" i="58"/>
  <c r="J13" i="58"/>
  <c r="T15" i="58"/>
  <c r="T17" i="58" s="1"/>
  <c r="J29" i="58"/>
  <c r="U24" i="58"/>
  <c r="T24" i="58"/>
  <c r="S24" i="58"/>
  <c r="K8" i="58"/>
  <c r="AO34" i="29"/>
  <c r="J48" i="58" l="1"/>
  <c r="J47" i="58"/>
  <c r="K48" i="58"/>
  <c r="K47" i="58"/>
  <c r="Y18" i="58"/>
  <c r="Y35" i="58"/>
  <c r="Y37" i="58" s="1"/>
  <c r="X37" i="58"/>
  <c r="V18" i="58"/>
  <c r="T35" i="58"/>
  <c r="T37" i="58" s="1"/>
  <c r="V35" i="58"/>
  <c r="V45" i="58" s="1"/>
  <c r="U35" i="58"/>
  <c r="U45" i="58" s="1"/>
  <c r="K46" i="58"/>
  <c r="K45" i="58"/>
  <c r="K49" i="58"/>
  <c r="K41" i="58"/>
  <c r="K44" i="58"/>
  <c r="J42" i="58"/>
  <c r="J40" i="58"/>
  <c r="J41" i="58"/>
  <c r="J44" i="58"/>
  <c r="J46" i="58"/>
  <c r="K39" i="58"/>
  <c r="K42" i="58"/>
  <c r="K43" i="58"/>
  <c r="K40" i="58"/>
  <c r="J45" i="58"/>
  <c r="J49" i="58"/>
  <c r="J43" i="58"/>
  <c r="J39" i="58"/>
  <c r="U18" i="58"/>
  <c r="K51" i="58" l="1"/>
  <c r="J51" i="58"/>
  <c r="Y38" i="58"/>
  <c r="Y45" i="58"/>
  <c r="T45" i="58"/>
  <c r="T55" i="58" s="1"/>
  <c r="X45" i="58"/>
  <c r="X55" i="58" s="1"/>
  <c r="V37" i="58"/>
  <c r="U37" i="58"/>
  <c r="U38" i="58" s="1"/>
  <c r="U46" i="58"/>
  <c r="U55" i="58"/>
  <c r="V55" i="58"/>
  <c r="V46" i="58"/>
  <c r="AN172" i="29"/>
  <c r="AN171" i="29"/>
  <c r="AO171" i="29" l="1"/>
  <c r="AP171" i="29" s="1"/>
  <c r="X56" i="58"/>
  <c r="X66" i="58"/>
  <c r="U56" i="58"/>
  <c r="V56" i="58"/>
  <c r="AO172" i="29"/>
  <c r="AN176" i="29"/>
  <c r="Y55" i="58"/>
  <c r="Y46" i="58"/>
  <c r="T46" i="58"/>
  <c r="X46" i="58"/>
  <c r="V38" i="58"/>
  <c r="V49" i="58"/>
  <c r="AT201" i="29" l="1"/>
  <c r="AU201" i="29"/>
  <c r="AT202" i="29"/>
  <c r="AU203" i="29"/>
  <c r="AT203" i="29"/>
  <c r="AU202" i="29"/>
  <c r="AS202" i="29"/>
  <c r="AS201" i="29"/>
  <c r="AS203" i="29"/>
  <c r="AR201" i="29"/>
  <c r="AR203" i="29"/>
  <c r="AR202" i="29"/>
  <c r="AQ201" i="29"/>
  <c r="AQ203" i="29"/>
  <c r="AQ202" i="29"/>
  <c r="AO176" i="29"/>
  <c r="AP172" i="29"/>
  <c r="AP176" i="29" s="1"/>
  <c r="V57" i="58"/>
  <c r="Y56" i="58"/>
  <c r="Y57" i="58" s="1"/>
  <c r="AP201" i="29"/>
  <c r="AP202" i="29"/>
  <c r="AP203" i="29"/>
  <c r="Y49" i="58"/>
  <c r="U49" i="58"/>
  <c r="AN210" i="29" l="1"/>
  <c r="AN209" i="29" s="1"/>
  <c r="AN188" i="29"/>
  <c r="AN141" i="29"/>
  <c r="AR142" i="29" s="1"/>
  <c r="AN138" i="29"/>
  <c r="AN135" i="29"/>
  <c r="AO137" i="29" s="1"/>
  <c r="AN134" i="29"/>
  <c r="AN133" i="29"/>
  <c r="AN80" i="29"/>
  <c r="AN66" i="29"/>
  <c r="AN44" i="29"/>
  <c r="AN43" i="29"/>
  <c r="AN30" i="29"/>
  <c r="AN29" i="29"/>
  <c r="AN26" i="29"/>
  <c r="AN19" i="29"/>
  <c r="AN14" i="29"/>
  <c r="AO140" i="29" l="1"/>
  <c r="AR139" i="29"/>
  <c r="AN183" i="29"/>
  <c r="AS324" i="29"/>
  <c r="AO21" i="29"/>
  <c r="AR20" i="29"/>
  <c r="W60" i="58"/>
  <c r="AR15" i="29"/>
  <c r="AN32" i="29"/>
  <c r="AO16" i="29"/>
  <c r="AN213" i="29"/>
  <c r="AO143" i="29"/>
  <c r="AN129" i="29"/>
  <c r="AN150" i="29"/>
  <c r="AN52" i="29"/>
  <c r="AN22" i="29"/>
  <c r="AN28" i="29"/>
  <c r="AN42" i="29"/>
  <c r="AN189" i="29"/>
  <c r="F33" i="58" s="1"/>
  <c r="W33" i="58" s="1"/>
  <c r="AO152" i="29" l="1"/>
  <c r="AR151" i="29"/>
  <c r="AN156" i="29"/>
  <c r="AO131" i="29"/>
  <c r="F35" i="58"/>
  <c r="W35" i="58"/>
  <c r="AN147" i="29"/>
  <c r="AO149" i="29" s="1"/>
  <c r="AN160" i="29"/>
  <c r="V53" i="1"/>
  <c r="V54" i="1" s="1"/>
  <c r="V55" i="1" s="1"/>
  <c r="L34" i="58" l="1"/>
  <c r="L32" i="58"/>
  <c r="L31" i="58"/>
  <c r="L33" i="58"/>
  <c r="AN309" i="29"/>
  <c r="AO158" i="29"/>
  <c r="W37" i="58"/>
  <c r="L24" i="58"/>
  <c r="L30" i="58"/>
  <c r="L35" i="58"/>
  <c r="L23" i="58"/>
  <c r="L28" i="58"/>
  <c r="L25" i="58"/>
  <c r="L27" i="58"/>
  <c r="L26" i="58"/>
  <c r="L29" i="58"/>
  <c r="AO323" i="29"/>
  <c r="AO320" i="29"/>
  <c r="AO318" i="29"/>
  <c r="AO192" i="29"/>
  <c r="AO95" i="29" s="1"/>
  <c r="AO221" i="29"/>
  <c r="AO324" i="29"/>
  <c r="AO306" i="29"/>
  <c r="AS96" i="29" l="1"/>
  <c r="AO94" i="29"/>
  <c r="AO98" i="29"/>
  <c r="AO101" i="29"/>
  <c r="AO119" i="29"/>
  <c r="AO104" i="29"/>
  <c r="AO113" i="29"/>
  <c r="AO107" i="29"/>
  <c r="AO144" i="29"/>
  <c r="AO110" i="29"/>
  <c r="AO116" i="29"/>
  <c r="AO122" i="29"/>
  <c r="X38" i="58"/>
  <c r="W38" i="58"/>
  <c r="AO225" i="29"/>
  <c r="AO191" i="29"/>
  <c r="AO220" i="29"/>
  <c r="AO1" i="29"/>
  <c r="AS3" i="29" s="1"/>
  <c r="AO197" i="29"/>
  <c r="AO186" i="29"/>
  <c r="AO198" i="29"/>
  <c r="AO207" i="29"/>
  <c r="AO232" i="29"/>
  <c r="BQ621" i="45"/>
  <c r="BQ602" i="45"/>
  <c r="BQ239" i="45" s="1"/>
  <c r="BQ240" i="45" s="1"/>
  <c r="BQ215" i="45"/>
  <c r="BQ216" i="45" s="1"/>
  <c r="BQ218" i="45" s="1"/>
  <c r="BQ227" i="45" s="1"/>
  <c r="BQ96" i="45"/>
  <c r="BQ93" i="45" s="1"/>
  <c r="BQ86" i="45"/>
  <c r="BQ84" i="45" s="1"/>
  <c r="BQ82" i="45"/>
  <c r="BQ79" i="45"/>
  <c r="BQ78" i="45" s="1"/>
  <c r="BQ69" i="45"/>
  <c r="BQ66" i="45"/>
  <c r="BQ39" i="45"/>
  <c r="BQ36" i="45"/>
  <c r="BQ35" i="45"/>
  <c r="BQ5" i="45"/>
  <c r="BQ3" i="45"/>
  <c r="K2" i="48"/>
  <c r="K31" i="48" s="1"/>
  <c r="K13" i="48"/>
  <c r="K15" i="48"/>
  <c r="K16" i="48"/>
  <c r="K20" i="48"/>
  <c r="AS145" i="29" l="1"/>
  <c r="AS114" i="29"/>
  <c r="X61" i="58"/>
  <c r="AO315" i="29"/>
  <c r="AO153" i="29"/>
  <c r="AO128" i="29"/>
  <c r="AO208" i="29"/>
  <c r="AO206" i="29"/>
  <c r="AO233" i="29"/>
  <c r="BQ37" i="45"/>
  <c r="BQ40" i="45" s="1"/>
  <c r="AO196" i="29"/>
  <c r="AO228" i="29"/>
  <c r="AO224" i="29"/>
  <c r="AO236" i="29" s="1"/>
  <c r="AO229" i="29"/>
  <c r="AO312" i="29"/>
  <c r="BQ225" i="45"/>
  <c r="BQ226" i="45"/>
  <c r="AN184" i="29"/>
  <c r="F13" i="58" l="1"/>
  <c r="AP184" i="29"/>
  <c r="AS154" i="29"/>
  <c r="F49" i="58"/>
  <c r="F15" i="58"/>
  <c r="W13" i="58"/>
  <c r="W15" i="58" s="1"/>
  <c r="BR36" i="45"/>
  <c r="BQ253" i="45"/>
  <c r="BQ249" i="45"/>
  <c r="BQ254" i="45"/>
  <c r="BQ256" i="45"/>
  <c r="AN34" i="29"/>
  <c r="AM210" i="29"/>
  <c r="AM209" i="29" s="1"/>
  <c r="AM135" i="29"/>
  <c r="AM66" i="29"/>
  <c r="AM180" i="29"/>
  <c r="AV180" i="29" s="1"/>
  <c r="AN323" i="29"/>
  <c r="AN320" i="29"/>
  <c r="AN318" i="29"/>
  <c r="AN233" i="29"/>
  <c r="AN232" i="29"/>
  <c r="AN229" i="29"/>
  <c r="AN228" i="29"/>
  <c r="AN225" i="29"/>
  <c r="AN224" i="29"/>
  <c r="AN221" i="29"/>
  <c r="AN220" i="29"/>
  <c r="AN207" i="29"/>
  <c r="AN206" i="29"/>
  <c r="AN192" i="29"/>
  <c r="AN196" i="29" s="1"/>
  <c r="AN186" i="29"/>
  <c r="J20" i="48"/>
  <c r="U20" i="48" s="1"/>
  <c r="J16" i="48"/>
  <c r="U16" i="48" s="1"/>
  <c r="J15" i="48"/>
  <c r="U15" i="48" s="1"/>
  <c r="J13" i="48"/>
  <c r="U13" i="48" s="1"/>
  <c r="J2" i="48"/>
  <c r="B152" i="56"/>
  <c r="B151" i="56"/>
  <c r="B150" i="56"/>
  <c r="B149" i="56"/>
  <c r="B148" i="56"/>
  <c r="B147" i="56"/>
  <c r="B146" i="56"/>
  <c r="B145" i="56"/>
  <c r="C153" i="56"/>
  <c r="B153" i="56" s="1"/>
  <c r="B4" i="55"/>
  <c r="C13" i="55"/>
  <c r="E12" i="55"/>
  <c r="E11" i="55"/>
  <c r="E10" i="55"/>
  <c r="E9" i="55"/>
  <c r="E139" i="56"/>
  <c r="D139" i="56"/>
  <c r="C139" i="56"/>
  <c r="B139" i="56"/>
  <c r="D4" i="56"/>
  <c r="E3" i="56"/>
  <c r="D3" i="56"/>
  <c r="C3" i="56"/>
  <c r="B3" i="56"/>
  <c r="G52" i="56"/>
  <c r="G50" i="56"/>
  <c r="B48" i="56"/>
  <c r="BP621" i="45"/>
  <c r="BP602" i="45"/>
  <c r="BP239" i="45" s="1"/>
  <c r="BP240" i="45" s="1"/>
  <c r="BP96" i="45"/>
  <c r="BP93" i="45" s="1"/>
  <c r="BP86" i="45"/>
  <c r="BP84" i="45" s="1"/>
  <c r="BP82" i="45"/>
  <c r="BP79" i="45"/>
  <c r="BP78" i="45" s="1"/>
  <c r="BP69" i="45"/>
  <c r="BP66" i="45"/>
  <c r="BP39" i="45"/>
  <c r="BP5" i="45"/>
  <c r="BP3" i="45"/>
  <c r="AL324" i="29"/>
  <c r="AM323" i="29"/>
  <c r="AM320" i="29"/>
  <c r="AM318" i="29"/>
  <c r="AL318" i="29"/>
  <c r="AJ318" i="29"/>
  <c r="AI318" i="29"/>
  <c r="AH318" i="29"/>
  <c r="AG318" i="29"/>
  <c r="AF318" i="29"/>
  <c r="AE318" i="29"/>
  <c r="AD318" i="29"/>
  <c r="AC318" i="29"/>
  <c r="AB318" i="29"/>
  <c r="AA318" i="29"/>
  <c r="Z318" i="29"/>
  <c r="Y318" i="29"/>
  <c r="X318" i="29"/>
  <c r="W318" i="29"/>
  <c r="B301" i="29"/>
  <c r="B300" i="29"/>
  <c r="B298" i="29"/>
  <c r="B297" i="29"/>
  <c r="AJ290" i="29"/>
  <c r="AH290" i="29"/>
  <c r="AF290" i="29"/>
  <c r="AD290" i="29"/>
  <c r="Z290" i="29"/>
  <c r="X290" i="29"/>
  <c r="AB288" i="29"/>
  <c r="AB286" i="29"/>
  <c r="AJ281" i="29"/>
  <c r="AJ291" i="29" s="1"/>
  <c r="AH281" i="29"/>
  <c r="AH291" i="29"/>
  <c r="AF281" i="29"/>
  <c r="AD281" i="29"/>
  <c r="Z281" i="29"/>
  <c r="X281" i="29"/>
  <c r="X291" i="29" s="1"/>
  <c r="AB280" i="29"/>
  <c r="AB275" i="29"/>
  <c r="AB281" i="29" s="1"/>
  <c r="X275" i="29"/>
  <c r="AJ270" i="29"/>
  <c r="AH270" i="29"/>
  <c r="AF270" i="29"/>
  <c r="AD270" i="29"/>
  <c r="AB270" i="29"/>
  <c r="Z268" i="29"/>
  <c r="X268" i="29"/>
  <c r="Z267" i="29"/>
  <c r="AJ263" i="29"/>
  <c r="AH263" i="29"/>
  <c r="AF263" i="29"/>
  <c r="AD263" i="29"/>
  <c r="Z263" i="29"/>
  <c r="X263" i="29"/>
  <c r="AB260" i="29"/>
  <c r="AB259" i="29"/>
  <c r="AJ254" i="29"/>
  <c r="AJ271" i="29" s="1"/>
  <c r="AH254" i="29"/>
  <c r="AF254" i="29"/>
  <c r="AD254" i="29"/>
  <c r="AB254" i="29"/>
  <c r="Z254" i="29"/>
  <c r="X254" i="29"/>
  <c r="AL233" i="29"/>
  <c r="AK233" i="29"/>
  <c r="AI233" i="29"/>
  <c r="AH233" i="29"/>
  <c r="AG233" i="29"/>
  <c r="AF233" i="29"/>
  <c r="AE233" i="29"/>
  <c r="AD233" i="29"/>
  <c r="AC233" i="29"/>
  <c r="AB233" i="29"/>
  <c r="AA233" i="29"/>
  <c r="Z233" i="29"/>
  <c r="Y233" i="29"/>
  <c r="X233" i="29"/>
  <c r="W233" i="29"/>
  <c r="AL232" i="29"/>
  <c r="AK232" i="29"/>
  <c r="AI232" i="29"/>
  <c r="AH232" i="29"/>
  <c r="AG232" i="29"/>
  <c r="AF232" i="29"/>
  <c r="AE232" i="29"/>
  <c r="AD232" i="29"/>
  <c r="AC232" i="29"/>
  <c r="AB232" i="29"/>
  <c r="AA232" i="29"/>
  <c r="Z232" i="29"/>
  <c r="Y232" i="29"/>
  <c r="X232" i="29"/>
  <c r="W232" i="29"/>
  <c r="V232" i="29"/>
  <c r="U232" i="29"/>
  <c r="T232" i="29"/>
  <c r="S232" i="29"/>
  <c r="AL229" i="29"/>
  <c r="AK229" i="29"/>
  <c r="AI229" i="29"/>
  <c r="AH229" i="29"/>
  <c r="AG229" i="29"/>
  <c r="AF229" i="29"/>
  <c r="AE229" i="29"/>
  <c r="AD229" i="29"/>
  <c r="AB229" i="29"/>
  <c r="AA229" i="29"/>
  <c r="AL228" i="29"/>
  <c r="AK228" i="29"/>
  <c r="AI228" i="29"/>
  <c r="AH228" i="29"/>
  <c r="AG228" i="29"/>
  <c r="AF228" i="29"/>
  <c r="AE228" i="29"/>
  <c r="AD228" i="29"/>
  <c r="AB228" i="29"/>
  <c r="AA228" i="29"/>
  <c r="AA213" i="29"/>
  <c r="U212" i="29"/>
  <c r="U213" i="29" s="1"/>
  <c r="T212" i="29"/>
  <c r="T213" i="29" s="1"/>
  <c r="S212" i="29"/>
  <c r="R212" i="29"/>
  <c r="Q212" i="29"/>
  <c r="Q213" i="29" s="1"/>
  <c r="P212" i="29"/>
  <c r="O212" i="29"/>
  <c r="O220" i="29" s="1"/>
  <c r="O224" i="29" s="1"/>
  <c r="M212" i="29"/>
  <c r="M213" i="29"/>
  <c r="M215" i="29" s="1"/>
  <c r="L212" i="29"/>
  <c r="L213" i="29" s="1"/>
  <c r="K212" i="29"/>
  <c r="K213" i="29" s="1"/>
  <c r="AK210" i="29"/>
  <c r="AK212" i="29" s="1"/>
  <c r="AJ210" i="29"/>
  <c r="AJ212" i="29" s="1"/>
  <c r="AI210" i="29"/>
  <c r="AI212" i="29" s="1"/>
  <c r="AH210" i="29"/>
  <c r="AH212" i="29" s="1"/>
  <c r="AG210" i="29"/>
  <c r="AG212" i="29" s="1"/>
  <c r="AF210" i="29"/>
  <c r="AF212" i="29" s="1"/>
  <c r="AE210" i="29"/>
  <c r="AE212" i="29" s="1"/>
  <c r="AC210" i="29"/>
  <c r="AC212" i="29" s="1"/>
  <c r="AB210" i="29"/>
  <c r="AB212" i="29" s="1"/>
  <c r="AA210" i="29"/>
  <c r="Z210" i="29"/>
  <c r="Z212" i="29" s="1"/>
  <c r="Z213" i="29" s="1"/>
  <c r="Y210" i="29"/>
  <c r="Y212" i="29" s="1"/>
  <c r="Y213" i="29" s="1"/>
  <c r="X210" i="29"/>
  <c r="X212" i="29" s="1"/>
  <c r="X213" i="29" s="1"/>
  <c r="W210" i="29"/>
  <c r="W212" i="29" s="1"/>
  <c r="W213" i="29" s="1"/>
  <c r="AA214" i="29" s="1"/>
  <c r="V210" i="29"/>
  <c r="V212" i="29" s="1"/>
  <c r="N210" i="29"/>
  <c r="N212" i="29" s="1"/>
  <c r="AK202" i="29"/>
  <c r="AI202" i="29"/>
  <c r="AH202" i="29"/>
  <c r="AK201" i="29"/>
  <c r="AI201" i="29"/>
  <c r="AH201" i="29"/>
  <c r="AG201" i="29"/>
  <c r="AF201" i="29"/>
  <c r="AM192" i="29"/>
  <c r="AV192" i="29" s="1"/>
  <c r="N192" i="29"/>
  <c r="N95" i="29" s="1"/>
  <c r="N119" i="29" s="1"/>
  <c r="M192" i="29"/>
  <c r="L192" i="29"/>
  <c r="L95" i="29" s="1"/>
  <c r="K192" i="29"/>
  <c r="J192" i="29"/>
  <c r="J95" i="29" s="1"/>
  <c r="J113" i="29" s="1"/>
  <c r="I192" i="29"/>
  <c r="H192" i="29"/>
  <c r="H95" i="29" s="1"/>
  <c r="G192" i="29"/>
  <c r="F192" i="29"/>
  <c r="F95" i="29" s="1"/>
  <c r="E192" i="29"/>
  <c r="D192" i="29"/>
  <c r="D95" i="29" s="1"/>
  <c r="C192" i="29"/>
  <c r="AL190" i="29"/>
  <c r="AK190" i="29"/>
  <c r="AI190" i="29"/>
  <c r="AH190" i="29"/>
  <c r="AH141" i="29" s="1"/>
  <c r="AG190" i="29"/>
  <c r="AF190" i="29"/>
  <c r="AE190" i="29"/>
  <c r="AD190" i="29"/>
  <c r="AD141" i="29" s="1"/>
  <c r="AC190" i="29"/>
  <c r="AB190" i="29"/>
  <c r="AB220" i="29" s="1"/>
  <c r="AA190" i="29"/>
  <c r="AA323" i="29" s="1"/>
  <c r="Z190" i="29"/>
  <c r="Z207" i="29" s="1"/>
  <c r="Y190" i="29"/>
  <c r="X190" i="29"/>
  <c r="W190" i="29"/>
  <c r="V190" i="29"/>
  <c r="U190" i="29"/>
  <c r="T190" i="29"/>
  <c r="T207" i="29"/>
  <c r="T220" i="29" s="1"/>
  <c r="S190" i="29"/>
  <c r="S207" i="29" s="1"/>
  <c r="R190" i="29"/>
  <c r="Q190" i="29"/>
  <c r="P190" i="29"/>
  <c r="O190" i="29"/>
  <c r="AJ189" i="29"/>
  <c r="B33" i="58" s="1"/>
  <c r="S33" i="58" s="1"/>
  <c r="AJ188" i="29"/>
  <c r="AN324" i="29" s="1"/>
  <c r="AL185" i="29"/>
  <c r="AK185" i="29"/>
  <c r="AK186" i="29" s="1"/>
  <c r="AI185" i="29"/>
  <c r="AH185" i="29"/>
  <c r="AG185" i="29"/>
  <c r="AF185" i="29"/>
  <c r="AF206" i="29" s="1"/>
  <c r="AE185" i="29"/>
  <c r="AD185" i="29"/>
  <c r="AB185" i="29"/>
  <c r="AA185" i="29"/>
  <c r="AJ184" i="29"/>
  <c r="B13" i="58" s="1"/>
  <c r="AJ183" i="29"/>
  <c r="AL180" i="29"/>
  <c r="AL201" i="29" s="1"/>
  <c r="AK180" i="29"/>
  <c r="AK203" i="29" s="1"/>
  <c r="AJ180" i="29"/>
  <c r="AI180" i="29"/>
  <c r="AI203" i="29" s="1"/>
  <c r="AH180" i="29"/>
  <c r="AH203" i="29" s="1"/>
  <c r="AG180" i="29"/>
  <c r="AG203" i="29" s="1"/>
  <c r="AF180" i="29"/>
  <c r="AF203" i="29" s="1"/>
  <c r="AD180" i="29"/>
  <c r="AD203" i="29" s="1"/>
  <c r="AC180" i="29"/>
  <c r="AB180" i="29"/>
  <c r="AB203" i="29" s="1"/>
  <c r="AA180" i="29"/>
  <c r="AA203" i="29" s="1"/>
  <c r="Z180" i="29"/>
  <c r="Y180" i="29"/>
  <c r="X180" i="29"/>
  <c r="W180" i="29"/>
  <c r="V180" i="29"/>
  <c r="U180" i="29"/>
  <c r="T180" i="29"/>
  <c r="S180" i="29"/>
  <c r="R180" i="29"/>
  <c r="Q180" i="29"/>
  <c r="P180" i="29"/>
  <c r="O180" i="29"/>
  <c r="AE179" i="29"/>
  <c r="AE178" i="29"/>
  <c r="AG176" i="29"/>
  <c r="AG202" i="29" s="1"/>
  <c r="AF176" i="29"/>
  <c r="AF202" i="29" s="1"/>
  <c r="AE176" i="29"/>
  <c r="AE202" i="29" s="1"/>
  <c r="AD176" i="29"/>
  <c r="AD202" i="29" s="1"/>
  <c r="AC176" i="29"/>
  <c r="AB176" i="29"/>
  <c r="AB202" i="29" s="1"/>
  <c r="AA176" i="29"/>
  <c r="AA202" i="29" s="1"/>
  <c r="Z176" i="29"/>
  <c r="Y176" i="29"/>
  <c r="X176" i="29"/>
  <c r="W176" i="29"/>
  <c r="V176" i="29"/>
  <c r="U176" i="29"/>
  <c r="T176" i="29"/>
  <c r="S176" i="29"/>
  <c r="R176" i="29"/>
  <c r="Q176" i="29"/>
  <c r="P176" i="29"/>
  <c r="O176" i="29"/>
  <c r="AE167" i="29"/>
  <c r="AE201" i="29" s="1"/>
  <c r="AD167" i="29"/>
  <c r="AD201" i="29" s="1"/>
  <c r="AC167" i="29"/>
  <c r="AB167" i="29"/>
  <c r="AB201" i="29" s="1"/>
  <c r="AA167" i="29"/>
  <c r="AA201" i="29" s="1"/>
  <c r="Z167" i="29"/>
  <c r="Y167" i="29"/>
  <c r="Y183" i="29" s="1"/>
  <c r="X167" i="29"/>
  <c r="W167" i="29"/>
  <c r="W183" i="29" s="1"/>
  <c r="W201" i="29" s="1"/>
  <c r="V167" i="29"/>
  <c r="U167" i="29"/>
  <c r="T167" i="29"/>
  <c r="S167" i="29"/>
  <c r="R167" i="29"/>
  <c r="Q167" i="29"/>
  <c r="P167" i="29"/>
  <c r="O167" i="29"/>
  <c r="AV165" i="29"/>
  <c r="AA150" i="29"/>
  <c r="Z150" i="29"/>
  <c r="Y150" i="29"/>
  <c r="X150" i="29"/>
  <c r="W150" i="29"/>
  <c r="W312" i="29" s="1"/>
  <c r="U150" i="29"/>
  <c r="T150" i="29"/>
  <c r="U152" i="29" s="1"/>
  <c r="S150" i="29"/>
  <c r="R150" i="29"/>
  <c r="Q150" i="29"/>
  <c r="P150" i="29"/>
  <c r="Q152" i="29" s="1"/>
  <c r="O150" i="29"/>
  <c r="M150" i="29"/>
  <c r="L150" i="29"/>
  <c r="K150" i="29"/>
  <c r="AB144" i="29"/>
  <c r="Z144" i="29"/>
  <c r="U144" i="29"/>
  <c r="U138" i="29" s="1"/>
  <c r="AA143" i="29"/>
  <c r="Z143" i="29"/>
  <c r="Y143" i="29"/>
  <c r="X143" i="29"/>
  <c r="U143" i="29"/>
  <c r="T143" i="29"/>
  <c r="S143" i="29"/>
  <c r="R143" i="29"/>
  <c r="Q143" i="29"/>
  <c r="P143" i="29"/>
  <c r="O143" i="29"/>
  <c r="AA142" i="29"/>
  <c r="Y142" i="29"/>
  <c r="X142" i="29"/>
  <c r="W142" i="29"/>
  <c r="U142" i="29"/>
  <c r="T142" i="29"/>
  <c r="S142" i="29"/>
  <c r="Q142" i="29"/>
  <c r="P142" i="29"/>
  <c r="AM141" i="29"/>
  <c r="AQ142" i="29" s="1"/>
  <c r="AK141" i="29"/>
  <c r="AF141" i="29"/>
  <c r="AE141" i="29"/>
  <c r="AB141" i="29"/>
  <c r="V141" i="29"/>
  <c r="Z142" i="29" s="1"/>
  <c r="N141" i="29"/>
  <c r="AB140" i="29"/>
  <c r="AA140" i="29"/>
  <c r="Z140" i="29"/>
  <c r="Y140" i="29"/>
  <c r="AB139" i="29"/>
  <c r="AM138" i="29"/>
  <c r="AQ139" i="29" s="1"/>
  <c r="AI138" i="29"/>
  <c r="AH138" i="29"/>
  <c r="AE138" i="29"/>
  <c r="W138" i="29"/>
  <c r="AA139" i="29" s="1"/>
  <c r="M138" i="29"/>
  <c r="AL135" i="29"/>
  <c r="AP136" i="29" s="1"/>
  <c r="AK135" i="29"/>
  <c r="AJ135" i="29"/>
  <c r="AN136" i="29" s="1"/>
  <c r="AI135" i="29"/>
  <c r="AI129" i="29" s="1"/>
  <c r="AH135" i="29"/>
  <c r="AG135" i="29"/>
  <c r="AF135" i="29"/>
  <c r="AE135" i="29"/>
  <c r="AD135" i="29"/>
  <c r="AC135" i="29"/>
  <c r="AC129" i="29" s="1"/>
  <c r="AB135" i="29"/>
  <c r="AA135" i="29"/>
  <c r="AA129" i="29" s="1"/>
  <c r="AA156" i="29" s="1"/>
  <c r="AA309" i="29" s="1"/>
  <c r="Z135" i="29"/>
  <c r="Y135" i="29"/>
  <c r="X135" i="29"/>
  <c r="W135" i="29"/>
  <c r="W129" i="29" s="1"/>
  <c r="V135" i="29"/>
  <c r="U135" i="29"/>
  <c r="T135" i="29"/>
  <c r="S135" i="29"/>
  <c r="S129" i="29" s="1"/>
  <c r="R135" i="29"/>
  <c r="Q135" i="29"/>
  <c r="Q129" i="29" s="1"/>
  <c r="P135" i="29"/>
  <c r="O135" i="29"/>
  <c r="N135" i="29"/>
  <c r="M135" i="29"/>
  <c r="L135" i="29"/>
  <c r="K135" i="29"/>
  <c r="K129" i="29" s="1"/>
  <c r="K160" i="29" s="1"/>
  <c r="AK134" i="29"/>
  <c r="AJ134" i="29"/>
  <c r="AI134" i="29"/>
  <c r="AH134" i="29"/>
  <c r="AG134" i="29"/>
  <c r="AF134" i="29"/>
  <c r="AC134" i="29"/>
  <c r="AB134" i="29"/>
  <c r="AA134" i="29"/>
  <c r="Z134" i="29"/>
  <c r="Y134" i="29"/>
  <c r="X134" i="29"/>
  <c r="U134" i="29"/>
  <c r="T134" i="29"/>
  <c r="S134" i="29"/>
  <c r="R134" i="29"/>
  <c r="Q134" i="29"/>
  <c r="P134" i="29"/>
  <c r="O134" i="29"/>
  <c r="AK133" i="29"/>
  <c r="AJ133" i="29"/>
  <c r="AI133" i="29"/>
  <c r="AG133" i="29"/>
  <c r="AF133" i="29"/>
  <c r="AE133" i="29"/>
  <c r="AC133" i="29"/>
  <c r="AB133" i="29"/>
  <c r="AA133" i="29"/>
  <c r="Y133" i="29"/>
  <c r="X133" i="29"/>
  <c r="W133" i="29"/>
  <c r="U133" i="29"/>
  <c r="T133" i="29"/>
  <c r="S133" i="29"/>
  <c r="Q133" i="29"/>
  <c r="P133" i="29"/>
  <c r="AL132" i="29"/>
  <c r="AP133" i="29" s="1"/>
  <c r="AD132" i="29"/>
  <c r="V132" i="29"/>
  <c r="N132" i="29"/>
  <c r="M131" i="29"/>
  <c r="L131" i="29"/>
  <c r="K131" i="29"/>
  <c r="O130" i="29"/>
  <c r="N130" i="29"/>
  <c r="N133" i="29" s="1"/>
  <c r="N136" i="29" s="1"/>
  <c r="N139" i="29" s="1"/>
  <c r="N142" i="29" s="1"/>
  <c r="N145" i="29" s="1"/>
  <c r="M130" i="29"/>
  <c r="L130" i="29"/>
  <c r="K130" i="29"/>
  <c r="K133" i="29" s="1"/>
  <c r="Y129" i="29"/>
  <c r="L129" i="29"/>
  <c r="L160" i="29" s="1"/>
  <c r="AB119" i="29"/>
  <c r="Z119" i="29"/>
  <c r="U119" i="29"/>
  <c r="AB113" i="29"/>
  <c r="U113" i="29"/>
  <c r="Z107" i="29"/>
  <c r="AB104" i="29"/>
  <c r="Z104" i="29"/>
  <c r="U104" i="29"/>
  <c r="AM95" i="29"/>
  <c r="AQ96" i="29" s="1"/>
  <c r="AA95" i="29"/>
  <c r="AA119" i="29" s="1"/>
  <c r="AA121" i="29" s="1"/>
  <c r="Y95" i="29"/>
  <c r="X95" i="29"/>
  <c r="Y97" i="29" s="1"/>
  <c r="W95" i="29"/>
  <c r="V95" i="29"/>
  <c r="M95" i="29"/>
  <c r="M119" i="29"/>
  <c r="K95" i="29"/>
  <c r="I95" i="29"/>
  <c r="G95" i="29"/>
  <c r="E95" i="29"/>
  <c r="C95" i="29"/>
  <c r="AI81" i="29"/>
  <c r="AJ81" i="29" s="1"/>
  <c r="AM80" i="29"/>
  <c r="BP215" i="45" s="1"/>
  <c r="BP216" i="45" s="1"/>
  <c r="BP218" i="45" s="1"/>
  <c r="BP226" i="45" s="1"/>
  <c r="BP256" i="45" s="1"/>
  <c r="AL80" i="29"/>
  <c r="AH80" i="29"/>
  <c r="AG80" i="29"/>
  <c r="AF80" i="29"/>
  <c r="AE80" i="29"/>
  <c r="AD80" i="29"/>
  <c r="AC80" i="29"/>
  <c r="AB80" i="29"/>
  <c r="AA80" i="29"/>
  <c r="Z80" i="29"/>
  <c r="Y80" i="29"/>
  <c r="X80" i="29"/>
  <c r="W80" i="29"/>
  <c r="V80" i="29"/>
  <c r="U80" i="29"/>
  <c r="T80" i="29"/>
  <c r="S80" i="29"/>
  <c r="R80" i="29"/>
  <c r="Q80" i="29"/>
  <c r="P80" i="29"/>
  <c r="O80" i="29"/>
  <c r="N80" i="29"/>
  <c r="M80" i="29"/>
  <c r="L80" i="29"/>
  <c r="K80" i="29"/>
  <c r="J80" i="29"/>
  <c r="H80" i="29"/>
  <c r="G80" i="29"/>
  <c r="F80" i="29"/>
  <c r="E80" i="29"/>
  <c r="D80" i="29"/>
  <c r="C80" i="29"/>
  <c r="I79" i="29"/>
  <c r="AL66" i="29"/>
  <c r="AK66" i="29"/>
  <c r="AI66" i="29"/>
  <c r="AG66" i="29"/>
  <c r="AF66" i="29"/>
  <c r="AE66" i="29"/>
  <c r="AD66" i="29"/>
  <c r="AC66" i="29"/>
  <c r="AB66" i="29"/>
  <c r="AA66" i="29"/>
  <c r="Y66" i="29"/>
  <c r="X66" i="29"/>
  <c r="W66" i="29"/>
  <c r="R66" i="29"/>
  <c r="P66" i="29"/>
  <c r="O66" i="29"/>
  <c r="M66" i="29"/>
  <c r="L66" i="29"/>
  <c r="J66" i="29"/>
  <c r="I66" i="29"/>
  <c r="AJ53" i="29"/>
  <c r="AJ66" i="29" s="1"/>
  <c r="AH53" i="29"/>
  <c r="AH66" i="29" s="1"/>
  <c r="Z53" i="29"/>
  <c r="Z66" i="29" s="1"/>
  <c r="V53" i="29"/>
  <c r="V66" i="29"/>
  <c r="Q53" i="29"/>
  <c r="Q66" i="29" s="1"/>
  <c r="O53" i="29"/>
  <c r="N53" i="29"/>
  <c r="N66" i="29" s="1"/>
  <c r="N51" i="29"/>
  <c r="M51" i="29"/>
  <c r="AM44" i="29"/>
  <c r="AL44" i="29"/>
  <c r="AK44" i="29"/>
  <c r="AJ44" i="29"/>
  <c r="AI44" i="29"/>
  <c r="AH44" i="29"/>
  <c r="AG44" i="29"/>
  <c r="AF44" i="29"/>
  <c r="AE44" i="29"/>
  <c r="AD44" i="29"/>
  <c r="AC44" i="29"/>
  <c r="AB44" i="29"/>
  <c r="Y44" i="29"/>
  <c r="X44" i="29"/>
  <c r="W44" i="29"/>
  <c r="V44" i="29"/>
  <c r="U44" i="29"/>
  <c r="T44" i="29"/>
  <c r="S44" i="29"/>
  <c r="R44" i="29"/>
  <c r="Q44" i="29"/>
  <c r="P44" i="29"/>
  <c r="O44" i="29"/>
  <c r="N44" i="29"/>
  <c r="M44" i="29"/>
  <c r="L44" i="29"/>
  <c r="K44" i="29"/>
  <c r="J44" i="29"/>
  <c r="I44" i="29"/>
  <c r="H44" i="29"/>
  <c r="G44" i="29"/>
  <c r="F44" i="29"/>
  <c r="E44" i="29"/>
  <c r="D44" i="29"/>
  <c r="AM43" i="29"/>
  <c r="AL43" i="29"/>
  <c r="AK43" i="29"/>
  <c r="AJ43" i="29"/>
  <c r="AI43" i="29"/>
  <c r="AH43" i="29"/>
  <c r="AG43" i="29"/>
  <c r="AF43" i="29"/>
  <c r="AE43" i="29"/>
  <c r="AC43" i="29"/>
  <c r="AB43" i="29"/>
  <c r="AA43" i="29"/>
  <c r="Y43" i="29"/>
  <c r="X43" i="29"/>
  <c r="W43" i="29"/>
  <c r="V43" i="29"/>
  <c r="U43" i="29"/>
  <c r="T43" i="29"/>
  <c r="S43" i="29"/>
  <c r="R43" i="29"/>
  <c r="Q43" i="29"/>
  <c r="P43" i="29"/>
  <c r="O43" i="29"/>
  <c r="N43" i="29"/>
  <c r="M43" i="29"/>
  <c r="L43" i="29"/>
  <c r="K43" i="29"/>
  <c r="J43" i="29"/>
  <c r="I43" i="29"/>
  <c r="H43" i="29"/>
  <c r="G43" i="29"/>
  <c r="Z41" i="29"/>
  <c r="Z44" i="29" s="1"/>
  <c r="I34" i="29"/>
  <c r="H34" i="29"/>
  <c r="G34" i="29"/>
  <c r="M33" i="29"/>
  <c r="K33" i="29"/>
  <c r="I33" i="29"/>
  <c r="H33" i="29"/>
  <c r="G33" i="29"/>
  <c r="AL31" i="29"/>
  <c r="AP33" i="29" s="1"/>
  <c r="AK31" i="29"/>
  <c r="AO33" i="29" s="1"/>
  <c r="AJ31" i="29"/>
  <c r="AI31" i="29"/>
  <c r="AH31" i="29"/>
  <c r="AG31" i="29"/>
  <c r="AF31" i="29"/>
  <c r="AE31" i="29"/>
  <c r="AE26" i="29" s="1"/>
  <c r="AD31" i="29"/>
  <c r="AD33" i="29" s="1"/>
  <c r="AC31" i="29"/>
  <c r="AB31" i="29"/>
  <c r="AA31" i="29"/>
  <c r="Y31" i="29"/>
  <c r="Y26" i="29" s="1"/>
  <c r="X31" i="29"/>
  <c r="W31" i="29"/>
  <c r="W26" i="29" s="1"/>
  <c r="V31" i="29"/>
  <c r="U31" i="29"/>
  <c r="T31" i="29"/>
  <c r="S31" i="29"/>
  <c r="R31" i="29"/>
  <c r="R26" i="29" s="1"/>
  <c r="Q31" i="29"/>
  <c r="P31" i="29"/>
  <c r="O31" i="29"/>
  <c r="N31" i="29"/>
  <c r="L31" i="29"/>
  <c r="M34" i="29" s="1"/>
  <c r="J31" i="29"/>
  <c r="J33" i="29" s="1"/>
  <c r="J107" i="29"/>
  <c r="AL30" i="29"/>
  <c r="AK30" i="29"/>
  <c r="AJ30" i="29"/>
  <c r="AI30" i="29"/>
  <c r="AH30" i="29"/>
  <c r="AG30" i="29"/>
  <c r="AF30" i="29"/>
  <c r="AE30" i="29"/>
  <c r="AD30" i="29"/>
  <c r="AC30" i="29"/>
  <c r="AB30" i="29"/>
  <c r="AA30" i="29"/>
  <c r="Z30" i="29"/>
  <c r="Y30" i="29"/>
  <c r="X30" i="29"/>
  <c r="W30" i="29"/>
  <c r="V30" i="29"/>
  <c r="U30" i="29"/>
  <c r="T30" i="29"/>
  <c r="S30" i="29"/>
  <c r="R30" i="29"/>
  <c r="Q30" i="29"/>
  <c r="P30" i="29"/>
  <c r="O30" i="29"/>
  <c r="N30" i="29"/>
  <c r="M30" i="29"/>
  <c r="L30" i="29"/>
  <c r="K30" i="29"/>
  <c r="J30" i="29"/>
  <c r="I30" i="29"/>
  <c r="H30" i="29"/>
  <c r="G30" i="29"/>
  <c r="F30" i="29"/>
  <c r="E30" i="29"/>
  <c r="D30" i="29"/>
  <c r="AL29" i="29"/>
  <c r="AK29" i="29"/>
  <c r="AJ29" i="29"/>
  <c r="AI29" i="29"/>
  <c r="AH29" i="29"/>
  <c r="AG29" i="29"/>
  <c r="AF29" i="29"/>
  <c r="AE29" i="29"/>
  <c r="AD29" i="29"/>
  <c r="AC29" i="29"/>
  <c r="AB29" i="29"/>
  <c r="AA29" i="29"/>
  <c r="Z29" i="29"/>
  <c r="Y29" i="29"/>
  <c r="X29" i="29"/>
  <c r="W29" i="29"/>
  <c r="V29" i="29"/>
  <c r="U29" i="29"/>
  <c r="T29" i="29"/>
  <c r="S29" i="29"/>
  <c r="R29" i="29"/>
  <c r="Q29" i="29"/>
  <c r="P29" i="29"/>
  <c r="O29" i="29"/>
  <c r="N29" i="29"/>
  <c r="M29" i="29"/>
  <c r="L29" i="29"/>
  <c r="K29" i="29"/>
  <c r="J29" i="29"/>
  <c r="I29" i="29"/>
  <c r="H29" i="29"/>
  <c r="G29" i="29"/>
  <c r="AH26" i="29"/>
  <c r="AD26" i="29"/>
  <c r="AA26" i="29"/>
  <c r="Z26" i="29"/>
  <c r="T26" i="29"/>
  <c r="S26" i="29"/>
  <c r="O26" i="29"/>
  <c r="M26" i="29"/>
  <c r="L26" i="29"/>
  <c r="K26" i="29"/>
  <c r="J26" i="29"/>
  <c r="I26" i="29"/>
  <c r="H26" i="29"/>
  <c r="G26" i="29"/>
  <c r="F26" i="29"/>
  <c r="E26" i="29"/>
  <c r="D26" i="29"/>
  <c r="C26" i="29"/>
  <c r="AL23" i="29"/>
  <c r="AL19" i="29" s="1"/>
  <c r="AP20" i="29" s="1"/>
  <c r="AK23" i="29"/>
  <c r="AJ23" i="29"/>
  <c r="AJ19" i="29" s="1"/>
  <c r="AI23" i="29"/>
  <c r="AH23" i="29"/>
  <c r="AH19" i="29" s="1"/>
  <c r="AG23" i="29"/>
  <c r="AF23" i="29"/>
  <c r="AF19" i="29" s="1"/>
  <c r="AE23" i="29"/>
  <c r="AE19" i="29" s="1"/>
  <c r="AD23" i="29"/>
  <c r="AD19" i="29" s="1"/>
  <c r="AD18" i="29" s="1"/>
  <c r="AC23" i="29"/>
  <c r="AB23" i="29"/>
  <c r="AB19" i="29" s="1"/>
  <c r="AA23" i="29"/>
  <c r="Z23" i="29"/>
  <c r="Z19" i="29" s="1"/>
  <c r="Y23" i="29"/>
  <c r="X23" i="29"/>
  <c r="X19" i="29" s="1"/>
  <c r="W23" i="29"/>
  <c r="W19" i="29" s="1"/>
  <c r="V23" i="29"/>
  <c r="V19" i="29" s="1"/>
  <c r="U23" i="29"/>
  <c r="T23" i="29"/>
  <c r="T19" i="29" s="1"/>
  <c r="T18" i="29" s="1"/>
  <c r="S23" i="29"/>
  <c r="S19" i="29" s="1"/>
  <c r="R23" i="29"/>
  <c r="R19" i="29" s="1"/>
  <c r="R18" i="29" s="1"/>
  <c r="Q23" i="29"/>
  <c r="P23" i="29"/>
  <c r="P19" i="29" s="1"/>
  <c r="O23" i="29"/>
  <c r="N23" i="29"/>
  <c r="N19" i="29" s="1"/>
  <c r="M23" i="29"/>
  <c r="L23" i="29"/>
  <c r="L19" i="29" s="1"/>
  <c r="K23" i="29"/>
  <c r="J23" i="29"/>
  <c r="J19" i="29" s="1"/>
  <c r="AK19" i="29"/>
  <c r="AO20" i="29" s="1"/>
  <c r="AI19" i="29"/>
  <c r="AG19" i="29"/>
  <c r="AG18" i="29" s="1"/>
  <c r="AC19" i="29"/>
  <c r="AC18" i="29" s="1"/>
  <c r="AA19" i="29"/>
  <c r="Y19" i="29"/>
  <c r="U19" i="29"/>
  <c r="Q19" i="29"/>
  <c r="Q18" i="29" s="1"/>
  <c r="O19" i="29"/>
  <c r="O18" i="29" s="1"/>
  <c r="M19" i="29"/>
  <c r="K19" i="29"/>
  <c r="I19" i="29"/>
  <c r="I21" i="29" s="1"/>
  <c r="H19" i="29"/>
  <c r="G19" i="29"/>
  <c r="H21" i="29" s="1"/>
  <c r="F19" i="29"/>
  <c r="F18" i="29" s="1"/>
  <c r="AI44" i="45" s="1"/>
  <c r="AI43" i="45" s="1"/>
  <c r="E19" i="29"/>
  <c r="D19" i="29"/>
  <c r="C19" i="29"/>
  <c r="C18" i="29" s="1"/>
  <c r="AL14" i="29"/>
  <c r="AK14" i="29"/>
  <c r="T60" i="58" s="1"/>
  <c r="AJ14" i="29"/>
  <c r="AI14" i="29"/>
  <c r="AI42" i="29" s="1"/>
  <c r="AH14" i="29"/>
  <c r="AG14" i="29"/>
  <c r="AF14" i="29"/>
  <c r="AE14" i="29"/>
  <c r="AD14" i="29"/>
  <c r="AC14" i="29"/>
  <c r="AB14" i="29"/>
  <c r="AA14" i="29"/>
  <c r="AA32" i="29" s="1"/>
  <c r="Z14" i="29"/>
  <c r="Z298" i="29" s="1"/>
  <c r="Y14" i="29"/>
  <c r="X14" i="29"/>
  <c r="X28" i="29" s="1"/>
  <c r="W14" i="29"/>
  <c r="V14" i="29"/>
  <c r="U14" i="29"/>
  <c r="U98" i="29" s="1"/>
  <c r="T14" i="29"/>
  <c r="T28" i="29" s="1"/>
  <c r="S14" i="29"/>
  <c r="R14" i="29"/>
  <c r="R32" i="29" s="1"/>
  <c r="Q14" i="29"/>
  <c r="Q28" i="29" s="1"/>
  <c r="P14" i="29"/>
  <c r="O14" i="29"/>
  <c r="N14" i="29"/>
  <c r="M14" i="29"/>
  <c r="M42" i="29" s="1"/>
  <c r="L14" i="29"/>
  <c r="P444" i="45" s="1"/>
  <c r="P446" i="45" s="1"/>
  <c r="K14" i="29"/>
  <c r="J14" i="29"/>
  <c r="N444" i="45" s="1"/>
  <c r="N593" i="45" s="1"/>
  <c r="I14" i="29"/>
  <c r="I28" i="29" s="1"/>
  <c r="H14" i="29"/>
  <c r="H22" i="29" s="1"/>
  <c r="G14" i="29"/>
  <c r="F14" i="29"/>
  <c r="F28" i="29" s="1"/>
  <c r="E14" i="29"/>
  <c r="D14" i="29"/>
  <c r="C14" i="29"/>
  <c r="O1" i="29"/>
  <c r="AF52" i="29"/>
  <c r="AJ16" i="29"/>
  <c r="AJ21" i="29"/>
  <c r="AB98" i="29"/>
  <c r="AB315" i="29" s="1"/>
  <c r="H18" i="29"/>
  <c r="N26" i="29"/>
  <c r="V107" i="29"/>
  <c r="V26" i="29"/>
  <c r="V34" i="29"/>
  <c r="AA107" i="29"/>
  <c r="AA34" i="29"/>
  <c r="AA33" i="29"/>
  <c r="AE34" i="29"/>
  <c r="AE33" i="29"/>
  <c r="AI34" i="29"/>
  <c r="AI33" i="29"/>
  <c r="AI32" i="29"/>
  <c r="V21" i="29"/>
  <c r="O33" i="29"/>
  <c r="S33" i="29"/>
  <c r="W33" i="29"/>
  <c r="AL21" i="29"/>
  <c r="K18" i="29"/>
  <c r="S18" i="29"/>
  <c r="AI18" i="29"/>
  <c r="AI25" i="29" s="1"/>
  <c r="AI86" i="29" s="1"/>
  <c r="O20" i="29"/>
  <c r="K21" i="29"/>
  <c r="U26" i="29"/>
  <c r="E28" i="29"/>
  <c r="M28" i="29"/>
  <c r="U28" i="29"/>
  <c r="AC28" i="29"/>
  <c r="T32" i="29"/>
  <c r="L33" i="29"/>
  <c r="AF33" i="29"/>
  <c r="K34" i="29"/>
  <c r="W34" i="29"/>
  <c r="E42" i="29"/>
  <c r="I42" i="29"/>
  <c r="Q42" i="29"/>
  <c r="U42" i="29"/>
  <c r="Y42" i="29"/>
  <c r="AG42" i="29"/>
  <c r="E52" i="29"/>
  <c r="I52" i="29"/>
  <c r="U52" i="29"/>
  <c r="Y52" i="29"/>
  <c r="AG52" i="29"/>
  <c r="H113" i="29"/>
  <c r="Y144" i="29"/>
  <c r="Y119" i="29"/>
  <c r="Y120" i="29" s="1"/>
  <c r="Y96" i="29"/>
  <c r="Y104" i="29"/>
  <c r="Z106" i="29" s="1"/>
  <c r="Y113" i="29"/>
  <c r="Z97" i="29"/>
  <c r="M15" i="29"/>
  <c r="Q15" i="29"/>
  <c r="U15" i="29"/>
  <c r="AC15" i="29"/>
  <c r="AG15" i="29"/>
  <c r="AG16" i="29"/>
  <c r="I32" i="29"/>
  <c r="M32" i="29"/>
  <c r="Q32" i="29"/>
  <c r="Y32" i="29"/>
  <c r="AC32" i="29"/>
  <c r="AG32" i="29"/>
  <c r="Q33" i="29"/>
  <c r="U33" i="29"/>
  <c r="Y33" i="29"/>
  <c r="AC33" i="29"/>
  <c r="T34" i="29"/>
  <c r="J42" i="29"/>
  <c r="J52" i="29"/>
  <c r="AM144" i="29"/>
  <c r="AQ145" i="29" s="1"/>
  <c r="AM113" i="29"/>
  <c r="AQ114" i="29" s="1"/>
  <c r="AM94" i="29"/>
  <c r="V144" i="29"/>
  <c r="V146" i="29" s="1"/>
  <c r="G96" i="29"/>
  <c r="X104" i="29"/>
  <c r="M107" i="29"/>
  <c r="I113" i="29"/>
  <c r="N144" i="29"/>
  <c r="AB96" i="29"/>
  <c r="M104" i="29"/>
  <c r="F107" i="29"/>
  <c r="J108" i="29" s="1"/>
  <c r="C119" i="29"/>
  <c r="AA147" i="29"/>
  <c r="AA306" i="29" s="1"/>
  <c r="V134" i="29"/>
  <c r="Z133" i="29"/>
  <c r="V133" i="29"/>
  <c r="V150" i="29"/>
  <c r="V312" i="29" s="1"/>
  <c r="W134" i="29"/>
  <c r="K144" i="29"/>
  <c r="K138" i="29" s="1"/>
  <c r="X144" i="29"/>
  <c r="X153" i="29" s="1"/>
  <c r="X113" i="29"/>
  <c r="Y115" i="29" s="1"/>
  <c r="C107" i="29"/>
  <c r="G107" i="29"/>
  <c r="M113" i="29"/>
  <c r="Q151" i="29"/>
  <c r="U312" i="29"/>
  <c r="U151" i="29"/>
  <c r="U313" i="29" s="1"/>
  <c r="AD210" i="29"/>
  <c r="AD212" i="29" s="1"/>
  <c r="AD213" i="29" s="1"/>
  <c r="AD134" i="29"/>
  <c r="AH133" i="29"/>
  <c r="AD133" i="29"/>
  <c r="AB150" i="29"/>
  <c r="AB143" i="29"/>
  <c r="AB142" i="29"/>
  <c r="X140" i="29"/>
  <c r="AJ190" i="29"/>
  <c r="AJ220" i="29" s="1"/>
  <c r="K137" i="29"/>
  <c r="K136" i="29"/>
  <c r="AE134" i="29"/>
  <c r="R129" i="29"/>
  <c r="R160" i="29" s="1"/>
  <c r="V129" i="29"/>
  <c r="AI137" i="29"/>
  <c r="Y312" i="29"/>
  <c r="AD150" i="29"/>
  <c r="AB213" i="29"/>
  <c r="M133" i="29"/>
  <c r="V143" i="29"/>
  <c r="Z312" i="29"/>
  <c r="AK150" i="29"/>
  <c r="Q183" i="29"/>
  <c r="Q229" i="29" s="1"/>
  <c r="T221" i="29"/>
  <c r="X214" i="29"/>
  <c r="AL133" i="29"/>
  <c r="AA136" i="29"/>
  <c r="AH142" i="29"/>
  <c r="W143" i="29"/>
  <c r="S312" i="29"/>
  <c r="S151" i="29"/>
  <c r="S313" i="29" s="1"/>
  <c r="W151" i="29"/>
  <c r="W313" i="29" s="1"/>
  <c r="AA151" i="29"/>
  <c r="AA313" i="29" s="1"/>
  <c r="V142" i="29"/>
  <c r="AH150" i="29"/>
  <c r="AM221" i="29"/>
  <c r="AM207" i="29"/>
  <c r="U207" i="29"/>
  <c r="Y323" i="29"/>
  <c r="Y207" i="29"/>
  <c r="AC324" i="29"/>
  <c r="AC207" i="29"/>
  <c r="AC323" i="29"/>
  <c r="AG221" i="29"/>
  <c r="AG220" i="29"/>
  <c r="AL323" i="29"/>
  <c r="AL207" i="29"/>
  <c r="AJ232" i="29"/>
  <c r="AJ185" i="29"/>
  <c r="AN321" i="29" s="1"/>
  <c r="AK225" i="29"/>
  <c r="AK320" i="29"/>
  <c r="AK206" i="29"/>
  <c r="AK224" i="29"/>
  <c r="V207" i="29"/>
  <c r="V220" i="29" s="1"/>
  <c r="V224" i="29" s="1"/>
  <c r="Z324" i="29"/>
  <c r="Z323" i="29"/>
  <c r="Z220" i="29"/>
  <c r="AD324" i="29"/>
  <c r="AD323" i="29"/>
  <c r="AD220" i="29"/>
  <c r="AD221" i="29"/>
  <c r="AD207" i="29"/>
  <c r="AH324" i="29"/>
  <c r="AH323" i="29"/>
  <c r="AH220" i="29"/>
  <c r="AH221" i="29"/>
  <c r="AH192" i="29"/>
  <c r="AH198" i="29" s="1"/>
  <c r="AH207" i="29"/>
  <c r="Q220" i="29"/>
  <c r="Q225" i="29" s="1"/>
  <c r="Y203" i="29"/>
  <c r="AJ202" i="29"/>
  <c r="AL224" i="29"/>
  <c r="AM198" i="29"/>
  <c r="AM191" i="29"/>
  <c r="V213" i="29"/>
  <c r="Z214" i="29" s="1"/>
  <c r="Z215" i="29"/>
  <c r="AL203" i="29"/>
  <c r="AD320" i="29"/>
  <c r="AD206" i="29"/>
  <c r="AH320" i="29"/>
  <c r="AH224" i="29"/>
  <c r="AH225" i="29"/>
  <c r="AH206" i="29"/>
  <c r="AH186" i="29"/>
  <c r="AK324" i="29"/>
  <c r="AK221" i="29"/>
  <c r="AK207" i="29"/>
  <c r="AK323" i="29"/>
  <c r="AK220" i="29"/>
  <c r="AK192" i="29"/>
  <c r="AA215" i="29"/>
  <c r="AA225" i="29"/>
  <c r="AA320" i="29"/>
  <c r="AA224" i="29"/>
  <c r="AA236" i="29" s="1"/>
  <c r="AE321" i="29"/>
  <c r="AM321" i="29"/>
  <c r="AI225" i="29"/>
  <c r="W324" i="29"/>
  <c r="AA206" i="29"/>
  <c r="AH213" i="29"/>
  <c r="AI320" i="29"/>
  <c r="AB224" i="29"/>
  <c r="AF320" i="29"/>
  <c r="AF224" i="29"/>
  <c r="AF225" i="29"/>
  <c r="AI186" i="29"/>
  <c r="AJ233" i="29"/>
  <c r="X323" i="29"/>
  <c r="X221" i="29"/>
  <c r="X207" i="29"/>
  <c r="AB323" i="29"/>
  <c r="AB221" i="29"/>
  <c r="AB207" i="29"/>
  <c r="AF323" i="29"/>
  <c r="AF324" i="29"/>
  <c r="AF207" i="29"/>
  <c r="AE207" i="29"/>
  <c r="P213" i="29"/>
  <c r="T214" i="29" s="1"/>
  <c r="T233" i="29" s="1"/>
  <c r="P220" i="29"/>
  <c r="P224" i="29" s="1"/>
  <c r="X220" i="29"/>
  <c r="AF220" i="29"/>
  <c r="AF221" i="29"/>
  <c r="Z291" i="29"/>
  <c r="R213" i="29"/>
  <c r="R221" i="29" s="1"/>
  <c r="O225" i="29"/>
  <c r="O213" i="29"/>
  <c r="P215" i="29" s="1"/>
  <c r="R220" i="29"/>
  <c r="R224" i="29" s="1"/>
  <c r="X270" i="29"/>
  <c r="Q185" i="29"/>
  <c r="Q192" i="29" s="1"/>
  <c r="Q197" i="29" s="1"/>
  <c r="Y146" i="29"/>
  <c r="Y145" i="29"/>
  <c r="AJ321" i="29"/>
  <c r="AJ320" i="29"/>
  <c r="AJ186" i="29"/>
  <c r="AM225" i="29"/>
  <c r="AM208" i="29"/>
  <c r="AM232" i="29"/>
  <c r="AM186" i="29"/>
  <c r="AM206" i="29"/>
  <c r="AM197" i="29"/>
  <c r="V138" i="29"/>
  <c r="Q201" i="29"/>
  <c r="AJ206" i="29"/>
  <c r="AM233" i="29"/>
  <c r="AH312" i="29"/>
  <c r="AK312" i="29"/>
  <c r="Z145" i="29"/>
  <c r="Z146" i="29"/>
  <c r="V153" i="29"/>
  <c r="AB152" i="29"/>
  <c r="AB114" i="29"/>
  <c r="V152" i="29"/>
  <c r="V151" i="29"/>
  <c r="V313" i="29" s="1"/>
  <c r="AA109" i="29"/>
  <c r="V221" i="29"/>
  <c r="M114" i="29"/>
  <c r="Y114" i="29"/>
  <c r="V225" i="29"/>
  <c r="U221" i="29"/>
  <c r="U215" i="29"/>
  <c r="U214" i="29"/>
  <c r="W229" i="29"/>
  <c r="W228" i="29"/>
  <c r="AJ323" i="29"/>
  <c r="AJ324" i="29"/>
  <c r="AJ192" i="29"/>
  <c r="AJ198" i="29" s="1"/>
  <c r="AJ141" i="29"/>
  <c r="Y105" i="29"/>
  <c r="O214" i="29"/>
  <c r="P221" i="29"/>
  <c r="AJ221" i="29"/>
  <c r="W215" i="29"/>
  <c r="AK197" i="29"/>
  <c r="AK208" i="29"/>
  <c r="AK196" i="29"/>
  <c r="AK95" i="29"/>
  <c r="R225" i="29"/>
  <c r="Q203" i="29"/>
  <c r="Q202" i="29"/>
  <c r="Y214" i="29"/>
  <c r="AH208" i="29"/>
  <c r="AH196" i="29"/>
  <c r="AH197" i="29"/>
  <c r="AH95" i="29"/>
  <c r="AH119" i="29" s="1"/>
  <c r="AM324" i="29"/>
  <c r="AM220" i="29"/>
  <c r="AM229" i="29"/>
  <c r="W202" i="29"/>
  <c r="Y229" i="29"/>
  <c r="Y228" i="29"/>
  <c r="Y185" i="29"/>
  <c r="Y225" i="29" s="1"/>
  <c r="M136" i="29"/>
  <c r="M139" i="29" s="1"/>
  <c r="M142" i="29" s="1"/>
  <c r="M145" i="29" s="1"/>
  <c r="V156" i="29"/>
  <c r="V147" i="29"/>
  <c r="V306" i="29" s="1"/>
  <c r="V160" i="29"/>
  <c r="K140" i="29"/>
  <c r="K139" i="29"/>
  <c r="W131" i="29"/>
  <c r="Y320" i="29"/>
  <c r="Y192" i="29"/>
  <c r="Y197" i="29" s="1"/>
  <c r="AK113" i="29"/>
  <c r="AO114" i="29" s="1"/>
  <c r="AH144" i="29"/>
  <c r="AH153" i="29" s="1"/>
  <c r="AH113" i="29"/>
  <c r="AH94" i="29"/>
  <c r="AH101" i="29"/>
  <c r="AH107" i="29"/>
  <c r="Y224" i="29"/>
  <c r="AM228" i="29"/>
  <c r="AM224" i="29"/>
  <c r="AM236" i="29" s="1"/>
  <c r="AM196" i="29"/>
  <c r="AJ196" i="29"/>
  <c r="Z139" i="29"/>
  <c r="V140" i="29"/>
  <c r="W140" i="29"/>
  <c r="Q228" i="29"/>
  <c r="Q95" i="29"/>
  <c r="Q101" i="29" s="1"/>
  <c r="AM150" i="29"/>
  <c r="AM133" i="29"/>
  <c r="AM134" i="29"/>
  <c r="Y196" i="29"/>
  <c r="BP36" i="45"/>
  <c r="AM14" i="29"/>
  <c r="AQ15" i="29" s="1"/>
  <c r="BP35" i="45"/>
  <c r="J8" i="48"/>
  <c r="BP50" i="45"/>
  <c r="AM104" i="29"/>
  <c r="AQ105" i="29" s="1"/>
  <c r="AM30" i="29"/>
  <c r="AM29" i="29"/>
  <c r="J63" i="56"/>
  <c r="J65" i="56"/>
  <c r="O1" i="44"/>
  <c r="O105" i="44" s="1"/>
  <c r="O101" i="44"/>
  <c r="O100" i="44"/>
  <c r="O94" i="44"/>
  <c r="O92" i="44"/>
  <c r="O89" i="44"/>
  <c r="P90" i="44" s="1"/>
  <c r="O81" i="44"/>
  <c r="P82" i="44" s="1"/>
  <c r="L157" i="28"/>
  <c r="L156" i="28"/>
  <c r="L155" i="28"/>
  <c r="L154" i="28"/>
  <c r="L150" i="28"/>
  <c r="L149" i="28"/>
  <c r="L148" i="28"/>
  <c r="L147" i="28"/>
  <c r="H118" i="56"/>
  <c r="D118" i="56"/>
  <c r="H114" i="56"/>
  <c r="G114" i="56"/>
  <c r="E108" i="56"/>
  <c r="J99" i="56"/>
  <c r="I99" i="56"/>
  <c r="J91" i="56"/>
  <c r="I91" i="56"/>
  <c r="E79" i="56"/>
  <c r="E72" i="56"/>
  <c r="E44" i="56"/>
  <c r="E42" i="56"/>
  <c r="E40" i="56"/>
  <c r="E38" i="56"/>
  <c r="E25" i="56"/>
  <c r="E15" i="56"/>
  <c r="E21" i="56" s="1"/>
  <c r="E29" i="56" s="1"/>
  <c r="E33" i="56" s="1"/>
  <c r="E68" i="56" s="1"/>
  <c r="E75" i="56" s="1"/>
  <c r="E101" i="56" s="1"/>
  <c r="E8" i="56"/>
  <c r="E7" i="56"/>
  <c r="E2" i="56"/>
  <c r="G30" i="56"/>
  <c r="D57" i="38"/>
  <c r="D56" i="38"/>
  <c r="D59" i="38"/>
  <c r="E61" i="38"/>
  <c r="E50" i="38"/>
  <c r="N54" i="3"/>
  <c r="N80" i="2"/>
  <c r="O80" i="2"/>
  <c r="O48" i="3"/>
  <c r="O33" i="3"/>
  <c r="O31" i="3"/>
  <c r="E12" i="56" s="1"/>
  <c r="O28" i="3"/>
  <c r="O27" i="3"/>
  <c r="E10" i="56" s="1"/>
  <c r="O15" i="3"/>
  <c r="O139" i="2"/>
  <c r="O140" i="2"/>
  <c r="O23" i="2" s="1"/>
  <c r="O158" i="2"/>
  <c r="O159" i="2" s="1"/>
  <c r="O146" i="2"/>
  <c r="O130" i="2"/>
  <c r="O131" i="2" s="1"/>
  <c r="O19" i="2" s="1"/>
  <c r="O120" i="2"/>
  <c r="O122" i="2" s="1"/>
  <c r="O18" i="2" s="1"/>
  <c r="N113" i="2"/>
  <c r="G14" i="38"/>
  <c r="G17" i="38"/>
  <c r="E24" i="56" s="1"/>
  <c r="G24" i="56" s="1"/>
  <c r="G20" i="38"/>
  <c r="E26" i="56" s="1"/>
  <c r="P71" i="6"/>
  <c r="P33" i="6"/>
  <c r="E9" i="56"/>
  <c r="D61" i="38"/>
  <c r="O29" i="1"/>
  <c r="O33" i="1"/>
  <c r="O137" i="1"/>
  <c r="O142" i="1" s="1"/>
  <c r="Q142" i="1" s="1"/>
  <c r="O104" i="1"/>
  <c r="E48" i="56" s="1"/>
  <c r="O101" i="1"/>
  <c r="E46" i="56" s="1"/>
  <c r="O99" i="1"/>
  <c r="K170" i="28"/>
  <c r="L168" i="28"/>
  <c r="L169" i="28"/>
  <c r="K164" i="28"/>
  <c r="L164" i="28" s="1"/>
  <c r="K163" i="28"/>
  <c r="L163" i="28" s="1"/>
  <c r="K162" i="28"/>
  <c r="L162" i="28" s="1"/>
  <c r="K161" i="28"/>
  <c r="L161" i="28" s="1"/>
  <c r="K158" i="28"/>
  <c r="L158" i="28" s="1"/>
  <c r="K151" i="28"/>
  <c r="L151" i="28" s="1"/>
  <c r="K143" i="28"/>
  <c r="K136" i="28"/>
  <c r="K165" i="28" s="1"/>
  <c r="K130" i="28"/>
  <c r="L142" i="28"/>
  <c r="L141" i="28"/>
  <c r="L140" i="28"/>
  <c r="L139" i="28"/>
  <c r="L135" i="28"/>
  <c r="L134" i="28"/>
  <c r="L133" i="28"/>
  <c r="L132" i="28"/>
  <c r="K38" i="28"/>
  <c r="K30" i="28"/>
  <c r="K28" i="28"/>
  <c r="K22" i="28"/>
  <c r="K191" i="28" s="1"/>
  <c r="K21" i="28"/>
  <c r="K19" i="28"/>
  <c r="K12" i="28"/>
  <c r="K189" i="28" s="1"/>
  <c r="K11" i="28"/>
  <c r="K9" i="28"/>
  <c r="Y1" i="44"/>
  <c r="Q20" i="2"/>
  <c r="R20" i="2" s="1"/>
  <c r="S20" i="2" s="1"/>
  <c r="O56" i="2"/>
  <c r="O93" i="1"/>
  <c r="N73" i="28"/>
  <c r="N72" i="28"/>
  <c r="N67" i="28"/>
  <c r="N66" i="28"/>
  <c r="S82" i="6"/>
  <c r="S81" i="6"/>
  <c r="S80" i="6"/>
  <c r="S79" i="6"/>
  <c r="S78" i="6"/>
  <c r="S77" i="6"/>
  <c r="S76" i="6"/>
  <c r="S68" i="6"/>
  <c r="S66" i="6"/>
  <c r="S65" i="6"/>
  <c r="S64" i="6"/>
  <c r="S63" i="6"/>
  <c r="S62" i="6"/>
  <c r="S61" i="6"/>
  <c r="R18" i="3"/>
  <c r="R17" i="3"/>
  <c r="R16" i="3"/>
  <c r="R15" i="3"/>
  <c r="R11" i="3"/>
  <c r="R65" i="3" s="1"/>
  <c r="R130" i="2"/>
  <c r="R131" i="2" s="1"/>
  <c r="R19" i="2" s="1"/>
  <c r="R151" i="1"/>
  <c r="R29" i="1" s="1"/>
  <c r="R14" i="3"/>
  <c r="R39" i="3" s="1"/>
  <c r="R64" i="1"/>
  <c r="J13" i="27"/>
  <c r="J10" i="27"/>
  <c r="H65" i="56"/>
  <c r="I63" i="56"/>
  <c r="I65" i="56"/>
  <c r="AA2" i="1"/>
  <c r="O28" i="44"/>
  <c r="O27" i="44"/>
  <c r="O24" i="44"/>
  <c r="O22" i="44"/>
  <c r="O21" i="44"/>
  <c r="L41" i="28"/>
  <c r="L195" i="28" s="1"/>
  <c r="V8" i="44"/>
  <c r="C35" i="49" s="1"/>
  <c r="H35" i="49" s="1"/>
  <c r="L35" i="49" s="1"/>
  <c r="W7" i="44"/>
  <c r="V6" i="44"/>
  <c r="C33" i="49" s="1"/>
  <c r="H33" i="49" s="1"/>
  <c r="P36" i="48"/>
  <c r="J35" i="48"/>
  <c r="J32" i="48"/>
  <c r="J31" i="48"/>
  <c r="O6" i="44"/>
  <c r="I20" i="48"/>
  <c r="I16" i="48"/>
  <c r="I15" i="48"/>
  <c r="I13" i="48"/>
  <c r="E2" i="48"/>
  <c r="I2" i="48"/>
  <c r="BO621" i="45"/>
  <c r="BO96" i="45"/>
  <c r="BO93" i="45" s="1"/>
  <c r="BO86" i="45"/>
  <c r="BO84" i="45" s="1"/>
  <c r="BO82" i="45"/>
  <c r="BO79" i="45"/>
  <c r="BO78" i="45" s="1"/>
  <c r="BO69" i="45"/>
  <c r="BO66" i="45"/>
  <c r="BO39" i="45"/>
  <c r="BO5" i="45"/>
  <c r="BO3" i="45"/>
  <c r="BN5" i="45"/>
  <c r="E430" i="45"/>
  <c r="Y54" i="1"/>
  <c r="BN105" i="45"/>
  <c r="BN104" i="45" s="1"/>
  <c r="BN88" i="45" s="1"/>
  <c r="BN96" i="45"/>
  <c r="BN93" i="45" s="1"/>
  <c r="BN86" i="45"/>
  <c r="BN84" i="45" s="1"/>
  <c r="BN82" i="45"/>
  <c r="BN79" i="45"/>
  <c r="BN78" i="45" s="1"/>
  <c r="BN50" i="45"/>
  <c r="BN39" i="45"/>
  <c r="BN36" i="45"/>
  <c r="BN35" i="45"/>
  <c r="BN65" i="45"/>
  <c r="B20" i="48"/>
  <c r="B18" i="48"/>
  <c r="B16" i="48"/>
  <c r="B15" i="48"/>
  <c r="B13" i="48"/>
  <c r="B8" i="48"/>
  <c r="B2" i="48"/>
  <c r="H20" i="48"/>
  <c r="H18" i="48"/>
  <c r="H16" i="48"/>
  <c r="H15" i="48"/>
  <c r="H13" i="48"/>
  <c r="H10" i="48"/>
  <c r="H8" i="48"/>
  <c r="H2" i="48"/>
  <c r="H3" i="48"/>
  <c r="H6" i="48"/>
  <c r="C20" i="48"/>
  <c r="C18" i="48"/>
  <c r="C16" i="48"/>
  <c r="C15" i="48"/>
  <c r="C13" i="48"/>
  <c r="C8" i="48"/>
  <c r="C2" i="48"/>
  <c r="D20" i="48"/>
  <c r="D18" i="48"/>
  <c r="D16" i="48"/>
  <c r="D15" i="48"/>
  <c r="D13" i="48"/>
  <c r="D8" i="48"/>
  <c r="D2" i="48"/>
  <c r="E16" i="48"/>
  <c r="E15" i="48"/>
  <c r="E13" i="48"/>
  <c r="E8" i="48"/>
  <c r="F20" i="48"/>
  <c r="F18" i="48"/>
  <c r="F16" i="48"/>
  <c r="F15" i="48"/>
  <c r="F13" i="48"/>
  <c r="F8" i="48"/>
  <c r="F2" i="48"/>
  <c r="G16" i="48"/>
  <c r="G15" i="48"/>
  <c r="G13" i="48"/>
  <c r="G8" i="48"/>
  <c r="G2" i="48"/>
  <c r="BN3" i="45"/>
  <c r="BN621" i="45"/>
  <c r="BN69" i="45"/>
  <c r="BN66" i="45"/>
  <c r="V362" i="45"/>
  <c r="U362" i="45"/>
  <c r="T362" i="45"/>
  <c r="S362" i="45"/>
  <c r="R362" i="45"/>
  <c r="Q362" i="45"/>
  <c r="P362" i="45"/>
  <c r="V361" i="45"/>
  <c r="U361" i="45"/>
  <c r="T361" i="45"/>
  <c r="R361" i="45"/>
  <c r="Q361" i="45"/>
  <c r="Q206" i="45" s="1"/>
  <c r="P361" i="45"/>
  <c r="O361" i="45"/>
  <c r="N361" i="45"/>
  <c r="N226" i="45" s="1"/>
  <c r="M361" i="45"/>
  <c r="M226" i="45" s="1"/>
  <c r="M256" i="45" s="1"/>
  <c r="D45" i="57"/>
  <c r="E45" i="57"/>
  <c r="F45" i="57"/>
  <c r="G45" i="57"/>
  <c r="H45" i="57"/>
  <c r="I45" i="57"/>
  <c r="I38" i="57"/>
  <c r="H38" i="57"/>
  <c r="G38" i="57"/>
  <c r="F38" i="57"/>
  <c r="E38" i="57"/>
  <c r="D38" i="57"/>
  <c r="I40" i="57"/>
  <c r="H40" i="57"/>
  <c r="G40" i="57"/>
  <c r="F40" i="57"/>
  <c r="E40" i="57"/>
  <c r="D40" i="57"/>
  <c r="I25" i="57"/>
  <c r="H25" i="57"/>
  <c r="G25" i="57"/>
  <c r="F25" i="57"/>
  <c r="E25" i="57"/>
  <c r="D25" i="57"/>
  <c r="I20" i="57"/>
  <c r="H20" i="57"/>
  <c r="G20" i="57"/>
  <c r="F20" i="57"/>
  <c r="E20" i="57"/>
  <c r="D20" i="57"/>
  <c r="I18" i="57"/>
  <c r="H18" i="57"/>
  <c r="G18" i="57"/>
  <c r="F18" i="57"/>
  <c r="E18" i="57"/>
  <c r="I10" i="57"/>
  <c r="H10" i="57"/>
  <c r="G10" i="57"/>
  <c r="F10" i="57"/>
  <c r="E10" i="57"/>
  <c r="I12" i="57"/>
  <c r="I14" i="57" s="1"/>
  <c r="I15" i="57" s="1"/>
  <c r="H12" i="57"/>
  <c r="H14" i="57" s="1"/>
  <c r="G12" i="57"/>
  <c r="G14" i="57" s="1"/>
  <c r="G15" i="57" s="1"/>
  <c r="F12" i="57"/>
  <c r="F14" i="57" s="1"/>
  <c r="E12" i="57"/>
  <c r="E14" i="57" s="1"/>
  <c r="E15" i="57" s="1"/>
  <c r="D12" i="57"/>
  <c r="D14" i="57" s="1"/>
  <c r="I7" i="57"/>
  <c r="H7" i="57"/>
  <c r="G7" i="57"/>
  <c r="F7" i="57"/>
  <c r="E7" i="57"/>
  <c r="I4" i="57"/>
  <c r="H4" i="57"/>
  <c r="G4" i="57"/>
  <c r="F4" i="57"/>
  <c r="E4" i="57"/>
  <c r="AB30" i="44"/>
  <c r="AA30" i="44"/>
  <c r="AB29" i="44"/>
  <c r="AA29" i="44"/>
  <c r="AB28" i="44"/>
  <c r="AA28" i="44"/>
  <c r="AB27" i="44"/>
  <c r="AA27" i="44"/>
  <c r="AB26" i="44"/>
  <c r="AA26" i="44"/>
  <c r="AB25" i="44"/>
  <c r="AA25" i="44"/>
  <c r="AB24" i="44"/>
  <c r="AA24" i="44"/>
  <c r="AB23" i="44"/>
  <c r="AA23" i="44"/>
  <c r="AB22" i="44"/>
  <c r="AA22" i="44"/>
  <c r="AB21" i="44"/>
  <c r="AA21" i="44"/>
  <c r="AB20" i="44"/>
  <c r="AA20" i="44"/>
  <c r="O362" i="45"/>
  <c r="N362" i="45"/>
  <c r="M362" i="45"/>
  <c r="E5" i="53"/>
  <c r="D5" i="53"/>
  <c r="E12" i="53"/>
  <c r="D12" i="53"/>
  <c r="BM105" i="45"/>
  <c r="BM104" i="45" s="1"/>
  <c r="BM88" i="45" s="1"/>
  <c r="BM86" i="45"/>
  <c r="BM84" i="45" s="1"/>
  <c r="BM82" i="45"/>
  <c r="BM79" i="45"/>
  <c r="BM78" i="45" s="1"/>
  <c r="BM69" i="45"/>
  <c r="BM66" i="45"/>
  <c r="BM50" i="45"/>
  <c r="BM39" i="45"/>
  <c r="BM36" i="45"/>
  <c r="BM35" i="45"/>
  <c r="AA400" i="45"/>
  <c r="AA381" i="45"/>
  <c r="AA358" i="45"/>
  <c r="AA344" i="45"/>
  <c r="AA282" i="45"/>
  <c r="AA216" i="45"/>
  <c r="AA218" i="45" s="1"/>
  <c r="AA200" i="45"/>
  <c r="AA69" i="45"/>
  <c r="AA66" i="45"/>
  <c r="AA35" i="12"/>
  <c r="AA18" i="12"/>
  <c r="AA11" i="12"/>
  <c r="M116" i="12"/>
  <c r="M109" i="12"/>
  <c r="M110" i="12" s="1"/>
  <c r="M83" i="12"/>
  <c r="M73" i="12"/>
  <c r="AA73" i="12" s="1"/>
  <c r="M46" i="12"/>
  <c r="AA46" i="12" s="1"/>
  <c r="M40" i="12"/>
  <c r="M37" i="12"/>
  <c r="M32" i="12"/>
  <c r="M31" i="12"/>
  <c r="BM65" i="45"/>
  <c r="G10" i="48"/>
  <c r="BM96" i="45"/>
  <c r="BM93" i="45" s="1"/>
  <c r="G18" i="48"/>
  <c r="G20" i="48"/>
  <c r="G6" i="48"/>
  <c r="BM621" i="45"/>
  <c r="BM4" i="45"/>
  <c r="BN4" i="45" s="1"/>
  <c r="BO4" i="45" s="1"/>
  <c r="BP4" i="45" s="1"/>
  <c r="BQ4" i="45" s="1"/>
  <c r="BR4" i="45" s="1"/>
  <c r="BS4" i="45" s="1"/>
  <c r="BT4" i="45" s="1"/>
  <c r="BU4" i="45" s="1"/>
  <c r="BV4" i="45" s="1"/>
  <c r="BW4" i="45" s="1"/>
  <c r="BL4" i="45"/>
  <c r="BL3" i="45"/>
  <c r="BM3" i="45"/>
  <c r="BL5" i="45"/>
  <c r="BM5" i="45"/>
  <c r="BL35" i="45"/>
  <c r="BL36" i="45"/>
  <c r="BL39" i="45"/>
  <c r="BL50" i="45"/>
  <c r="BL66" i="45"/>
  <c r="BL69" i="45"/>
  <c r="BL79" i="45"/>
  <c r="BL78" i="45" s="1"/>
  <c r="BL82" i="45"/>
  <c r="BL86" i="45"/>
  <c r="BL84" i="45" s="1"/>
  <c r="BL96" i="45"/>
  <c r="BL93" i="45" s="1"/>
  <c r="BL105" i="45"/>
  <c r="BL104" i="45" s="1"/>
  <c r="BL88" i="45" s="1"/>
  <c r="AN440" i="45"/>
  <c r="AN471" i="45"/>
  <c r="AN474" i="45"/>
  <c r="AN483" i="45"/>
  <c r="AN490" i="45"/>
  <c r="AN488" i="45" s="1"/>
  <c r="AN503" i="45"/>
  <c r="AN500" i="45" s="1"/>
  <c r="AN513" i="45"/>
  <c r="AN522" i="45"/>
  <c r="AN527" i="45"/>
  <c r="AN530" i="45"/>
  <c r="AN538" i="45"/>
  <c r="AN545" i="45" s="1"/>
  <c r="AN549" i="45" s="1"/>
  <c r="AN546" i="45"/>
  <c r="AN554" i="45"/>
  <c r="AN550" i="45" s="1"/>
  <c r="AN560" i="45" s="1"/>
  <c r="AN558" i="45"/>
  <c r="AN562" i="45"/>
  <c r="AN569" i="45"/>
  <c r="AN565" i="45" s="1"/>
  <c r="AN574" i="45"/>
  <c r="AN573" i="45" s="1"/>
  <c r="AN577" i="45"/>
  <c r="AO446" i="45"/>
  <c r="AO448" i="45"/>
  <c r="AO452" i="45"/>
  <c r="AO471" i="45"/>
  <c r="AO447" i="45" s="1"/>
  <c r="AO482" i="45" s="1"/>
  <c r="AO485" i="45" s="1"/>
  <c r="AO487" i="45" s="1"/>
  <c r="AO491" i="45" s="1"/>
  <c r="AO474" i="45"/>
  <c r="AO488" i="45"/>
  <c r="AO492" i="45"/>
  <c r="AO500" i="45"/>
  <c r="AO513" i="45"/>
  <c r="AO522" i="45"/>
  <c r="AO527" i="45"/>
  <c r="AO530" i="45"/>
  <c r="AO538" i="45"/>
  <c r="AO545" i="45" s="1"/>
  <c r="AO549" i="45" s="1"/>
  <c r="AO546" i="45"/>
  <c r="AO554" i="45"/>
  <c r="AO558" i="45"/>
  <c r="AO550" i="45" s="1"/>
  <c r="AO560" i="45" s="1"/>
  <c r="AO562" i="45"/>
  <c r="AO569" i="45"/>
  <c r="AO565" i="45" s="1"/>
  <c r="AO574" i="45"/>
  <c r="AO573" i="45" s="1"/>
  <c r="AO577" i="45"/>
  <c r="AN528" i="45"/>
  <c r="AO528" i="45"/>
  <c r="AN486" i="45"/>
  <c r="AM455" i="45"/>
  <c r="AM471" i="45"/>
  <c r="AM474" i="45"/>
  <c r="AM483" i="45"/>
  <c r="AM486" i="45"/>
  <c r="AM490" i="45"/>
  <c r="AM488" i="45" s="1"/>
  <c r="AM493" i="45"/>
  <c r="AM492" i="45" s="1"/>
  <c r="AM503" i="45"/>
  <c r="AM500" i="45" s="1"/>
  <c r="J130" i="28"/>
  <c r="I130" i="28"/>
  <c r="J170" i="28"/>
  <c r="L170" i="28" s="1"/>
  <c r="J178" i="28"/>
  <c r="I170" i="28"/>
  <c r="J143" i="28"/>
  <c r="L143" i="28" s="1"/>
  <c r="I143" i="28"/>
  <c r="J136" i="28"/>
  <c r="L136" i="28" s="1"/>
  <c r="I136" i="28"/>
  <c r="M94" i="1"/>
  <c r="N180" i="2"/>
  <c r="O180" i="2" s="1"/>
  <c r="V11" i="44"/>
  <c r="Q29" i="44"/>
  <c r="V10" i="44"/>
  <c r="C36" i="49" s="1"/>
  <c r="H36" i="49" s="1"/>
  <c r="L36" i="49" s="1"/>
  <c r="V15" i="44"/>
  <c r="O74" i="44"/>
  <c r="O14" i="1"/>
  <c r="E114" i="56"/>
  <c r="G118" i="56"/>
  <c r="E118" i="56"/>
  <c r="C118" i="56"/>
  <c r="B118" i="56"/>
  <c r="C79" i="56"/>
  <c r="C72" i="56"/>
  <c r="D64" i="56"/>
  <c r="D65" i="56"/>
  <c r="E65" i="56"/>
  <c r="C65" i="56"/>
  <c r="B65" i="56"/>
  <c r="D108" i="56"/>
  <c r="C108" i="56"/>
  <c r="B108" i="56"/>
  <c r="E99" i="56"/>
  <c r="D99" i="56"/>
  <c r="H99" i="56"/>
  <c r="G99" i="56"/>
  <c r="G91" i="56"/>
  <c r="H91" i="56"/>
  <c r="E91" i="56"/>
  <c r="C91" i="56"/>
  <c r="D91" i="56"/>
  <c r="B91" i="56"/>
  <c r="H86" i="56"/>
  <c r="J86" i="56"/>
  <c r="G86" i="56"/>
  <c r="I86" i="56"/>
  <c r="H85" i="56"/>
  <c r="J85" i="56"/>
  <c r="H84" i="56"/>
  <c r="J84" i="56"/>
  <c r="G84" i="56"/>
  <c r="I84" i="56"/>
  <c r="D79" i="56"/>
  <c r="A77" i="56"/>
  <c r="A78" i="56"/>
  <c r="A79" i="56"/>
  <c r="A80" i="56"/>
  <c r="A76" i="56"/>
  <c r="C15" i="56"/>
  <c r="C21" i="56"/>
  <c r="C29" i="56" s="1"/>
  <c r="C33" i="56" s="1"/>
  <c r="C60" i="56" s="1"/>
  <c r="D15" i="56"/>
  <c r="D21" i="56"/>
  <c r="D29" i="56" s="1"/>
  <c r="D33" i="56" s="1"/>
  <c r="D60" i="56" s="1"/>
  <c r="B15" i="56"/>
  <c r="B21" i="56"/>
  <c r="B29" i="56" s="1"/>
  <c r="B33" i="56" s="1"/>
  <c r="B68" i="56" s="1"/>
  <c r="B75" i="56" s="1"/>
  <c r="B101" i="56" s="1"/>
  <c r="D72" i="56"/>
  <c r="I178" i="28"/>
  <c r="A178" i="28"/>
  <c r="A177" i="28"/>
  <c r="J175" i="28"/>
  <c r="I175" i="28"/>
  <c r="A174" i="28"/>
  <c r="A173" i="28"/>
  <c r="A167" i="28"/>
  <c r="J161" i="28"/>
  <c r="J162" i="28"/>
  <c r="J163" i="28"/>
  <c r="J164" i="28"/>
  <c r="J151" i="28"/>
  <c r="I151" i="28"/>
  <c r="I165" i="28" s="1"/>
  <c r="I162" i="28"/>
  <c r="I163" i="28"/>
  <c r="I164" i="28"/>
  <c r="I161" i="28"/>
  <c r="A162" i="28"/>
  <c r="A163" i="28"/>
  <c r="A164" i="28"/>
  <c r="A161" i="28"/>
  <c r="A153" i="28"/>
  <c r="A146" i="28"/>
  <c r="J158" i="28"/>
  <c r="I158" i="28"/>
  <c r="A142" i="28"/>
  <c r="A157" i="28" s="1"/>
  <c r="A141" i="28"/>
  <c r="A156" i="28" s="1"/>
  <c r="A140" i="28"/>
  <c r="A155" i="28" s="1"/>
  <c r="A139" i="28"/>
  <c r="A154" i="28" s="1"/>
  <c r="A148" i="28"/>
  <c r="A149" i="28"/>
  <c r="A150" i="28"/>
  <c r="A147" i="28"/>
  <c r="J31" i="28"/>
  <c r="J193" i="28" s="1"/>
  <c r="I29" i="28"/>
  <c r="J22" i="28"/>
  <c r="J191" i="28" s="1"/>
  <c r="I22" i="28"/>
  <c r="I191" i="28" s="1"/>
  <c r="I8" i="28"/>
  <c r="J12" i="28"/>
  <c r="J189" i="28" s="1"/>
  <c r="J11" i="28"/>
  <c r="J28" i="28"/>
  <c r="N33" i="1"/>
  <c r="J31" i="12" s="1"/>
  <c r="N137" i="1"/>
  <c r="M137" i="1"/>
  <c r="M142" i="1" s="1"/>
  <c r="M143" i="1" s="1"/>
  <c r="M28" i="1" s="1"/>
  <c r="M99" i="1"/>
  <c r="N99" i="1"/>
  <c r="M33" i="1"/>
  <c r="M106" i="1"/>
  <c r="N106" i="1"/>
  <c r="N101" i="1"/>
  <c r="D46" i="56" s="1"/>
  <c r="M84" i="1"/>
  <c r="M10" i="1" s="1"/>
  <c r="C38" i="56"/>
  <c r="C40" i="56"/>
  <c r="C42" i="56"/>
  <c r="C44" i="56"/>
  <c r="D38" i="56"/>
  <c r="D40" i="56"/>
  <c r="D42" i="56"/>
  <c r="D44" i="56"/>
  <c r="B38" i="56"/>
  <c r="B40" i="56"/>
  <c r="B42" i="56"/>
  <c r="B44" i="56"/>
  <c r="B46" i="56"/>
  <c r="D24" i="56"/>
  <c r="D25" i="56"/>
  <c r="G25" i="56" s="1"/>
  <c r="B25" i="56"/>
  <c r="D2" i="56"/>
  <c r="D5" i="56"/>
  <c r="D7" i="56"/>
  <c r="D8" i="56"/>
  <c r="D10" i="56"/>
  <c r="C2" i="56"/>
  <c r="C7" i="56"/>
  <c r="C8" i="56"/>
  <c r="C10" i="56"/>
  <c r="B2" i="56"/>
  <c r="L15" i="3"/>
  <c r="B4" i="56" s="1"/>
  <c r="B5" i="56" s="1"/>
  <c r="B7" i="56"/>
  <c r="B8" i="56"/>
  <c r="B10" i="56"/>
  <c r="B12" i="56"/>
  <c r="K100" i="44"/>
  <c r="K101" i="44"/>
  <c r="J100" i="44"/>
  <c r="I100" i="44"/>
  <c r="H100" i="44"/>
  <c r="G100" i="44"/>
  <c r="G101" i="44" s="1"/>
  <c r="F100" i="44"/>
  <c r="F101" i="44" s="1"/>
  <c r="E100" i="44"/>
  <c r="E101" i="44" s="1"/>
  <c r="D100" i="44"/>
  <c r="D101" i="44" s="1"/>
  <c r="C100" i="44"/>
  <c r="C101" i="44" s="1"/>
  <c r="B100" i="44"/>
  <c r="B101" i="44" s="1"/>
  <c r="M100" i="44"/>
  <c r="M101" i="44" s="1"/>
  <c r="L100" i="44"/>
  <c r="L101" i="44" s="1"/>
  <c r="N100" i="44"/>
  <c r="N101" i="44" s="1"/>
  <c r="M89" i="44"/>
  <c r="N89" i="44"/>
  <c r="O90" i="44" s="1"/>
  <c r="Q89" i="44"/>
  <c r="R89" i="44" s="1"/>
  <c r="Q117" i="1"/>
  <c r="Q121" i="1"/>
  <c r="Q120" i="1" s="1"/>
  <c r="Q104" i="1" s="1"/>
  <c r="K78" i="44"/>
  <c r="K86" i="44"/>
  <c r="K9" i="44"/>
  <c r="K12" i="44" s="1"/>
  <c r="K16" i="44"/>
  <c r="K54" i="44" s="1"/>
  <c r="J78" i="44"/>
  <c r="J86" i="44"/>
  <c r="J9" i="44"/>
  <c r="J12" i="44" s="1"/>
  <c r="J16" i="44"/>
  <c r="I78" i="44"/>
  <c r="I86" i="44"/>
  <c r="I12" i="44"/>
  <c r="I16" i="44"/>
  <c r="H78" i="44"/>
  <c r="H86" i="44"/>
  <c r="G78" i="44"/>
  <c r="G86" i="44"/>
  <c r="F78" i="44"/>
  <c r="F86" i="44"/>
  <c r="E78" i="44"/>
  <c r="E86" i="44" s="1"/>
  <c r="D78" i="44"/>
  <c r="D86" i="44" s="1"/>
  <c r="C78" i="44"/>
  <c r="C86" i="44" s="1"/>
  <c r="B78" i="44"/>
  <c r="B86" i="44" s="1"/>
  <c r="M75" i="44"/>
  <c r="L75" i="44"/>
  <c r="K75" i="44"/>
  <c r="J75" i="44"/>
  <c r="I75" i="44"/>
  <c r="J51" i="44"/>
  <c r="I73" i="44"/>
  <c r="M1" i="44"/>
  <c r="M105" i="44" s="1"/>
  <c r="M16" i="44"/>
  <c r="L16" i="44"/>
  <c r="L54" i="44" s="1"/>
  <c r="L1" i="44"/>
  <c r="L105" i="44" s="1"/>
  <c r="N1" i="44"/>
  <c r="N105" i="44" s="1"/>
  <c r="D92" i="56" s="1"/>
  <c r="G93" i="56" s="1"/>
  <c r="N16" i="44"/>
  <c r="O30" i="44" s="1"/>
  <c r="O16" i="44"/>
  <c r="J47" i="44"/>
  <c r="K47" i="44" s="1"/>
  <c r="J48" i="44"/>
  <c r="K48" i="44" s="1"/>
  <c r="J49" i="44"/>
  <c r="K49" i="44" s="1"/>
  <c r="M9" i="44"/>
  <c r="M12" i="44" s="1"/>
  <c r="M81" i="44"/>
  <c r="M78" i="44" s="1"/>
  <c r="M86" i="44" s="1"/>
  <c r="L9" i="44"/>
  <c r="L12" i="44" s="1"/>
  <c r="L78" i="44"/>
  <c r="L86" i="44" s="1"/>
  <c r="N81" i="44"/>
  <c r="O82" i="44" s="1"/>
  <c r="N9" i="44"/>
  <c r="N12" i="44" s="1"/>
  <c r="P52" i="44"/>
  <c r="Q52" i="44" s="1"/>
  <c r="Q91" i="44"/>
  <c r="K21" i="26"/>
  <c r="K45" i="26"/>
  <c r="K51" i="26"/>
  <c r="J11" i="26"/>
  <c r="J19" i="26"/>
  <c r="J43" i="26"/>
  <c r="J20" i="26"/>
  <c r="J21" i="26"/>
  <c r="J45" i="26" s="1"/>
  <c r="J44" i="26"/>
  <c r="J51" i="26"/>
  <c r="H7" i="26"/>
  <c r="H11" i="26" s="1"/>
  <c r="H22" i="26" s="1"/>
  <c r="G7" i="26"/>
  <c r="G11" i="26"/>
  <c r="F7" i="26"/>
  <c r="F11" i="26" s="1"/>
  <c r="F22" i="26" s="1"/>
  <c r="M94" i="44"/>
  <c r="L94" i="44"/>
  <c r="K94" i="44"/>
  <c r="J102" i="44"/>
  <c r="J94" i="44"/>
  <c r="I102" i="44"/>
  <c r="I94" i="44"/>
  <c r="H102" i="44"/>
  <c r="H94" i="44"/>
  <c r="G94" i="44"/>
  <c r="F94" i="44"/>
  <c r="E94" i="44"/>
  <c r="D94" i="44"/>
  <c r="C94" i="44"/>
  <c r="B94" i="44"/>
  <c r="N94" i="44"/>
  <c r="O39" i="3"/>
  <c r="B13" i="55"/>
  <c r="E13" i="55"/>
  <c r="B5" i="55"/>
  <c r="I17" i="27"/>
  <c r="I20" i="27" s="1"/>
  <c r="I10" i="27"/>
  <c r="I13" i="27" s="1"/>
  <c r="F3" i="48"/>
  <c r="K23" i="28"/>
  <c r="K192" i="28" s="1"/>
  <c r="I48" i="51"/>
  <c r="J55" i="28"/>
  <c r="J203" i="28" s="1"/>
  <c r="J41" i="28"/>
  <c r="J195" i="28" s="1"/>
  <c r="F20" i="38"/>
  <c r="D26" i="56" s="1"/>
  <c r="G26" i="56" s="1"/>
  <c r="F14" i="38"/>
  <c r="AM105" i="45"/>
  <c r="AM104" i="45" s="1"/>
  <c r="AM88" i="45" s="1"/>
  <c r="AM509" i="45" s="1"/>
  <c r="AM35" i="45"/>
  <c r="AM36" i="45"/>
  <c r="AM39" i="45"/>
  <c r="AM50" i="45"/>
  <c r="AM79" i="45"/>
  <c r="AM78" i="45" s="1"/>
  <c r="AM181" i="45" s="1"/>
  <c r="AM82" i="45"/>
  <c r="AM197" i="45" s="1"/>
  <c r="AM86" i="45"/>
  <c r="AM84" i="45" s="1"/>
  <c r="AM205" i="45" s="1"/>
  <c r="AM513" i="45"/>
  <c r="AM522" i="45"/>
  <c r="AM527" i="45" s="1"/>
  <c r="AM528" i="45" s="1"/>
  <c r="AM530" i="45"/>
  <c r="AM545" i="45"/>
  <c r="AM538" i="45"/>
  <c r="AM546" i="45"/>
  <c r="AM554" i="45"/>
  <c r="AM558" i="45"/>
  <c r="AM550" i="45" s="1"/>
  <c r="AM560" i="45" s="1"/>
  <c r="AM562" i="45"/>
  <c r="AM569" i="45"/>
  <c r="AM565" i="45" s="1"/>
  <c r="AM574" i="45"/>
  <c r="AM577" i="45"/>
  <c r="AM573" i="45"/>
  <c r="AI35" i="45"/>
  <c r="AI36" i="45"/>
  <c r="AI39" i="45"/>
  <c r="AI50" i="45"/>
  <c r="AI65" i="45"/>
  <c r="AI79" i="45"/>
  <c r="AI78" i="45" s="1"/>
  <c r="AI181" i="45" s="1"/>
  <c r="AI82" i="45"/>
  <c r="AI197" i="45" s="1"/>
  <c r="AI86" i="45"/>
  <c r="AI84" i="45" s="1"/>
  <c r="AI182" i="45" s="1"/>
  <c r="AI105" i="45"/>
  <c r="AI104" i="45" s="1"/>
  <c r="AI88" i="45" s="1"/>
  <c r="AI509" i="45" s="1"/>
  <c r="AM96" i="45"/>
  <c r="AM93" i="45" s="1"/>
  <c r="AI96" i="45"/>
  <c r="AI93" i="45" s="1"/>
  <c r="AI455" i="45"/>
  <c r="AI483" i="45"/>
  <c r="AI486" i="45"/>
  <c r="AI490" i="45"/>
  <c r="AI488" i="45" s="1"/>
  <c r="AI493" i="45"/>
  <c r="AI492" i="45" s="1"/>
  <c r="AL35" i="45"/>
  <c r="AL36" i="45"/>
  <c r="AL39" i="45"/>
  <c r="AL50" i="45"/>
  <c r="AL65" i="45"/>
  <c r="AL79" i="45"/>
  <c r="AL78" i="45" s="1"/>
  <c r="AL181" i="45" s="1"/>
  <c r="AL82" i="45"/>
  <c r="AL197" i="45" s="1"/>
  <c r="AL86" i="45"/>
  <c r="AL84" i="45" s="1"/>
  <c r="AL105" i="45"/>
  <c r="AL104" i="45" s="1"/>
  <c r="AL88" i="45" s="1"/>
  <c r="AL509" i="45" s="1"/>
  <c r="AL96" i="45"/>
  <c r="AL93" i="45" s="1"/>
  <c r="AL455" i="45"/>
  <c r="AL483" i="45"/>
  <c r="AL486" i="45"/>
  <c r="AL490" i="45"/>
  <c r="AL488" i="45" s="1"/>
  <c r="AL493" i="45"/>
  <c r="AL492" i="45" s="1"/>
  <c r="AM649" i="45"/>
  <c r="AM642" i="45" s="1"/>
  <c r="AM651" i="45"/>
  <c r="AM663" i="45" s="1"/>
  <c r="AM666" i="45" s="1"/>
  <c r="AM669" i="45" s="1"/>
  <c r="AM658" i="45"/>
  <c r="AM671" i="45"/>
  <c r="AM692" i="45"/>
  <c r="AM706" i="45"/>
  <c r="AM707" i="45"/>
  <c r="AM708" i="45"/>
  <c r="AM709" i="45"/>
  <c r="AM710" i="45"/>
  <c r="AM713" i="45"/>
  <c r="AM714" i="45"/>
  <c r="AM715" i="45"/>
  <c r="AM716" i="45"/>
  <c r="AM717" i="45"/>
  <c r="AM720" i="45"/>
  <c r="AM721" i="45"/>
  <c r="AM722" i="45"/>
  <c r="AM723" i="45"/>
  <c r="AM724" i="45"/>
  <c r="AM727" i="45"/>
  <c r="AM728" i="45"/>
  <c r="AM729" i="45"/>
  <c r="AM730" i="45"/>
  <c r="AM731" i="45"/>
  <c r="AM735" i="45"/>
  <c r="AM736" i="45"/>
  <c r="AM737" i="45"/>
  <c r="AM738" i="45"/>
  <c r="AM739" i="45"/>
  <c r="AM743" i="45"/>
  <c r="AM744" i="45"/>
  <c r="AM745" i="45"/>
  <c r="AM746" i="45"/>
  <c r="AM747" i="45"/>
  <c r="AM440" i="45"/>
  <c r="N146" i="2"/>
  <c r="N48" i="3"/>
  <c r="N47" i="3"/>
  <c r="N50" i="3"/>
  <c r="N38" i="3"/>
  <c r="N33" i="3"/>
  <c r="N31" i="3"/>
  <c r="D12" i="56"/>
  <c r="N26" i="3"/>
  <c r="N29" i="3"/>
  <c r="O69" i="6"/>
  <c r="O71" i="6"/>
  <c r="N89" i="2" s="1"/>
  <c r="N139" i="1"/>
  <c r="N104" i="1"/>
  <c r="D48" i="56" s="1"/>
  <c r="O32" i="6"/>
  <c r="N86" i="2" s="1"/>
  <c r="E13" i="54" s="1"/>
  <c r="AL440" i="45"/>
  <c r="AK440" i="45"/>
  <c r="AJ440" i="45"/>
  <c r="AI440" i="45"/>
  <c r="AH440" i="45"/>
  <c r="AG440" i="45"/>
  <c r="AF440" i="45"/>
  <c r="Q136" i="2"/>
  <c r="N139" i="2"/>
  <c r="Q145" i="2"/>
  <c r="Q147" i="2"/>
  <c r="P61" i="1"/>
  <c r="Z361" i="45" s="1"/>
  <c r="O61" i="1"/>
  <c r="Y361" i="45" s="1"/>
  <c r="R76" i="6"/>
  <c r="R77" i="6"/>
  <c r="R78" i="6"/>
  <c r="R79" i="6"/>
  <c r="R80" i="6"/>
  <c r="R81" i="6"/>
  <c r="R82" i="6"/>
  <c r="R61" i="6"/>
  <c r="R62" i="6"/>
  <c r="R63" i="6"/>
  <c r="R64" i="6"/>
  <c r="R65" i="6"/>
  <c r="R66" i="6"/>
  <c r="R68" i="6"/>
  <c r="O56" i="6"/>
  <c r="N87" i="2" s="1"/>
  <c r="X152" i="45" s="1"/>
  <c r="E10" i="48"/>
  <c r="Q61" i="1"/>
  <c r="AA361" i="45" s="1"/>
  <c r="Q14" i="3"/>
  <c r="Q39" i="3" s="1"/>
  <c r="Q11" i="3"/>
  <c r="Q65" i="3" s="1"/>
  <c r="Q15" i="3"/>
  <c r="Q16" i="3"/>
  <c r="Q17" i="3"/>
  <c r="Q18" i="3"/>
  <c r="N140" i="2"/>
  <c r="Q180" i="2"/>
  <c r="Q182" i="2"/>
  <c r="O184" i="2"/>
  <c r="P184" i="2" s="1"/>
  <c r="Q184" i="2" s="1"/>
  <c r="R184" i="2" s="1"/>
  <c r="S184" i="2" s="1"/>
  <c r="T184" i="2" s="1"/>
  <c r="Q177" i="2"/>
  <c r="Q130" i="2"/>
  <c r="Q131" i="2" s="1"/>
  <c r="Q19" i="2" s="1"/>
  <c r="AA174" i="45" s="1"/>
  <c r="Q151" i="1"/>
  <c r="Q29" i="1" s="1"/>
  <c r="P94" i="1"/>
  <c r="Q94" i="1" s="1"/>
  <c r="R94" i="1" s="1"/>
  <c r="S94" i="1" s="1"/>
  <c r="T94" i="1" s="1"/>
  <c r="Q25" i="44"/>
  <c r="M73" i="28"/>
  <c r="M72" i="28"/>
  <c r="G15" i="28"/>
  <c r="H15" i="28" s="1"/>
  <c r="I15" i="28" s="1"/>
  <c r="J15" i="28" s="1"/>
  <c r="K15" i="28" s="1"/>
  <c r="L15" i="28" s="1"/>
  <c r="M15" i="28" s="1"/>
  <c r="N15" i="28" s="1"/>
  <c r="O15" i="28" s="1"/>
  <c r="H34" i="28"/>
  <c r="I34" i="28" s="1"/>
  <c r="J34" i="28"/>
  <c r="K34" i="28" s="1"/>
  <c r="L34" i="28" s="1"/>
  <c r="M34" i="28" s="1"/>
  <c r="N34" i="28" s="1"/>
  <c r="O34" i="28" s="1"/>
  <c r="P34" i="28" s="1"/>
  <c r="M67" i="28"/>
  <c r="M66" i="28"/>
  <c r="N66" i="2"/>
  <c r="P70" i="2"/>
  <c r="N185" i="2"/>
  <c r="O33" i="6"/>
  <c r="N56" i="2"/>
  <c r="N121" i="1"/>
  <c r="N93" i="1"/>
  <c r="E6" i="48"/>
  <c r="AK470" i="45"/>
  <c r="AH470" i="45"/>
  <c r="B10" i="48"/>
  <c r="BO215" i="45"/>
  <c r="BO216" i="45" s="1"/>
  <c r="BO218" i="45" s="1"/>
  <c r="BO226" i="45" s="1"/>
  <c r="BO256" i="45" s="1"/>
  <c r="N32" i="6"/>
  <c r="M86" i="2" s="1"/>
  <c r="W146" i="45" s="1"/>
  <c r="W147" i="45" s="1"/>
  <c r="L159" i="2"/>
  <c r="L25" i="2" s="1"/>
  <c r="N48" i="54"/>
  <c r="J39" i="54"/>
  <c r="K39" i="54" s="1"/>
  <c r="L39" i="54" s="1"/>
  <c r="M39" i="54" s="1"/>
  <c r="N39" i="54" s="1"/>
  <c r="O39" i="54" s="1"/>
  <c r="P39" i="54" s="1"/>
  <c r="M75" i="1"/>
  <c r="M104" i="1"/>
  <c r="M101" i="1"/>
  <c r="C46" i="56" s="1"/>
  <c r="I11" i="26"/>
  <c r="I22" i="26" s="1"/>
  <c r="B19" i="26"/>
  <c r="I19" i="26"/>
  <c r="B20" i="26"/>
  <c r="B21" i="26"/>
  <c r="I21" i="26" s="1"/>
  <c r="M139" i="2"/>
  <c r="M140" i="2" s="1"/>
  <c r="W32" i="12" s="1"/>
  <c r="M66" i="2"/>
  <c r="M70" i="2" s="1"/>
  <c r="M12" i="2" s="1"/>
  <c r="W165" i="45" s="1"/>
  <c r="O70" i="2"/>
  <c r="M146" i="2"/>
  <c r="M148" i="2" s="1"/>
  <c r="M71" i="54"/>
  <c r="N71" i="54" s="1"/>
  <c r="K71" i="54"/>
  <c r="J71" i="54" s="1"/>
  <c r="O131" i="1"/>
  <c r="O27" i="1" s="1"/>
  <c r="O47" i="3"/>
  <c r="M109" i="2"/>
  <c r="Q109" i="2"/>
  <c r="M110" i="2"/>
  <c r="M111" i="2"/>
  <c r="L112" i="2"/>
  <c r="M112" i="2" s="1"/>
  <c r="N112" i="2" s="1"/>
  <c r="M113" i="2"/>
  <c r="O113" i="2"/>
  <c r="O151" i="1"/>
  <c r="N75" i="44"/>
  <c r="H19" i="26"/>
  <c r="H21" i="26"/>
  <c r="N75" i="1"/>
  <c r="N51" i="2"/>
  <c r="N10" i="2" s="1"/>
  <c r="N84" i="1"/>
  <c r="D36" i="56" s="1"/>
  <c r="N43" i="2"/>
  <c r="N9" i="2" s="1"/>
  <c r="X21" i="12" s="1"/>
  <c r="N14" i="1"/>
  <c r="N70" i="2"/>
  <c r="N12" i="2" s="1"/>
  <c r="N61" i="1"/>
  <c r="N63" i="1" s="1"/>
  <c r="O11" i="3"/>
  <c r="O65" i="3" s="1"/>
  <c r="O16" i="3"/>
  <c r="N71" i="6"/>
  <c r="M89" i="2" s="1"/>
  <c r="O177" i="2"/>
  <c r="N177" i="2"/>
  <c r="X36" i="12" s="1"/>
  <c r="O25" i="2"/>
  <c r="Y131" i="45" s="1"/>
  <c r="Y130" i="45" s="1"/>
  <c r="Y325" i="45" s="1"/>
  <c r="M164" i="2"/>
  <c r="N159" i="2"/>
  <c r="N25" i="2" s="1"/>
  <c r="N23" i="1"/>
  <c r="E26" i="54" s="1"/>
  <c r="N131" i="1"/>
  <c r="N27" i="1" s="1"/>
  <c r="N151" i="1"/>
  <c r="N29" i="1" s="1"/>
  <c r="E20" i="54" s="1"/>
  <c r="M51" i="2"/>
  <c r="M43" i="2"/>
  <c r="M56" i="2"/>
  <c r="M61" i="2" s="1"/>
  <c r="M11" i="2" s="1"/>
  <c r="N173" i="1"/>
  <c r="N32" i="1" s="1"/>
  <c r="M177" i="2"/>
  <c r="M159" i="2"/>
  <c r="M25" i="2" s="1"/>
  <c r="W131" i="45" s="1"/>
  <c r="W130" i="45" s="1"/>
  <c r="W325" i="45" s="1"/>
  <c r="M11" i="3"/>
  <c r="M13" i="3"/>
  <c r="M17" i="3"/>
  <c r="M19" i="3"/>
  <c r="M26" i="3"/>
  <c r="M31" i="3"/>
  <c r="C12" i="56"/>
  <c r="M38" i="3"/>
  <c r="M41" i="3"/>
  <c r="W177" i="45" s="1"/>
  <c r="M40" i="3"/>
  <c r="L177" i="2"/>
  <c r="AD515" i="45" s="1"/>
  <c r="M46" i="3"/>
  <c r="M48" i="3"/>
  <c r="L26" i="3"/>
  <c r="C27" i="54" s="1"/>
  <c r="L33" i="3"/>
  <c r="L41" i="3"/>
  <c r="L46" i="3"/>
  <c r="L47" i="3"/>
  <c r="L48" i="3"/>
  <c r="L49" i="3"/>
  <c r="L182" i="2"/>
  <c r="P76" i="6"/>
  <c r="P77" i="6"/>
  <c r="P78" i="6"/>
  <c r="P79" i="6"/>
  <c r="P80" i="6"/>
  <c r="P81" i="6"/>
  <c r="P82" i="6"/>
  <c r="E27" i="54"/>
  <c r="O76" i="6"/>
  <c r="O77" i="6"/>
  <c r="O78" i="6"/>
  <c r="O79" i="6"/>
  <c r="O80" i="6"/>
  <c r="O81" i="6"/>
  <c r="O82" i="6"/>
  <c r="O83" i="6"/>
  <c r="M14" i="1"/>
  <c r="M23" i="1"/>
  <c r="I23" i="12" s="1"/>
  <c r="D27" i="54"/>
  <c r="N76" i="6"/>
  <c r="N77" i="6"/>
  <c r="N78" i="6"/>
  <c r="N79" i="6"/>
  <c r="N80" i="6"/>
  <c r="N81" i="6"/>
  <c r="N82" i="6"/>
  <c r="N83" i="6"/>
  <c r="L75" i="1"/>
  <c r="L9" i="1" s="1"/>
  <c r="L84" i="1"/>
  <c r="L108" i="1"/>
  <c r="L109" i="1" s="1"/>
  <c r="L15" i="1" s="1"/>
  <c r="L23" i="1"/>
  <c r="C26" i="54" s="1"/>
  <c r="M76" i="6"/>
  <c r="M77" i="6"/>
  <c r="M78" i="6"/>
  <c r="M79" i="6"/>
  <c r="M80" i="6"/>
  <c r="M81" i="6"/>
  <c r="M82" i="6"/>
  <c r="M83" i="6"/>
  <c r="M61" i="1"/>
  <c r="P151" i="1"/>
  <c r="P29" i="1" s="1"/>
  <c r="Z96" i="45" s="1"/>
  <c r="Z93" i="45" s="1"/>
  <c r="P177" i="2"/>
  <c r="M32" i="6"/>
  <c r="L86" i="2" s="1"/>
  <c r="M161" i="1" s="1"/>
  <c r="P11" i="3"/>
  <c r="P159" i="2"/>
  <c r="P25" i="2" s="1"/>
  <c r="N81" i="2"/>
  <c r="N13" i="2" s="1"/>
  <c r="X19" i="12" s="1"/>
  <c r="M81" i="2"/>
  <c r="M13" i="2" s="1"/>
  <c r="W161" i="45" s="1"/>
  <c r="W327" i="45" s="1"/>
  <c r="L81" i="2"/>
  <c r="L13" i="2" s="1"/>
  <c r="L109" i="2"/>
  <c r="L111" i="2"/>
  <c r="M131" i="1"/>
  <c r="M27" i="1" s="1"/>
  <c r="W86" i="45" s="1"/>
  <c r="W84" i="45" s="1"/>
  <c r="W205" i="45" s="1"/>
  <c r="M151" i="1"/>
  <c r="M29" i="1" s="1"/>
  <c r="D20" i="54" s="1"/>
  <c r="M173" i="1"/>
  <c r="M32" i="1" s="1"/>
  <c r="L131" i="1"/>
  <c r="L27" i="1" s="1"/>
  <c r="V86" i="45" s="1"/>
  <c r="V84" i="45" s="1"/>
  <c r="L140" i="1"/>
  <c r="L141" i="1"/>
  <c r="L142" i="1"/>
  <c r="L151" i="1"/>
  <c r="L29" i="1" s="1"/>
  <c r="C20" i="54" s="1"/>
  <c r="L173" i="1"/>
  <c r="L32" i="1" s="1"/>
  <c r="I41" i="28"/>
  <c r="H10" i="28"/>
  <c r="H55" i="28"/>
  <c r="H57" i="28"/>
  <c r="J21" i="28"/>
  <c r="I21" i="28"/>
  <c r="J19" i="28"/>
  <c r="I19" i="28"/>
  <c r="J38" i="28"/>
  <c r="N30" i="44"/>
  <c r="N28" i="44"/>
  <c r="N27" i="44"/>
  <c r="N24" i="44"/>
  <c r="N23" i="44"/>
  <c r="N22" i="44"/>
  <c r="N21" i="44"/>
  <c r="N20" i="44"/>
  <c r="P34" i="48"/>
  <c r="M42" i="48" s="1"/>
  <c r="BK446" i="45"/>
  <c r="BK448" i="45"/>
  <c r="BK452" i="45"/>
  <c r="BK471" i="45"/>
  <c r="BK474" i="45"/>
  <c r="BK488" i="45"/>
  <c r="BK492" i="45"/>
  <c r="AE516" i="45"/>
  <c r="BJ446" i="45"/>
  <c r="BJ448" i="45"/>
  <c r="BJ452" i="45"/>
  <c r="BJ471" i="45"/>
  <c r="BJ474" i="45"/>
  <c r="BJ488" i="45"/>
  <c r="BJ492" i="45"/>
  <c r="BI446" i="45"/>
  <c r="BI448" i="45"/>
  <c r="BI452" i="45"/>
  <c r="BI471" i="45"/>
  <c r="BI474" i="45"/>
  <c r="BI488" i="45"/>
  <c r="BI492" i="45"/>
  <c r="BH446" i="45"/>
  <c r="BH448" i="45"/>
  <c r="BH452" i="45"/>
  <c r="BH471" i="45"/>
  <c r="BH474" i="45"/>
  <c r="BH488" i="45"/>
  <c r="BH492" i="45"/>
  <c r="BG446" i="45"/>
  <c r="BG448" i="45"/>
  <c r="BG452" i="45"/>
  <c r="BG471" i="45"/>
  <c r="BG474" i="45"/>
  <c r="BG447" i="45"/>
  <c r="BG482" i="45" s="1"/>
  <c r="BG485" i="45" s="1"/>
  <c r="BG487" i="45" s="1"/>
  <c r="BG491" i="45" s="1"/>
  <c r="BG590" i="45" s="1"/>
  <c r="BG488" i="45"/>
  <c r="BG492" i="45"/>
  <c r="BF446" i="45"/>
  <c r="BF448" i="45"/>
  <c r="BF452" i="45"/>
  <c r="BF471" i="45"/>
  <c r="BF474" i="45"/>
  <c r="BF488" i="45"/>
  <c r="BF492" i="45"/>
  <c r="BE446" i="45"/>
  <c r="BE448" i="45"/>
  <c r="BE452" i="45"/>
  <c r="BE471" i="45"/>
  <c r="BE474" i="45"/>
  <c r="BE488" i="45"/>
  <c r="BE492" i="45"/>
  <c r="BD446" i="45"/>
  <c r="BD448" i="45"/>
  <c r="BD452" i="45"/>
  <c r="BD471" i="45"/>
  <c r="BD474" i="45"/>
  <c r="BD488" i="45"/>
  <c r="BD492" i="45"/>
  <c r="BC446" i="45"/>
  <c r="BC448" i="45"/>
  <c r="BC452" i="45"/>
  <c r="BC471" i="45"/>
  <c r="BC474" i="45"/>
  <c r="BC488" i="45"/>
  <c r="BC492" i="45"/>
  <c r="BB446" i="45"/>
  <c r="BB448" i="45"/>
  <c r="BB452" i="45"/>
  <c r="BB471" i="45"/>
  <c r="BB474" i="45"/>
  <c r="BB488" i="45"/>
  <c r="BB492" i="45"/>
  <c r="BA446" i="45"/>
  <c r="BA448" i="45"/>
  <c r="BA452" i="45"/>
  <c r="BA471" i="45"/>
  <c r="BA474" i="45"/>
  <c r="BA488" i="45"/>
  <c r="BA492" i="45"/>
  <c r="AZ446" i="45"/>
  <c r="AZ448" i="45"/>
  <c r="AZ452" i="45"/>
  <c r="AZ471" i="45"/>
  <c r="AZ474" i="45"/>
  <c r="AZ488" i="45"/>
  <c r="AZ492" i="45"/>
  <c r="AY446" i="45"/>
  <c r="AY448" i="45"/>
  <c r="AY452" i="45"/>
  <c r="AY447" i="45" s="1"/>
  <c r="AY482" i="45" s="1"/>
  <c r="AY485" i="45" s="1"/>
  <c r="AY487" i="45" s="1"/>
  <c r="AY491" i="45" s="1"/>
  <c r="AY590" i="45" s="1"/>
  <c r="AY471" i="45"/>
  <c r="AY474" i="45"/>
  <c r="AY488" i="45"/>
  <c r="AY492" i="45"/>
  <c r="AX446" i="45"/>
  <c r="AX448" i="45"/>
  <c r="AX452" i="45"/>
  <c r="AX471" i="45"/>
  <c r="AX474" i="45"/>
  <c r="AX488" i="45"/>
  <c r="AX492" i="45"/>
  <c r="AW446" i="45"/>
  <c r="AW448" i="45"/>
  <c r="AW452" i="45"/>
  <c r="AW471" i="45"/>
  <c r="AW474" i="45"/>
  <c r="AW488" i="45"/>
  <c r="AW492" i="45"/>
  <c r="AV446" i="45"/>
  <c r="AV448" i="45"/>
  <c r="AV452" i="45"/>
  <c r="AV471" i="45"/>
  <c r="AV474" i="45"/>
  <c r="AV488" i="45"/>
  <c r="AV492" i="45"/>
  <c r="AU446" i="45"/>
  <c r="AU448" i="45"/>
  <c r="AU452" i="45"/>
  <c r="AU471" i="45"/>
  <c r="AU474" i="45"/>
  <c r="AU447" i="45" s="1"/>
  <c r="AU482" i="45" s="1"/>
  <c r="AU485" i="45" s="1"/>
  <c r="AU487" i="45" s="1"/>
  <c r="AU491" i="45" s="1"/>
  <c r="AU590" i="45" s="1"/>
  <c r="AU488" i="45"/>
  <c r="AU492" i="45"/>
  <c r="AT446" i="45"/>
  <c r="AT448" i="45"/>
  <c r="AT452" i="45"/>
  <c r="AT471" i="45"/>
  <c r="AT474" i="45"/>
  <c r="AT488" i="45"/>
  <c r="AT492" i="45"/>
  <c r="AS446" i="45"/>
  <c r="AS448" i="45"/>
  <c r="AS452" i="45"/>
  <c r="AS471" i="45"/>
  <c r="AS474" i="45"/>
  <c r="AS488" i="45"/>
  <c r="AS492" i="45"/>
  <c r="AR446" i="45"/>
  <c r="AR448" i="45"/>
  <c r="AR452" i="45"/>
  <c r="AR471" i="45"/>
  <c r="AR474" i="45"/>
  <c r="AR488" i="45"/>
  <c r="AR492" i="45"/>
  <c r="AQ446" i="45"/>
  <c r="AQ448" i="45"/>
  <c r="AQ452" i="45"/>
  <c r="AQ447" i="45" s="1"/>
  <c r="AQ482" i="45" s="1"/>
  <c r="AQ485" i="45" s="1"/>
  <c r="AQ487" i="45" s="1"/>
  <c r="AQ491" i="45" s="1"/>
  <c r="AQ590" i="45" s="1"/>
  <c r="AQ471" i="45"/>
  <c r="AQ474" i="45"/>
  <c r="AQ488" i="45"/>
  <c r="AQ492" i="45"/>
  <c r="AP446" i="45"/>
  <c r="AP448" i="45"/>
  <c r="AP452" i="45"/>
  <c r="AP471" i="45"/>
  <c r="AP474" i="45"/>
  <c r="AP488" i="45"/>
  <c r="AP492" i="45"/>
  <c r="AL471" i="45"/>
  <c r="AL474" i="45"/>
  <c r="AK444" i="45"/>
  <c r="AK446" i="45" s="1"/>
  <c r="AK455" i="45"/>
  <c r="AK471" i="45"/>
  <c r="AK474" i="45"/>
  <c r="AK483" i="45"/>
  <c r="AK486" i="45"/>
  <c r="AK490" i="45"/>
  <c r="AK488" i="45" s="1"/>
  <c r="AK493" i="45"/>
  <c r="AK492" i="45" s="1"/>
  <c r="AJ455" i="45"/>
  <c r="C10" i="48"/>
  <c r="AJ471" i="45"/>
  <c r="AJ474" i="45"/>
  <c r="AJ483" i="45"/>
  <c r="AJ486" i="45"/>
  <c r="AJ490" i="45"/>
  <c r="AJ488" i="45" s="1"/>
  <c r="AJ493" i="45"/>
  <c r="AJ492" i="45" s="1"/>
  <c r="AI471" i="45"/>
  <c r="AI474" i="45"/>
  <c r="AH455" i="45"/>
  <c r="AH471" i="45"/>
  <c r="AH474" i="45"/>
  <c r="AH483" i="45"/>
  <c r="AH486" i="45"/>
  <c r="AH490" i="45"/>
  <c r="AH488" i="45" s="1"/>
  <c r="AH493" i="45"/>
  <c r="AH492" i="45" s="1"/>
  <c r="AG455" i="45"/>
  <c r="AG471" i="45"/>
  <c r="AG474" i="45"/>
  <c r="AG483" i="45"/>
  <c r="AG486" i="45"/>
  <c r="AG490" i="45"/>
  <c r="AG488" i="45" s="1"/>
  <c r="AG493" i="45"/>
  <c r="AG492" i="45" s="1"/>
  <c r="AF444" i="45"/>
  <c r="AF446" i="45" s="1"/>
  <c r="AF455" i="45"/>
  <c r="BE65" i="45"/>
  <c r="AF471" i="45"/>
  <c r="AF474" i="45"/>
  <c r="AF483" i="45"/>
  <c r="AF486" i="45"/>
  <c r="AF490" i="45"/>
  <c r="AF488" i="45" s="1"/>
  <c r="AF493" i="45"/>
  <c r="AF492" i="45" s="1"/>
  <c r="AE455" i="45"/>
  <c r="AE471" i="45"/>
  <c r="AE474" i="45"/>
  <c r="AE483" i="45"/>
  <c r="AE486" i="45"/>
  <c r="AE490" i="45"/>
  <c r="AE488" i="45" s="1"/>
  <c r="AE493" i="45"/>
  <c r="AE492" i="45" s="1"/>
  <c r="AE509" i="45" s="1"/>
  <c r="AD455" i="45"/>
  <c r="AD470" i="45"/>
  <c r="AD471" i="45"/>
  <c r="AD474" i="45"/>
  <c r="AD486" i="45"/>
  <c r="AD490" i="45"/>
  <c r="AD488" i="45" s="1"/>
  <c r="AD493" i="45"/>
  <c r="BK500" i="45"/>
  <c r="BJ500" i="45"/>
  <c r="BI500" i="45"/>
  <c r="BH500" i="45"/>
  <c r="BG500" i="45"/>
  <c r="BF500" i="45"/>
  <c r="BE500" i="45"/>
  <c r="BD500" i="45"/>
  <c r="BC500" i="45"/>
  <c r="BB500" i="45"/>
  <c r="BA500" i="45"/>
  <c r="AZ500" i="45"/>
  <c r="AY500" i="45"/>
  <c r="AX500" i="45"/>
  <c r="AW500" i="45"/>
  <c r="AV500" i="45"/>
  <c r="AU500" i="45"/>
  <c r="AT500" i="45"/>
  <c r="AS500" i="45"/>
  <c r="AR500" i="45"/>
  <c r="AQ500" i="45"/>
  <c r="AP500" i="45"/>
  <c r="AL503" i="45"/>
  <c r="AL500" i="45" s="1"/>
  <c r="AK503" i="45"/>
  <c r="AK500" i="45" s="1"/>
  <c r="AJ503" i="45"/>
  <c r="AJ500" i="45" s="1"/>
  <c r="AI503" i="45"/>
  <c r="AI500" i="45" s="1"/>
  <c r="AH503" i="45"/>
  <c r="AH500" i="45" s="1"/>
  <c r="AG503" i="45"/>
  <c r="AG500" i="45" s="1"/>
  <c r="AF503" i="45"/>
  <c r="AF500" i="45" s="1"/>
  <c r="AE503" i="45"/>
  <c r="AE500" i="45" s="1"/>
  <c r="BD215" i="45"/>
  <c r="BD216" i="45" s="1"/>
  <c r="BD218" i="45" s="1"/>
  <c r="BE215" i="45"/>
  <c r="BE216" i="45" s="1"/>
  <c r="BE218" i="45" s="1"/>
  <c r="BE403" i="45" s="1"/>
  <c r="BF215" i="45"/>
  <c r="BF216" i="45" s="1"/>
  <c r="BF218" i="45" s="1"/>
  <c r="BJ215" i="45"/>
  <c r="BJ216" i="45" s="1"/>
  <c r="BJ218" i="45" s="1"/>
  <c r="BH215" i="45"/>
  <c r="AI239" i="45"/>
  <c r="AI240" i="45"/>
  <c r="AH239" i="45"/>
  <c r="AH240" i="45"/>
  <c r="AG239" i="45"/>
  <c r="AG240" i="45"/>
  <c r="AF239" i="45"/>
  <c r="AF240" i="45"/>
  <c r="AI237" i="45"/>
  <c r="AI238" i="45"/>
  <c r="AH237" i="45"/>
  <c r="AH238" i="45"/>
  <c r="AG237" i="45"/>
  <c r="AG238" i="45"/>
  <c r="AF237" i="45"/>
  <c r="AF238" i="45"/>
  <c r="AI236" i="45"/>
  <c r="AH236" i="45"/>
  <c r="AG236" i="45"/>
  <c r="AF236" i="45"/>
  <c r="AI235" i="45"/>
  <c r="AH235" i="45"/>
  <c r="AG235" i="45"/>
  <c r="AF235" i="45"/>
  <c r="AI234" i="45"/>
  <c r="AH234" i="45"/>
  <c r="AG234" i="45"/>
  <c r="AF234" i="45"/>
  <c r="AI232" i="45"/>
  <c r="AH232" i="45"/>
  <c r="AG232" i="45"/>
  <c r="AF232" i="45"/>
  <c r="AI231" i="45"/>
  <c r="AH231" i="45"/>
  <c r="AG231" i="45"/>
  <c r="AF231" i="45"/>
  <c r="AI230" i="45"/>
  <c r="AH230" i="45"/>
  <c r="AG230" i="45"/>
  <c r="AF230" i="45"/>
  <c r="AL215" i="45"/>
  <c r="AL216" i="45" s="1"/>
  <c r="AL218" i="45" s="1"/>
  <c r="AG35" i="45"/>
  <c r="AH35" i="45"/>
  <c r="AJ35" i="45"/>
  <c r="AK35" i="45"/>
  <c r="AN35" i="45"/>
  <c r="AO35" i="45"/>
  <c r="AP35" i="45"/>
  <c r="AQ35" i="45"/>
  <c r="AR35" i="45"/>
  <c r="AS35" i="45"/>
  <c r="AT35" i="45"/>
  <c r="AU35" i="45"/>
  <c r="AV35" i="45"/>
  <c r="AW35" i="45"/>
  <c r="AX35" i="45"/>
  <c r="AY35" i="45"/>
  <c r="AZ35" i="45"/>
  <c r="BA35" i="45"/>
  <c r="BB35" i="45"/>
  <c r="BC35" i="45"/>
  <c r="BD35" i="45"/>
  <c r="BE35" i="45"/>
  <c r="BF35" i="45"/>
  <c r="BG35" i="45"/>
  <c r="BH35" i="45"/>
  <c r="BI35" i="45"/>
  <c r="BJ35" i="45"/>
  <c r="AG36" i="45"/>
  <c r="AH36" i="45"/>
  <c r="AJ36" i="45"/>
  <c r="AK36" i="45"/>
  <c r="AN36" i="45"/>
  <c r="AO36" i="45"/>
  <c r="AP36" i="45"/>
  <c r="AQ36" i="45"/>
  <c r="AR36" i="45"/>
  <c r="AS36" i="45"/>
  <c r="AT36" i="45"/>
  <c r="AU36" i="45"/>
  <c r="AV36" i="45"/>
  <c r="AW36" i="45"/>
  <c r="AX36" i="45"/>
  <c r="AY36" i="45"/>
  <c r="AZ36" i="45"/>
  <c r="BA36" i="45"/>
  <c r="BB36" i="45"/>
  <c r="BC36" i="45"/>
  <c r="BD36" i="45"/>
  <c r="BE36" i="45"/>
  <c r="BF36" i="45"/>
  <c r="BG36" i="45"/>
  <c r="BH36" i="45"/>
  <c r="BI36" i="45"/>
  <c r="BJ36" i="45"/>
  <c r="AG39" i="45"/>
  <c r="AK39" i="45"/>
  <c r="AO39" i="45"/>
  <c r="AQ39" i="45"/>
  <c r="AS39" i="45"/>
  <c r="AU39" i="45"/>
  <c r="AW39" i="45"/>
  <c r="AY39" i="45"/>
  <c r="BA39" i="45"/>
  <c r="BC39" i="45"/>
  <c r="BE39" i="45"/>
  <c r="BG39" i="45"/>
  <c r="BI39" i="45"/>
  <c r="AH39" i="45"/>
  <c r="AJ39" i="45"/>
  <c r="AN39" i="45"/>
  <c r="AP39" i="45"/>
  <c r="AR39" i="45"/>
  <c r="AT39" i="45"/>
  <c r="AV39" i="45"/>
  <c r="AX39" i="45"/>
  <c r="AZ39" i="45"/>
  <c r="BB39" i="45"/>
  <c r="BD39" i="45"/>
  <c r="BF39" i="45"/>
  <c r="BH39" i="45"/>
  <c r="BJ39" i="45"/>
  <c r="BK39" i="45"/>
  <c r="AG50" i="45"/>
  <c r="AG65" i="45"/>
  <c r="AH50" i="45"/>
  <c r="AH65" i="45"/>
  <c r="AJ50" i="45"/>
  <c r="AJ65" i="45"/>
  <c r="AK50" i="45"/>
  <c r="AK65" i="45"/>
  <c r="AN50" i="45"/>
  <c r="AN65" i="45"/>
  <c r="AO50" i="45"/>
  <c r="AP50" i="45"/>
  <c r="AP65" i="45"/>
  <c r="AQ50" i="45"/>
  <c r="AR50" i="45"/>
  <c r="AS50" i="45"/>
  <c r="AT50" i="45"/>
  <c r="AU50" i="45"/>
  <c r="AV50" i="45"/>
  <c r="AW50" i="45"/>
  <c r="AX50" i="45"/>
  <c r="AY50" i="45"/>
  <c r="AZ50" i="45"/>
  <c r="BA50" i="45"/>
  <c r="BB50" i="45"/>
  <c r="BC50" i="45"/>
  <c r="BC65" i="45"/>
  <c r="BD50" i="45"/>
  <c r="BE50" i="45"/>
  <c r="BF50" i="45"/>
  <c r="BG50" i="45"/>
  <c r="BH50" i="45"/>
  <c r="BI50" i="45"/>
  <c r="BJ50" i="45"/>
  <c r="AG79" i="45"/>
  <c r="AG78" i="45" s="1"/>
  <c r="AG181" i="45" s="1"/>
  <c r="AH79" i="45"/>
  <c r="AH78" i="45" s="1"/>
  <c r="AH181" i="45" s="1"/>
  <c r="AJ79" i="45"/>
  <c r="AJ78" i="45" s="1"/>
  <c r="AJ181" i="45" s="1"/>
  <c r="AK79" i="45"/>
  <c r="AK78" i="45" s="1"/>
  <c r="AK181" i="45" s="1"/>
  <c r="AN79" i="45"/>
  <c r="AN78" i="45" s="1"/>
  <c r="AN181" i="45" s="1"/>
  <c r="AO79" i="45"/>
  <c r="AO78" i="45" s="1"/>
  <c r="AO181" i="45" s="1"/>
  <c r="AP79" i="45"/>
  <c r="AP78" i="45" s="1"/>
  <c r="AP181" i="45" s="1"/>
  <c r="AQ79" i="45"/>
  <c r="AQ78" i="45" s="1"/>
  <c r="AQ181" i="45" s="1"/>
  <c r="AR79" i="45"/>
  <c r="AR78" i="45" s="1"/>
  <c r="AR181" i="45" s="1"/>
  <c r="AS79" i="45"/>
  <c r="AS78" i="45" s="1"/>
  <c r="AS181" i="45" s="1"/>
  <c r="AT79" i="45"/>
  <c r="AT78" i="45" s="1"/>
  <c r="AT181" i="45" s="1"/>
  <c r="AU79" i="45"/>
  <c r="AU78" i="45" s="1"/>
  <c r="AV79" i="45"/>
  <c r="AV78" i="45" s="1"/>
  <c r="AV181" i="45" s="1"/>
  <c r="AW79" i="45"/>
  <c r="AW78" i="45" s="1"/>
  <c r="AW181" i="45" s="1"/>
  <c r="AX79" i="45"/>
  <c r="AX78" i="45" s="1"/>
  <c r="AX181" i="45" s="1"/>
  <c r="AY79" i="45"/>
  <c r="AY78" i="45" s="1"/>
  <c r="AY181" i="45" s="1"/>
  <c r="AZ79" i="45"/>
  <c r="AZ78" i="45" s="1"/>
  <c r="AZ181" i="45" s="1"/>
  <c r="BA79" i="45"/>
  <c r="BA78" i="45" s="1"/>
  <c r="BA181" i="45" s="1"/>
  <c r="BB79" i="45"/>
  <c r="BB78" i="45" s="1"/>
  <c r="BB181" i="45" s="1"/>
  <c r="BD79" i="45"/>
  <c r="BD78" i="45" s="1"/>
  <c r="BD181" i="45" s="1"/>
  <c r="BE79" i="45"/>
  <c r="BE78" i="45" s="1"/>
  <c r="BE181" i="45" s="1"/>
  <c r="BF79" i="45"/>
  <c r="BF78" i="45" s="1"/>
  <c r="BF181" i="45" s="1"/>
  <c r="BG79" i="45"/>
  <c r="BG78" i="45" s="1"/>
  <c r="BG181" i="45" s="1"/>
  <c r="BH79" i="45"/>
  <c r="BH78" i="45" s="1"/>
  <c r="BH181" i="45" s="1"/>
  <c r="BI79" i="45"/>
  <c r="BI78" i="45" s="1"/>
  <c r="BI181" i="45" s="1"/>
  <c r="BJ79" i="45"/>
  <c r="BJ78" i="45" s="1"/>
  <c r="BJ181" i="45" s="1"/>
  <c r="BK79" i="45"/>
  <c r="BK78" i="45" s="1"/>
  <c r="BK181" i="45" s="1"/>
  <c r="AG82" i="45"/>
  <c r="AG197" i="45" s="1"/>
  <c r="AH82" i="45"/>
  <c r="AH197" i="45" s="1"/>
  <c r="AJ82" i="45"/>
  <c r="AJ197" i="45" s="1"/>
  <c r="AK82" i="45"/>
  <c r="AK197" i="45" s="1"/>
  <c r="AN82" i="45"/>
  <c r="AN197" i="45" s="1"/>
  <c r="AO82" i="45"/>
  <c r="AO197" i="45" s="1"/>
  <c r="AR82" i="45"/>
  <c r="AR197" i="45" s="1"/>
  <c r="AS82" i="45"/>
  <c r="AS197" i="45" s="1"/>
  <c r="AT82" i="45"/>
  <c r="AT197" i="45" s="1"/>
  <c r="AU82" i="45"/>
  <c r="AU197" i="45" s="1"/>
  <c r="AV82" i="45"/>
  <c r="AV197" i="45" s="1"/>
  <c r="AW82" i="45"/>
  <c r="AW197" i="45" s="1"/>
  <c r="AX82" i="45"/>
  <c r="AX197" i="45" s="1"/>
  <c r="AY82" i="45"/>
  <c r="AY197" i="45" s="1"/>
  <c r="AZ82" i="45"/>
  <c r="AZ197" i="45" s="1"/>
  <c r="BA82" i="45"/>
  <c r="BA197" i="45" s="1"/>
  <c r="BB82" i="45"/>
  <c r="BB197" i="45" s="1"/>
  <c r="BC82" i="45"/>
  <c r="BC197" i="45" s="1"/>
  <c r="BD82" i="45"/>
  <c r="BD197" i="45" s="1"/>
  <c r="BE82" i="45"/>
  <c r="BE197" i="45" s="1"/>
  <c r="BF82" i="45"/>
  <c r="BF197" i="45" s="1"/>
  <c r="BG82" i="45"/>
  <c r="BG197" i="45" s="1"/>
  <c r="BH82" i="45"/>
  <c r="BH197" i="45" s="1"/>
  <c r="BI82" i="45"/>
  <c r="BI197" i="45" s="1"/>
  <c r="BJ82" i="45"/>
  <c r="BJ197" i="45" s="1"/>
  <c r="BK82" i="45"/>
  <c r="BK197" i="45" s="1"/>
  <c r="AG86" i="45"/>
  <c r="AG84" i="45" s="1"/>
  <c r="AG182" i="45" s="1"/>
  <c r="AH86" i="45"/>
  <c r="AH84" i="45" s="1"/>
  <c r="AH182" i="45" s="1"/>
  <c r="AJ86" i="45"/>
  <c r="AJ84" i="45" s="1"/>
  <c r="AJ182" i="45" s="1"/>
  <c r="AK86" i="45"/>
  <c r="AK84" i="45" s="1"/>
  <c r="AK182" i="45" s="1"/>
  <c r="AN86" i="45"/>
  <c r="AN84" i="45" s="1"/>
  <c r="AO86" i="45"/>
  <c r="AO84" i="45" s="1"/>
  <c r="AO205" i="45" s="1"/>
  <c r="AP86" i="45"/>
  <c r="AP84" i="45" s="1"/>
  <c r="AP182" i="45" s="1"/>
  <c r="AQ86" i="45"/>
  <c r="AQ84" i="45" s="1"/>
  <c r="AR86" i="45"/>
  <c r="AR84" i="45" s="1"/>
  <c r="AS86" i="45"/>
  <c r="AS84" i="45" s="1"/>
  <c r="AT86" i="45"/>
  <c r="AT84" i="45" s="1"/>
  <c r="AU86" i="45"/>
  <c r="AU84" i="45" s="1"/>
  <c r="AU182" i="45" s="1"/>
  <c r="AV86" i="45"/>
  <c r="AV84" i="45" s="1"/>
  <c r="AW86" i="45"/>
  <c r="AW84" i="45" s="1"/>
  <c r="AX86" i="45"/>
  <c r="AX84" i="45" s="1"/>
  <c r="AY86" i="45"/>
  <c r="AY84" i="45" s="1"/>
  <c r="AZ86" i="45"/>
  <c r="AZ84" i="45" s="1"/>
  <c r="BA86" i="45"/>
  <c r="BA84" i="45" s="1"/>
  <c r="BB86" i="45"/>
  <c r="BB84" i="45" s="1"/>
  <c r="BC86" i="45"/>
  <c r="BC84" i="45" s="1"/>
  <c r="BD86" i="45"/>
  <c r="BD84" i="45" s="1"/>
  <c r="BE86" i="45"/>
  <c r="BE84" i="45" s="1"/>
  <c r="BF86" i="45"/>
  <c r="BF84" i="45" s="1"/>
  <c r="BG86" i="45"/>
  <c r="BG84" i="45" s="1"/>
  <c r="BH86" i="45"/>
  <c r="BH84" i="45" s="1"/>
  <c r="BI86" i="45"/>
  <c r="BI84" i="45" s="1"/>
  <c r="BJ86" i="45"/>
  <c r="BJ84" i="45" s="1"/>
  <c r="BK86" i="45"/>
  <c r="BK84" i="45" s="1"/>
  <c r="AG105" i="45"/>
  <c r="AG104" i="45" s="1"/>
  <c r="AG88" i="45" s="1"/>
  <c r="AG509" i="45" s="1"/>
  <c r="AH105" i="45"/>
  <c r="AH104" i="45" s="1"/>
  <c r="AH88" i="45" s="1"/>
  <c r="AH509" i="45" s="1"/>
  <c r="AJ105" i="45"/>
  <c r="AJ104" i="45" s="1"/>
  <c r="AJ88" i="45" s="1"/>
  <c r="AJ509" i="45" s="1"/>
  <c r="AK105" i="45"/>
  <c r="AK104" i="45" s="1"/>
  <c r="AK88" i="45" s="1"/>
  <c r="AK509" i="45" s="1"/>
  <c r="AN105" i="45"/>
  <c r="AN104" i="45" s="1"/>
  <c r="AN88" i="45" s="1"/>
  <c r="AN509" i="45" s="1"/>
  <c r="AO105" i="45"/>
  <c r="AO104" i="45" s="1"/>
  <c r="AO88" i="45" s="1"/>
  <c r="AO509" i="45" s="1"/>
  <c r="AP105" i="45"/>
  <c r="AP104" i="45" s="1"/>
  <c r="AP88" i="45" s="1"/>
  <c r="AP509" i="45" s="1"/>
  <c r="AQ105" i="45"/>
  <c r="AQ104" i="45" s="1"/>
  <c r="AQ88" i="45" s="1"/>
  <c r="AQ509" i="45" s="1"/>
  <c r="AR105" i="45"/>
  <c r="AR104" i="45" s="1"/>
  <c r="AR88" i="45" s="1"/>
  <c r="AR509" i="45" s="1"/>
  <c r="AS105" i="45"/>
  <c r="AS104" i="45" s="1"/>
  <c r="AS88" i="45" s="1"/>
  <c r="AS509" i="45" s="1"/>
  <c r="AT105" i="45"/>
  <c r="AT104" i="45" s="1"/>
  <c r="AT88" i="45" s="1"/>
  <c r="AT509" i="45" s="1"/>
  <c r="AU105" i="45"/>
  <c r="AU104" i="45" s="1"/>
  <c r="AU88" i="45" s="1"/>
  <c r="AU509" i="45" s="1"/>
  <c r="AV105" i="45"/>
  <c r="AV104" i="45" s="1"/>
  <c r="AV88" i="45" s="1"/>
  <c r="AV509" i="45" s="1"/>
  <c r="AW105" i="45"/>
  <c r="AW104" i="45" s="1"/>
  <c r="AW88" i="45" s="1"/>
  <c r="AW509" i="45" s="1"/>
  <c r="AX105" i="45"/>
  <c r="AX104" i="45" s="1"/>
  <c r="AX88" i="45" s="1"/>
  <c r="AX509" i="45" s="1"/>
  <c r="AY105" i="45"/>
  <c r="AY104" i="45" s="1"/>
  <c r="AY88" i="45" s="1"/>
  <c r="AY509" i="45" s="1"/>
  <c r="AZ105" i="45"/>
  <c r="AZ104" i="45" s="1"/>
  <c r="AZ88" i="45" s="1"/>
  <c r="AZ509" i="45" s="1"/>
  <c r="BA105" i="45"/>
  <c r="BA104" i="45" s="1"/>
  <c r="BA88" i="45" s="1"/>
  <c r="BA509" i="45" s="1"/>
  <c r="BB105" i="45"/>
  <c r="BB104" i="45" s="1"/>
  <c r="BB88" i="45" s="1"/>
  <c r="BB509" i="45" s="1"/>
  <c r="BC105" i="45"/>
  <c r="BC104" i="45" s="1"/>
  <c r="BC88" i="45" s="1"/>
  <c r="BC509" i="45" s="1"/>
  <c r="BD105" i="45"/>
  <c r="BD104" i="45" s="1"/>
  <c r="BD88" i="45" s="1"/>
  <c r="BD509" i="45" s="1"/>
  <c r="BE105" i="45"/>
  <c r="BE104" i="45" s="1"/>
  <c r="BE88" i="45" s="1"/>
  <c r="BE509" i="45" s="1"/>
  <c r="BF105" i="45"/>
  <c r="BF104" i="45" s="1"/>
  <c r="BF88" i="45" s="1"/>
  <c r="BF509" i="45" s="1"/>
  <c r="BG105" i="45"/>
  <c r="BG104" i="45" s="1"/>
  <c r="BG88" i="45" s="1"/>
  <c r="BG509" i="45" s="1"/>
  <c r="BH105" i="45"/>
  <c r="BH104" i="45" s="1"/>
  <c r="BH88" i="45" s="1"/>
  <c r="BI105" i="45"/>
  <c r="BI104" i="45" s="1"/>
  <c r="BI88" i="45" s="1"/>
  <c r="BI509" i="45" s="1"/>
  <c r="BJ105" i="45"/>
  <c r="BJ104" i="45" s="1"/>
  <c r="BJ88" i="45" s="1"/>
  <c r="BJ509" i="45" s="1"/>
  <c r="AG96" i="45"/>
  <c r="AG93" i="45" s="1"/>
  <c r="AH96" i="45"/>
  <c r="AH93" i="45" s="1"/>
  <c r="AJ96" i="45"/>
  <c r="AJ93" i="45" s="1"/>
  <c r="AK96" i="45"/>
  <c r="AK93" i="45" s="1"/>
  <c r="AN96" i="45"/>
  <c r="AN93" i="45" s="1"/>
  <c r="AO96" i="45"/>
  <c r="AO93" i="45" s="1"/>
  <c r="AP96" i="45"/>
  <c r="AP93" i="45" s="1"/>
  <c r="AS96" i="45"/>
  <c r="AS93" i="45" s="1"/>
  <c r="AU96" i="45"/>
  <c r="AU93" i="45" s="1"/>
  <c r="AV96" i="45"/>
  <c r="AV93" i="45" s="1"/>
  <c r="AW96" i="45"/>
  <c r="AW93" i="45" s="1"/>
  <c r="AX96" i="45"/>
  <c r="AX93" i="45" s="1"/>
  <c r="AZ96" i="45"/>
  <c r="AZ93" i="45" s="1"/>
  <c r="BA96" i="45"/>
  <c r="BA93" i="45" s="1"/>
  <c r="BB96" i="45"/>
  <c r="BB93" i="45" s="1"/>
  <c r="BD96" i="45"/>
  <c r="BD93" i="45" s="1"/>
  <c r="BE96" i="45"/>
  <c r="BE93" i="45" s="1"/>
  <c r="BF96" i="45"/>
  <c r="BF93" i="45" s="1"/>
  <c r="BG96" i="45"/>
  <c r="BG93" i="45" s="1"/>
  <c r="BH96" i="45"/>
  <c r="BH93" i="45" s="1"/>
  <c r="BI96" i="45"/>
  <c r="BI93" i="45" s="1"/>
  <c r="BJ96" i="45"/>
  <c r="BJ93" i="45" s="1"/>
  <c r="AF105" i="45"/>
  <c r="AF104" i="45" s="1"/>
  <c r="AF88" i="45" s="1"/>
  <c r="AF509" i="45" s="1"/>
  <c r="AF96" i="45"/>
  <c r="AF93" i="45" s="1"/>
  <c r="AF86" i="45"/>
  <c r="AF84" i="45" s="1"/>
  <c r="AF82" i="45"/>
  <c r="AF197" i="45" s="1"/>
  <c r="AF79" i="45"/>
  <c r="AF78" i="45" s="1"/>
  <c r="AF181" i="45" s="1"/>
  <c r="AF65" i="45"/>
  <c r="AF50" i="45"/>
  <c r="AF39" i="45"/>
  <c r="AF36" i="45"/>
  <c r="AF35" i="45"/>
  <c r="BK747" i="45"/>
  <c r="BJ747" i="45"/>
  <c r="BI747" i="45"/>
  <c r="BH747" i="45"/>
  <c r="BG747" i="45"/>
  <c r="BF747" i="45"/>
  <c r="BE747" i="45"/>
  <c r="BD747" i="45"/>
  <c r="BC747" i="45"/>
  <c r="BB747" i="45"/>
  <c r="BA747" i="45"/>
  <c r="AZ747" i="45"/>
  <c r="AY747" i="45"/>
  <c r="AX747" i="45"/>
  <c r="AW747" i="45"/>
  <c r="AV747" i="45"/>
  <c r="AU747" i="45"/>
  <c r="AT747" i="45"/>
  <c r="AS747" i="45"/>
  <c r="AR747" i="45"/>
  <c r="AQ747" i="45"/>
  <c r="AP747" i="45"/>
  <c r="AO747" i="45"/>
  <c r="AN747" i="45"/>
  <c r="AL747" i="45"/>
  <c r="AK747" i="45"/>
  <c r="AJ747" i="45"/>
  <c r="AI747" i="45"/>
  <c r="AH747" i="45"/>
  <c r="AG747" i="45"/>
  <c r="AF747" i="45"/>
  <c r="BK746" i="45"/>
  <c r="BJ746" i="45"/>
  <c r="BI746" i="45"/>
  <c r="BH746" i="45"/>
  <c r="BG746" i="45"/>
  <c r="BF746" i="45"/>
  <c r="BE746" i="45"/>
  <c r="BD746" i="45"/>
  <c r="BC746" i="45"/>
  <c r="BB746" i="45"/>
  <c r="BA746" i="45"/>
  <c r="AZ746" i="45"/>
  <c r="AY746" i="45"/>
  <c r="AX746" i="45"/>
  <c r="AW746" i="45"/>
  <c r="AV746" i="45"/>
  <c r="AU746" i="45"/>
  <c r="AT746" i="45"/>
  <c r="AS746" i="45"/>
  <c r="AR746" i="45"/>
  <c r="AQ746" i="45"/>
  <c r="AP746" i="45"/>
  <c r="AO746" i="45"/>
  <c r="AN746" i="45"/>
  <c r="AL746" i="45"/>
  <c r="AK746" i="45"/>
  <c r="AJ746" i="45"/>
  <c r="AI746" i="45"/>
  <c r="AH746" i="45"/>
  <c r="AG746" i="45"/>
  <c r="AF746" i="45"/>
  <c r="BK745" i="45"/>
  <c r="BJ745" i="45"/>
  <c r="BI745" i="45"/>
  <c r="BH745" i="45"/>
  <c r="BG745" i="45"/>
  <c r="BF745" i="45"/>
  <c r="BE745" i="45"/>
  <c r="BD745" i="45"/>
  <c r="BC745" i="45"/>
  <c r="BB745" i="45"/>
  <c r="BA745" i="45"/>
  <c r="AZ745" i="45"/>
  <c r="AY745" i="45"/>
  <c r="AX745" i="45"/>
  <c r="AW745" i="45"/>
  <c r="AV745" i="45"/>
  <c r="AU745" i="45"/>
  <c r="AT745" i="45"/>
  <c r="AS745" i="45"/>
  <c r="AR745" i="45"/>
  <c r="AQ745" i="45"/>
  <c r="AP745" i="45"/>
  <c r="AO745" i="45"/>
  <c r="AN745" i="45"/>
  <c r="AL745" i="45"/>
  <c r="AK745" i="45"/>
  <c r="AJ745" i="45"/>
  <c r="AI745" i="45"/>
  <c r="AH745" i="45"/>
  <c r="AG745" i="45"/>
  <c r="AF745" i="45"/>
  <c r="BK744" i="45"/>
  <c r="BJ744" i="45"/>
  <c r="BI744" i="45"/>
  <c r="BH744" i="45"/>
  <c r="BG744" i="45"/>
  <c r="BF744" i="45"/>
  <c r="BE744" i="45"/>
  <c r="BD744" i="45"/>
  <c r="BC744" i="45"/>
  <c r="BB744" i="45"/>
  <c r="BA744" i="45"/>
  <c r="AZ744" i="45"/>
  <c r="AY744" i="45"/>
  <c r="AX744" i="45"/>
  <c r="AW744" i="45"/>
  <c r="AV744" i="45"/>
  <c r="AU744" i="45"/>
  <c r="AT744" i="45"/>
  <c r="AS744" i="45"/>
  <c r="AR744" i="45"/>
  <c r="AQ744" i="45"/>
  <c r="AP744" i="45"/>
  <c r="AO744" i="45"/>
  <c r="AN744" i="45"/>
  <c r="AL744" i="45"/>
  <c r="AK744" i="45"/>
  <c r="AJ744" i="45"/>
  <c r="AI744" i="45"/>
  <c r="AH744" i="45"/>
  <c r="AG744" i="45"/>
  <c r="AF744" i="45"/>
  <c r="BK743" i="45"/>
  <c r="BJ743" i="45"/>
  <c r="BI743" i="45"/>
  <c r="BH743" i="45"/>
  <c r="BG743" i="45"/>
  <c r="BF743" i="45"/>
  <c r="BE743" i="45"/>
  <c r="BD743" i="45"/>
  <c r="BC743" i="45"/>
  <c r="BB743" i="45"/>
  <c r="BA743" i="45"/>
  <c r="AZ743" i="45"/>
  <c r="AY743" i="45"/>
  <c r="AX743" i="45"/>
  <c r="AW743" i="45"/>
  <c r="AV743" i="45"/>
  <c r="AU743" i="45"/>
  <c r="AT743" i="45"/>
  <c r="AS743" i="45"/>
  <c r="AR743" i="45"/>
  <c r="AQ743" i="45"/>
  <c r="AP743" i="45"/>
  <c r="AO743" i="45"/>
  <c r="AN743" i="45"/>
  <c r="AL743" i="45"/>
  <c r="AK743" i="45"/>
  <c r="AJ743" i="45"/>
  <c r="AI743" i="45"/>
  <c r="AH743" i="45"/>
  <c r="AG743" i="45"/>
  <c r="AF743" i="45"/>
  <c r="BK739" i="45"/>
  <c r="BJ739" i="45"/>
  <c r="BI739" i="45"/>
  <c r="BH739" i="45"/>
  <c r="BG739" i="45"/>
  <c r="BF739" i="45"/>
  <c r="BE739" i="45"/>
  <c r="BD739" i="45"/>
  <c r="BC739" i="45"/>
  <c r="BB739" i="45"/>
  <c r="BA739" i="45"/>
  <c r="AZ739" i="45"/>
  <c r="AY739" i="45"/>
  <c r="AX739" i="45"/>
  <c r="AW739" i="45"/>
  <c r="AV739" i="45"/>
  <c r="AU739" i="45"/>
  <c r="AT739" i="45"/>
  <c r="AS739" i="45"/>
  <c r="AR739" i="45"/>
  <c r="AQ739" i="45"/>
  <c r="AP739" i="45"/>
  <c r="AO739" i="45"/>
  <c r="AN739" i="45"/>
  <c r="AL739" i="45"/>
  <c r="AK739" i="45"/>
  <c r="AJ739" i="45"/>
  <c r="AI739" i="45"/>
  <c r="AH739" i="45"/>
  <c r="AG739" i="45"/>
  <c r="AF739" i="45"/>
  <c r="BK738" i="45"/>
  <c r="BJ738" i="45"/>
  <c r="BI738" i="45"/>
  <c r="BH738" i="45"/>
  <c r="BG738" i="45"/>
  <c r="BF738" i="45"/>
  <c r="BE738" i="45"/>
  <c r="BD738" i="45"/>
  <c r="BC738" i="45"/>
  <c r="BB738" i="45"/>
  <c r="BA738" i="45"/>
  <c r="AZ738" i="45"/>
  <c r="AY738" i="45"/>
  <c r="AX738" i="45"/>
  <c r="AW738" i="45"/>
  <c r="AV738" i="45"/>
  <c r="AU738" i="45"/>
  <c r="AT738" i="45"/>
  <c r="AS738" i="45"/>
  <c r="AR738" i="45"/>
  <c r="AQ738" i="45"/>
  <c r="AP738" i="45"/>
  <c r="AO738" i="45"/>
  <c r="AN738" i="45"/>
  <c r="AL738" i="45"/>
  <c r="AK738" i="45"/>
  <c r="AJ738" i="45"/>
  <c r="AI738" i="45"/>
  <c r="AH738" i="45"/>
  <c r="AG738" i="45"/>
  <c r="AF738" i="45"/>
  <c r="BK737" i="45"/>
  <c r="BJ737" i="45"/>
  <c r="BI737" i="45"/>
  <c r="BH737" i="45"/>
  <c r="BG737" i="45"/>
  <c r="BF737" i="45"/>
  <c r="BE737" i="45"/>
  <c r="BD737" i="45"/>
  <c r="BC737" i="45"/>
  <c r="BB737" i="45"/>
  <c r="BA737" i="45"/>
  <c r="AZ737" i="45"/>
  <c r="AY737" i="45"/>
  <c r="AX737" i="45"/>
  <c r="AW737" i="45"/>
  <c r="AV737" i="45"/>
  <c r="AU737" i="45"/>
  <c r="AT737" i="45"/>
  <c r="AS737" i="45"/>
  <c r="AR737" i="45"/>
  <c r="AQ737" i="45"/>
  <c r="AP737" i="45"/>
  <c r="AO737" i="45"/>
  <c r="AN737" i="45"/>
  <c r="AL737" i="45"/>
  <c r="AK737" i="45"/>
  <c r="AJ737" i="45"/>
  <c r="AI737" i="45"/>
  <c r="AH737" i="45"/>
  <c r="AG737" i="45"/>
  <c r="AF737" i="45"/>
  <c r="BK736" i="45"/>
  <c r="BJ736" i="45"/>
  <c r="BI736" i="45"/>
  <c r="BH736" i="45"/>
  <c r="BG736" i="45"/>
  <c r="BF736" i="45"/>
  <c r="BE736" i="45"/>
  <c r="BD736" i="45"/>
  <c r="BC736" i="45"/>
  <c r="BB736" i="45"/>
  <c r="BA736" i="45"/>
  <c r="AZ736" i="45"/>
  <c r="AY736" i="45"/>
  <c r="AX736" i="45"/>
  <c r="AW736" i="45"/>
  <c r="AV736" i="45"/>
  <c r="AU736" i="45"/>
  <c r="AT736" i="45"/>
  <c r="AS736" i="45"/>
  <c r="AR736" i="45"/>
  <c r="AQ736" i="45"/>
  <c r="AP736" i="45"/>
  <c r="AO736" i="45"/>
  <c r="AN736" i="45"/>
  <c r="AL736" i="45"/>
  <c r="AK736" i="45"/>
  <c r="AJ736" i="45"/>
  <c r="AI736" i="45"/>
  <c r="AH736" i="45"/>
  <c r="AG736" i="45"/>
  <c r="AF736" i="45"/>
  <c r="BK735" i="45"/>
  <c r="BJ735" i="45"/>
  <c r="BI735" i="45"/>
  <c r="BH735" i="45"/>
  <c r="BG735" i="45"/>
  <c r="BF735" i="45"/>
  <c r="BE735" i="45"/>
  <c r="BD735" i="45"/>
  <c r="BC735" i="45"/>
  <c r="BB735" i="45"/>
  <c r="BA735" i="45"/>
  <c r="AZ735" i="45"/>
  <c r="AY735" i="45"/>
  <c r="AX735" i="45"/>
  <c r="AW735" i="45"/>
  <c r="AV735" i="45"/>
  <c r="AU735" i="45"/>
  <c r="AT735" i="45"/>
  <c r="AS735" i="45"/>
  <c r="AR735" i="45"/>
  <c r="AQ735" i="45"/>
  <c r="AP735" i="45"/>
  <c r="AO735" i="45"/>
  <c r="AN735" i="45"/>
  <c r="AL735" i="45"/>
  <c r="AK735" i="45"/>
  <c r="AJ735" i="45"/>
  <c r="AI735" i="45"/>
  <c r="AH735" i="45"/>
  <c r="AG735" i="45"/>
  <c r="AF735" i="45"/>
  <c r="BK731" i="45"/>
  <c r="BJ731" i="45"/>
  <c r="BI731" i="45"/>
  <c r="BH731" i="45"/>
  <c r="BG731" i="45"/>
  <c r="BF731" i="45"/>
  <c r="BE731" i="45"/>
  <c r="BD731" i="45"/>
  <c r="BC731" i="45"/>
  <c r="BB731" i="45"/>
  <c r="BA731" i="45"/>
  <c r="AZ731" i="45"/>
  <c r="AY731" i="45"/>
  <c r="AX731" i="45"/>
  <c r="AW731" i="45"/>
  <c r="AV731" i="45"/>
  <c r="AU731" i="45"/>
  <c r="AT731" i="45"/>
  <c r="AS731" i="45"/>
  <c r="AR731" i="45"/>
  <c r="AQ731" i="45"/>
  <c r="AP731" i="45"/>
  <c r="AO731" i="45"/>
  <c r="AN731" i="45"/>
  <c r="AL731" i="45"/>
  <c r="AK731" i="45"/>
  <c r="AJ731" i="45"/>
  <c r="AI731" i="45"/>
  <c r="AH731" i="45"/>
  <c r="AG731" i="45"/>
  <c r="AF731" i="45"/>
  <c r="BK730" i="45"/>
  <c r="BJ730" i="45"/>
  <c r="BI730" i="45"/>
  <c r="BH730" i="45"/>
  <c r="BG730" i="45"/>
  <c r="BF730" i="45"/>
  <c r="BE730" i="45"/>
  <c r="BD730" i="45"/>
  <c r="BC730" i="45"/>
  <c r="BB730" i="45"/>
  <c r="BA730" i="45"/>
  <c r="AZ730" i="45"/>
  <c r="AY730" i="45"/>
  <c r="AX730" i="45"/>
  <c r="AW730" i="45"/>
  <c r="AV730" i="45"/>
  <c r="AU730" i="45"/>
  <c r="AT730" i="45"/>
  <c r="AS730" i="45"/>
  <c r="AR730" i="45"/>
  <c r="AQ730" i="45"/>
  <c r="AP730" i="45"/>
  <c r="AO730" i="45"/>
  <c r="AN730" i="45"/>
  <c r="AL730" i="45"/>
  <c r="AK730" i="45"/>
  <c r="AJ730" i="45"/>
  <c r="AI730" i="45"/>
  <c r="AH730" i="45"/>
  <c r="AG730" i="45"/>
  <c r="AF730" i="45"/>
  <c r="BK729" i="45"/>
  <c r="BJ729" i="45"/>
  <c r="BI729" i="45"/>
  <c r="BH729" i="45"/>
  <c r="BG729" i="45"/>
  <c r="BF729" i="45"/>
  <c r="BE729" i="45"/>
  <c r="BD729" i="45"/>
  <c r="BC729" i="45"/>
  <c r="BB729" i="45"/>
  <c r="BA729" i="45"/>
  <c r="AZ729" i="45"/>
  <c r="AY729" i="45"/>
  <c r="AX729" i="45"/>
  <c r="AW729" i="45"/>
  <c r="AV729" i="45"/>
  <c r="AU729" i="45"/>
  <c r="AT729" i="45"/>
  <c r="AS729" i="45"/>
  <c r="AR729" i="45"/>
  <c r="AQ729" i="45"/>
  <c r="AP729" i="45"/>
  <c r="AO729" i="45"/>
  <c r="AN729" i="45"/>
  <c r="AL729" i="45"/>
  <c r="AK729" i="45"/>
  <c r="AJ729" i="45"/>
  <c r="AI729" i="45"/>
  <c r="AH729" i="45"/>
  <c r="AG729" i="45"/>
  <c r="AF729" i="45"/>
  <c r="BK728" i="45"/>
  <c r="BJ728" i="45"/>
  <c r="BI728" i="45"/>
  <c r="BH728" i="45"/>
  <c r="BG728" i="45"/>
  <c r="BF728" i="45"/>
  <c r="BE728" i="45"/>
  <c r="BD728" i="45"/>
  <c r="BC728" i="45"/>
  <c r="BB728" i="45"/>
  <c r="BA728" i="45"/>
  <c r="AZ728" i="45"/>
  <c r="AY728" i="45"/>
  <c r="AX728" i="45"/>
  <c r="AW728" i="45"/>
  <c r="AV728" i="45"/>
  <c r="AU728" i="45"/>
  <c r="AT728" i="45"/>
  <c r="AS728" i="45"/>
  <c r="AR728" i="45"/>
  <c r="AQ728" i="45"/>
  <c r="AP728" i="45"/>
  <c r="AO728" i="45"/>
  <c r="AN728" i="45"/>
  <c r="AL728" i="45"/>
  <c r="AK728" i="45"/>
  <c r="AJ728" i="45"/>
  <c r="AI728" i="45"/>
  <c r="AH728" i="45"/>
  <c r="AG728" i="45"/>
  <c r="AF728" i="45"/>
  <c r="BK727" i="45"/>
  <c r="BJ727" i="45"/>
  <c r="BI727" i="45"/>
  <c r="BH727" i="45"/>
  <c r="BG727" i="45"/>
  <c r="BF727" i="45"/>
  <c r="BE727" i="45"/>
  <c r="BD727" i="45"/>
  <c r="BC727" i="45"/>
  <c r="BB727" i="45"/>
  <c r="BA727" i="45"/>
  <c r="AZ727" i="45"/>
  <c r="AY727" i="45"/>
  <c r="AX727" i="45"/>
  <c r="AW727" i="45"/>
  <c r="AV727" i="45"/>
  <c r="AU727" i="45"/>
  <c r="AT727" i="45"/>
  <c r="AS727" i="45"/>
  <c r="AR727" i="45"/>
  <c r="AQ727" i="45"/>
  <c r="AP727" i="45"/>
  <c r="AO727" i="45"/>
  <c r="AN727" i="45"/>
  <c r="AL727" i="45"/>
  <c r="AK727" i="45"/>
  <c r="AJ727" i="45"/>
  <c r="AI727" i="45"/>
  <c r="AH727" i="45"/>
  <c r="AG727" i="45"/>
  <c r="AF727" i="45"/>
  <c r="BK724" i="45"/>
  <c r="BJ724" i="45"/>
  <c r="BI724" i="45"/>
  <c r="BH724" i="45"/>
  <c r="BG724" i="45"/>
  <c r="BF724" i="45"/>
  <c r="BE724" i="45"/>
  <c r="BD724" i="45"/>
  <c r="BC724" i="45"/>
  <c r="BB724" i="45"/>
  <c r="BA724" i="45"/>
  <c r="AZ724" i="45"/>
  <c r="AY724" i="45"/>
  <c r="AX724" i="45"/>
  <c r="AW724" i="45"/>
  <c r="AV724" i="45"/>
  <c r="AU724" i="45"/>
  <c r="AT724" i="45"/>
  <c r="AS724" i="45"/>
  <c r="AR724" i="45"/>
  <c r="AQ724" i="45"/>
  <c r="AP724" i="45"/>
  <c r="AO724" i="45"/>
  <c r="AN724" i="45"/>
  <c r="AL724" i="45"/>
  <c r="AK724" i="45"/>
  <c r="AJ724" i="45"/>
  <c r="AI724" i="45"/>
  <c r="AH724" i="45"/>
  <c r="AG724" i="45"/>
  <c r="AF724" i="45"/>
  <c r="BK723" i="45"/>
  <c r="BJ723" i="45"/>
  <c r="BI723" i="45"/>
  <c r="BH723" i="45"/>
  <c r="BG723" i="45"/>
  <c r="BF723" i="45"/>
  <c r="BE723" i="45"/>
  <c r="BD723" i="45"/>
  <c r="BC723" i="45"/>
  <c r="BB723" i="45"/>
  <c r="BA723" i="45"/>
  <c r="AZ723" i="45"/>
  <c r="AY723" i="45"/>
  <c r="AX723" i="45"/>
  <c r="AW723" i="45"/>
  <c r="AV723" i="45"/>
  <c r="AU723" i="45"/>
  <c r="AT723" i="45"/>
  <c r="AS723" i="45"/>
  <c r="AR723" i="45"/>
  <c r="AQ723" i="45"/>
  <c r="AP723" i="45"/>
  <c r="AO723" i="45"/>
  <c r="AN723" i="45"/>
  <c r="AL723" i="45"/>
  <c r="AK723" i="45"/>
  <c r="AJ723" i="45"/>
  <c r="AI723" i="45"/>
  <c r="AH723" i="45"/>
  <c r="AG723" i="45"/>
  <c r="AF723" i="45"/>
  <c r="BK722" i="45"/>
  <c r="BJ722" i="45"/>
  <c r="BI722" i="45"/>
  <c r="BH722" i="45"/>
  <c r="BG722" i="45"/>
  <c r="BF722" i="45"/>
  <c r="BE722" i="45"/>
  <c r="BD722" i="45"/>
  <c r="BC722" i="45"/>
  <c r="BB722" i="45"/>
  <c r="BA722" i="45"/>
  <c r="AZ722" i="45"/>
  <c r="AY722" i="45"/>
  <c r="AX722" i="45"/>
  <c r="AW722" i="45"/>
  <c r="AV722" i="45"/>
  <c r="AU722" i="45"/>
  <c r="AT722" i="45"/>
  <c r="AS722" i="45"/>
  <c r="AR722" i="45"/>
  <c r="AQ722" i="45"/>
  <c r="AP722" i="45"/>
  <c r="AO722" i="45"/>
  <c r="AN722" i="45"/>
  <c r="AL722" i="45"/>
  <c r="AK722" i="45"/>
  <c r="AJ722" i="45"/>
  <c r="AI722" i="45"/>
  <c r="AH722" i="45"/>
  <c r="AG722" i="45"/>
  <c r="AF722" i="45"/>
  <c r="BK721" i="45"/>
  <c r="BJ721" i="45"/>
  <c r="BI721" i="45"/>
  <c r="BH721" i="45"/>
  <c r="BG721" i="45"/>
  <c r="BF721" i="45"/>
  <c r="BE721" i="45"/>
  <c r="BD721" i="45"/>
  <c r="BC721" i="45"/>
  <c r="BB721" i="45"/>
  <c r="BA721" i="45"/>
  <c r="AZ721" i="45"/>
  <c r="AY721" i="45"/>
  <c r="AX721" i="45"/>
  <c r="AW721" i="45"/>
  <c r="AV721" i="45"/>
  <c r="AU721" i="45"/>
  <c r="AT721" i="45"/>
  <c r="AS721" i="45"/>
  <c r="AR721" i="45"/>
  <c r="AQ721" i="45"/>
  <c r="AP721" i="45"/>
  <c r="AO721" i="45"/>
  <c r="AN721" i="45"/>
  <c r="AL721" i="45"/>
  <c r="AK721" i="45"/>
  <c r="AJ721" i="45"/>
  <c r="AI721" i="45"/>
  <c r="AH721" i="45"/>
  <c r="AG721" i="45"/>
  <c r="AF721" i="45"/>
  <c r="BK720" i="45"/>
  <c r="BJ720" i="45"/>
  <c r="BI720" i="45"/>
  <c r="BH720" i="45"/>
  <c r="BG720" i="45"/>
  <c r="BF720" i="45"/>
  <c r="BE720" i="45"/>
  <c r="BD720" i="45"/>
  <c r="BC720" i="45"/>
  <c r="BB720" i="45"/>
  <c r="BA720" i="45"/>
  <c r="AZ720" i="45"/>
  <c r="AY720" i="45"/>
  <c r="AX720" i="45"/>
  <c r="AW720" i="45"/>
  <c r="AV720" i="45"/>
  <c r="AU720" i="45"/>
  <c r="AT720" i="45"/>
  <c r="AS720" i="45"/>
  <c r="AR720" i="45"/>
  <c r="AQ720" i="45"/>
  <c r="AP720" i="45"/>
  <c r="AO720" i="45"/>
  <c r="AN720" i="45"/>
  <c r="AL720" i="45"/>
  <c r="AK720" i="45"/>
  <c r="AJ720" i="45"/>
  <c r="AI720" i="45"/>
  <c r="AH720" i="45"/>
  <c r="AG720" i="45"/>
  <c r="AF720" i="45"/>
  <c r="BK717" i="45"/>
  <c r="BJ717" i="45"/>
  <c r="BI717" i="45"/>
  <c r="BH717" i="45"/>
  <c r="BG717" i="45"/>
  <c r="BF717" i="45"/>
  <c r="BE717" i="45"/>
  <c r="BD717" i="45"/>
  <c r="BC717" i="45"/>
  <c r="BB717" i="45"/>
  <c r="BA717" i="45"/>
  <c r="AZ717" i="45"/>
  <c r="AY717" i="45"/>
  <c r="AX717" i="45"/>
  <c r="AW717" i="45"/>
  <c r="AV717" i="45"/>
  <c r="AU717" i="45"/>
  <c r="AT717" i="45"/>
  <c r="AS717" i="45"/>
  <c r="AR717" i="45"/>
  <c r="AQ717" i="45"/>
  <c r="AP717" i="45"/>
  <c r="AO717" i="45"/>
  <c r="AN717" i="45"/>
  <c r="AL717" i="45"/>
  <c r="AK717" i="45"/>
  <c r="AJ717" i="45"/>
  <c r="AI717" i="45"/>
  <c r="AH717" i="45"/>
  <c r="AG717" i="45"/>
  <c r="AF717" i="45"/>
  <c r="BK716" i="45"/>
  <c r="BJ716" i="45"/>
  <c r="BI716" i="45"/>
  <c r="BH716" i="45"/>
  <c r="BG716" i="45"/>
  <c r="BF716" i="45"/>
  <c r="BE716" i="45"/>
  <c r="BD716" i="45"/>
  <c r="BC716" i="45"/>
  <c r="BB716" i="45"/>
  <c r="BA716" i="45"/>
  <c r="AZ716" i="45"/>
  <c r="AY716" i="45"/>
  <c r="AX716" i="45"/>
  <c r="AW716" i="45"/>
  <c r="AV716" i="45"/>
  <c r="AU716" i="45"/>
  <c r="AT716" i="45"/>
  <c r="AS716" i="45"/>
  <c r="AR716" i="45"/>
  <c r="AQ716" i="45"/>
  <c r="AP716" i="45"/>
  <c r="AO716" i="45"/>
  <c r="AN716" i="45"/>
  <c r="AL716" i="45"/>
  <c r="AK716" i="45"/>
  <c r="AJ716" i="45"/>
  <c r="AI716" i="45"/>
  <c r="AH716" i="45"/>
  <c r="AG716" i="45"/>
  <c r="AF716" i="45"/>
  <c r="BK715" i="45"/>
  <c r="BJ715" i="45"/>
  <c r="BI715" i="45"/>
  <c r="BH715" i="45"/>
  <c r="BG715" i="45"/>
  <c r="BF715" i="45"/>
  <c r="BE715" i="45"/>
  <c r="BD715" i="45"/>
  <c r="BC715" i="45"/>
  <c r="BB715" i="45"/>
  <c r="BA715" i="45"/>
  <c r="AZ715" i="45"/>
  <c r="AY715" i="45"/>
  <c r="AX715" i="45"/>
  <c r="AW715" i="45"/>
  <c r="AV715" i="45"/>
  <c r="AU715" i="45"/>
  <c r="AT715" i="45"/>
  <c r="AS715" i="45"/>
  <c r="AR715" i="45"/>
  <c r="AQ715" i="45"/>
  <c r="AP715" i="45"/>
  <c r="AO715" i="45"/>
  <c r="AN715" i="45"/>
  <c r="AL715" i="45"/>
  <c r="AK715" i="45"/>
  <c r="AJ715" i="45"/>
  <c r="AI715" i="45"/>
  <c r="AH715" i="45"/>
  <c r="AG715" i="45"/>
  <c r="AF715" i="45"/>
  <c r="BK714" i="45"/>
  <c r="BJ714" i="45"/>
  <c r="BI714" i="45"/>
  <c r="BH714" i="45"/>
  <c r="BG714" i="45"/>
  <c r="BF714" i="45"/>
  <c r="BE714" i="45"/>
  <c r="BD714" i="45"/>
  <c r="BC714" i="45"/>
  <c r="BB714" i="45"/>
  <c r="BA714" i="45"/>
  <c r="AZ714" i="45"/>
  <c r="AY714" i="45"/>
  <c r="AX714" i="45"/>
  <c r="AW714" i="45"/>
  <c r="AV714" i="45"/>
  <c r="AU714" i="45"/>
  <c r="AT714" i="45"/>
  <c r="AS714" i="45"/>
  <c r="AR714" i="45"/>
  <c r="AQ714" i="45"/>
  <c r="AP714" i="45"/>
  <c r="AO714" i="45"/>
  <c r="AN714" i="45"/>
  <c r="AL714" i="45"/>
  <c r="AK714" i="45"/>
  <c r="AJ714" i="45"/>
  <c r="AI714" i="45"/>
  <c r="AH714" i="45"/>
  <c r="AG714" i="45"/>
  <c r="AF714" i="45"/>
  <c r="BK713" i="45"/>
  <c r="BJ713" i="45"/>
  <c r="BI713" i="45"/>
  <c r="BH713" i="45"/>
  <c r="BG713" i="45"/>
  <c r="BF713" i="45"/>
  <c r="BE713" i="45"/>
  <c r="BD713" i="45"/>
  <c r="BC713" i="45"/>
  <c r="BB713" i="45"/>
  <c r="BA713" i="45"/>
  <c r="AZ713" i="45"/>
  <c r="AY713" i="45"/>
  <c r="AX713" i="45"/>
  <c r="AW713" i="45"/>
  <c r="AV713" i="45"/>
  <c r="AU713" i="45"/>
  <c r="AT713" i="45"/>
  <c r="AS713" i="45"/>
  <c r="AR713" i="45"/>
  <c r="AQ713" i="45"/>
  <c r="AP713" i="45"/>
  <c r="AO713" i="45"/>
  <c r="AN713" i="45"/>
  <c r="AL713" i="45"/>
  <c r="AK713" i="45"/>
  <c r="AJ713" i="45"/>
  <c r="AI713" i="45"/>
  <c r="AH713" i="45"/>
  <c r="AG713" i="45"/>
  <c r="AF713" i="45"/>
  <c r="BK710" i="45"/>
  <c r="BJ710" i="45"/>
  <c r="BI710" i="45"/>
  <c r="BH710" i="45"/>
  <c r="BG710" i="45"/>
  <c r="BF710" i="45"/>
  <c r="BE710" i="45"/>
  <c r="BD710" i="45"/>
  <c r="BC710" i="45"/>
  <c r="BB710" i="45"/>
  <c r="BA710" i="45"/>
  <c r="AZ710" i="45"/>
  <c r="AY710" i="45"/>
  <c r="AX710" i="45"/>
  <c r="AW710" i="45"/>
  <c r="AV710" i="45"/>
  <c r="AU710" i="45"/>
  <c r="AT710" i="45"/>
  <c r="AS710" i="45"/>
  <c r="AR710" i="45"/>
  <c r="AQ710" i="45"/>
  <c r="AP710" i="45"/>
  <c r="AO710" i="45"/>
  <c r="AN710" i="45"/>
  <c r="AL710" i="45"/>
  <c r="AK710" i="45"/>
  <c r="AJ710" i="45"/>
  <c r="AI710" i="45"/>
  <c r="AH710" i="45"/>
  <c r="AG710" i="45"/>
  <c r="AF710" i="45"/>
  <c r="BK709" i="45"/>
  <c r="BJ709" i="45"/>
  <c r="BI709" i="45"/>
  <c r="BH709" i="45"/>
  <c r="BG709" i="45"/>
  <c r="BF709" i="45"/>
  <c r="BE709" i="45"/>
  <c r="BD709" i="45"/>
  <c r="BC709" i="45"/>
  <c r="BB709" i="45"/>
  <c r="BA709" i="45"/>
  <c r="AZ709" i="45"/>
  <c r="AY709" i="45"/>
  <c r="AX709" i="45"/>
  <c r="AW709" i="45"/>
  <c r="AV709" i="45"/>
  <c r="AU709" i="45"/>
  <c r="AT709" i="45"/>
  <c r="AS709" i="45"/>
  <c r="AR709" i="45"/>
  <c r="AQ709" i="45"/>
  <c r="AP709" i="45"/>
  <c r="AO709" i="45"/>
  <c r="AN709" i="45"/>
  <c r="AL709" i="45"/>
  <c r="AK709" i="45"/>
  <c r="AJ709" i="45"/>
  <c r="AI709" i="45"/>
  <c r="AH709" i="45"/>
  <c r="AG709" i="45"/>
  <c r="AF709" i="45"/>
  <c r="BK708" i="45"/>
  <c r="BJ708" i="45"/>
  <c r="BI708" i="45"/>
  <c r="BH708" i="45"/>
  <c r="BG708" i="45"/>
  <c r="BF708" i="45"/>
  <c r="BE708" i="45"/>
  <c r="BD708" i="45"/>
  <c r="BC708" i="45"/>
  <c r="BB708" i="45"/>
  <c r="BA708" i="45"/>
  <c r="AZ708" i="45"/>
  <c r="AY708" i="45"/>
  <c r="AX708" i="45"/>
  <c r="AW708" i="45"/>
  <c r="AV708" i="45"/>
  <c r="AU708" i="45"/>
  <c r="AT708" i="45"/>
  <c r="AS708" i="45"/>
  <c r="AR708" i="45"/>
  <c r="AQ708" i="45"/>
  <c r="AP708" i="45"/>
  <c r="AO708" i="45"/>
  <c r="AN708" i="45"/>
  <c r="AL708" i="45"/>
  <c r="AK708" i="45"/>
  <c r="AJ708" i="45"/>
  <c r="AI708" i="45"/>
  <c r="AH708" i="45"/>
  <c r="AG708" i="45"/>
  <c r="AF708" i="45"/>
  <c r="BK707" i="45"/>
  <c r="BJ707" i="45"/>
  <c r="BI707" i="45"/>
  <c r="BH707" i="45"/>
  <c r="BG707" i="45"/>
  <c r="BF707" i="45"/>
  <c r="BE707" i="45"/>
  <c r="BD707" i="45"/>
  <c r="BC707" i="45"/>
  <c r="BB707" i="45"/>
  <c r="BA707" i="45"/>
  <c r="AZ707" i="45"/>
  <c r="AY707" i="45"/>
  <c r="AX707" i="45"/>
  <c r="AW707" i="45"/>
  <c r="AV707" i="45"/>
  <c r="AU707" i="45"/>
  <c r="AT707" i="45"/>
  <c r="AS707" i="45"/>
  <c r="AR707" i="45"/>
  <c r="AQ707" i="45"/>
  <c r="AP707" i="45"/>
  <c r="AO707" i="45"/>
  <c r="AN707" i="45"/>
  <c r="AL707" i="45"/>
  <c r="AK707" i="45"/>
  <c r="AJ707" i="45"/>
  <c r="AI707" i="45"/>
  <c r="AH707" i="45"/>
  <c r="AG707" i="45"/>
  <c r="AF707" i="45"/>
  <c r="BK706" i="45"/>
  <c r="BJ706" i="45"/>
  <c r="BI706" i="45"/>
  <c r="BH706" i="45"/>
  <c r="BG706" i="45"/>
  <c r="BF706" i="45"/>
  <c r="BE706" i="45"/>
  <c r="BD706" i="45"/>
  <c r="BC706" i="45"/>
  <c r="BB706" i="45"/>
  <c r="BA706" i="45"/>
  <c r="AZ706" i="45"/>
  <c r="AY706" i="45"/>
  <c r="AX706" i="45"/>
  <c r="AW706" i="45"/>
  <c r="AV706" i="45"/>
  <c r="AU706" i="45"/>
  <c r="AT706" i="45"/>
  <c r="AS706" i="45"/>
  <c r="AR706" i="45"/>
  <c r="AQ706" i="45"/>
  <c r="AP706" i="45"/>
  <c r="AO706" i="45"/>
  <c r="AN706" i="45"/>
  <c r="AL706" i="45"/>
  <c r="AK706" i="45"/>
  <c r="AJ706" i="45"/>
  <c r="AI706" i="45"/>
  <c r="AH706" i="45"/>
  <c r="AG706" i="45"/>
  <c r="AF706" i="45"/>
  <c r="BK671" i="45"/>
  <c r="BJ671" i="45"/>
  <c r="BI671" i="45"/>
  <c r="BI691" i="45" s="1"/>
  <c r="BH671" i="45"/>
  <c r="BH692" i="45" s="1"/>
  <c r="BG671" i="45"/>
  <c r="BF671" i="45"/>
  <c r="BE671" i="45"/>
  <c r="BE693" i="45" s="1"/>
  <c r="BD671" i="45"/>
  <c r="BC671" i="45"/>
  <c r="BC692" i="45" s="1"/>
  <c r="BB671" i="45"/>
  <c r="BA671" i="45"/>
  <c r="AZ671" i="45"/>
  <c r="AZ691" i="45" s="1"/>
  <c r="AY671" i="45"/>
  <c r="AX671" i="45"/>
  <c r="AX693" i="45" s="1"/>
  <c r="AW671" i="45"/>
  <c r="AW693" i="45"/>
  <c r="AV671" i="45"/>
  <c r="AV692" i="45"/>
  <c r="AU671" i="45"/>
  <c r="AU694" i="45"/>
  <c r="AU692" i="45"/>
  <c r="AT671" i="45"/>
  <c r="AT692" i="45" s="1"/>
  <c r="AS671" i="45"/>
  <c r="AS690" i="45" s="1"/>
  <c r="AS688" i="45" s="1"/>
  <c r="AR671" i="45"/>
  <c r="AQ671" i="45"/>
  <c r="AQ692" i="45" s="1"/>
  <c r="AP671" i="45"/>
  <c r="AP694" i="45" s="1"/>
  <c r="AP692" i="45"/>
  <c r="AO671" i="45"/>
  <c r="AN671" i="45"/>
  <c r="AN694" i="45" s="1"/>
  <c r="AL671" i="45"/>
  <c r="AK671" i="45"/>
  <c r="AK692" i="45" s="1"/>
  <c r="AJ671" i="45"/>
  <c r="AI671" i="45"/>
  <c r="AH671" i="45"/>
  <c r="AH690" i="45" s="1"/>
  <c r="AH688" i="45" s="1"/>
  <c r="AG671" i="45"/>
  <c r="AF671" i="45"/>
  <c r="AF692" i="45" s="1"/>
  <c r="BJ694" i="45"/>
  <c r="AY694" i="45"/>
  <c r="AV694" i="45"/>
  <c r="AQ694" i="45"/>
  <c r="AK694" i="45"/>
  <c r="AI694" i="45"/>
  <c r="BJ693" i="45"/>
  <c r="BB693" i="45"/>
  <c r="AV693" i="45"/>
  <c r="AK693" i="45"/>
  <c r="BH691" i="45"/>
  <c r="BC691" i="45"/>
  <c r="AW691" i="45"/>
  <c r="AV691" i="45"/>
  <c r="AS691" i="45"/>
  <c r="AP691" i="45"/>
  <c r="AO691" i="45"/>
  <c r="AK691" i="45"/>
  <c r="BJ690" i="45"/>
  <c r="BJ688" i="45" s="1"/>
  <c r="BH690" i="45"/>
  <c r="BH688" i="45" s="1"/>
  <c r="BE690" i="45"/>
  <c r="BE688" i="45" s="1"/>
  <c r="BC690" i="45"/>
  <c r="BC688" i="45" s="1"/>
  <c r="AV690" i="45"/>
  <c r="AV688" i="45" s="1"/>
  <c r="AU690" i="45"/>
  <c r="AU688" i="45" s="1"/>
  <c r="AR690" i="45"/>
  <c r="AR688" i="45"/>
  <c r="AI690" i="45"/>
  <c r="AI688" i="45"/>
  <c r="BK651" i="45"/>
  <c r="BK658" i="45"/>
  <c r="BJ651" i="45"/>
  <c r="BJ663" i="45" s="1"/>
  <c r="BJ666" i="45" s="1"/>
  <c r="BJ669" i="45" s="1"/>
  <c r="BJ658" i="45"/>
  <c r="BI651" i="45"/>
  <c r="BI658" i="45"/>
  <c r="BH651" i="45"/>
  <c r="BH658" i="45"/>
  <c r="BG651" i="45"/>
  <c r="BG658" i="45"/>
  <c r="BF651" i="45"/>
  <c r="BF663" i="45"/>
  <c r="BF666" i="45" s="1"/>
  <c r="BF669" i="45" s="1"/>
  <c r="BF658" i="45"/>
  <c r="BE651" i="45"/>
  <c r="BE658" i="45"/>
  <c r="BD651" i="45"/>
  <c r="BD658" i="45"/>
  <c r="BC651" i="45"/>
  <c r="BC663" i="45" s="1"/>
  <c r="BC666" i="45" s="1"/>
  <c r="BC669" i="45" s="1"/>
  <c r="BC658" i="45"/>
  <c r="BB651" i="45"/>
  <c r="BB658" i="45"/>
  <c r="BB663" i="45" s="1"/>
  <c r="BB666" i="45" s="1"/>
  <c r="BB669" i="45" s="1"/>
  <c r="BA651" i="45"/>
  <c r="BA658" i="45"/>
  <c r="BA663" i="45"/>
  <c r="BA666" i="45" s="1"/>
  <c r="BA669" i="45" s="1"/>
  <c r="AZ651" i="45"/>
  <c r="AZ658" i="45"/>
  <c r="AY651" i="45"/>
  <c r="AY658" i="45"/>
  <c r="AX651" i="45"/>
  <c r="AX658" i="45"/>
  <c r="AX663" i="45" s="1"/>
  <c r="AX666" i="45" s="1"/>
  <c r="AX669" i="45" s="1"/>
  <c r="AW651" i="45"/>
  <c r="AW658" i="45"/>
  <c r="AW663" i="45"/>
  <c r="AW666" i="45" s="1"/>
  <c r="AW669" i="45" s="1"/>
  <c r="AV651" i="45"/>
  <c r="AV658" i="45"/>
  <c r="AU651" i="45"/>
  <c r="AU658" i="45"/>
  <c r="AT651" i="45"/>
  <c r="AT658" i="45"/>
  <c r="AT663" i="45" s="1"/>
  <c r="AT666" i="45" s="1"/>
  <c r="AT669" i="45" s="1"/>
  <c r="AS651" i="45"/>
  <c r="AS658" i="45"/>
  <c r="AS663" i="45"/>
  <c r="AS666" i="45" s="1"/>
  <c r="AS669" i="45" s="1"/>
  <c r="AR651" i="45"/>
  <c r="AR658" i="45"/>
  <c r="AQ651" i="45"/>
  <c r="AQ658" i="45"/>
  <c r="AP651" i="45"/>
  <c r="AP658" i="45"/>
  <c r="AP663" i="45" s="1"/>
  <c r="AP666" i="45" s="1"/>
  <c r="AP669" i="45" s="1"/>
  <c r="AO651" i="45"/>
  <c r="AO658" i="45"/>
  <c r="AO663" i="45"/>
  <c r="AO666" i="45" s="1"/>
  <c r="AO669" i="45" s="1"/>
  <c r="AN651" i="45"/>
  <c r="AN658" i="45"/>
  <c r="AL651" i="45"/>
  <c r="AL658" i="45"/>
  <c r="AK651" i="45"/>
  <c r="AK663" i="45"/>
  <c r="AK666" i="45" s="1"/>
  <c r="AK669" i="45" s="1"/>
  <c r="AK658" i="45"/>
  <c r="AJ651" i="45"/>
  <c r="AJ658" i="45"/>
  <c r="AI651" i="45"/>
  <c r="AI658" i="45"/>
  <c r="AH651" i="45"/>
  <c r="AH658" i="45"/>
  <c r="AG651" i="45"/>
  <c r="AG663" i="45" s="1"/>
  <c r="AG666" i="45" s="1"/>
  <c r="AG669" i="45" s="1"/>
  <c r="AG658" i="45"/>
  <c r="AF651" i="45"/>
  <c r="AF658" i="45"/>
  <c r="BK649" i="45"/>
  <c r="BK642" i="45"/>
  <c r="BJ649" i="45"/>
  <c r="BJ642" i="45"/>
  <c r="BI649" i="45"/>
  <c r="BI642" i="45"/>
  <c r="BH649" i="45"/>
  <c r="BG649" i="45"/>
  <c r="BG642" i="45" s="1"/>
  <c r="BF649" i="45"/>
  <c r="BF642" i="45" s="1"/>
  <c r="BE649" i="45"/>
  <c r="BE642" i="45" s="1"/>
  <c r="BD649" i="45"/>
  <c r="BD642" i="45" s="1"/>
  <c r="BC649" i="45"/>
  <c r="BC642" i="45" s="1"/>
  <c r="BB649" i="45"/>
  <c r="BB642" i="45" s="1"/>
  <c r="BA649" i="45"/>
  <c r="BA642" i="45" s="1"/>
  <c r="AZ649" i="45"/>
  <c r="AZ642" i="45" s="1"/>
  <c r="AY649" i="45"/>
  <c r="AY642" i="45" s="1"/>
  <c r="AX649" i="45"/>
  <c r="AW649" i="45"/>
  <c r="AW642" i="45"/>
  <c r="AV649" i="45"/>
  <c r="AV642" i="45"/>
  <c r="AU649" i="45"/>
  <c r="AU642" i="45"/>
  <c r="AT649" i="45"/>
  <c r="AT642" i="45"/>
  <c r="AS649" i="45"/>
  <c r="AS642" i="45"/>
  <c r="AR649" i="45"/>
  <c r="AR642" i="45"/>
  <c r="AQ649" i="45"/>
  <c r="AQ642" i="45"/>
  <c r="AP649" i="45"/>
  <c r="AP642" i="45"/>
  <c r="AO649" i="45"/>
  <c r="AO642" i="45"/>
  <c r="AN649" i="45"/>
  <c r="AN642" i="45"/>
  <c r="AL649" i="45"/>
  <c r="AL642" i="45"/>
  <c r="AK649" i="45"/>
  <c r="AK642" i="45"/>
  <c r="AJ649" i="45"/>
  <c r="AJ642" i="45"/>
  <c r="AI649" i="45"/>
  <c r="AI642" i="45"/>
  <c r="AH649" i="45"/>
  <c r="AH642" i="45"/>
  <c r="AG649" i="45"/>
  <c r="AG642" i="45"/>
  <c r="AF649" i="45"/>
  <c r="AF642" i="45"/>
  <c r="BH642" i="45"/>
  <c r="AX642" i="45"/>
  <c r="BK66" i="45"/>
  <c r="BK69" i="45"/>
  <c r="BJ66" i="45"/>
  <c r="BJ69" i="45"/>
  <c r="BI66" i="45"/>
  <c r="BI69" i="45"/>
  <c r="BH66" i="45"/>
  <c r="BH69" i="45"/>
  <c r="BG66" i="45"/>
  <c r="BG69" i="45"/>
  <c r="BF66" i="45"/>
  <c r="BF69" i="45"/>
  <c r="BE66" i="45"/>
  <c r="BE69" i="45"/>
  <c r="BD66" i="45"/>
  <c r="BD69" i="45"/>
  <c r="BC66" i="45"/>
  <c r="BC69" i="45"/>
  <c r="BB66" i="45"/>
  <c r="BB69" i="45"/>
  <c r="BA66" i="45"/>
  <c r="BA69" i="45"/>
  <c r="AZ66" i="45"/>
  <c r="AZ69" i="45"/>
  <c r="AY66" i="45"/>
  <c r="AY69" i="45"/>
  <c r="AX66" i="45"/>
  <c r="AX69" i="45"/>
  <c r="AW66" i="45"/>
  <c r="AW69" i="45"/>
  <c r="AV66" i="45"/>
  <c r="AV69" i="45"/>
  <c r="AU66" i="45"/>
  <c r="AU69" i="45"/>
  <c r="AT66" i="45"/>
  <c r="AT69" i="45"/>
  <c r="AS66" i="45"/>
  <c r="AS69" i="45"/>
  <c r="AR66" i="45"/>
  <c r="AR69" i="45"/>
  <c r="AQ66" i="45"/>
  <c r="AQ69" i="45"/>
  <c r="AP66" i="45"/>
  <c r="AP69" i="45"/>
  <c r="AO66" i="45"/>
  <c r="AO69" i="45"/>
  <c r="AN66" i="45"/>
  <c r="AN69" i="45"/>
  <c r="AM66" i="45"/>
  <c r="AM69" i="45"/>
  <c r="AL66" i="45"/>
  <c r="AL69" i="45"/>
  <c r="AK66" i="45"/>
  <c r="AK69" i="45"/>
  <c r="AJ66" i="45"/>
  <c r="AJ69" i="45"/>
  <c r="AI66" i="45"/>
  <c r="AI69" i="45"/>
  <c r="AH66" i="45"/>
  <c r="AH69" i="45"/>
  <c r="AG66" i="45"/>
  <c r="AG69" i="45"/>
  <c r="AF66" i="45"/>
  <c r="AF69" i="45"/>
  <c r="BK554" i="45"/>
  <c r="BK558" i="45"/>
  <c r="BK562" i="45"/>
  <c r="BK569" i="45"/>
  <c r="BK565" i="45" s="1"/>
  <c r="BK574" i="45"/>
  <c r="BK577" i="45"/>
  <c r="BK573" i="45"/>
  <c r="BJ554" i="45"/>
  <c r="BJ558" i="45"/>
  <c r="BJ550" i="45" s="1"/>
  <c r="BJ560" i="45" s="1"/>
  <c r="BJ562" i="45"/>
  <c r="BJ569" i="45"/>
  <c r="BJ565" i="45" s="1"/>
  <c r="BJ580" i="45" s="1"/>
  <c r="BJ574" i="45"/>
  <c r="BJ573" i="45"/>
  <c r="BJ577" i="45"/>
  <c r="BI554" i="45"/>
  <c r="BI550" i="45" s="1"/>
  <c r="BI560" i="45" s="1"/>
  <c r="BI558" i="45"/>
  <c r="BI562" i="45"/>
  <c r="BI569" i="45"/>
  <c r="BI565" i="45"/>
  <c r="BI574" i="45"/>
  <c r="BI577" i="45"/>
  <c r="BH554" i="45"/>
  <c r="BH558" i="45"/>
  <c r="BH550" i="45" s="1"/>
  <c r="BH560" i="45" s="1"/>
  <c r="BH562" i="45"/>
  <c r="BH569" i="45"/>
  <c r="BH565" i="45" s="1"/>
  <c r="BH574" i="45"/>
  <c r="BH577" i="45"/>
  <c r="BG554" i="45"/>
  <c r="BG558" i="45"/>
  <c r="BG562" i="45"/>
  <c r="BG569" i="45"/>
  <c r="BG565" i="45"/>
  <c r="BG574" i="45"/>
  <c r="BG573" i="45"/>
  <c r="BG577" i="45"/>
  <c r="BF554" i="45"/>
  <c r="BF558" i="45"/>
  <c r="BF550" i="45"/>
  <c r="BF560" i="45" s="1"/>
  <c r="BF562" i="45"/>
  <c r="BF569" i="45"/>
  <c r="BF565" i="45"/>
  <c r="BF574" i="45"/>
  <c r="BF577" i="45"/>
  <c r="BF573" i="45" s="1"/>
  <c r="BE554" i="45"/>
  <c r="BE558" i="45"/>
  <c r="BE550" i="45"/>
  <c r="BE560" i="45" s="1"/>
  <c r="BE562" i="45"/>
  <c r="BE569" i="45"/>
  <c r="BE565" i="45"/>
  <c r="BE574" i="45"/>
  <c r="BE577" i="45"/>
  <c r="BD554" i="45"/>
  <c r="BD558" i="45"/>
  <c r="BD562" i="45"/>
  <c r="BD569" i="45"/>
  <c r="BD565" i="45" s="1"/>
  <c r="BD574" i="45"/>
  <c r="BD577" i="45"/>
  <c r="BC554" i="45"/>
  <c r="BC558" i="45"/>
  <c r="BC550" i="45"/>
  <c r="BC560" i="45" s="1"/>
  <c r="BC562" i="45"/>
  <c r="BC569" i="45"/>
  <c r="BC565" i="45"/>
  <c r="BC574" i="45"/>
  <c r="BC573" i="45"/>
  <c r="BC577" i="45"/>
  <c r="BB554" i="45"/>
  <c r="BB558" i="45"/>
  <c r="BB550" i="45"/>
  <c r="BB560" i="45" s="1"/>
  <c r="BB562" i="45"/>
  <c r="BB569" i="45"/>
  <c r="BB565" i="45"/>
  <c r="BB580" i="45" s="1"/>
  <c r="BB574" i="45"/>
  <c r="BB577" i="45"/>
  <c r="BB573" i="45"/>
  <c r="BA554" i="45"/>
  <c r="BA558" i="45"/>
  <c r="BA550" i="45" s="1"/>
  <c r="BA560" i="45" s="1"/>
  <c r="BA562" i="45"/>
  <c r="BA569" i="45"/>
  <c r="BA565" i="45" s="1"/>
  <c r="BA574" i="45"/>
  <c r="BA577" i="45"/>
  <c r="BA573" i="45"/>
  <c r="AZ554" i="45"/>
  <c r="AZ558" i="45"/>
  <c r="AZ562" i="45"/>
  <c r="AZ569" i="45"/>
  <c r="AZ565" i="45" s="1"/>
  <c r="AZ574" i="45"/>
  <c r="AZ577" i="45"/>
  <c r="AY554" i="45"/>
  <c r="AY558" i="45"/>
  <c r="AY562" i="45"/>
  <c r="AY569" i="45"/>
  <c r="AY565" i="45"/>
  <c r="AY580" i="45" s="1"/>
  <c r="AY574" i="45"/>
  <c r="AY577" i="45"/>
  <c r="AY573" i="45"/>
  <c r="AX554" i="45"/>
  <c r="AX558" i="45"/>
  <c r="AX550" i="45" s="1"/>
  <c r="AX560" i="45" s="1"/>
  <c r="AX562" i="45"/>
  <c r="AX569" i="45"/>
  <c r="AX565" i="45" s="1"/>
  <c r="AX574" i="45"/>
  <c r="AX577" i="45"/>
  <c r="AX573" i="45"/>
  <c r="AW554" i="45"/>
  <c r="AW558" i="45"/>
  <c r="AW550" i="45" s="1"/>
  <c r="AW560" i="45" s="1"/>
  <c r="AW562" i="45"/>
  <c r="AW569" i="45"/>
  <c r="AW565" i="45" s="1"/>
  <c r="AW574" i="45"/>
  <c r="AW577" i="45"/>
  <c r="AV554" i="45"/>
  <c r="AV558" i="45"/>
  <c r="AV562" i="45"/>
  <c r="AV569" i="45"/>
  <c r="AV565" i="45"/>
  <c r="AV574" i="45"/>
  <c r="AV573" i="45"/>
  <c r="AV577" i="45"/>
  <c r="AU554" i="45"/>
  <c r="AU558" i="45"/>
  <c r="AU562" i="45"/>
  <c r="AU569" i="45"/>
  <c r="AU565" i="45"/>
  <c r="AU574" i="45"/>
  <c r="AU577" i="45"/>
  <c r="AU573" i="45" s="1"/>
  <c r="AT554" i="45"/>
  <c r="AT558" i="45"/>
  <c r="AT550" i="45"/>
  <c r="AT560" i="45" s="1"/>
  <c r="AT562" i="45"/>
  <c r="AT569" i="45"/>
  <c r="AT565" i="45"/>
  <c r="AT574" i="45"/>
  <c r="AT577" i="45"/>
  <c r="AT573" i="45" s="1"/>
  <c r="AS554" i="45"/>
  <c r="AS558" i="45"/>
  <c r="AS550" i="45"/>
  <c r="AS560" i="45" s="1"/>
  <c r="AS562" i="45"/>
  <c r="AS569" i="45"/>
  <c r="AS565" i="45"/>
  <c r="AS574" i="45"/>
  <c r="AS577" i="45"/>
  <c r="AR554" i="45"/>
  <c r="AR558" i="45"/>
  <c r="AR550" i="45" s="1"/>
  <c r="AR560" i="45" s="1"/>
  <c r="AR562" i="45"/>
  <c r="AR569" i="45"/>
  <c r="AR565" i="45" s="1"/>
  <c r="AR574" i="45"/>
  <c r="AR577" i="45"/>
  <c r="AQ554" i="45"/>
  <c r="AQ558" i="45"/>
  <c r="AQ562" i="45"/>
  <c r="AQ569" i="45"/>
  <c r="AQ565" i="45"/>
  <c r="AQ574" i="45"/>
  <c r="AQ573" i="45"/>
  <c r="AQ577" i="45"/>
  <c r="AP554" i="45"/>
  <c r="AP558" i="45"/>
  <c r="AP550" i="45"/>
  <c r="AP560" i="45" s="1"/>
  <c r="AP562" i="45"/>
  <c r="AP569" i="45"/>
  <c r="AP565" i="45"/>
  <c r="AP574" i="45"/>
  <c r="AP573" i="45"/>
  <c r="AP577" i="45"/>
  <c r="AL554" i="45"/>
  <c r="AL550" i="45" s="1"/>
  <c r="AL560" i="45" s="1"/>
  <c r="AL558" i="45"/>
  <c r="AL562" i="45"/>
  <c r="AL569" i="45"/>
  <c r="AL565" i="45"/>
  <c r="AL574" i="45"/>
  <c r="AL573" i="45"/>
  <c r="AL577" i="45"/>
  <c r="AK554" i="45"/>
  <c r="AK550" i="45" s="1"/>
  <c r="AK560" i="45" s="1"/>
  <c r="AK558" i="45"/>
  <c r="AK562" i="45"/>
  <c r="AK569" i="45"/>
  <c r="AK565" i="45"/>
  <c r="AK574" i="45"/>
  <c r="AK577" i="45"/>
  <c r="AK573" i="45" s="1"/>
  <c r="AK580" i="45" s="1"/>
  <c r="AJ554" i="45"/>
  <c r="AJ558" i="45"/>
  <c r="AJ550" i="45" s="1"/>
  <c r="AJ560" i="45" s="1"/>
  <c r="AJ562" i="45"/>
  <c r="AJ569" i="45"/>
  <c r="AJ565" i="45" s="1"/>
  <c r="AJ574" i="45"/>
  <c r="AJ573" i="45" s="1"/>
  <c r="AJ577" i="45"/>
  <c r="AI554" i="45"/>
  <c r="AI558" i="45"/>
  <c r="AI562" i="45"/>
  <c r="AI569" i="45"/>
  <c r="AI565" i="45" s="1"/>
  <c r="AI574" i="45"/>
  <c r="AI577" i="45"/>
  <c r="AH554" i="45"/>
  <c r="AH558" i="45"/>
  <c r="AH562" i="45"/>
  <c r="AH569" i="45"/>
  <c r="AH565" i="45"/>
  <c r="AH574" i="45"/>
  <c r="AH577" i="45"/>
  <c r="AH573" i="45" s="1"/>
  <c r="AG554" i="45"/>
  <c r="AG550" i="45" s="1"/>
  <c r="AG560" i="45" s="1"/>
  <c r="AG558" i="45"/>
  <c r="AG562" i="45"/>
  <c r="AG569" i="45"/>
  <c r="AG565" i="45"/>
  <c r="AG580" i="45" s="1"/>
  <c r="AG574" i="45"/>
  <c r="AG577" i="45"/>
  <c r="AG573" i="45"/>
  <c r="AF554" i="45"/>
  <c r="AF558" i="45"/>
  <c r="AF550" i="45" s="1"/>
  <c r="AF560" i="45" s="1"/>
  <c r="AF562" i="45"/>
  <c r="AF569" i="45"/>
  <c r="AF565" i="45" s="1"/>
  <c r="AF574" i="45"/>
  <c r="AF577" i="45"/>
  <c r="BK522" i="45"/>
  <c r="BK527" i="45" s="1"/>
  <c r="BK528" i="45" s="1"/>
  <c r="BK538" i="45"/>
  <c r="BK545" i="45"/>
  <c r="BK530" i="45"/>
  <c r="BK546" i="45"/>
  <c r="BJ522" i="45"/>
  <c r="BJ527" i="45"/>
  <c r="BJ538" i="45"/>
  <c r="BJ530" i="45"/>
  <c r="BJ546" i="45"/>
  <c r="BI522" i="45"/>
  <c r="BI527" i="45" s="1"/>
  <c r="BI528" i="45" s="1"/>
  <c r="BI538" i="45"/>
  <c r="BI530" i="45"/>
  <c r="BI545" i="45" s="1"/>
  <c r="BI546" i="45"/>
  <c r="BH522" i="45"/>
  <c r="BH527" i="45"/>
  <c r="BH538" i="45"/>
  <c r="BH545" i="45"/>
  <c r="BH530" i="45"/>
  <c r="BH546" i="45"/>
  <c r="BG522" i="45"/>
  <c r="BG527" i="45"/>
  <c r="BG528" i="45" s="1"/>
  <c r="BG538" i="45"/>
  <c r="BG545" i="45" s="1"/>
  <c r="BG530" i="45"/>
  <c r="BG546" i="45"/>
  <c r="BF522" i="45"/>
  <c r="BF527" i="45" s="1"/>
  <c r="BF538" i="45"/>
  <c r="BF530" i="45"/>
  <c r="BF546" i="45"/>
  <c r="BE522" i="45"/>
  <c r="BE527" i="45"/>
  <c r="BE528" i="45" s="1"/>
  <c r="BE538" i="45"/>
  <c r="BE530" i="45"/>
  <c r="BE545" i="45"/>
  <c r="BE546" i="45"/>
  <c r="BD522" i="45"/>
  <c r="BD527" i="45" s="1"/>
  <c r="BD538" i="45"/>
  <c r="BD545" i="45" s="1"/>
  <c r="BD530" i="45"/>
  <c r="BD546" i="45"/>
  <c r="BC522" i="45"/>
  <c r="BC527" i="45" s="1"/>
  <c r="BC538" i="45"/>
  <c r="BC545" i="45" s="1"/>
  <c r="BC530" i="45"/>
  <c r="BC546" i="45"/>
  <c r="BB522" i="45"/>
  <c r="BB527" i="45" s="1"/>
  <c r="BB538" i="45"/>
  <c r="BB530" i="45"/>
  <c r="BB546" i="45"/>
  <c r="BA522" i="45"/>
  <c r="BA527" i="45"/>
  <c r="BA538" i="45"/>
  <c r="BA530" i="45"/>
  <c r="BA545" i="45" s="1"/>
  <c r="BA546" i="45"/>
  <c r="AZ522" i="45"/>
  <c r="AZ527" i="45"/>
  <c r="AZ538" i="45"/>
  <c r="AZ545" i="45"/>
  <c r="AZ530" i="45"/>
  <c r="AZ546" i="45"/>
  <c r="AY522" i="45"/>
  <c r="AY527" i="45"/>
  <c r="AY538" i="45"/>
  <c r="AY545" i="45"/>
  <c r="AY530" i="45"/>
  <c r="AY546" i="45"/>
  <c r="AX522" i="45"/>
  <c r="AX527" i="45"/>
  <c r="AX538" i="45"/>
  <c r="AX530" i="45"/>
  <c r="AX546" i="45"/>
  <c r="AW522" i="45"/>
  <c r="AW527" i="45" s="1"/>
  <c r="AW538" i="45"/>
  <c r="AW530" i="45"/>
  <c r="AW545" i="45"/>
  <c r="AW546" i="45"/>
  <c r="AV522" i="45"/>
  <c r="AV527" i="45" s="1"/>
  <c r="AV538" i="45"/>
  <c r="AV545" i="45" s="1"/>
  <c r="AV530" i="45"/>
  <c r="AV546" i="45"/>
  <c r="AU522" i="45"/>
  <c r="AU527" i="45" s="1"/>
  <c r="AU538" i="45"/>
  <c r="AU545" i="45" s="1"/>
  <c r="AU530" i="45"/>
  <c r="AU546" i="45"/>
  <c r="AT522" i="45"/>
  <c r="AT527" i="45" s="1"/>
  <c r="AT538" i="45"/>
  <c r="AT530" i="45"/>
  <c r="AT546" i="45"/>
  <c r="AS522" i="45"/>
  <c r="AS527" i="45"/>
  <c r="AS538" i="45"/>
  <c r="AS530" i="45"/>
  <c r="AS545" i="45" s="1"/>
  <c r="AS546" i="45"/>
  <c r="AR522" i="45"/>
  <c r="AR527" i="45"/>
  <c r="AR538" i="45"/>
  <c r="AR545" i="45"/>
  <c r="AR530" i="45"/>
  <c r="AR546" i="45"/>
  <c r="AQ522" i="45"/>
  <c r="AQ527" i="45"/>
  <c r="AQ538" i="45"/>
  <c r="AQ545" i="45"/>
  <c r="AQ530" i="45"/>
  <c r="AQ546" i="45"/>
  <c r="AP522" i="45"/>
  <c r="AP527" i="45"/>
  <c r="AP538" i="45"/>
  <c r="AP530" i="45"/>
  <c r="AP546" i="45"/>
  <c r="AL522" i="45"/>
  <c r="AL527" i="45" s="1"/>
  <c r="AL538" i="45"/>
  <c r="AL545" i="45" s="1"/>
  <c r="AL530" i="45"/>
  <c r="AL546" i="45"/>
  <c r="AK522" i="45"/>
  <c r="AK527" i="45" s="1"/>
  <c r="AK538" i="45"/>
  <c r="AK530" i="45"/>
  <c r="AK546" i="45"/>
  <c r="AJ522" i="45"/>
  <c r="AJ527" i="45"/>
  <c r="AJ538" i="45"/>
  <c r="AJ530" i="45"/>
  <c r="AJ545" i="45" s="1"/>
  <c r="AJ546" i="45"/>
  <c r="AI522" i="45"/>
  <c r="AI527" i="45"/>
  <c r="AI538" i="45"/>
  <c r="AI545" i="45"/>
  <c r="AI530" i="45"/>
  <c r="AI546" i="45"/>
  <c r="AH522" i="45"/>
  <c r="AH527" i="45"/>
  <c r="AH538" i="45"/>
  <c r="AH545" i="45"/>
  <c r="AH530" i="45"/>
  <c r="AH546" i="45"/>
  <c r="AG522" i="45"/>
  <c r="AG527" i="45"/>
  <c r="AG538" i="45"/>
  <c r="AG530" i="45"/>
  <c r="AG546" i="45"/>
  <c r="AF522" i="45"/>
  <c r="AF527" i="45" s="1"/>
  <c r="AF538" i="45"/>
  <c r="AF530" i="45"/>
  <c r="AF545" i="45"/>
  <c r="AF546" i="45"/>
  <c r="BK513" i="45"/>
  <c r="BJ513" i="45"/>
  <c r="BI513" i="45"/>
  <c r="BH513" i="45"/>
  <c r="BG513" i="45"/>
  <c r="BF513" i="45"/>
  <c r="BE513" i="45"/>
  <c r="BD513" i="45"/>
  <c r="BC513" i="45"/>
  <c r="BB513" i="45"/>
  <c r="BA513" i="45"/>
  <c r="AZ513" i="45"/>
  <c r="AY513" i="45"/>
  <c r="AX513" i="45"/>
  <c r="AW513" i="45"/>
  <c r="AV513" i="45"/>
  <c r="AU513" i="45"/>
  <c r="AT513" i="45"/>
  <c r="AS513" i="45"/>
  <c r="AR513" i="45"/>
  <c r="AQ513" i="45"/>
  <c r="AP513" i="45"/>
  <c r="AL513" i="45"/>
  <c r="AK513" i="45"/>
  <c r="AJ513" i="45"/>
  <c r="AI513" i="45"/>
  <c r="AH513" i="45"/>
  <c r="AG513" i="45"/>
  <c r="AF513" i="45"/>
  <c r="BJ147" i="45"/>
  <c r="BJ151" i="45"/>
  <c r="BJ162" i="45"/>
  <c r="BJ158" i="45"/>
  <c r="BJ167" i="45"/>
  <c r="BJ166" i="45"/>
  <c r="BJ170" i="45"/>
  <c r="BK147" i="45"/>
  <c r="BK143" i="45"/>
  <c r="BK151" i="45"/>
  <c r="BK162" i="45"/>
  <c r="BK158" i="45" s="1"/>
  <c r="BK167" i="45"/>
  <c r="BK170" i="45"/>
  <c r="BK114" i="45"/>
  <c r="BK119" i="45"/>
  <c r="BK130" i="45"/>
  <c r="BK137" i="45"/>
  <c r="BK122" i="45"/>
  <c r="BK381" i="45"/>
  <c r="BI147" i="45"/>
  <c r="BI151" i="45"/>
  <c r="BI162" i="45"/>
  <c r="BI158" i="45"/>
  <c r="BI167" i="45"/>
  <c r="BI170" i="45"/>
  <c r="BI191" i="45" s="1"/>
  <c r="BJ114" i="45"/>
  <c r="BJ119" i="45" s="1"/>
  <c r="BJ130" i="45"/>
  <c r="BJ122" i="45"/>
  <c r="BJ381" i="45"/>
  <c r="BH147" i="45"/>
  <c r="BH143" i="45"/>
  <c r="BH151" i="45"/>
  <c r="BH162" i="45"/>
  <c r="BH158" i="45" s="1"/>
  <c r="BH167" i="45"/>
  <c r="BH170" i="45"/>
  <c r="BI114" i="45"/>
  <c r="BI119" i="45" s="1"/>
  <c r="BI130" i="45"/>
  <c r="BI325" i="45" s="1"/>
  <c r="BI122" i="45"/>
  <c r="BI381" i="45"/>
  <c r="BG147" i="45"/>
  <c r="BG151" i="45"/>
  <c r="BG143" i="45"/>
  <c r="BG153" i="45" s="1"/>
  <c r="BG162" i="45"/>
  <c r="BG158" i="45" s="1"/>
  <c r="BG167" i="45"/>
  <c r="BG170" i="45"/>
  <c r="BH114" i="45"/>
  <c r="BH119" i="45"/>
  <c r="BH120" i="45" s="1"/>
  <c r="BH130" i="45"/>
  <c r="BH325" i="45" s="1"/>
  <c r="BH122" i="45"/>
  <c r="BH381" i="45"/>
  <c r="BF147" i="45"/>
  <c r="BF143" i="45"/>
  <c r="BF151" i="45"/>
  <c r="BF162" i="45"/>
  <c r="BF158" i="45" s="1"/>
  <c r="BF167" i="45"/>
  <c r="BF166" i="45" s="1"/>
  <c r="BF170" i="45"/>
  <c r="BF191" i="45" s="1"/>
  <c r="BG114" i="45"/>
  <c r="BG119" i="45" s="1"/>
  <c r="BG130" i="45"/>
  <c r="BG137" i="45" s="1"/>
  <c r="BG204" i="45" s="1"/>
  <c r="BG122" i="45"/>
  <c r="BG381" i="45"/>
  <c r="BE147" i="45"/>
  <c r="BE151" i="45"/>
  <c r="BE143" i="45" s="1"/>
  <c r="BE162" i="45"/>
  <c r="BE158" i="45" s="1"/>
  <c r="BE167" i="45"/>
  <c r="BE170" i="45"/>
  <c r="BF114" i="45"/>
  <c r="BF119" i="45" s="1"/>
  <c r="BF130" i="45"/>
  <c r="BF137" i="45" s="1"/>
  <c r="BF122" i="45"/>
  <c r="BF381" i="45"/>
  <c r="BD147" i="45"/>
  <c r="BD143" i="45" s="1"/>
  <c r="BD151" i="45"/>
  <c r="BD162" i="45"/>
  <c r="BD158" i="45"/>
  <c r="BD167" i="45"/>
  <c r="BE190" i="45"/>
  <c r="BD170" i="45"/>
  <c r="BE114" i="45"/>
  <c r="BE119" i="45"/>
  <c r="BE130" i="45"/>
  <c r="BE122" i="45"/>
  <c r="BE324" i="45" s="1"/>
  <c r="BE326" i="45" s="1"/>
  <c r="BE329" i="45" s="1"/>
  <c r="BE401" i="45" s="1"/>
  <c r="BE381" i="45"/>
  <c r="BC147" i="45"/>
  <c r="BC151" i="45"/>
  <c r="BC162" i="45"/>
  <c r="BC158" i="45" s="1"/>
  <c r="BC167" i="45"/>
  <c r="BC166" i="45" s="1"/>
  <c r="BC170" i="45"/>
  <c r="BD191" i="45" s="1"/>
  <c r="BD114" i="45"/>
  <c r="BD119" i="45" s="1"/>
  <c r="BD337" i="45" s="1"/>
  <c r="BD130" i="45"/>
  <c r="BD122" i="45"/>
  <c r="BD137" i="45"/>
  <c r="BD381" i="45"/>
  <c r="BB147" i="45"/>
  <c r="BB151" i="45"/>
  <c r="BB143" i="45"/>
  <c r="BB153" i="45" s="1"/>
  <c r="BB162" i="45"/>
  <c r="BB158" i="45" s="1"/>
  <c r="BB167" i="45"/>
  <c r="BB190" i="45" s="1"/>
  <c r="BB170" i="45"/>
  <c r="BB191" i="45" s="1"/>
  <c r="BC114" i="45"/>
  <c r="BC119" i="45" s="1"/>
  <c r="BC130" i="45"/>
  <c r="BC122" i="45"/>
  <c r="BC324" i="45"/>
  <c r="BC326" i="45" s="1"/>
  <c r="BC381" i="45"/>
  <c r="BA147" i="45"/>
  <c r="BA143" i="45"/>
  <c r="BA151" i="45"/>
  <c r="BA162" i="45"/>
  <c r="BA158" i="45" s="1"/>
  <c r="BA167" i="45"/>
  <c r="BA170" i="45"/>
  <c r="BA166" i="45" s="1"/>
  <c r="BB114" i="45"/>
  <c r="BB119" i="45" s="1"/>
  <c r="BB130" i="45"/>
  <c r="BB122" i="45"/>
  <c r="BB381" i="45"/>
  <c r="AZ147" i="45"/>
  <c r="AZ151" i="45"/>
  <c r="AZ143" i="45" s="1"/>
  <c r="AZ153" i="45" s="1"/>
  <c r="AZ162" i="45"/>
  <c r="AZ158" i="45"/>
  <c r="AZ167" i="45"/>
  <c r="AZ166" i="45"/>
  <c r="AZ170" i="45"/>
  <c r="BA191" i="45"/>
  <c r="BA114" i="45"/>
  <c r="BA119" i="45"/>
  <c r="BA130" i="45"/>
  <c r="BA137" i="45"/>
  <c r="BA122" i="45"/>
  <c r="BA381" i="45"/>
  <c r="AY147" i="45"/>
  <c r="AY143" i="45"/>
  <c r="AY151" i="45"/>
  <c r="AY162" i="45"/>
  <c r="AY158" i="45" s="1"/>
  <c r="AY167" i="45"/>
  <c r="AY170" i="45"/>
  <c r="AZ114" i="45"/>
  <c r="AZ119" i="45" s="1"/>
  <c r="AZ337" i="45" s="1"/>
  <c r="AZ130" i="45"/>
  <c r="AZ122" i="45"/>
  <c r="AZ381" i="45"/>
  <c r="AX147" i="45"/>
  <c r="AX151" i="45"/>
  <c r="AX162" i="45"/>
  <c r="AX158" i="45" s="1"/>
  <c r="AX167" i="45"/>
  <c r="AX170" i="45"/>
  <c r="AX166" i="45"/>
  <c r="AY114" i="45"/>
  <c r="AY119" i="45"/>
  <c r="AY130" i="45"/>
  <c r="AY122" i="45"/>
  <c r="AY137" i="45" s="1"/>
  <c r="AY381" i="45"/>
  <c r="AW147" i="45"/>
  <c r="AW151" i="45"/>
  <c r="AW162" i="45"/>
  <c r="AW158" i="45"/>
  <c r="AW167" i="45"/>
  <c r="AX190" i="45"/>
  <c r="AW170" i="45"/>
  <c r="AX114" i="45"/>
  <c r="AX119" i="45" s="1"/>
  <c r="AX130" i="45"/>
  <c r="AX137" i="45" s="1"/>
  <c r="AX122" i="45"/>
  <c r="AX324" i="45" s="1"/>
  <c r="AX381" i="45"/>
  <c r="AV147" i="45"/>
  <c r="AV151" i="45"/>
  <c r="AV162" i="45"/>
  <c r="AV158" i="45"/>
  <c r="AV167" i="45"/>
  <c r="AV190" i="45"/>
  <c r="AV170" i="45"/>
  <c r="AW114" i="45"/>
  <c r="AW119" i="45"/>
  <c r="AW130" i="45"/>
  <c r="AW122" i="45"/>
  <c r="AW324" i="45" s="1"/>
  <c r="AW381" i="45"/>
  <c r="AU147" i="45"/>
  <c r="AU151" i="45"/>
  <c r="AU162" i="45"/>
  <c r="AU158" i="45"/>
  <c r="AU167" i="45"/>
  <c r="AU170" i="45"/>
  <c r="AV191" i="45" s="1"/>
  <c r="AV114" i="45"/>
  <c r="AV119" i="45" s="1"/>
  <c r="AV130" i="45"/>
  <c r="AV325" i="45" s="1"/>
  <c r="AV122" i="45"/>
  <c r="AV381" i="45"/>
  <c r="AT147" i="45"/>
  <c r="AT151" i="45"/>
  <c r="AT143" i="45" s="1"/>
  <c r="AT153" i="45" s="1"/>
  <c r="AT162" i="45"/>
  <c r="AT158" i="45"/>
  <c r="AT167" i="45"/>
  <c r="AT170" i="45"/>
  <c r="AU114" i="45"/>
  <c r="AU119" i="45" s="1"/>
  <c r="AU120" i="45" s="1"/>
  <c r="AU130" i="45"/>
  <c r="AU325" i="45"/>
  <c r="AU122" i="45"/>
  <c r="AU324" i="45"/>
  <c r="AU381" i="45"/>
  <c r="AS147" i="45"/>
  <c r="AS151" i="45"/>
  <c r="AS143" i="45"/>
  <c r="AS162" i="45"/>
  <c r="AS158" i="45"/>
  <c r="AS167" i="45"/>
  <c r="AS170" i="45"/>
  <c r="AT191" i="45" s="1"/>
  <c r="AT114" i="45"/>
  <c r="AT119" i="45" s="1"/>
  <c r="AT120" i="45" s="1"/>
  <c r="AT130" i="45"/>
  <c r="AT325" i="45"/>
  <c r="AT122" i="45"/>
  <c r="AT381" i="45"/>
  <c r="AR147" i="45"/>
  <c r="AR151" i="45"/>
  <c r="AR162" i="45"/>
  <c r="AR158" i="45"/>
  <c r="AR167" i="45"/>
  <c r="AR170" i="45"/>
  <c r="AR166" i="45" s="1"/>
  <c r="AS114" i="45"/>
  <c r="AS119" i="45" s="1"/>
  <c r="AS130" i="45"/>
  <c r="AS137" i="45" s="1"/>
  <c r="AS122" i="45"/>
  <c r="AS324" i="45" s="1"/>
  <c r="AS381" i="45"/>
  <c r="AQ147" i="45"/>
  <c r="AQ143" i="45"/>
  <c r="AQ151" i="45"/>
  <c r="AQ162" i="45"/>
  <c r="AQ158" i="45" s="1"/>
  <c r="AQ167" i="45"/>
  <c r="AQ166" i="45" s="1"/>
  <c r="AQ170" i="45"/>
  <c r="AR114" i="45"/>
  <c r="AR119" i="45"/>
  <c r="AR337" i="45" s="1"/>
  <c r="AR130" i="45"/>
  <c r="AR325" i="45" s="1"/>
  <c r="AR122" i="45"/>
  <c r="AR381" i="45"/>
  <c r="AP147" i="45"/>
  <c r="AP151" i="45"/>
  <c r="AP162" i="45"/>
  <c r="AP158" i="45"/>
  <c r="AP167" i="45"/>
  <c r="AP170" i="45"/>
  <c r="AP166" i="45" s="1"/>
  <c r="AQ114" i="45"/>
  <c r="AQ119" i="45" s="1"/>
  <c r="AQ130" i="45"/>
  <c r="AQ137" i="45" s="1"/>
  <c r="AQ122" i="45"/>
  <c r="AQ324" i="45" s="1"/>
  <c r="AQ381" i="45"/>
  <c r="AO147" i="45"/>
  <c r="AO143" i="45"/>
  <c r="AO151" i="45"/>
  <c r="AO162" i="45"/>
  <c r="AO158" i="45" s="1"/>
  <c r="AO167" i="45"/>
  <c r="AO166" i="45" s="1"/>
  <c r="AO170" i="45"/>
  <c r="AP114" i="45"/>
  <c r="AP119" i="45"/>
  <c r="AP130" i="45"/>
  <c r="AP137" i="45"/>
  <c r="AP122" i="45"/>
  <c r="AP381" i="45"/>
  <c r="AN147" i="45"/>
  <c r="AN143" i="45"/>
  <c r="AN151" i="45"/>
  <c r="AN162" i="45"/>
  <c r="AN158" i="45" s="1"/>
  <c r="AN167" i="45"/>
  <c r="AN190" i="45" s="1"/>
  <c r="AN170" i="45"/>
  <c r="AO114" i="45"/>
  <c r="AO119" i="45"/>
  <c r="AO120" i="45" s="1"/>
  <c r="AO130" i="45"/>
  <c r="AO122" i="45"/>
  <c r="AO324" i="45"/>
  <c r="AO326" i="45" s="1"/>
  <c r="AO329" i="45" s="1"/>
  <c r="AO401" i="45" s="1"/>
  <c r="AO381" i="45"/>
  <c r="AM147" i="45"/>
  <c r="AM143" i="45" s="1"/>
  <c r="AM151" i="45"/>
  <c r="AM162" i="45"/>
  <c r="AM158" i="45"/>
  <c r="AM167" i="45"/>
  <c r="AM166" i="45"/>
  <c r="AM170" i="45"/>
  <c r="AN114" i="45"/>
  <c r="AN119" i="45" s="1"/>
  <c r="AN130" i="45"/>
  <c r="AN122" i="45"/>
  <c r="AN137" i="45"/>
  <c r="AN381" i="45"/>
  <c r="AL147" i="45"/>
  <c r="AL151" i="45"/>
  <c r="AL143" i="45"/>
  <c r="AL153" i="45" s="1"/>
  <c r="AL162" i="45"/>
  <c r="AL158" i="45" s="1"/>
  <c r="AL167" i="45"/>
  <c r="AL170" i="45"/>
  <c r="AM114" i="45"/>
  <c r="AM119" i="45" s="1"/>
  <c r="AM130" i="45"/>
  <c r="AM122" i="45"/>
  <c r="AM324" i="45"/>
  <c r="AM326" i="45" s="1"/>
  <c r="AM329" i="45" s="1"/>
  <c r="AM401" i="45" s="1"/>
  <c r="AM381" i="45"/>
  <c r="AK147" i="45"/>
  <c r="AK143" i="45" s="1"/>
  <c r="AK151" i="45"/>
  <c r="AK162" i="45"/>
  <c r="AK158" i="45"/>
  <c r="AK167" i="45"/>
  <c r="AK170" i="45"/>
  <c r="AK166" i="45" s="1"/>
  <c r="AL114" i="45"/>
  <c r="AL119" i="45" s="1"/>
  <c r="AL130" i="45"/>
  <c r="AL122" i="45"/>
  <c r="AL324" i="45"/>
  <c r="AL326" i="45" s="1"/>
  <c r="AL381" i="45"/>
  <c r="AJ147" i="45"/>
  <c r="AJ151" i="45"/>
  <c r="AJ143" i="45" s="1"/>
  <c r="AJ162" i="45"/>
  <c r="AJ158" i="45" s="1"/>
  <c r="AJ167" i="45"/>
  <c r="AJ166" i="45" s="1"/>
  <c r="AJ170" i="45"/>
  <c r="AK114" i="45"/>
  <c r="AK119" i="45"/>
  <c r="AK130" i="45"/>
  <c r="AK137" i="45"/>
  <c r="AK122" i="45"/>
  <c r="AK324" i="45"/>
  <c r="AK381" i="45"/>
  <c r="AI147" i="45"/>
  <c r="AI151" i="45"/>
  <c r="AI143" i="45"/>
  <c r="AI153" i="45" s="1"/>
  <c r="AI162" i="45"/>
  <c r="AI158" i="45" s="1"/>
  <c r="AI167" i="45"/>
  <c r="AI166" i="45" s="1"/>
  <c r="AI170" i="45"/>
  <c r="AJ114" i="45"/>
  <c r="AJ119" i="45"/>
  <c r="AJ130" i="45"/>
  <c r="AJ122" i="45"/>
  <c r="AJ137" i="45" s="1"/>
  <c r="AJ381" i="45"/>
  <c r="AH147" i="45"/>
  <c r="AH151" i="45"/>
  <c r="AH162" i="45"/>
  <c r="AH158" i="45"/>
  <c r="AH167" i="45"/>
  <c r="AH166" i="45"/>
  <c r="AH170" i="45"/>
  <c r="AI191" i="45"/>
  <c r="AI114" i="45"/>
  <c r="AI119" i="45"/>
  <c r="AI120" i="45" s="1"/>
  <c r="AI130" i="45"/>
  <c r="AI122" i="45"/>
  <c r="AI324" i="45"/>
  <c r="AI326" i="45" s="1"/>
  <c r="AI329" i="45" s="1"/>
  <c r="AI401" i="45" s="1"/>
  <c r="AI381" i="45"/>
  <c r="AG147" i="45"/>
  <c r="AG143" i="45"/>
  <c r="AG151" i="45"/>
  <c r="AG162" i="45"/>
  <c r="AG158" i="45" s="1"/>
  <c r="AG167" i="45"/>
  <c r="AG166" i="45" s="1"/>
  <c r="AG170" i="45"/>
  <c r="AH114" i="45"/>
  <c r="AH119" i="45"/>
  <c r="AH120" i="45" s="1"/>
  <c r="AH130" i="45"/>
  <c r="AH122" i="45"/>
  <c r="AH381" i="45"/>
  <c r="AF147" i="45"/>
  <c r="AF143" i="45"/>
  <c r="AF151" i="45"/>
  <c r="AF162" i="45"/>
  <c r="AF158" i="45" s="1"/>
  <c r="AF167" i="45"/>
  <c r="AF170" i="45"/>
  <c r="AG114" i="45"/>
  <c r="AG119" i="45" s="1"/>
  <c r="AG120" i="45" s="1"/>
  <c r="AG130" i="45"/>
  <c r="AG122" i="45"/>
  <c r="AG324" i="45" s="1"/>
  <c r="AG326" i="45" s="1"/>
  <c r="AG381" i="45"/>
  <c r="AF114" i="45"/>
  <c r="AF119" i="45" s="1"/>
  <c r="AF130" i="45"/>
  <c r="AF122" i="45"/>
  <c r="AF137" i="45"/>
  <c r="AF381" i="45"/>
  <c r="BK417" i="45"/>
  <c r="BJ417" i="45"/>
  <c r="BI417" i="45"/>
  <c r="BH417" i="45"/>
  <c r="BG417" i="45"/>
  <c r="BF417" i="45"/>
  <c r="BE417" i="45"/>
  <c r="BD417" i="45"/>
  <c r="BC417" i="45"/>
  <c r="BB417" i="45"/>
  <c r="BA417" i="45"/>
  <c r="AZ417" i="45"/>
  <c r="AY417" i="45"/>
  <c r="AX417" i="45"/>
  <c r="AW417" i="45"/>
  <c r="AV417" i="45"/>
  <c r="AU417" i="45"/>
  <c r="AT417" i="45"/>
  <c r="AS417" i="45"/>
  <c r="AR417" i="45"/>
  <c r="AQ417" i="45"/>
  <c r="AP417" i="45"/>
  <c r="AO417" i="45"/>
  <c r="AN417" i="45"/>
  <c r="AM417" i="45"/>
  <c r="AL417" i="45"/>
  <c r="AK417" i="45"/>
  <c r="AJ417" i="45"/>
  <c r="AI417" i="45"/>
  <c r="AH417" i="45"/>
  <c r="AG417" i="45"/>
  <c r="AF417" i="45"/>
  <c r="AI416" i="45"/>
  <c r="AH416" i="45"/>
  <c r="AG416" i="45"/>
  <c r="AF416" i="45"/>
  <c r="BJ324" i="45"/>
  <c r="BJ326" i="45" s="1"/>
  <c r="BJ325" i="45"/>
  <c r="BJ138" i="45"/>
  <c r="BK324" i="45"/>
  <c r="BK138" i="45"/>
  <c r="BK189" i="45"/>
  <c r="BI324" i="45"/>
  <c r="BI326" i="45" s="1"/>
  <c r="BI327" i="45"/>
  <c r="BI328" i="45"/>
  <c r="BI400" i="45"/>
  <c r="BI138" i="45"/>
  <c r="BH324" i="45"/>
  <c r="BH326" i="45" s="1"/>
  <c r="BH138" i="45"/>
  <c r="BG324" i="45"/>
  <c r="BG327" i="45"/>
  <c r="BG328" i="45"/>
  <c r="BG400" i="45"/>
  <c r="BG138" i="45"/>
  <c r="BF324" i="45"/>
  <c r="BF138" i="45"/>
  <c r="BE325" i="45"/>
  <c r="BE327" i="45"/>
  <c r="BE328" i="45"/>
  <c r="BE400" i="45"/>
  <c r="BE138" i="45"/>
  <c r="BD325" i="45"/>
  <c r="BD138" i="45"/>
  <c r="BD189" i="45" s="1"/>
  <c r="BC325" i="45"/>
  <c r="BC327" i="45"/>
  <c r="BC328" i="45"/>
  <c r="BC400" i="45"/>
  <c r="BC138" i="45"/>
  <c r="BC189" i="45" s="1"/>
  <c r="BB324" i="45"/>
  <c r="BB138" i="45"/>
  <c r="BA324" i="45"/>
  <c r="BA327" i="45"/>
  <c r="BA328" i="45"/>
  <c r="BA400" i="45"/>
  <c r="BA138" i="45"/>
  <c r="AZ324" i="45"/>
  <c r="AZ138" i="45"/>
  <c r="AY324" i="45"/>
  <c r="AY326" i="45"/>
  <c r="AY329" i="45" s="1"/>
  <c r="AY401" i="45" s="1"/>
  <c r="AY325" i="45"/>
  <c r="AY327" i="45"/>
  <c r="AY328" i="45"/>
  <c r="AY400" i="45"/>
  <c r="AY138" i="45"/>
  <c r="AX138" i="45"/>
  <c r="AW327" i="45"/>
  <c r="AW328" i="45"/>
  <c r="AW400" i="45"/>
  <c r="AW138" i="45"/>
  <c r="AW189" i="45" s="1"/>
  <c r="AV138" i="45"/>
  <c r="AU327" i="45"/>
  <c r="AU328" i="45"/>
  <c r="AU400" i="45"/>
  <c r="AU138" i="45"/>
  <c r="AU189" i="45" s="1"/>
  <c r="AT324" i="45"/>
  <c r="AT326" i="45"/>
  <c r="AT329" i="45" s="1"/>
  <c r="AT401" i="45" s="1"/>
  <c r="AT138" i="45"/>
  <c r="AS325" i="45"/>
  <c r="AS327" i="45"/>
  <c r="AS328" i="45"/>
  <c r="AS400" i="45"/>
  <c r="AS138" i="45"/>
  <c r="AS189" i="45" s="1"/>
  <c r="AR324" i="45"/>
  <c r="AR326" i="45" s="1"/>
  <c r="AR138" i="45"/>
  <c r="AQ327" i="45"/>
  <c r="AQ328" i="45"/>
  <c r="AQ400" i="45"/>
  <c r="AQ138" i="45"/>
  <c r="AR189" i="45" s="1"/>
  <c r="AP324" i="45"/>
  <c r="AP138" i="45"/>
  <c r="AO325" i="45"/>
  <c r="AO327" i="45"/>
  <c r="AO328" i="45"/>
  <c r="AO400" i="45"/>
  <c r="AO402" i="45" s="1"/>
  <c r="AO138" i="45"/>
  <c r="AN325" i="45"/>
  <c r="AN138" i="45"/>
  <c r="AM325" i="45"/>
  <c r="AM327" i="45"/>
  <c r="AM328" i="45"/>
  <c r="AM400" i="45"/>
  <c r="AM402" i="45" s="1"/>
  <c r="AM138" i="45"/>
  <c r="AM189" i="45" s="1"/>
  <c r="AL325" i="45"/>
  <c r="AL138" i="45"/>
  <c r="AK327" i="45"/>
  <c r="AK328" i="45"/>
  <c r="AK400" i="45"/>
  <c r="AK138" i="45"/>
  <c r="AJ324" i="45"/>
  <c r="AJ138" i="45"/>
  <c r="AI325" i="45"/>
  <c r="AI327" i="45"/>
  <c r="AI328" i="45"/>
  <c r="AI400" i="45"/>
  <c r="AI138" i="45"/>
  <c r="AJ189" i="45" s="1"/>
  <c r="AH324" i="45"/>
  <c r="AH138" i="45"/>
  <c r="AH189" i="45"/>
  <c r="AG325" i="45"/>
  <c r="AG327" i="45"/>
  <c r="AG328" i="45"/>
  <c r="AG400" i="45"/>
  <c r="AG138" i="45"/>
  <c r="AF324" i="45"/>
  <c r="AF326" i="45"/>
  <c r="AF325" i="45"/>
  <c r="AF138" i="45"/>
  <c r="AG189" i="45" s="1"/>
  <c r="BK400" i="45"/>
  <c r="BK327" i="45"/>
  <c r="BK328" i="45"/>
  <c r="BJ400" i="45"/>
  <c r="BJ327" i="45"/>
  <c r="BJ328" i="45"/>
  <c r="BH400" i="45"/>
  <c r="BH327" i="45"/>
  <c r="BH328" i="45"/>
  <c r="BF400" i="45"/>
  <c r="BF327" i="45"/>
  <c r="BF328" i="45"/>
  <c r="BD400" i="45"/>
  <c r="BD327" i="45"/>
  <c r="BD328" i="45"/>
  <c r="BB400" i="45"/>
  <c r="BB327" i="45"/>
  <c r="BB328" i="45"/>
  <c r="AZ400" i="45"/>
  <c r="AZ327" i="45"/>
  <c r="AZ328" i="45"/>
  <c r="AX400" i="45"/>
  <c r="AX327" i="45"/>
  <c r="AX328" i="45"/>
  <c r="AV400" i="45"/>
  <c r="AV327" i="45"/>
  <c r="AV328" i="45"/>
  <c r="AT400" i="45"/>
  <c r="AT327" i="45"/>
  <c r="AT328" i="45"/>
  <c r="AR400" i="45"/>
  <c r="AR327" i="45"/>
  <c r="AR328" i="45"/>
  <c r="AP400" i="45"/>
  <c r="AP327" i="45"/>
  <c r="AP328" i="45"/>
  <c r="AN400" i="45"/>
  <c r="AN327" i="45"/>
  <c r="AN328" i="45"/>
  <c r="AL400" i="45"/>
  <c r="AL327" i="45"/>
  <c r="AL328" i="45"/>
  <c r="AJ400" i="45"/>
  <c r="AJ327" i="45"/>
  <c r="AJ328" i="45"/>
  <c r="AH400" i="45"/>
  <c r="AH327" i="45"/>
  <c r="AH328" i="45"/>
  <c r="AF400" i="45"/>
  <c r="AF327" i="45"/>
  <c r="AF328" i="45"/>
  <c r="BK185" i="45"/>
  <c r="BK184" i="45" s="1"/>
  <c r="BK186" i="45"/>
  <c r="BK187" i="45"/>
  <c r="BK188" i="45"/>
  <c r="BK190" i="45"/>
  <c r="BK191" i="45"/>
  <c r="BJ185" i="45"/>
  <c r="BJ186" i="45"/>
  <c r="BJ187" i="45"/>
  <c r="BJ188" i="45"/>
  <c r="BJ189" i="45"/>
  <c r="BJ190" i="45"/>
  <c r="BI185" i="45"/>
  <c r="BI186" i="45"/>
  <c r="BI188" i="45"/>
  <c r="BI189" i="45"/>
  <c r="BI190" i="45"/>
  <c r="BH185" i="45"/>
  <c r="BH186" i="45"/>
  <c r="BH187" i="45"/>
  <c r="BH188" i="45"/>
  <c r="BH190" i="45"/>
  <c r="BH191" i="45"/>
  <c r="BG185" i="45"/>
  <c r="BG186" i="45"/>
  <c r="BG187" i="45"/>
  <c r="BG188" i="45"/>
  <c r="BG190" i="45"/>
  <c r="BG191" i="45"/>
  <c r="BF185" i="45"/>
  <c r="BF186" i="45"/>
  <c r="BF188" i="45"/>
  <c r="BF189" i="45"/>
  <c r="BF190" i="45"/>
  <c r="BE185" i="45"/>
  <c r="BE186" i="45"/>
  <c r="BE188" i="45"/>
  <c r="BE189" i="45"/>
  <c r="BE191" i="45"/>
  <c r="BD185" i="45"/>
  <c r="BD186" i="45"/>
  <c r="BD188" i="45"/>
  <c r="BC185" i="45"/>
  <c r="BC186" i="45"/>
  <c r="BC188" i="45"/>
  <c r="BB185" i="45"/>
  <c r="BB186" i="45"/>
  <c r="BB187" i="45"/>
  <c r="BB188" i="45"/>
  <c r="BB189" i="45"/>
  <c r="BA185" i="45"/>
  <c r="BA186" i="45"/>
  <c r="BA187" i="45"/>
  <c r="BA188" i="45"/>
  <c r="BA189" i="45"/>
  <c r="AZ185" i="45"/>
  <c r="AZ186" i="45"/>
  <c r="AZ187" i="45"/>
  <c r="AZ188" i="45"/>
  <c r="AZ189" i="45"/>
  <c r="AZ191" i="45"/>
  <c r="AY185" i="45"/>
  <c r="AY186" i="45"/>
  <c r="AY188" i="45"/>
  <c r="AY190" i="45"/>
  <c r="AX185" i="45"/>
  <c r="AX186" i="45"/>
  <c r="AX188" i="45"/>
  <c r="AX191" i="45"/>
  <c r="AW185" i="45"/>
  <c r="AW186" i="45"/>
  <c r="AW188" i="45"/>
  <c r="AW191" i="45"/>
  <c r="AV185" i="45"/>
  <c r="AV186" i="45"/>
  <c r="AV188" i="45"/>
  <c r="AV189" i="45"/>
  <c r="AU185" i="45"/>
  <c r="AU186" i="45"/>
  <c r="AU187" i="45"/>
  <c r="AU188" i="45"/>
  <c r="AU190" i="45"/>
  <c r="AT185" i="45"/>
  <c r="AT186" i="45"/>
  <c r="AT188" i="45"/>
  <c r="AT190" i="45"/>
  <c r="AS185" i="45"/>
  <c r="AS186" i="45"/>
  <c r="AS187" i="45"/>
  <c r="AS188" i="45"/>
  <c r="AS190" i="45"/>
  <c r="AR185" i="45"/>
  <c r="AR186" i="45"/>
  <c r="AR187" i="45"/>
  <c r="AR188" i="45"/>
  <c r="AR190" i="45"/>
  <c r="AR191" i="45"/>
  <c r="AQ185" i="45"/>
  <c r="AQ186" i="45"/>
  <c r="AQ187" i="45"/>
  <c r="AQ188" i="45"/>
  <c r="AQ189" i="45"/>
  <c r="AQ190" i="45"/>
  <c r="AQ191" i="45"/>
  <c r="AP185" i="45"/>
  <c r="AP186" i="45"/>
  <c r="AP187" i="45"/>
  <c r="AP188" i="45"/>
  <c r="AP190" i="45"/>
  <c r="AP191" i="45"/>
  <c r="AO185" i="45"/>
  <c r="AO186" i="45"/>
  <c r="AO187" i="45"/>
  <c r="AO188" i="45"/>
  <c r="AO190" i="45"/>
  <c r="AO191" i="45"/>
  <c r="AN185" i="45"/>
  <c r="AN186" i="45"/>
  <c r="AN188" i="45"/>
  <c r="AN189" i="45"/>
  <c r="AN191" i="45"/>
  <c r="AM185" i="45"/>
  <c r="AM186" i="45"/>
  <c r="AM187" i="45"/>
  <c r="AM188" i="45"/>
  <c r="AM191" i="45"/>
  <c r="AL185" i="45"/>
  <c r="AL186" i="45"/>
  <c r="AL188" i="45"/>
  <c r="AL189" i="45"/>
  <c r="AL190" i="45"/>
  <c r="AK185" i="45"/>
  <c r="AK186" i="45"/>
  <c r="AK188" i="45"/>
  <c r="AK189" i="45"/>
  <c r="AK191" i="45"/>
  <c r="AJ185" i="45"/>
  <c r="AJ186" i="45"/>
  <c r="AJ187" i="45"/>
  <c r="AJ188" i="45"/>
  <c r="AJ190" i="45"/>
  <c r="AJ191" i="45"/>
  <c r="AI185" i="45"/>
  <c r="AI186" i="45"/>
  <c r="AI187" i="45"/>
  <c r="AI188" i="45"/>
  <c r="AI189" i="45"/>
  <c r="AI190" i="45"/>
  <c r="AH185" i="45"/>
  <c r="AH186" i="45"/>
  <c r="AH187" i="45"/>
  <c r="AH188" i="45"/>
  <c r="AH190" i="45"/>
  <c r="AH191" i="45"/>
  <c r="AG185" i="45"/>
  <c r="AG186" i="45"/>
  <c r="AG187" i="45"/>
  <c r="AG188" i="45"/>
  <c r="AG190" i="45"/>
  <c r="AG191" i="45"/>
  <c r="AF185" i="45"/>
  <c r="AF186" i="45"/>
  <c r="AF187" i="45"/>
  <c r="AF188" i="45"/>
  <c r="AF189" i="45"/>
  <c r="AF191" i="45"/>
  <c r="AF391" i="45"/>
  <c r="AG391" i="45"/>
  <c r="AH391" i="45" s="1"/>
  <c r="AI391" i="45" s="1"/>
  <c r="AJ391" i="45" s="1"/>
  <c r="AK391" i="45" s="1"/>
  <c r="AL391" i="45" s="1"/>
  <c r="AM391" i="45" s="1"/>
  <c r="AN391" i="45" s="1"/>
  <c r="AO391" i="45" s="1"/>
  <c r="AP391" i="45" s="1"/>
  <c r="AQ391" i="45" s="1"/>
  <c r="AR391" i="45" s="1"/>
  <c r="AS391" i="45" s="1"/>
  <c r="AT391" i="45" s="1"/>
  <c r="AU391" i="45" s="1"/>
  <c r="AV391" i="45" s="1"/>
  <c r="AW391" i="45" s="1"/>
  <c r="AX391" i="45" s="1"/>
  <c r="AY391" i="45" s="1"/>
  <c r="AZ391" i="45" s="1"/>
  <c r="BA391" i="45" s="1"/>
  <c r="BB391" i="45" s="1"/>
  <c r="BC391" i="45" s="1"/>
  <c r="BD391" i="45" s="1"/>
  <c r="BE391" i="45" s="1"/>
  <c r="BF391" i="45" s="1"/>
  <c r="BG391" i="45" s="1"/>
  <c r="BH391" i="45" s="1"/>
  <c r="BI391" i="45" s="1"/>
  <c r="BJ391" i="45" s="1"/>
  <c r="BK391" i="45" s="1"/>
  <c r="BK358" i="45"/>
  <c r="BJ358" i="45"/>
  <c r="BI358" i="45"/>
  <c r="BH358" i="45"/>
  <c r="BG358" i="45"/>
  <c r="BF358" i="45"/>
  <c r="BE358" i="45"/>
  <c r="BD358" i="45"/>
  <c r="BC358" i="45"/>
  <c r="BB358" i="45"/>
  <c r="BA358" i="45"/>
  <c r="AZ358" i="45"/>
  <c r="AY358" i="45"/>
  <c r="AX358" i="45"/>
  <c r="AW358" i="45"/>
  <c r="AV358" i="45"/>
  <c r="AU358" i="45"/>
  <c r="AT358" i="45"/>
  <c r="AS358" i="45"/>
  <c r="AR358" i="45"/>
  <c r="AQ358" i="45"/>
  <c r="AP358" i="45"/>
  <c r="AO358" i="45"/>
  <c r="AN358" i="45"/>
  <c r="AM358" i="45"/>
  <c r="AL358" i="45"/>
  <c r="AK358" i="45"/>
  <c r="AJ358" i="45"/>
  <c r="AI358" i="45"/>
  <c r="AH358" i="45"/>
  <c r="AG358" i="45"/>
  <c r="AF358" i="45"/>
  <c r="BK355" i="45"/>
  <c r="BJ355" i="45"/>
  <c r="BI355" i="45"/>
  <c r="BH355" i="45"/>
  <c r="BG355" i="45"/>
  <c r="BF355" i="45"/>
  <c r="BE355" i="45"/>
  <c r="BD355" i="45"/>
  <c r="BC355" i="45"/>
  <c r="BB355" i="45"/>
  <c r="BA355" i="45"/>
  <c r="AZ355" i="45"/>
  <c r="AY355" i="45"/>
  <c r="AX355" i="45"/>
  <c r="AW355" i="45"/>
  <c r="AV355" i="45"/>
  <c r="AU355" i="45"/>
  <c r="AT355" i="45"/>
  <c r="AS355" i="45"/>
  <c r="AR355" i="45"/>
  <c r="AQ355" i="45"/>
  <c r="AP355" i="45"/>
  <c r="AO355" i="45"/>
  <c r="AN355" i="45"/>
  <c r="AM355" i="45"/>
  <c r="AL355" i="45"/>
  <c r="AK355" i="45"/>
  <c r="AJ355" i="45"/>
  <c r="AI355" i="45"/>
  <c r="AH355" i="45"/>
  <c r="AG355" i="45"/>
  <c r="AF355" i="45"/>
  <c r="BG332" i="45"/>
  <c r="BB332" i="45"/>
  <c r="AT332" i="45"/>
  <c r="BK282" i="45"/>
  <c r="BJ282" i="45"/>
  <c r="BI282" i="45"/>
  <c r="BH282" i="45"/>
  <c r="BG282" i="45"/>
  <c r="BF282" i="45"/>
  <c r="BE282" i="45"/>
  <c r="BD282" i="45"/>
  <c r="BC282" i="45"/>
  <c r="BB282" i="45"/>
  <c r="BA282" i="45"/>
  <c r="AZ282" i="45"/>
  <c r="AY282" i="45"/>
  <c r="AX282" i="45"/>
  <c r="AW282" i="45"/>
  <c r="AV282" i="45"/>
  <c r="AU282" i="45"/>
  <c r="AT282" i="45"/>
  <c r="AS282" i="45"/>
  <c r="AR282" i="45"/>
  <c r="AQ282" i="45"/>
  <c r="AP282" i="45"/>
  <c r="AO282" i="45"/>
  <c r="AN282" i="45"/>
  <c r="AM282" i="45"/>
  <c r="AL282" i="45"/>
  <c r="AK282" i="45"/>
  <c r="AJ282" i="45"/>
  <c r="AI282" i="45"/>
  <c r="AH282" i="45"/>
  <c r="AG282" i="45"/>
  <c r="AF282" i="45"/>
  <c r="BK199" i="45"/>
  <c r="BK200" i="45"/>
  <c r="BK198" i="45"/>
  <c r="BK203" i="45"/>
  <c r="BJ199" i="45"/>
  <c r="BJ198" i="45" s="1"/>
  <c r="BJ200" i="45"/>
  <c r="BJ203" i="45"/>
  <c r="BI199" i="45"/>
  <c r="BI200" i="45"/>
  <c r="BI198" i="45"/>
  <c r="BI203" i="45"/>
  <c r="BH199" i="45"/>
  <c r="BH198" i="45" s="1"/>
  <c r="BH200" i="45"/>
  <c r="BH203" i="45"/>
  <c r="BG199" i="45"/>
  <c r="BG200" i="45"/>
  <c r="BG198" i="45"/>
  <c r="BG203" i="45"/>
  <c r="BF199" i="45"/>
  <c r="BF200" i="45"/>
  <c r="BF198" i="45"/>
  <c r="BF203" i="45"/>
  <c r="BE199" i="45"/>
  <c r="BE200" i="45"/>
  <c r="BE203" i="45"/>
  <c r="BD199" i="45"/>
  <c r="BD200" i="45"/>
  <c r="BD198" i="45" s="1"/>
  <c r="BD203" i="45"/>
  <c r="BC199" i="45"/>
  <c r="BC198" i="45"/>
  <c r="BC200" i="45"/>
  <c r="BC203" i="45"/>
  <c r="BB199" i="45"/>
  <c r="BB200" i="45"/>
  <c r="BB198" i="45" s="1"/>
  <c r="BB203" i="45"/>
  <c r="BA199" i="45"/>
  <c r="BA200" i="45"/>
  <c r="BA203" i="45"/>
  <c r="AZ199" i="45"/>
  <c r="AZ200" i="45"/>
  <c r="AZ198" i="45"/>
  <c r="AZ203" i="45"/>
  <c r="AY199" i="45"/>
  <c r="AY198" i="45" s="1"/>
  <c r="AY200" i="45"/>
  <c r="AY203" i="45"/>
  <c r="AX199" i="45"/>
  <c r="AX200" i="45"/>
  <c r="AX198" i="45"/>
  <c r="AX203" i="45"/>
  <c r="AW199" i="45"/>
  <c r="AW200" i="45"/>
  <c r="AW203" i="45"/>
  <c r="AV199" i="45"/>
  <c r="AV200" i="45"/>
  <c r="AV198" i="45" s="1"/>
  <c r="AV203" i="45"/>
  <c r="AU199" i="45"/>
  <c r="AU198" i="45"/>
  <c r="AU200" i="45"/>
  <c r="AU203" i="45"/>
  <c r="AT199" i="45"/>
  <c r="AT200" i="45"/>
  <c r="AT198" i="45" s="1"/>
  <c r="AT203" i="45"/>
  <c r="AS199" i="45"/>
  <c r="AS198" i="45"/>
  <c r="AS200" i="45"/>
  <c r="AS203" i="45"/>
  <c r="AR199" i="45"/>
  <c r="AR200" i="45"/>
  <c r="AR198" i="45" s="1"/>
  <c r="AR203" i="45"/>
  <c r="AQ199" i="45"/>
  <c r="AQ200" i="45"/>
  <c r="AQ203" i="45"/>
  <c r="AP199" i="45"/>
  <c r="AP198" i="45" s="1"/>
  <c r="AP200" i="45"/>
  <c r="AP203" i="45"/>
  <c r="AO199" i="45"/>
  <c r="AO200" i="45"/>
  <c r="AO203" i="45"/>
  <c r="AN199" i="45"/>
  <c r="AN198" i="45"/>
  <c r="AN200" i="45"/>
  <c r="AN203" i="45"/>
  <c r="AM199" i="45"/>
  <c r="AM198" i="45"/>
  <c r="AM200" i="45"/>
  <c r="AM203" i="45"/>
  <c r="AL199" i="45"/>
  <c r="AL200" i="45"/>
  <c r="AL198" i="45" s="1"/>
  <c r="AL203" i="45"/>
  <c r="AK199" i="45"/>
  <c r="AK198" i="45"/>
  <c r="AK200" i="45"/>
  <c r="AK203" i="45"/>
  <c r="AJ199" i="45"/>
  <c r="AJ198" i="45"/>
  <c r="AJ200" i="45"/>
  <c r="AJ203" i="45"/>
  <c r="AI199" i="45"/>
  <c r="AI200" i="45"/>
  <c r="AI198" i="45" s="1"/>
  <c r="AI203" i="45"/>
  <c r="AH199" i="45"/>
  <c r="AH200" i="45"/>
  <c r="AH198" i="45" s="1"/>
  <c r="AH203" i="45"/>
  <c r="AG199" i="45"/>
  <c r="AG198" i="45"/>
  <c r="AG200" i="45"/>
  <c r="AG203" i="45"/>
  <c r="AF199" i="45"/>
  <c r="AF200" i="45"/>
  <c r="AF198" i="45" s="1"/>
  <c r="AF203" i="45"/>
  <c r="BK210" i="45"/>
  <c r="BJ210" i="45"/>
  <c r="BI210" i="45"/>
  <c r="BH210" i="45"/>
  <c r="BG210" i="45"/>
  <c r="BF210" i="45"/>
  <c r="BE210" i="45"/>
  <c r="BD210" i="45"/>
  <c r="BC210" i="45"/>
  <c r="BB210" i="45"/>
  <c r="BA210" i="45"/>
  <c r="AZ210" i="45"/>
  <c r="AY210" i="45"/>
  <c r="AX210" i="45"/>
  <c r="AW210" i="45"/>
  <c r="AV210" i="45"/>
  <c r="AU210" i="45"/>
  <c r="AT210" i="45"/>
  <c r="AS210" i="45"/>
  <c r="AR210" i="45"/>
  <c r="AQ210" i="45"/>
  <c r="AP210" i="45"/>
  <c r="AO210" i="45"/>
  <c r="AN210" i="45"/>
  <c r="AM210" i="45"/>
  <c r="AL210" i="45"/>
  <c r="AK210" i="45"/>
  <c r="AJ210" i="45"/>
  <c r="AI210" i="45"/>
  <c r="AH210" i="45"/>
  <c r="AG210" i="45"/>
  <c r="AF210" i="45"/>
  <c r="BK155" i="45"/>
  <c r="BK141" i="45"/>
  <c r="BJ155" i="45"/>
  <c r="BI155" i="45"/>
  <c r="BH155" i="45"/>
  <c r="BG155" i="45"/>
  <c r="BF155" i="45"/>
  <c r="BF141" i="45"/>
  <c r="BE155" i="45"/>
  <c r="BD155" i="45"/>
  <c r="BC155" i="45"/>
  <c r="BB155" i="45"/>
  <c r="BA155" i="45"/>
  <c r="BA141" i="45"/>
  <c r="AZ155" i="45"/>
  <c r="AY155" i="45"/>
  <c r="AX155" i="45"/>
  <c r="AW155" i="45"/>
  <c r="AV155" i="45"/>
  <c r="AU155" i="45"/>
  <c r="AT155" i="45"/>
  <c r="AS155" i="45"/>
  <c r="AR155" i="45"/>
  <c r="AQ155" i="45"/>
  <c r="AP155" i="45"/>
  <c r="AO155" i="45"/>
  <c r="AN155" i="45"/>
  <c r="AM155" i="45"/>
  <c r="AL155" i="45"/>
  <c r="AK155" i="45"/>
  <c r="AJ155" i="45"/>
  <c r="AI155" i="45"/>
  <c r="AH155" i="45"/>
  <c r="AG155" i="45"/>
  <c r="AF155" i="45"/>
  <c r="BK120" i="45"/>
  <c r="BF120" i="45"/>
  <c r="BE120" i="45"/>
  <c r="BD120" i="45"/>
  <c r="BC120" i="45"/>
  <c r="BA120" i="45"/>
  <c r="AZ120" i="45"/>
  <c r="AW120" i="45"/>
  <c r="AR120" i="45"/>
  <c r="AM120" i="45"/>
  <c r="AF120" i="45"/>
  <c r="BK5" i="45"/>
  <c r="BJ5" i="45"/>
  <c r="BI5" i="45"/>
  <c r="BH5" i="45"/>
  <c r="BG5" i="45"/>
  <c r="BF5" i="45"/>
  <c r="BE5" i="45"/>
  <c r="BD5" i="45"/>
  <c r="BC5" i="45"/>
  <c r="BB5" i="45"/>
  <c r="BA5" i="45"/>
  <c r="AZ5" i="45"/>
  <c r="AY5" i="45"/>
  <c r="AX5" i="45"/>
  <c r="AW5" i="45"/>
  <c r="AV5" i="45"/>
  <c r="AU5" i="45"/>
  <c r="AT5" i="45"/>
  <c r="AS5" i="45"/>
  <c r="AR5" i="45"/>
  <c r="AQ5" i="45"/>
  <c r="AP5" i="45"/>
  <c r="AO5" i="45"/>
  <c r="AN5" i="45"/>
  <c r="AM5" i="45"/>
  <c r="AL5" i="45"/>
  <c r="AK5" i="45"/>
  <c r="AJ5" i="45"/>
  <c r="AI5" i="45"/>
  <c r="AH5" i="45"/>
  <c r="AG5" i="45"/>
  <c r="AF5" i="45"/>
  <c r="BK3" i="45"/>
  <c r="BJ3" i="45"/>
  <c r="BI3" i="45"/>
  <c r="BH3" i="45"/>
  <c r="BG3" i="45"/>
  <c r="BF3" i="45"/>
  <c r="BE3" i="45"/>
  <c r="BD3" i="45"/>
  <c r="BC3" i="45"/>
  <c r="BB3" i="45"/>
  <c r="BA3" i="45"/>
  <c r="AZ3" i="45"/>
  <c r="AY3" i="45"/>
  <c r="AX3" i="45"/>
  <c r="AW3" i="45"/>
  <c r="AV3" i="45"/>
  <c r="AU3" i="45"/>
  <c r="AT3" i="45"/>
  <c r="AS3" i="45"/>
  <c r="AR3" i="45"/>
  <c r="AQ3" i="45"/>
  <c r="AP3" i="45"/>
  <c r="AO3" i="45"/>
  <c r="AN3" i="45"/>
  <c r="AM3" i="45"/>
  <c r="AL3" i="45"/>
  <c r="AK3" i="45"/>
  <c r="AJ3" i="45"/>
  <c r="AI3" i="45"/>
  <c r="AH3" i="45"/>
  <c r="AG3" i="45"/>
  <c r="AF3" i="45"/>
  <c r="A42" i="44"/>
  <c r="J45" i="28"/>
  <c r="J198" i="28" s="1"/>
  <c r="BK215" i="45"/>
  <c r="BK216" i="45" s="1"/>
  <c r="BK218" i="45" s="1"/>
  <c r="H27" i="50"/>
  <c r="I27" i="50"/>
  <c r="J27" i="50"/>
  <c r="K27" i="50"/>
  <c r="L27" i="50"/>
  <c r="M27" i="50"/>
  <c r="N27" i="50"/>
  <c r="O27" i="50"/>
  <c r="P27" i="50"/>
  <c r="Q27" i="50"/>
  <c r="R27" i="50"/>
  <c r="S27" i="50"/>
  <c r="T27" i="50"/>
  <c r="U27" i="50"/>
  <c r="V27" i="50"/>
  <c r="W27" i="50"/>
  <c r="X27" i="50"/>
  <c r="Y27" i="50"/>
  <c r="Z27" i="50"/>
  <c r="AA27" i="50"/>
  <c r="AB27" i="50"/>
  <c r="AC27" i="50"/>
  <c r="H28" i="50"/>
  <c r="I28" i="50"/>
  <c r="J28" i="50"/>
  <c r="K28" i="50"/>
  <c r="L28" i="50"/>
  <c r="M28" i="50"/>
  <c r="N28" i="50"/>
  <c r="O28" i="50"/>
  <c r="P28" i="50"/>
  <c r="Q28" i="50"/>
  <c r="R28" i="50"/>
  <c r="S28" i="50"/>
  <c r="T28" i="50"/>
  <c r="U28" i="50"/>
  <c r="V28" i="50"/>
  <c r="W28" i="50"/>
  <c r="X28" i="50"/>
  <c r="Y28" i="50"/>
  <c r="Z28" i="50"/>
  <c r="AA28" i="50"/>
  <c r="AB28" i="50"/>
  <c r="AC28" i="50"/>
  <c r="H29" i="50"/>
  <c r="I29" i="50"/>
  <c r="J29" i="50"/>
  <c r="K29" i="50"/>
  <c r="L29" i="50"/>
  <c r="M29" i="50"/>
  <c r="N29" i="50"/>
  <c r="O29" i="50"/>
  <c r="P29" i="50"/>
  <c r="Q29" i="50"/>
  <c r="R29" i="50"/>
  <c r="S29" i="50"/>
  <c r="T29" i="50"/>
  <c r="U29" i="50"/>
  <c r="V29" i="50"/>
  <c r="W29" i="50"/>
  <c r="X29" i="50"/>
  <c r="Y29" i="50"/>
  <c r="Z29" i="50"/>
  <c r="AA29" i="50"/>
  <c r="AB29" i="50"/>
  <c r="AC29" i="50"/>
  <c r="H30" i="50"/>
  <c r="I30" i="50"/>
  <c r="J30" i="50"/>
  <c r="K30" i="50"/>
  <c r="L30" i="50"/>
  <c r="M30" i="50"/>
  <c r="N30" i="50"/>
  <c r="O30" i="50"/>
  <c r="P30" i="50"/>
  <c r="Q30" i="50"/>
  <c r="R30" i="50"/>
  <c r="S30" i="50"/>
  <c r="T30" i="50"/>
  <c r="U30" i="50"/>
  <c r="V30" i="50"/>
  <c r="W30" i="50"/>
  <c r="X30" i="50"/>
  <c r="Y30" i="50"/>
  <c r="Z30" i="50"/>
  <c r="AA30" i="50"/>
  <c r="AB30" i="50"/>
  <c r="AC30" i="50"/>
  <c r="H31" i="50"/>
  <c r="I31" i="50"/>
  <c r="J31" i="50"/>
  <c r="K31" i="50"/>
  <c r="L31" i="50"/>
  <c r="M31" i="50"/>
  <c r="N31" i="50"/>
  <c r="O31" i="50"/>
  <c r="P31" i="50"/>
  <c r="Q31" i="50"/>
  <c r="R31" i="50"/>
  <c r="S31" i="50"/>
  <c r="T31" i="50"/>
  <c r="U31" i="50"/>
  <c r="V31" i="50"/>
  <c r="W31" i="50"/>
  <c r="X31" i="50"/>
  <c r="Y31" i="50"/>
  <c r="Z31" i="50"/>
  <c r="AA31" i="50"/>
  <c r="AB31" i="50"/>
  <c r="AC31" i="50"/>
  <c r="H32" i="50"/>
  <c r="I32" i="50"/>
  <c r="J32" i="50"/>
  <c r="K32" i="50"/>
  <c r="L32" i="50"/>
  <c r="M32" i="50"/>
  <c r="N32" i="50"/>
  <c r="O32" i="50"/>
  <c r="P32" i="50"/>
  <c r="Q32" i="50"/>
  <c r="R32" i="50"/>
  <c r="S32" i="50"/>
  <c r="T32" i="50"/>
  <c r="U32" i="50"/>
  <c r="V32" i="50"/>
  <c r="W32" i="50"/>
  <c r="X32" i="50"/>
  <c r="Y32" i="50"/>
  <c r="Z32" i="50"/>
  <c r="AA32" i="50"/>
  <c r="AB32" i="50"/>
  <c r="AC32" i="50"/>
  <c r="H33" i="50"/>
  <c r="I33" i="50"/>
  <c r="J33" i="50"/>
  <c r="K33" i="50"/>
  <c r="L33" i="50"/>
  <c r="M33" i="50"/>
  <c r="N33" i="50"/>
  <c r="O33" i="50"/>
  <c r="P33" i="50"/>
  <c r="Q33" i="50"/>
  <c r="R33" i="50"/>
  <c r="S33" i="50"/>
  <c r="T33" i="50"/>
  <c r="U33" i="50"/>
  <c r="V33" i="50"/>
  <c r="W33" i="50"/>
  <c r="X33" i="50"/>
  <c r="Y33" i="50"/>
  <c r="Z33" i="50"/>
  <c r="AA33" i="50"/>
  <c r="AB33" i="50"/>
  <c r="AC33" i="50"/>
  <c r="D17" i="52"/>
  <c r="D18" i="52"/>
  <c r="D19" i="52"/>
  <c r="D20" i="52"/>
  <c r="D21" i="52"/>
  <c r="D22" i="52"/>
  <c r="D23" i="52"/>
  <c r="D24" i="52"/>
  <c r="E20" i="49"/>
  <c r="H20" i="49" s="1"/>
  <c r="E19" i="49"/>
  <c r="H19" i="49" s="1"/>
  <c r="E18" i="49"/>
  <c r="H18" i="49" s="1"/>
  <c r="E17" i="49"/>
  <c r="H17" i="49"/>
  <c r="E16" i="49"/>
  <c r="H16" i="49" s="1"/>
  <c r="E15" i="49"/>
  <c r="H15" i="49" s="1"/>
  <c r="C15" i="49"/>
  <c r="C16" i="49"/>
  <c r="C17" i="49"/>
  <c r="C18" i="49"/>
  <c r="C19" i="49"/>
  <c r="C20" i="49"/>
  <c r="Y216" i="45"/>
  <c r="Y215" i="45" s="1"/>
  <c r="Y345" i="45" s="1"/>
  <c r="X216" i="45"/>
  <c r="X215" i="45" s="1"/>
  <c r="X345" i="45" s="1"/>
  <c r="W216" i="45"/>
  <c r="W215" i="45" s="1"/>
  <c r="W345" i="45" s="1"/>
  <c r="Q68" i="6"/>
  <c r="Z200" i="45"/>
  <c r="Z66" i="45"/>
  <c r="Z69" i="45"/>
  <c r="Z358" i="45"/>
  <c r="Z216" i="45"/>
  <c r="Z218" i="45" s="1"/>
  <c r="Y66" i="45"/>
  <c r="Y69" i="45"/>
  <c r="Z282" i="45"/>
  <c r="Q76" i="6"/>
  <c r="Q77" i="6"/>
  <c r="Q78" i="6"/>
  <c r="Q79" i="6"/>
  <c r="Q80" i="6"/>
  <c r="Q81" i="6"/>
  <c r="Q82" i="6"/>
  <c r="Q61" i="6"/>
  <c r="Q62" i="6"/>
  <c r="Q63" i="6"/>
  <c r="Q64" i="6"/>
  <c r="Q65" i="6"/>
  <c r="Q66" i="6"/>
  <c r="P130" i="2"/>
  <c r="P131" i="2" s="1"/>
  <c r="P19" i="2" s="1"/>
  <c r="Z174" i="45" s="1"/>
  <c r="BI215" i="45"/>
  <c r="BI216" i="45" s="1"/>
  <c r="BI218" i="45" s="1"/>
  <c r="BI226" i="45" s="1"/>
  <c r="BI256" i="45" s="1"/>
  <c r="L73" i="28"/>
  <c r="L72" i="28"/>
  <c r="L67" i="28"/>
  <c r="L66" i="28"/>
  <c r="L73" i="12"/>
  <c r="Z73" i="12" s="1"/>
  <c r="G37" i="12"/>
  <c r="K5" i="12" s="1"/>
  <c r="K4" i="12" s="1"/>
  <c r="Z36" i="12"/>
  <c r="Z35" i="12"/>
  <c r="Z18" i="12"/>
  <c r="Z11" i="12"/>
  <c r="L116" i="12"/>
  <c r="L109" i="12"/>
  <c r="L110" i="12"/>
  <c r="L83" i="12"/>
  <c r="L46" i="12"/>
  <c r="Z46" i="12" s="1"/>
  <c r="L37" i="12"/>
  <c r="L40" i="12"/>
  <c r="L32" i="12"/>
  <c r="L31" i="12"/>
  <c r="I38" i="28"/>
  <c r="I28" i="28"/>
  <c r="I30" i="28"/>
  <c r="I9" i="28"/>
  <c r="AP82" i="45"/>
  <c r="AP197" i="45" s="1"/>
  <c r="AM65" i="45"/>
  <c r="L449" i="45"/>
  <c r="L448" i="45" s="1"/>
  <c r="R110" i="46"/>
  <c r="Q110" i="46"/>
  <c r="P110" i="46"/>
  <c r="O110" i="46"/>
  <c r="R138" i="46"/>
  <c r="Q138" i="46"/>
  <c r="P138" i="46"/>
  <c r="R132" i="46"/>
  <c r="Q132" i="46"/>
  <c r="P132" i="46"/>
  <c r="O132" i="46"/>
  <c r="R130" i="46"/>
  <c r="O130" i="46"/>
  <c r="R127" i="46"/>
  <c r="Q127" i="46"/>
  <c r="P127" i="46"/>
  <c r="O127" i="46"/>
  <c r="R155" i="46"/>
  <c r="Q155" i="46"/>
  <c r="P155" i="46"/>
  <c r="O155" i="46"/>
  <c r="R149" i="46"/>
  <c r="Q149" i="46"/>
  <c r="P149" i="46"/>
  <c r="O149" i="46"/>
  <c r="R147" i="46"/>
  <c r="R144" i="46"/>
  <c r="Q144" i="46"/>
  <c r="P144" i="46"/>
  <c r="O144" i="46"/>
  <c r="R166" i="46"/>
  <c r="Q166" i="46"/>
  <c r="P166" i="46"/>
  <c r="O166" i="46"/>
  <c r="R164" i="46"/>
  <c r="R161" i="46"/>
  <c r="Q161" i="46"/>
  <c r="P161" i="46"/>
  <c r="O161" i="46"/>
  <c r="BG215" i="45"/>
  <c r="BG216" i="45" s="1"/>
  <c r="BG218" i="45" s="1"/>
  <c r="BA65" i="45"/>
  <c r="BA215" i="45"/>
  <c r="BA216" i="45" s="1"/>
  <c r="BA218" i="45" s="1"/>
  <c r="BB215" i="45"/>
  <c r="BB216" i="45" s="1"/>
  <c r="BB218" i="45" s="1"/>
  <c r="BB403" i="45" s="1"/>
  <c r="BC215" i="45"/>
  <c r="BC216" i="45" s="1"/>
  <c r="BC218" i="45" s="1"/>
  <c r="BC226" i="45" s="1"/>
  <c r="W50" i="45"/>
  <c r="Y200" i="45"/>
  <c r="X50" i="45"/>
  <c r="H10" i="27"/>
  <c r="H13" i="27" s="1"/>
  <c r="L89" i="2"/>
  <c r="E287" i="46"/>
  <c r="D287" i="46"/>
  <c r="G287" i="46"/>
  <c r="F287" i="46"/>
  <c r="D277" i="46"/>
  <c r="E268" i="46"/>
  <c r="E261" i="46"/>
  <c r="E260" i="46"/>
  <c r="E263" i="46" s="1"/>
  <c r="E265" i="46"/>
  <c r="E266" i="46"/>
  <c r="D260" i="46"/>
  <c r="F260" i="46"/>
  <c r="D262" i="46"/>
  <c r="D265" i="46"/>
  <c r="D266" i="46"/>
  <c r="D267" i="46"/>
  <c r="D268" i="46"/>
  <c r="D270" i="46"/>
  <c r="N33" i="6"/>
  <c r="C252" i="46"/>
  <c r="B252" i="46"/>
  <c r="K75" i="1"/>
  <c r="K9" i="1" s="1"/>
  <c r="J73" i="1"/>
  <c r="J75" i="1" s="1"/>
  <c r="I75" i="1"/>
  <c r="I9" i="1" s="1"/>
  <c r="D256" i="46" s="1"/>
  <c r="H73" i="1"/>
  <c r="H75" i="1" s="1"/>
  <c r="E18" i="38"/>
  <c r="E17" i="38"/>
  <c r="C24" i="56"/>
  <c r="D17" i="38"/>
  <c r="B24" i="56"/>
  <c r="E20" i="38"/>
  <c r="C26" i="56"/>
  <c r="E278" i="46"/>
  <c r="M121" i="1"/>
  <c r="M120" i="1"/>
  <c r="E270" i="46"/>
  <c r="E262" i="46"/>
  <c r="J137" i="1"/>
  <c r="J143" i="1" s="1"/>
  <c r="J28" i="1" s="1"/>
  <c r="H137" i="1"/>
  <c r="H143" i="1" s="1"/>
  <c r="H28" i="1" s="1"/>
  <c r="R82" i="45" s="1"/>
  <c r="R197" i="45" s="1"/>
  <c r="E137" i="1"/>
  <c r="N69" i="6"/>
  <c r="M93" i="1"/>
  <c r="M27" i="44"/>
  <c r="M28" i="44"/>
  <c r="M24" i="44"/>
  <c r="M22" i="44"/>
  <c r="M21" i="44"/>
  <c r="M20" i="44"/>
  <c r="AZ215" i="45"/>
  <c r="AZ216" i="45" s="1"/>
  <c r="AZ218" i="45" s="1"/>
  <c r="M54" i="44"/>
  <c r="A24" i="44"/>
  <c r="AV65" i="45"/>
  <c r="AT96" i="45"/>
  <c r="AT93" i="45" s="1"/>
  <c r="T470" i="45"/>
  <c r="AR44" i="45"/>
  <c r="AR43" i="45" s="1"/>
  <c r="AR96" i="45"/>
  <c r="AR93" i="45" s="1"/>
  <c r="AQ65" i="45"/>
  <c r="AQ96" i="45"/>
  <c r="AQ93" i="45" s="1"/>
  <c r="AC455" i="45"/>
  <c r="AC471" i="45"/>
  <c r="AC474" i="45"/>
  <c r="AC483" i="45"/>
  <c r="AC486" i="45"/>
  <c r="AC490" i="45"/>
  <c r="AC488" i="45" s="1"/>
  <c r="AC493" i="45"/>
  <c r="AC503" i="45"/>
  <c r="AC504" i="45" s="1"/>
  <c r="AC500" i="45" s="1"/>
  <c r="L103" i="44"/>
  <c r="H81" i="1"/>
  <c r="H84" i="1" s="1"/>
  <c r="R50" i="45"/>
  <c r="H108" i="1"/>
  <c r="R66" i="45"/>
  <c r="R69" i="45"/>
  <c r="R353" i="45"/>
  <c r="R355" i="45" s="1"/>
  <c r="R79" i="45" s="1"/>
  <c r="R78" i="45" s="1"/>
  <c r="R181" i="45" s="1"/>
  <c r="H131" i="1"/>
  <c r="H27" i="1" s="1"/>
  <c r="H173" i="1"/>
  <c r="H32" i="1" s="1"/>
  <c r="D29" i="12" s="1"/>
  <c r="R216" i="45"/>
  <c r="R215" i="45" s="1"/>
  <c r="I81" i="1"/>
  <c r="I82" i="1"/>
  <c r="S50" i="45"/>
  <c r="I108" i="1"/>
  <c r="I109" i="1" s="1"/>
  <c r="S66" i="45"/>
  <c r="S69" i="45"/>
  <c r="S353" i="45"/>
  <c r="S355" i="45" s="1"/>
  <c r="S79" i="45" s="1"/>
  <c r="S78" i="45" s="1"/>
  <c r="S181" i="45" s="1"/>
  <c r="I142" i="1"/>
  <c r="I143" i="1" s="1"/>
  <c r="I28" i="1" s="1"/>
  <c r="I131" i="1"/>
  <c r="I27" i="1" s="1"/>
  <c r="I173" i="1"/>
  <c r="I32" i="1" s="1"/>
  <c r="I18" i="4" s="1"/>
  <c r="S216" i="45"/>
  <c r="S218" i="45" s="1"/>
  <c r="J82" i="1"/>
  <c r="J84" i="1" s="1"/>
  <c r="J10" i="1" s="1"/>
  <c r="T44" i="45" s="1"/>
  <c r="T43" i="45" s="1"/>
  <c r="T50" i="45"/>
  <c r="J108" i="1"/>
  <c r="J109" i="1" s="1"/>
  <c r="J15" i="1" s="1"/>
  <c r="T66" i="45"/>
  <c r="T69" i="45"/>
  <c r="T353" i="45"/>
  <c r="T355" i="45" s="1"/>
  <c r="T79" i="45" s="1"/>
  <c r="T78" i="45" s="1"/>
  <c r="T181" i="45" s="1"/>
  <c r="J126" i="1"/>
  <c r="J131" i="1" s="1"/>
  <c r="J27" i="1" s="1"/>
  <c r="J173" i="1"/>
  <c r="J32" i="1" s="1"/>
  <c r="F29" i="12" s="1"/>
  <c r="T216" i="45"/>
  <c r="T218" i="45" s="1"/>
  <c r="K84" i="1"/>
  <c r="K10" i="1" s="1"/>
  <c r="U44" i="45" s="1"/>
  <c r="U43" i="45" s="1"/>
  <c r="U50" i="45"/>
  <c r="K108" i="1"/>
  <c r="K109" i="1" s="1"/>
  <c r="U66" i="45"/>
  <c r="U69" i="45"/>
  <c r="U353" i="45"/>
  <c r="U355" i="45" s="1"/>
  <c r="U79" i="45" s="1"/>
  <c r="U78" i="45" s="1"/>
  <c r="U181" i="45" s="1"/>
  <c r="K142" i="1"/>
  <c r="K143" i="1" s="1"/>
  <c r="K28" i="1" s="1"/>
  <c r="K131" i="1"/>
  <c r="K27" i="1" s="1"/>
  <c r="K173" i="1"/>
  <c r="K32" i="1" s="1"/>
  <c r="U216" i="45"/>
  <c r="V50" i="45"/>
  <c r="V66" i="45"/>
  <c r="V69" i="45"/>
  <c r="V353" i="45"/>
  <c r="V355" i="45" s="1"/>
  <c r="V79" i="45" s="1"/>
  <c r="V78" i="45" s="1"/>
  <c r="V181" i="45" s="1"/>
  <c r="V216" i="45"/>
  <c r="G20" i="26"/>
  <c r="G21" i="26"/>
  <c r="W66" i="45"/>
  <c r="W69" i="45"/>
  <c r="X66" i="45"/>
  <c r="X69" i="45"/>
  <c r="H168" i="2"/>
  <c r="H26" i="2" s="1"/>
  <c r="H159" i="2"/>
  <c r="H25" i="2" s="1"/>
  <c r="R131" i="45" s="1"/>
  <c r="R130" i="45" s="1"/>
  <c r="R325" i="45" s="1"/>
  <c r="H76" i="2"/>
  <c r="H111" i="2"/>
  <c r="H114" i="2" s="1"/>
  <c r="H116" i="2" s="1"/>
  <c r="I168" i="2"/>
  <c r="I26" i="2"/>
  <c r="S123" i="45" s="1"/>
  <c r="S122" i="45" s="1"/>
  <c r="S324" i="45" s="1"/>
  <c r="I159" i="2"/>
  <c r="I25" i="2" s="1"/>
  <c r="I81" i="2"/>
  <c r="I13" i="2" s="1"/>
  <c r="I111" i="2"/>
  <c r="I112" i="2"/>
  <c r="I114" i="2" s="1"/>
  <c r="J168" i="2"/>
  <c r="J26" i="2" s="1"/>
  <c r="T123" i="45" s="1"/>
  <c r="T122" i="45" s="1"/>
  <c r="T324" i="45" s="1"/>
  <c r="J159" i="2"/>
  <c r="J25" i="2" s="1"/>
  <c r="T131" i="45" s="1"/>
  <c r="T130" i="45" s="1"/>
  <c r="J81" i="2"/>
  <c r="J13" i="2" s="1"/>
  <c r="J111" i="2"/>
  <c r="J114" i="2" s="1"/>
  <c r="T328" i="45" s="1"/>
  <c r="K168" i="2"/>
  <c r="K26" i="2" s="1"/>
  <c r="U123" i="45" s="1"/>
  <c r="U122" i="45" s="1"/>
  <c r="U324" i="45" s="1"/>
  <c r="K159" i="2"/>
  <c r="K25" i="2" s="1"/>
  <c r="K81" i="2"/>
  <c r="K13" i="2" s="1"/>
  <c r="K114" i="2"/>
  <c r="L168" i="2"/>
  <c r="L26" i="2" s="1"/>
  <c r="V123" i="45"/>
  <c r="V122" i="45" s="1"/>
  <c r="V324" i="45" s="1"/>
  <c r="L50" i="2"/>
  <c r="L51" i="2" s="1"/>
  <c r="L10" i="2" s="1"/>
  <c r="V160" i="45" s="1"/>
  <c r="L43" i="2"/>
  <c r="L70" i="2"/>
  <c r="L12" i="2" s="1"/>
  <c r="L139" i="2"/>
  <c r="L135" i="2" s="1"/>
  <c r="L146" i="2"/>
  <c r="K177" i="2"/>
  <c r="K186" i="2" s="1"/>
  <c r="J180" i="2"/>
  <c r="J177" i="2"/>
  <c r="I180" i="2"/>
  <c r="I185" i="2"/>
  <c r="I177" i="2"/>
  <c r="S113" i="45" s="1"/>
  <c r="H180" i="2"/>
  <c r="H177" i="2"/>
  <c r="R36" i="12" s="1"/>
  <c r="I11" i="28"/>
  <c r="Y11" i="12"/>
  <c r="H151" i="1"/>
  <c r="H29" i="1" s="1"/>
  <c r="H35" i="1"/>
  <c r="D32" i="12"/>
  <c r="R11" i="12"/>
  <c r="O61" i="6"/>
  <c r="O62" i="6"/>
  <c r="O63" i="6"/>
  <c r="O64" i="6"/>
  <c r="O65" i="6"/>
  <c r="O66" i="6"/>
  <c r="O68" i="6"/>
  <c r="M56" i="6"/>
  <c r="L87" i="2" s="1"/>
  <c r="V152" i="45" s="1"/>
  <c r="N56" i="6"/>
  <c r="N96" i="2"/>
  <c r="N100" i="2" s="1"/>
  <c r="N122" i="2"/>
  <c r="N18" i="2" s="1"/>
  <c r="N130" i="2"/>
  <c r="N131" i="2" s="1"/>
  <c r="N19" i="2" s="1"/>
  <c r="K20" i="2"/>
  <c r="L20" i="2" s="1"/>
  <c r="M20" i="2" s="1"/>
  <c r="P61" i="6"/>
  <c r="P62" i="6"/>
  <c r="P63" i="6"/>
  <c r="P64" i="6"/>
  <c r="P65" i="6"/>
  <c r="P66" i="6"/>
  <c r="P68" i="6"/>
  <c r="P120" i="2"/>
  <c r="Q120" i="2" s="1"/>
  <c r="K73" i="12"/>
  <c r="Y73" i="12" s="1"/>
  <c r="K46" i="12"/>
  <c r="Y46" i="12" s="1"/>
  <c r="Y35" i="12"/>
  <c r="Y18" i="12"/>
  <c r="K116" i="12"/>
  <c r="K109" i="12"/>
  <c r="K110" i="12" s="1"/>
  <c r="K83" i="12"/>
  <c r="K37" i="12"/>
  <c r="K40" i="12"/>
  <c r="K32" i="12"/>
  <c r="K31" i="12"/>
  <c r="H96" i="44"/>
  <c r="H97" i="44" s="1"/>
  <c r="G96" i="44"/>
  <c r="F96" i="44"/>
  <c r="E96" i="44"/>
  <c r="D96" i="44"/>
  <c r="E97" i="44" s="1"/>
  <c r="C96" i="44"/>
  <c r="B96" i="44"/>
  <c r="AB455" i="45"/>
  <c r="AB483" i="45"/>
  <c r="AB486" i="45"/>
  <c r="AB490" i="45"/>
  <c r="AB488" i="45" s="1"/>
  <c r="AB493" i="45"/>
  <c r="AB503" i="45"/>
  <c r="AB504" i="45" s="1"/>
  <c r="AB500" i="45" s="1"/>
  <c r="AA455" i="45"/>
  <c r="AA483" i="45"/>
  <c r="AA486" i="45"/>
  <c r="AA490" i="45"/>
  <c r="AA488" i="45" s="1"/>
  <c r="AA493" i="45"/>
  <c r="AA503" i="45"/>
  <c r="AA504" i="45" s="1"/>
  <c r="Z455" i="45"/>
  <c r="AY65" i="45"/>
  <c r="Z483" i="45"/>
  <c r="Z486" i="45"/>
  <c r="Z490" i="45"/>
  <c r="Z488" i="45" s="1"/>
  <c r="Z493" i="45"/>
  <c r="Y455" i="45"/>
  <c r="Y483" i="45"/>
  <c r="Y486" i="45"/>
  <c r="Y490" i="45"/>
  <c r="Y488" i="45" s="1"/>
  <c r="Y493" i="45"/>
  <c r="Y503" i="45"/>
  <c r="Y504" i="45" s="1"/>
  <c r="X455" i="45"/>
  <c r="X483" i="45"/>
  <c r="X486" i="45"/>
  <c r="X490" i="45"/>
  <c r="X488" i="45" s="1"/>
  <c r="X493" i="45"/>
  <c r="X503" i="45"/>
  <c r="W455" i="45"/>
  <c r="W483" i="45"/>
  <c r="W486" i="45"/>
  <c r="W490" i="45"/>
  <c r="W488" i="45" s="1"/>
  <c r="W493" i="45"/>
  <c r="W503" i="45"/>
  <c r="W504" i="45" s="1"/>
  <c r="V455" i="45"/>
  <c r="V483" i="45"/>
  <c r="V486" i="45"/>
  <c r="V490" i="45"/>
  <c r="V488" i="45" s="1"/>
  <c r="V493" i="45"/>
  <c r="V503" i="45"/>
  <c r="V504" i="45" s="1"/>
  <c r="V500" i="45" s="1"/>
  <c r="U455" i="45"/>
  <c r="U483" i="45"/>
  <c r="U486" i="45"/>
  <c r="U490" i="45"/>
  <c r="U488" i="45" s="1"/>
  <c r="U493" i="45"/>
  <c r="T455" i="45"/>
  <c r="T452" i="45" s="1"/>
  <c r="T483" i="45"/>
  <c r="T486" i="45"/>
  <c r="T490" i="45"/>
  <c r="T488" i="45" s="1"/>
  <c r="T493" i="45"/>
  <c r="T503" i="45"/>
  <c r="T504" i="45" s="1"/>
  <c r="S455" i="45"/>
  <c r="S483" i="45"/>
  <c r="S486" i="45"/>
  <c r="S490" i="45"/>
  <c r="S488" i="45" s="1"/>
  <c r="S493" i="45"/>
  <c r="R455" i="45"/>
  <c r="R483" i="45"/>
  <c r="R490" i="45"/>
  <c r="R488" i="45" s="1"/>
  <c r="R493" i="45"/>
  <c r="Q455" i="45"/>
  <c r="Q470" i="45"/>
  <c r="Q483" i="45"/>
  <c r="Q490" i="45"/>
  <c r="Q488" i="45" s="1"/>
  <c r="Q493" i="45"/>
  <c r="Q503" i="45"/>
  <c r="Q504" i="45" s="1"/>
  <c r="P455" i="45"/>
  <c r="P483" i="45"/>
  <c r="P486" i="45"/>
  <c r="P490" i="45"/>
  <c r="P488" i="45" s="1"/>
  <c r="P493" i="45"/>
  <c r="P503" i="45"/>
  <c r="P504" i="45" s="1"/>
  <c r="O455" i="45"/>
  <c r="O470" i="45"/>
  <c r="O483" i="45"/>
  <c r="O486" i="45"/>
  <c r="O490" i="45"/>
  <c r="O488" i="45" s="1"/>
  <c r="O493" i="45"/>
  <c r="O503" i="45"/>
  <c r="O504" i="45" s="1"/>
  <c r="N455" i="45"/>
  <c r="N483" i="45"/>
  <c r="N486" i="45"/>
  <c r="N490" i="45"/>
  <c r="N488" i="45" s="1"/>
  <c r="N493" i="45"/>
  <c r="N503" i="45"/>
  <c r="N504" i="45" s="1"/>
  <c r="N500" i="45" s="1"/>
  <c r="M455" i="45"/>
  <c r="M470" i="45"/>
  <c r="M483" i="45"/>
  <c r="M486" i="45"/>
  <c r="M490" i="45"/>
  <c r="M488" i="45" s="1"/>
  <c r="M493" i="45"/>
  <c r="M503" i="45"/>
  <c r="L455" i="45"/>
  <c r="L470" i="45"/>
  <c r="L483" i="45"/>
  <c r="L486" i="45"/>
  <c r="L490" i="45"/>
  <c r="L488" i="45" s="1"/>
  <c r="L493" i="45"/>
  <c r="L503" i="45"/>
  <c r="L504" i="45" s="1"/>
  <c r="L494" i="45" s="1"/>
  <c r="K455" i="45"/>
  <c r="K470" i="45"/>
  <c r="K483" i="45"/>
  <c r="K486" i="45"/>
  <c r="K490" i="45"/>
  <c r="K488" i="45" s="1"/>
  <c r="K493" i="45"/>
  <c r="K503" i="45"/>
  <c r="K504" i="45" s="1"/>
  <c r="D224" i="46"/>
  <c r="N3" i="46"/>
  <c r="N8" i="46" s="1"/>
  <c r="P8" i="46" s="1"/>
  <c r="N4" i="46"/>
  <c r="N5" i="46"/>
  <c r="N6" i="46"/>
  <c r="N7" i="46"/>
  <c r="B8" i="46"/>
  <c r="C8" i="46"/>
  <c r="D8" i="46"/>
  <c r="E8" i="46"/>
  <c r="F8" i="46"/>
  <c r="G8" i="46"/>
  <c r="H8" i="46"/>
  <c r="I8" i="46"/>
  <c r="J8" i="46"/>
  <c r="K8" i="46"/>
  <c r="L8" i="46"/>
  <c r="M8" i="46"/>
  <c r="N11" i="46"/>
  <c r="O11" i="46"/>
  <c r="N12" i="46"/>
  <c r="O12" i="46"/>
  <c r="N13" i="46"/>
  <c r="O13" i="46"/>
  <c r="N14" i="46"/>
  <c r="O14" i="46"/>
  <c r="N15" i="46"/>
  <c r="O15" i="46"/>
  <c r="B16" i="46"/>
  <c r="C16" i="46"/>
  <c r="D16" i="46"/>
  <c r="E16" i="46"/>
  <c r="F16" i="46"/>
  <c r="G16" i="46"/>
  <c r="H16" i="46"/>
  <c r="I16" i="46"/>
  <c r="J16" i="46"/>
  <c r="K16" i="46"/>
  <c r="L16" i="46"/>
  <c r="M16" i="46"/>
  <c r="D19" i="46"/>
  <c r="D20" i="46"/>
  <c r="N20" i="46" s="1"/>
  <c r="D21" i="46"/>
  <c r="D22" i="46"/>
  <c r="N22" i="46"/>
  <c r="D23" i="46"/>
  <c r="B24" i="46"/>
  <c r="C24" i="46"/>
  <c r="E24" i="46"/>
  <c r="F24" i="46"/>
  <c r="G24" i="46"/>
  <c r="H24" i="46"/>
  <c r="I24" i="46"/>
  <c r="J24" i="46"/>
  <c r="K24" i="46"/>
  <c r="L24" i="46"/>
  <c r="M24" i="46"/>
  <c r="B25" i="46"/>
  <c r="C25" i="46"/>
  <c r="E25" i="46"/>
  <c r="F25" i="46"/>
  <c r="G25" i="46"/>
  <c r="H25" i="46"/>
  <c r="I25" i="46"/>
  <c r="J25" i="46"/>
  <c r="K25" i="46"/>
  <c r="L25" i="46"/>
  <c r="M25" i="46"/>
  <c r="N28" i="46"/>
  <c r="O28" i="46"/>
  <c r="N29" i="46"/>
  <c r="O29" i="46"/>
  <c r="N30" i="46"/>
  <c r="O30" i="46"/>
  <c r="N31" i="46"/>
  <c r="O31" i="46"/>
  <c r="P31" i="46"/>
  <c r="N32" i="46"/>
  <c r="O32" i="46"/>
  <c r="B33" i="46"/>
  <c r="C33" i="46"/>
  <c r="D33" i="46"/>
  <c r="E33" i="46"/>
  <c r="F33" i="46"/>
  <c r="G33" i="46"/>
  <c r="H33" i="46"/>
  <c r="I33" i="46"/>
  <c r="J33" i="46"/>
  <c r="K33" i="46"/>
  <c r="K46" i="46" s="1"/>
  <c r="L33" i="46"/>
  <c r="M33" i="46"/>
  <c r="C37" i="46"/>
  <c r="C35" i="46" s="1"/>
  <c r="E37" i="46"/>
  <c r="E35" i="46" s="1"/>
  <c r="G37" i="46"/>
  <c r="G35" i="46" s="1"/>
  <c r="I37" i="46"/>
  <c r="I35" i="46" s="1"/>
  <c r="K37" i="46"/>
  <c r="K35" i="46" s="1"/>
  <c r="M37" i="46"/>
  <c r="M35" i="46" s="1"/>
  <c r="B37" i="46"/>
  <c r="B35" i="46" s="1"/>
  <c r="D37" i="46"/>
  <c r="D35" i="46" s="1"/>
  <c r="F37" i="46"/>
  <c r="F35" i="46" s="1"/>
  <c r="H37" i="46"/>
  <c r="H35" i="46" s="1"/>
  <c r="J37" i="46"/>
  <c r="J35" i="46" s="1"/>
  <c r="L37" i="46"/>
  <c r="L35" i="46" s="1"/>
  <c r="I41" i="46"/>
  <c r="J41" i="46" s="1"/>
  <c r="H41" i="46"/>
  <c r="K41" i="46"/>
  <c r="G39" i="46"/>
  <c r="C41" i="46"/>
  <c r="F41" i="46"/>
  <c r="F46" i="46" s="1"/>
  <c r="E41" i="46"/>
  <c r="B42" i="46"/>
  <c r="C42" i="46"/>
  <c r="E42" i="46"/>
  <c r="F42" i="46"/>
  <c r="G42" i="46"/>
  <c r="H42" i="46"/>
  <c r="I42" i="46"/>
  <c r="J42" i="46" s="1"/>
  <c r="K42" i="46"/>
  <c r="C43" i="46"/>
  <c r="E43" i="46"/>
  <c r="E46" i="46" s="1"/>
  <c r="F43" i="46"/>
  <c r="G43" i="46"/>
  <c r="H43" i="46"/>
  <c r="I43" i="46"/>
  <c r="K43" i="46"/>
  <c r="B44" i="46"/>
  <c r="C44" i="46"/>
  <c r="D44" i="46"/>
  <c r="E44" i="46"/>
  <c r="F44" i="46"/>
  <c r="H44" i="46"/>
  <c r="I44" i="46"/>
  <c r="J44" i="46" s="1"/>
  <c r="K44" i="46"/>
  <c r="C45" i="46"/>
  <c r="E45" i="46"/>
  <c r="F45" i="46"/>
  <c r="H45" i="46"/>
  <c r="I45" i="46"/>
  <c r="J45" i="46"/>
  <c r="K45" i="46"/>
  <c r="C46" i="46"/>
  <c r="N49" i="46"/>
  <c r="N50" i="46"/>
  <c r="N51" i="46"/>
  <c r="N52" i="46"/>
  <c r="N53" i="46"/>
  <c r="B54" i="46"/>
  <c r="C54" i="46"/>
  <c r="D54" i="46"/>
  <c r="E54" i="46"/>
  <c r="F54" i="46"/>
  <c r="G54" i="46"/>
  <c r="H54" i="46"/>
  <c r="I54" i="46"/>
  <c r="J54" i="46"/>
  <c r="K54" i="46"/>
  <c r="L54" i="46"/>
  <c r="M54" i="46"/>
  <c r="B58" i="46"/>
  <c r="B56" i="46" s="1"/>
  <c r="D58" i="46"/>
  <c r="D56" i="46" s="1"/>
  <c r="F58" i="46"/>
  <c r="F56" i="46" s="1"/>
  <c r="H58" i="46"/>
  <c r="H56" i="46" s="1"/>
  <c r="J58" i="46"/>
  <c r="J56" i="46" s="1"/>
  <c r="L58" i="46"/>
  <c r="L56" i="46" s="1"/>
  <c r="C57" i="46"/>
  <c r="K57" i="46"/>
  <c r="C58" i="46"/>
  <c r="C56" i="46" s="1"/>
  <c r="E58" i="46"/>
  <c r="E56" i="46" s="1"/>
  <c r="G58" i="46"/>
  <c r="G56" i="46" s="1"/>
  <c r="I58" i="46"/>
  <c r="I56" i="46" s="1"/>
  <c r="K58" i="46"/>
  <c r="K56" i="46" s="1"/>
  <c r="M58" i="46"/>
  <c r="M56" i="46" s="1"/>
  <c r="N61" i="46"/>
  <c r="N72" i="46"/>
  <c r="O72" i="46"/>
  <c r="N73" i="46"/>
  <c r="N74" i="46"/>
  <c r="N75" i="46"/>
  <c r="N76" i="46"/>
  <c r="B77" i="46"/>
  <c r="B79" i="46"/>
  <c r="B81" i="46" s="1"/>
  <c r="C77" i="46"/>
  <c r="D77" i="46"/>
  <c r="D78" i="46" s="1"/>
  <c r="E77" i="46"/>
  <c r="E108" i="46" s="1"/>
  <c r="F77" i="46"/>
  <c r="F81" i="46"/>
  <c r="F79" i="46" s="1"/>
  <c r="G77" i="46"/>
  <c r="H77" i="46"/>
  <c r="H78" i="46"/>
  <c r="I77" i="46"/>
  <c r="J77" i="46"/>
  <c r="J81" i="46" s="1"/>
  <c r="J79" i="46" s="1"/>
  <c r="K77" i="46"/>
  <c r="L77" i="46"/>
  <c r="L81" i="46" s="1"/>
  <c r="M77" i="46"/>
  <c r="M108" i="46" s="1"/>
  <c r="N80" i="46"/>
  <c r="B83" i="46"/>
  <c r="C83" i="46"/>
  <c r="D83" i="46"/>
  <c r="E83" i="46"/>
  <c r="F83" i="46"/>
  <c r="G83" i="46"/>
  <c r="H83" i="46"/>
  <c r="I83" i="46"/>
  <c r="J83" i="46"/>
  <c r="K83" i="46"/>
  <c r="L83" i="46"/>
  <c r="M83" i="46"/>
  <c r="N85" i="46"/>
  <c r="N86" i="46"/>
  <c r="N87" i="46"/>
  <c r="N88" i="46"/>
  <c r="L91" i="46"/>
  <c r="L92" i="46"/>
  <c r="L93" i="46" s="1"/>
  <c r="J93" i="46"/>
  <c r="M96" i="46"/>
  <c r="N102" i="46"/>
  <c r="N103" i="46"/>
  <c r="N104" i="46"/>
  <c r="N105" i="46"/>
  <c r="N106" i="46"/>
  <c r="B107" i="46"/>
  <c r="B108" i="46"/>
  <c r="C107" i="46"/>
  <c r="C108" i="46" s="1"/>
  <c r="C111" i="46"/>
  <c r="D107" i="46"/>
  <c r="D108" i="46"/>
  <c r="E107" i="46"/>
  <c r="E111" i="46"/>
  <c r="F107" i="46"/>
  <c r="F111" i="46"/>
  <c r="F109" i="46" s="1"/>
  <c r="G107" i="46"/>
  <c r="G111" i="46" s="1"/>
  <c r="G109" i="46" s="1"/>
  <c r="H107" i="46"/>
  <c r="H108" i="46"/>
  <c r="I107" i="46"/>
  <c r="I111" i="46"/>
  <c r="I109" i="46" s="1"/>
  <c r="J107" i="46"/>
  <c r="J108" i="46" s="1"/>
  <c r="K107" i="46"/>
  <c r="K111" i="46" s="1"/>
  <c r="L107" i="46"/>
  <c r="L111" i="46" s="1"/>
  <c r="L109" i="46" s="1"/>
  <c r="M107" i="46"/>
  <c r="M111" i="46"/>
  <c r="I108" i="46"/>
  <c r="N110" i="46"/>
  <c r="D128" i="46"/>
  <c r="D134" i="46"/>
  <c r="D140" i="46" s="1"/>
  <c r="H111" i="46"/>
  <c r="L128" i="46"/>
  <c r="L134" i="46"/>
  <c r="B113" i="46"/>
  <c r="C113" i="46"/>
  <c r="D113" i="46"/>
  <c r="O113" i="46"/>
  <c r="E113" i="46"/>
  <c r="F113" i="46"/>
  <c r="G113" i="46"/>
  <c r="P113" i="46"/>
  <c r="H113" i="46"/>
  <c r="I113" i="46"/>
  <c r="J113" i="46"/>
  <c r="Q113" i="46"/>
  <c r="K113" i="46"/>
  <c r="L113" i="46"/>
  <c r="M113" i="46"/>
  <c r="R113" i="46"/>
  <c r="N115" i="46"/>
  <c r="N117" i="46"/>
  <c r="N118" i="46"/>
  <c r="D119" i="46"/>
  <c r="K119" i="46"/>
  <c r="N119" i="46"/>
  <c r="N120" i="46"/>
  <c r="N127" i="46"/>
  <c r="B128" i="46"/>
  <c r="B134" i="46"/>
  <c r="C128" i="46"/>
  <c r="C134" i="46"/>
  <c r="E128" i="46"/>
  <c r="E134" i="46"/>
  <c r="F128" i="46"/>
  <c r="G128" i="46"/>
  <c r="G134" i="46" s="1"/>
  <c r="G135" i="46" s="1"/>
  <c r="H128" i="46"/>
  <c r="I128" i="46"/>
  <c r="I134" i="46" s="1"/>
  <c r="I135" i="46" s="1"/>
  <c r="J128" i="46"/>
  <c r="J134" i="46" s="1"/>
  <c r="K128" i="46"/>
  <c r="K134" i="46" s="1"/>
  <c r="K140" i="46" s="1"/>
  <c r="M128" i="46"/>
  <c r="M134" i="46" s="1"/>
  <c r="N129" i="46"/>
  <c r="F130" i="46"/>
  <c r="P130" i="46"/>
  <c r="G130" i="46"/>
  <c r="H130" i="46"/>
  <c r="Q130" i="46" s="1"/>
  <c r="I130" i="46"/>
  <c r="N131" i="46"/>
  <c r="N132" i="46"/>
  <c r="B133" i="46"/>
  <c r="C133" i="46"/>
  <c r="D133" i="46"/>
  <c r="E133" i="46"/>
  <c r="F133" i="46"/>
  <c r="G133" i="46"/>
  <c r="H133" i="46"/>
  <c r="I133" i="46"/>
  <c r="J133" i="46"/>
  <c r="K133" i="46"/>
  <c r="L133" i="46"/>
  <c r="M133" i="46"/>
  <c r="B138" i="46"/>
  <c r="B139" i="46" s="1"/>
  <c r="D138" i="46"/>
  <c r="D139" i="46"/>
  <c r="C139" i="46"/>
  <c r="E139" i="46"/>
  <c r="F139" i="46"/>
  <c r="G139" i="46"/>
  <c r="H139" i="46"/>
  <c r="I139" i="46"/>
  <c r="J139" i="46"/>
  <c r="K139" i="46"/>
  <c r="L139" i="46"/>
  <c r="M139" i="46"/>
  <c r="C142" i="46"/>
  <c r="N144" i="46"/>
  <c r="N145" i="46"/>
  <c r="B145" i="46"/>
  <c r="C145" i="46"/>
  <c r="C151" i="46" s="1"/>
  <c r="D145" i="46"/>
  <c r="E145" i="46"/>
  <c r="E151" i="46"/>
  <c r="F145" i="46"/>
  <c r="G145" i="46"/>
  <c r="H145" i="46"/>
  <c r="I145" i="46"/>
  <c r="I151" i="46" s="1"/>
  <c r="I169" i="46" s="1"/>
  <c r="J145" i="46"/>
  <c r="J151" i="46" s="1"/>
  <c r="K145" i="46"/>
  <c r="K151" i="46" s="1"/>
  <c r="K157" i="46" s="1"/>
  <c r="K153" i="46" s="1"/>
  <c r="L145" i="46"/>
  <c r="M145" i="46"/>
  <c r="M151" i="46" s="1"/>
  <c r="N146" i="46"/>
  <c r="B147" i="46"/>
  <c r="C147" i="46"/>
  <c r="N147" i="46" s="1"/>
  <c r="N151" i="46" s="1"/>
  <c r="D147" i="46"/>
  <c r="D151" i="46"/>
  <c r="E147" i="46"/>
  <c r="P147" i="46"/>
  <c r="G147" i="46"/>
  <c r="J147" i="46"/>
  <c r="N148" i="46"/>
  <c r="N149" i="46"/>
  <c r="N150" i="46" s="1"/>
  <c r="G151" i="46"/>
  <c r="G157" i="46" s="1"/>
  <c r="Q147" i="46"/>
  <c r="B150" i="46"/>
  <c r="C150" i="46"/>
  <c r="D150" i="46"/>
  <c r="E150" i="46"/>
  <c r="F150" i="46"/>
  <c r="G150" i="46"/>
  <c r="H150" i="46"/>
  <c r="I150" i="46"/>
  <c r="J150" i="46"/>
  <c r="K150" i="46"/>
  <c r="L150" i="46"/>
  <c r="M150" i="46"/>
  <c r="B151" i="46"/>
  <c r="F151" i="46"/>
  <c r="H151" i="46"/>
  <c r="H169" i="46" s="1"/>
  <c r="L151" i="46"/>
  <c r="L157" i="46" s="1"/>
  <c r="N155" i="46"/>
  <c r="C156" i="46"/>
  <c r="E156" i="46"/>
  <c r="F156" i="46"/>
  <c r="G156" i="46"/>
  <c r="H156" i="46"/>
  <c r="I156" i="46"/>
  <c r="J156" i="46"/>
  <c r="K156" i="46"/>
  <c r="L156" i="46"/>
  <c r="M156" i="46"/>
  <c r="H157" i="46"/>
  <c r="N161" i="46"/>
  <c r="B162" i="46"/>
  <c r="C162" i="46"/>
  <c r="D162" i="46"/>
  <c r="E162" i="46"/>
  <c r="F162" i="46"/>
  <c r="G162" i="46"/>
  <c r="H162" i="46"/>
  <c r="I162" i="46"/>
  <c r="J162" i="46"/>
  <c r="K162" i="46"/>
  <c r="L162" i="46"/>
  <c r="M162" i="46"/>
  <c r="N163" i="46"/>
  <c r="B164" i="46"/>
  <c r="C164" i="46"/>
  <c r="C168" i="46"/>
  <c r="C174" i="46" s="1"/>
  <c r="D164" i="46"/>
  <c r="D168" i="46"/>
  <c r="D185" i="46"/>
  <c r="D191" i="46"/>
  <c r="G164" i="46"/>
  <c r="P164" i="46"/>
  <c r="J164" i="46"/>
  <c r="J168" i="46"/>
  <c r="Q164" i="46"/>
  <c r="N165" i="46"/>
  <c r="N166" i="46"/>
  <c r="B167" i="46"/>
  <c r="C167" i="46"/>
  <c r="D167" i="46"/>
  <c r="E167" i="46"/>
  <c r="F167" i="46"/>
  <c r="G167" i="46"/>
  <c r="H167" i="46"/>
  <c r="I167" i="46"/>
  <c r="J167" i="46"/>
  <c r="K167" i="46"/>
  <c r="L167" i="46"/>
  <c r="M167" i="46"/>
  <c r="E168" i="46"/>
  <c r="F168" i="46"/>
  <c r="F169" i="46" s="1"/>
  <c r="F174" i="46"/>
  <c r="F170" i="46" s="1"/>
  <c r="G168" i="46"/>
  <c r="H168" i="46"/>
  <c r="H174" i="46"/>
  <c r="H170" i="46" s="1"/>
  <c r="I168" i="46"/>
  <c r="K168" i="46"/>
  <c r="K174" i="46"/>
  <c r="K170" i="46" s="1"/>
  <c r="L168" i="46"/>
  <c r="L169" i="46" s="1"/>
  <c r="M168" i="46"/>
  <c r="M174" i="46"/>
  <c r="M170" i="46" s="1"/>
  <c r="N172" i="46"/>
  <c r="N173" i="46" s="1"/>
  <c r="B173" i="46"/>
  <c r="C173" i="46"/>
  <c r="D173" i="46"/>
  <c r="E173" i="46"/>
  <c r="F173" i="46"/>
  <c r="G173" i="46"/>
  <c r="H173" i="46"/>
  <c r="I173" i="46"/>
  <c r="J173" i="46"/>
  <c r="K173" i="46"/>
  <c r="L173" i="46"/>
  <c r="M173" i="46"/>
  <c r="L174" i="46"/>
  <c r="L170" i="46" s="1"/>
  <c r="N178" i="46"/>
  <c r="B179" i="46"/>
  <c r="C179" i="46"/>
  <c r="D179" i="46"/>
  <c r="E179" i="46"/>
  <c r="F179" i="46"/>
  <c r="G179" i="46"/>
  <c r="H179" i="46"/>
  <c r="I179" i="46"/>
  <c r="J179" i="46"/>
  <c r="K179" i="46"/>
  <c r="L179" i="46"/>
  <c r="M179" i="46"/>
  <c r="N180" i="46"/>
  <c r="N181" i="46"/>
  <c r="N182" i="46"/>
  <c r="O182" i="46"/>
  <c r="O183" i="46" s="1"/>
  <c r="N183" i="46"/>
  <c r="N184" i="46"/>
  <c r="N200" i="46"/>
  <c r="N201" i="46"/>
  <c r="B184" i="46"/>
  <c r="C184" i="46"/>
  <c r="D184" i="46"/>
  <c r="E184" i="46"/>
  <c r="F184" i="46"/>
  <c r="G184" i="46"/>
  <c r="H184" i="46"/>
  <c r="I184" i="46"/>
  <c r="J184" i="46"/>
  <c r="K184" i="46"/>
  <c r="L184" i="46"/>
  <c r="M184" i="46"/>
  <c r="B185" i="46"/>
  <c r="B191" i="46" s="1"/>
  <c r="B187" i="46" s="1"/>
  <c r="C185" i="46"/>
  <c r="E185" i="46"/>
  <c r="E191" i="46" s="1"/>
  <c r="E187" i="46" s="1"/>
  <c r="F185" i="46"/>
  <c r="G185" i="46"/>
  <c r="G191" i="46" s="1"/>
  <c r="H185" i="46"/>
  <c r="I185" i="46"/>
  <c r="J185" i="46"/>
  <c r="J191" i="46" s="1"/>
  <c r="J187" i="46" s="1"/>
  <c r="K185" i="46"/>
  <c r="K186" i="46"/>
  <c r="L185" i="46"/>
  <c r="M185" i="46"/>
  <c r="M186" i="46" s="1"/>
  <c r="H186" i="46"/>
  <c r="I191" i="46"/>
  <c r="I187" i="46"/>
  <c r="N189" i="46"/>
  <c r="N190" i="46"/>
  <c r="B190" i="46"/>
  <c r="C190" i="46"/>
  <c r="D190" i="46"/>
  <c r="E190" i="46"/>
  <c r="F190" i="46"/>
  <c r="G190" i="46"/>
  <c r="H190" i="46"/>
  <c r="I190" i="46"/>
  <c r="J190" i="46"/>
  <c r="K190" i="46"/>
  <c r="L190" i="46"/>
  <c r="M190" i="46"/>
  <c r="C191" i="46"/>
  <c r="F191" i="46"/>
  <c r="F187" i="46" s="1"/>
  <c r="H191" i="46"/>
  <c r="H187" i="46" s="1"/>
  <c r="L191" i="46"/>
  <c r="L187" i="46" s="1"/>
  <c r="N195" i="46"/>
  <c r="B196" i="46"/>
  <c r="C196" i="46"/>
  <c r="D196" i="46"/>
  <c r="E196" i="46"/>
  <c r="F196" i="46"/>
  <c r="G196" i="46"/>
  <c r="H196" i="46"/>
  <c r="I196" i="46"/>
  <c r="J196" i="46"/>
  <c r="K196" i="46"/>
  <c r="L196" i="46"/>
  <c r="M196" i="46"/>
  <c r="N197" i="46"/>
  <c r="N198" i="46"/>
  <c r="N199" i="46"/>
  <c r="O199" i="46"/>
  <c r="O200" i="46" s="1"/>
  <c r="B201" i="46"/>
  <c r="C201" i="46"/>
  <c r="D201" i="46"/>
  <c r="E201" i="46"/>
  <c r="F201" i="46"/>
  <c r="G201" i="46"/>
  <c r="H201" i="46"/>
  <c r="I201" i="46"/>
  <c r="J201" i="46"/>
  <c r="K201" i="46"/>
  <c r="L201" i="46"/>
  <c r="M201" i="46"/>
  <c r="B202" i="46"/>
  <c r="B203" i="46" s="1"/>
  <c r="C202" i="46"/>
  <c r="C203" i="46" s="1"/>
  <c r="D202" i="46"/>
  <c r="D203" i="46" s="1"/>
  <c r="E202" i="46"/>
  <c r="E208" i="46" s="1"/>
  <c r="F202" i="46"/>
  <c r="F203" i="46" s="1"/>
  <c r="G202" i="46"/>
  <c r="G203" i="46" s="1"/>
  <c r="H202" i="46"/>
  <c r="H203" i="46" s="1"/>
  <c r="I202" i="46"/>
  <c r="I208" i="46" s="1"/>
  <c r="J202" i="46"/>
  <c r="J203" i="46" s="1"/>
  <c r="K202" i="46"/>
  <c r="L202" i="46"/>
  <c r="L203" i="46"/>
  <c r="M202" i="46"/>
  <c r="M208" i="46"/>
  <c r="M204" i="46" s="1"/>
  <c r="K203" i="46"/>
  <c r="N206" i="46"/>
  <c r="N207" i="46"/>
  <c r="B207" i="46"/>
  <c r="C207" i="46"/>
  <c r="D207" i="46"/>
  <c r="E207" i="46"/>
  <c r="F207" i="46"/>
  <c r="G207" i="46"/>
  <c r="H207" i="46"/>
  <c r="I207" i="46"/>
  <c r="J207" i="46"/>
  <c r="K207" i="46"/>
  <c r="L207" i="46"/>
  <c r="M207" i="46"/>
  <c r="K208" i="46"/>
  <c r="K204" i="46" s="1"/>
  <c r="N212" i="46"/>
  <c r="B213" i="46"/>
  <c r="C213" i="46"/>
  <c r="D213" i="46"/>
  <c r="E213" i="46"/>
  <c r="F213" i="46"/>
  <c r="G213" i="46"/>
  <c r="H213" i="46"/>
  <c r="I213" i="46"/>
  <c r="J213" i="46"/>
  <c r="K213" i="46"/>
  <c r="L213" i="46"/>
  <c r="M213" i="46"/>
  <c r="N214" i="46"/>
  <c r="N215" i="46"/>
  <c r="N216" i="46"/>
  <c r="O216" i="46"/>
  <c r="O217" i="46" s="1"/>
  <c r="B218" i="46"/>
  <c r="C218" i="46"/>
  <c r="D218" i="46"/>
  <c r="F218" i="46"/>
  <c r="G218" i="46"/>
  <c r="H218" i="46"/>
  <c r="I218" i="46"/>
  <c r="J218" i="46"/>
  <c r="K218" i="46"/>
  <c r="L218" i="46"/>
  <c r="M218" i="46"/>
  <c r="B219" i="46"/>
  <c r="C219" i="46"/>
  <c r="D219" i="46"/>
  <c r="D220" i="46"/>
  <c r="E219" i="46"/>
  <c r="F219" i="46"/>
  <c r="F220" i="46" s="1"/>
  <c r="G219" i="46"/>
  <c r="H219" i="46"/>
  <c r="I219" i="46"/>
  <c r="J219" i="46"/>
  <c r="K219" i="46"/>
  <c r="L219" i="46"/>
  <c r="M219" i="46"/>
  <c r="J225" i="46"/>
  <c r="J221" i="46" s="1"/>
  <c r="N223" i="46"/>
  <c r="N224" i="46" s="1"/>
  <c r="B224" i="46"/>
  <c r="C224" i="46"/>
  <c r="E224" i="46"/>
  <c r="F224" i="46"/>
  <c r="G224" i="46"/>
  <c r="H224" i="46"/>
  <c r="I224" i="46"/>
  <c r="J224" i="46"/>
  <c r="K224" i="46"/>
  <c r="L224" i="46"/>
  <c r="M224" i="46"/>
  <c r="B225" i="46"/>
  <c r="B221" i="46"/>
  <c r="D225" i="46"/>
  <c r="D221" i="46"/>
  <c r="H225" i="46"/>
  <c r="L225" i="46"/>
  <c r="N230" i="46"/>
  <c r="B232" i="46"/>
  <c r="N232" i="46"/>
  <c r="N233" i="46"/>
  <c r="D233" i="46"/>
  <c r="J233" i="46"/>
  <c r="D237" i="46"/>
  <c r="G237" i="46"/>
  <c r="G238" i="46"/>
  <c r="B239" i="46"/>
  <c r="D239" i="46" s="1"/>
  <c r="C239" i="46"/>
  <c r="E239" i="46"/>
  <c r="E241" i="46"/>
  <c r="F239" i="46"/>
  <c r="F241" i="46"/>
  <c r="F242" i="46" s="1"/>
  <c r="D240" i="46"/>
  <c r="G240" i="46"/>
  <c r="B241" i="46"/>
  <c r="B242" i="46" s="1"/>
  <c r="D243" i="46"/>
  <c r="G243" i="46"/>
  <c r="J122" i="1"/>
  <c r="G108" i="1"/>
  <c r="F108" i="1"/>
  <c r="E108" i="1"/>
  <c r="D108" i="1"/>
  <c r="E122" i="1" s="1"/>
  <c r="C108" i="1"/>
  <c r="C109" i="1" s="1"/>
  <c r="C15" i="1" s="1"/>
  <c r="M65" i="45" s="1"/>
  <c r="L121" i="1"/>
  <c r="K121" i="1"/>
  <c r="J121" i="1"/>
  <c r="I121" i="1"/>
  <c r="H121" i="1"/>
  <c r="G121" i="1"/>
  <c r="F121" i="1"/>
  <c r="E121" i="1"/>
  <c r="D121" i="1"/>
  <c r="L120" i="1"/>
  <c r="K120" i="1"/>
  <c r="J120" i="1"/>
  <c r="I120" i="1"/>
  <c r="H120" i="1"/>
  <c r="G120" i="1"/>
  <c r="F120" i="1"/>
  <c r="E120" i="1"/>
  <c r="D120" i="1"/>
  <c r="B122" i="1"/>
  <c r="B121" i="1"/>
  <c r="B120" i="1"/>
  <c r="G75" i="1"/>
  <c r="F75" i="1"/>
  <c r="F9" i="1" s="1"/>
  <c r="F11" i="4" s="1"/>
  <c r="E73" i="1"/>
  <c r="E75" i="1" s="1"/>
  <c r="D73" i="1"/>
  <c r="D75" i="1" s="1"/>
  <c r="D95" i="1" s="1"/>
  <c r="C73" i="1"/>
  <c r="C75" i="1" s="1"/>
  <c r="B117" i="1"/>
  <c r="B116" i="1"/>
  <c r="B115" i="1"/>
  <c r="B114" i="1"/>
  <c r="B113" i="1"/>
  <c r="K95" i="1"/>
  <c r="L93" i="1"/>
  <c r="K93" i="1"/>
  <c r="J93" i="1"/>
  <c r="I93" i="1"/>
  <c r="H93" i="1"/>
  <c r="G93" i="1"/>
  <c r="F93" i="1"/>
  <c r="E93" i="1"/>
  <c r="D93" i="1"/>
  <c r="K92" i="1"/>
  <c r="L64" i="1"/>
  <c r="K149" i="1"/>
  <c r="K150" i="1" s="1"/>
  <c r="K64" i="1"/>
  <c r="J150" i="1"/>
  <c r="J151" i="1" s="1"/>
  <c r="J29" i="1" s="1"/>
  <c r="J64" i="1"/>
  <c r="I150" i="1"/>
  <c r="I151" i="1" s="1"/>
  <c r="I29" i="1" s="1"/>
  <c r="I62" i="1"/>
  <c r="E40" i="12" s="1"/>
  <c r="D4" i="38"/>
  <c r="B22" i="56" s="1"/>
  <c r="D16" i="38"/>
  <c r="D12" i="38"/>
  <c r="B23" i="56"/>
  <c r="D20" i="38"/>
  <c r="B26" i="56"/>
  <c r="D275" i="46"/>
  <c r="E13" i="38"/>
  <c r="D33" i="38"/>
  <c r="D31" i="38"/>
  <c r="H84" i="28"/>
  <c r="H82" i="28" s="1"/>
  <c r="H87" i="28"/>
  <c r="G84" i="28"/>
  <c r="G87" i="28"/>
  <c r="F87" i="28"/>
  <c r="E90" i="28"/>
  <c r="E91" i="28" s="1"/>
  <c r="D90" i="28"/>
  <c r="D91" i="28" s="1"/>
  <c r="C90" i="28"/>
  <c r="B90" i="28"/>
  <c r="C91" i="28"/>
  <c r="F85" i="28"/>
  <c r="E85" i="28"/>
  <c r="D85" i="28"/>
  <c r="C85" i="28"/>
  <c r="G57" i="28"/>
  <c r="L85" i="44"/>
  <c r="J85" i="44"/>
  <c r="I85" i="44"/>
  <c r="H85" i="44"/>
  <c r="F85" i="44"/>
  <c r="E85" i="44"/>
  <c r="D85" i="44"/>
  <c r="B85" i="44"/>
  <c r="J1" i="44"/>
  <c r="K1" i="44"/>
  <c r="E105" i="44"/>
  <c r="E55" i="44" s="1"/>
  <c r="F105" i="44"/>
  <c r="F55" i="44" s="1"/>
  <c r="G105" i="44"/>
  <c r="G55" i="44" s="1"/>
  <c r="I105" i="44"/>
  <c r="K105" i="44"/>
  <c r="J27" i="44"/>
  <c r="I51" i="26"/>
  <c r="H51" i="26"/>
  <c r="G51" i="26"/>
  <c r="F51" i="26"/>
  <c r="E51" i="26"/>
  <c r="D51" i="26"/>
  <c r="F20" i="26"/>
  <c r="J70" i="44"/>
  <c r="J72" i="44"/>
  <c r="I7" i="44"/>
  <c r="I72" i="44"/>
  <c r="L74" i="1"/>
  <c r="F57" i="28"/>
  <c r="F99" i="28" s="1"/>
  <c r="E57" i="28"/>
  <c r="D57" i="28"/>
  <c r="D99" i="28"/>
  <c r="C57" i="28"/>
  <c r="B57" i="28"/>
  <c r="G6" i="38"/>
  <c r="G4" i="38"/>
  <c r="E22" i="56" s="1"/>
  <c r="Y470" i="45"/>
  <c r="AW65" i="45"/>
  <c r="AX215" i="45"/>
  <c r="AX216" i="45" s="1"/>
  <c r="AX218" i="45" s="1"/>
  <c r="Z444" i="45"/>
  <c r="Z446" i="45" s="1"/>
  <c r="AY96" i="45"/>
  <c r="AY93" i="45" s="1"/>
  <c r="AY215" i="45"/>
  <c r="AY216" i="45" s="1"/>
  <c r="AY218" i="45" s="1"/>
  <c r="AY403" i="45" s="1"/>
  <c r="AE513" i="45"/>
  <c r="AE642" i="45"/>
  <c r="AC516" i="45"/>
  <c r="AB516" i="45" s="1"/>
  <c r="AA516" i="45" s="1"/>
  <c r="Z516" i="45" s="1"/>
  <c r="Y516" i="45" s="1"/>
  <c r="X516" i="45" s="1"/>
  <c r="W516" i="45" s="1"/>
  <c r="V516" i="45" s="1"/>
  <c r="U516" i="45" s="1"/>
  <c r="T516" i="45" s="1"/>
  <c r="S516" i="45" s="1"/>
  <c r="R516" i="45" s="1"/>
  <c r="Q516" i="45" s="1"/>
  <c r="P516" i="45" s="1"/>
  <c r="O516" i="45" s="1"/>
  <c r="N516" i="45" s="1"/>
  <c r="M516" i="45" s="1"/>
  <c r="L516" i="45" s="1"/>
  <c r="O471" i="45"/>
  <c r="O474" i="45"/>
  <c r="AE440" i="45"/>
  <c r="Q216" i="45"/>
  <c r="Y282" i="45"/>
  <c r="Q353" i="45"/>
  <c r="Q355" i="45" s="1"/>
  <c r="Q79" i="45" s="1"/>
  <c r="Q78" i="45" s="1"/>
  <c r="Q181" i="45" s="1"/>
  <c r="P353" i="45"/>
  <c r="P355" i="45" s="1"/>
  <c r="P79" i="45" s="1"/>
  <c r="P78" i="45" s="1"/>
  <c r="P181" i="45" s="1"/>
  <c r="O353" i="45"/>
  <c r="O355" i="45" s="1"/>
  <c r="O79" i="45" s="1"/>
  <c r="O78" i="45" s="1"/>
  <c r="O181" i="45" s="1"/>
  <c r="N353" i="45"/>
  <c r="N355" i="45" s="1"/>
  <c r="N79" i="45" s="1"/>
  <c r="N78" i="45" s="1"/>
  <c r="N181" i="45" s="1"/>
  <c r="Q50" i="45"/>
  <c r="P50" i="45"/>
  <c r="O50" i="45"/>
  <c r="N50" i="45"/>
  <c r="Y358" i="45"/>
  <c r="M353" i="45"/>
  <c r="M355" i="45" s="1"/>
  <c r="M79" i="45" s="1"/>
  <c r="M78" i="45" s="1"/>
  <c r="M181" i="45" s="1"/>
  <c r="M50" i="45"/>
  <c r="L79" i="3"/>
  <c r="H57" i="12" s="1"/>
  <c r="L62" i="1"/>
  <c r="E14" i="45"/>
  <c r="E13" i="45"/>
  <c r="F3" i="45"/>
  <c r="F1" i="45"/>
  <c r="G3" i="45"/>
  <c r="G1" i="45"/>
  <c r="H3" i="45"/>
  <c r="H1" i="45"/>
  <c r="I3" i="45"/>
  <c r="I1" i="45"/>
  <c r="J3" i="45"/>
  <c r="J1" i="45"/>
  <c r="K3" i="45"/>
  <c r="K1" i="45"/>
  <c r="L3" i="45"/>
  <c r="L1" i="45"/>
  <c r="M3" i="45"/>
  <c r="M1" i="45"/>
  <c r="N3" i="45"/>
  <c r="N1" i="45"/>
  <c r="O3" i="45"/>
  <c r="O1" i="45"/>
  <c r="P3" i="45"/>
  <c r="P1" i="45"/>
  <c r="Q3" i="45"/>
  <c r="Q1" i="45"/>
  <c r="R3" i="45"/>
  <c r="R1" i="45"/>
  <c r="S3" i="45"/>
  <c r="S1" i="45"/>
  <c r="T3" i="45"/>
  <c r="T1" i="45"/>
  <c r="U3" i="45"/>
  <c r="U1" i="45"/>
  <c r="V3" i="45"/>
  <c r="V1" i="45"/>
  <c r="W3" i="45"/>
  <c r="W1" i="45"/>
  <c r="X3" i="45"/>
  <c r="X1" i="45"/>
  <c r="Y1" i="45"/>
  <c r="Z1" i="45"/>
  <c r="AA1" i="45"/>
  <c r="AB1" i="45"/>
  <c r="AC1" i="45"/>
  <c r="AD1" i="45"/>
  <c r="F5" i="45"/>
  <c r="G5" i="45"/>
  <c r="H5" i="45"/>
  <c r="I5" i="45"/>
  <c r="J5" i="45"/>
  <c r="K5" i="45"/>
  <c r="L5" i="45"/>
  <c r="M5" i="45"/>
  <c r="N5" i="45"/>
  <c r="O5" i="45"/>
  <c r="P5" i="45"/>
  <c r="Q5" i="45"/>
  <c r="R5" i="45"/>
  <c r="S5" i="45"/>
  <c r="T5" i="45"/>
  <c r="U5" i="45"/>
  <c r="V5" i="45"/>
  <c r="W5" i="45"/>
  <c r="X5" i="45"/>
  <c r="Y5" i="45"/>
  <c r="Z5" i="45"/>
  <c r="AA5" i="45"/>
  <c r="AB5" i="45"/>
  <c r="AC5" i="45"/>
  <c r="AD5" i="45"/>
  <c r="F37" i="45"/>
  <c r="F38" i="45" s="1"/>
  <c r="G37" i="45"/>
  <c r="G283" i="45"/>
  <c r="H37" i="45"/>
  <c r="H40" i="45"/>
  <c r="I37" i="45"/>
  <c r="J37" i="45"/>
  <c r="K37" i="45"/>
  <c r="K40" i="45"/>
  <c r="F43" i="45"/>
  <c r="F47" i="45"/>
  <c r="F42" i="45" s="1"/>
  <c r="F66" i="45"/>
  <c r="F69" i="45"/>
  <c r="G43" i="45"/>
  <c r="G47" i="45"/>
  <c r="G66" i="45"/>
  <c r="G69" i="45"/>
  <c r="H43" i="45"/>
  <c r="H47" i="45"/>
  <c r="H66" i="45"/>
  <c r="H69" i="45"/>
  <c r="I43" i="45"/>
  <c r="I47" i="45"/>
  <c r="I66" i="45"/>
  <c r="I69" i="45"/>
  <c r="J43" i="45"/>
  <c r="J47" i="45"/>
  <c r="J66" i="45"/>
  <c r="J69" i="45"/>
  <c r="K43" i="45"/>
  <c r="K47" i="45"/>
  <c r="K66" i="45"/>
  <c r="K69" i="45"/>
  <c r="M66" i="45"/>
  <c r="M69" i="45"/>
  <c r="N66" i="45"/>
  <c r="N69" i="45"/>
  <c r="O66" i="45"/>
  <c r="O69" i="45"/>
  <c r="P66" i="45"/>
  <c r="P69" i="45"/>
  <c r="Q66" i="45"/>
  <c r="Q69" i="45"/>
  <c r="AC66" i="45"/>
  <c r="AC69" i="45"/>
  <c r="AD66" i="45"/>
  <c r="AD69" i="45"/>
  <c r="F355" i="45"/>
  <c r="F79" i="45" s="1"/>
  <c r="F358" i="45"/>
  <c r="F80" i="45"/>
  <c r="G355" i="45"/>
  <c r="G79" i="45" s="1"/>
  <c r="G358" i="45"/>
  <c r="G80" i="45" s="1"/>
  <c r="H355" i="45"/>
  <c r="H79" i="45" s="1"/>
  <c r="H358" i="45"/>
  <c r="H80" i="45"/>
  <c r="G147" i="45"/>
  <c r="G151" i="45"/>
  <c r="G143" i="45" s="1"/>
  <c r="G332" i="45" s="1"/>
  <c r="H147" i="45"/>
  <c r="H151" i="45"/>
  <c r="H143" i="45"/>
  <c r="I355" i="45"/>
  <c r="I79" i="45"/>
  <c r="I358" i="45"/>
  <c r="I80" i="45"/>
  <c r="J355" i="45"/>
  <c r="J79" i="45"/>
  <c r="J358" i="45"/>
  <c r="J80" i="45"/>
  <c r="K355" i="45"/>
  <c r="K79" i="45"/>
  <c r="K358" i="45"/>
  <c r="K80" i="45"/>
  <c r="L358" i="45"/>
  <c r="M358" i="45"/>
  <c r="N358" i="45"/>
  <c r="O358" i="45"/>
  <c r="P358" i="45"/>
  <c r="Q358" i="45"/>
  <c r="R358" i="45"/>
  <c r="S358" i="45"/>
  <c r="T358" i="45"/>
  <c r="U358" i="45"/>
  <c r="V358" i="45"/>
  <c r="W358" i="45"/>
  <c r="X358" i="45"/>
  <c r="F84" i="45"/>
  <c r="F182" i="45" s="1"/>
  <c r="G84" i="45"/>
  <c r="G205" i="45"/>
  <c r="H84" i="45"/>
  <c r="I84" i="45"/>
  <c r="J84" i="45"/>
  <c r="J182" i="45"/>
  <c r="K84" i="45"/>
  <c r="K205" i="45" s="1"/>
  <c r="F104" i="45"/>
  <c r="F88" i="45" s="1"/>
  <c r="G104" i="45"/>
  <c r="G88" i="45" s="1"/>
  <c r="H104" i="45"/>
  <c r="H88" i="45" s="1"/>
  <c r="I104" i="45"/>
  <c r="I88" i="45" s="1"/>
  <c r="J104" i="45"/>
  <c r="J88" i="45" s="1"/>
  <c r="K104" i="45"/>
  <c r="K88" i="45" s="1"/>
  <c r="F93" i="45"/>
  <c r="G93" i="45"/>
  <c r="H93" i="45"/>
  <c r="I93" i="45"/>
  <c r="J93" i="45"/>
  <c r="K93" i="45"/>
  <c r="AC93" i="45"/>
  <c r="AD93" i="45"/>
  <c r="F114" i="45"/>
  <c r="F119" i="45" s="1"/>
  <c r="F337" i="45" s="1"/>
  <c r="G114" i="45"/>
  <c r="G119" i="45" s="1"/>
  <c r="G337" i="45" s="1"/>
  <c r="H114" i="45"/>
  <c r="H119" i="45" s="1"/>
  <c r="H120" i="45" s="1"/>
  <c r="I114" i="45"/>
  <c r="I119" i="45" s="1"/>
  <c r="I337" i="45" s="1"/>
  <c r="J114" i="45"/>
  <c r="J119" i="45"/>
  <c r="K114" i="45"/>
  <c r="K119" i="45"/>
  <c r="F122" i="45"/>
  <c r="F324" i="45" s="1"/>
  <c r="G122" i="45"/>
  <c r="G324" i="45" s="1"/>
  <c r="G326" i="45" s="1"/>
  <c r="G130" i="45"/>
  <c r="F130" i="45"/>
  <c r="G203" i="45"/>
  <c r="H122" i="45"/>
  <c r="I122" i="45"/>
  <c r="I324" i="45"/>
  <c r="I130" i="45"/>
  <c r="I325" i="45"/>
  <c r="J122" i="45"/>
  <c r="K122" i="45"/>
  <c r="K324" i="45" s="1"/>
  <c r="K130" i="45"/>
  <c r="K325" i="45" s="1"/>
  <c r="AD130" i="45"/>
  <c r="H130" i="45"/>
  <c r="J130" i="45"/>
  <c r="J325" i="45" s="1"/>
  <c r="AC130" i="45"/>
  <c r="AC325" i="45" s="1"/>
  <c r="F203" i="45"/>
  <c r="F138" i="45"/>
  <c r="F189" i="45"/>
  <c r="G138" i="45"/>
  <c r="H138" i="45"/>
  <c r="I138" i="45"/>
  <c r="J138" i="45"/>
  <c r="K138" i="45"/>
  <c r="F147" i="45"/>
  <c r="F143" i="45" s="1"/>
  <c r="F153" i="45" s="1"/>
  <c r="F151" i="45"/>
  <c r="I147" i="45"/>
  <c r="I151" i="45"/>
  <c r="J147" i="45"/>
  <c r="J151" i="45"/>
  <c r="K147" i="45"/>
  <c r="K143" i="45"/>
  <c r="K151" i="45"/>
  <c r="F155" i="45"/>
  <c r="G155" i="45"/>
  <c r="H155" i="45"/>
  <c r="I155" i="45"/>
  <c r="J155" i="45"/>
  <c r="K155" i="45"/>
  <c r="F162" i="45"/>
  <c r="G162" i="45"/>
  <c r="H162" i="45"/>
  <c r="H158" i="45" s="1"/>
  <c r="I162" i="45"/>
  <c r="J162" i="45"/>
  <c r="J187" i="45"/>
  <c r="J185" i="45"/>
  <c r="J186" i="45"/>
  <c r="J188" i="45"/>
  <c r="J167" i="45"/>
  <c r="I167" i="45"/>
  <c r="J170" i="45"/>
  <c r="J191" i="45" s="1"/>
  <c r="I170" i="45"/>
  <c r="K162" i="45"/>
  <c r="K158" i="45" s="1"/>
  <c r="F167" i="45"/>
  <c r="F170" i="45"/>
  <c r="G167" i="45"/>
  <c r="H167" i="45"/>
  <c r="G170" i="45"/>
  <c r="H170" i="45"/>
  <c r="I166" i="45"/>
  <c r="K167" i="45"/>
  <c r="K170" i="45"/>
  <c r="G182" i="45"/>
  <c r="K182" i="45"/>
  <c r="F185" i="45"/>
  <c r="F186" i="45"/>
  <c r="F188" i="45"/>
  <c r="G185" i="45"/>
  <c r="G186" i="45"/>
  <c r="G188" i="45"/>
  <c r="H185" i="45"/>
  <c r="H186" i="45"/>
  <c r="H188" i="45"/>
  <c r="I185" i="45"/>
  <c r="I186" i="45"/>
  <c r="I188" i="45"/>
  <c r="K185" i="45"/>
  <c r="K186" i="45"/>
  <c r="K188" i="45"/>
  <c r="F197" i="45"/>
  <c r="G197" i="45"/>
  <c r="H197" i="45"/>
  <c r="I197" i="45"/>
  <c r="J197" i="45"/>
  <c r="K197" i="45"/>
  <c r="F199" i="45"/>
  <c r="F200" i="45"/>
  <c r="G199" i="45"/>
  <c r="G198" i="45" s="1"/>
  <c r="G200" i="45"/>
  <c r="H199" i="45"/>
  <c r="H198" i="45" s="1"/>
  <c r="H200" i="45"/>
  <c r="I199" i="45"/>
  <c r="I198" i="45" s="1"/>
  <c r="I200" i="45"/>
  <c r="J199" i="45"/>
  <c r="J198" i="45" s="1"/>
  <c r="J200" i="45"/>
  <c r="K199" i="45"/>
  <c r="K198" i="45" s="1"/>
  <c r="K200" i="45"/>
  <c r="M200" i="45"/>
  <c r="N200" i="45"/>
  <c r="O200" i="45"/>
  <c r="P200" i="45"/>
  <c r="Q200" i="45"/>
  <c r="R200" i="45"/>
  <c r="S200" i="45"/>
  <c r="T200" i="45"/>
  <c r="U200" i="45"/>
  <c r="V200" i="45"/>
  <c r="W200" i="45"/>
  <c r="X200" i="45"/>
  <c r="H203" i="45"/>
  <c r="I203" i="45"/>
  <c r="J203" i="45"/>
  <c r="K203" i="45"/>
  <c r="J205" i="45"/>
  <c r="G210" i="45"/>
  <c r="H210" i="45"/>
  <c r="I210" i="45"/>
  <c r="J210" i="45"/>
  <c r="K210" i="45"/>
  <c r="M210" i="45"/>
  <c r="S215" i="45"/>
  <c r="S345" i="45" s="1"/>
  <c r="S217" i="45"/>
  <c r="R218" i="45"/>
  <c r="R226" i="45" s="1"/>
  <c r="R309" i="45" s="1"/>
  <c r="F226" i="45"/>
  <c r="F256" i="45" s="1"/>
  <c r="G226" i="45"/>
  <c r="G256" i="45"/>
  <c r="H226" i="45"/>
  <c r="H256" i="45" s="1"/>
  <c r="I226" i="45"/>
  <c r="I256" i="45" s="1"/>
  <c r="J226" i="45"/>
  <c r="J256" i="45" s="1"/>
  <c r="K226" i="45"/>
  <c r="O226" i="45"/>
  <c r="O256" i="45" s="1"/>
  <c r="L337" i="45"/>
  <c r="L348" i="45"/>
  <c r="L334" i="45"/>
  <c r="L341" i="45" s="1"/>
  <c r="K256" i="45"/>
  <c r="G325" i="45"/>
  <c r="H325" i="45"/>
  <c r="L324" i="45"/>
  <c r="L325" i="45"/>
  <c r="S266" i="45"/>
  <c r="S415" i="45" s="1"/>
  <c r="T381" i="45"/>
  <c r="U381" i="45"/>
  <c r="V381" i="45"/>
  <c r="W381" i="45"/>
  <c r="X381" i="45"/>
  <c r="F266" i="45"/>
  <c r="G266" i="45"/>
  <c r="H266" i="45"/>
  <c r="I266" i="45"/>
  <c r="J266" i="45"/>
  <c r="K266" i="45"/>
  <c r="M266" i="45"/>
  <c r="N266" i="45"/>
  <c r="O266" i="45"/>
  <c r="P266" i="45"/>
  <c r="Q266" i="45"/>
  <c r="R266" i="45"/>
  <c r="L332" i="45"/>
  <c r="F282" i="45"/>
  <c r="G282" i="45"/>
  <c r="H282" i="45"/>
  <c r="I282" i="45"/>
  <c r="J282" i="45"/>
  <c r="K282" i="45"/>
  <c r="M282" i="45"/>
  <c r="N282" i="45"/>
  <c r="O282" i="45"/>
  <c r="P282" i="45"/>
  <c r="Q282" i="45"/>
  <c r="R282" i="45"/>
  <c r="S282" i="45"/>
  <c r="T282" i="45"/>
  <c r="U282" i="45"/>
  <c r="V282" i="45"/>
  <c r="W282" i="45"/>
  <c r="X282" i="45"/>
  <c r="H283" i="45"/>
  <c r="K283" i="45"/>
  <c r="F327" i="45"/>
  <c r="F328" i="45"/>
  <c r="G327" i="45"/>
  <c r="G328" i="45"/>
  <c r="H327" i="45"/>
  <c r="H328" i="45"/>
  <c r="I327" i="45"/>
  <c r="I328" i="45"/>
  <c r="J327" i="45"/>
  <c r="J328" i="45"/>
  <c r="K327" i="45"/>
  <c r="L327" i="45"/>
  <c r="L299" i="45"/>
  <c r="L300" i="45"/>
  <c r="Y381" i="45"/>
  <c r="Z381" i="45"/>
  <c r="AC381" i="45"/>
  <c r="AD381" i="45"/>
  <c r="U391" i="45"/>
  <c r="V391" i="45" s="1"/>
  <c r="W391" i="45" s="1"/>
  <c r="X391" i="45" s="1"/>
  <c r="Y391" i="45" s="1"/>
  <c r="Z391" i="45" s="1"/>
  <c r="AA391" i="45" s="1"/>
  <c r="AB391" i="45" s="1"/>
  <c r="AC391" i="45" s="1"/>
  <c r="AD391" i="45" s="1"/>
  <c r="F396" i="45"/>
  <c r="G396" i="45"/>
  <c r="H396" i="45"/>
  <c r="I396" i="45"/>
  <c r="J396" i="45"/>
  <c r="K396" i="45"/>
  <c r="U400" i="45"/>
  <c r="V400" i="45"/>
  <c r="W400" i="45"/>
  <c r="X400" i="45"/>
  <c r="Y400" i="45"/>
  <c r="Z400" i="45"/>
  <c r="AC400" i="45"/>
  <c r="AD400" i="45"/>
  <c r="AC403" i="45"/>
  <c r="AD403" i="45"/>
  <c r="G440" i="45"/>
  <c r="H440" i="45"/>
  <c r="I440" i="45"/>
  <c r="J440" i="45"/>
  <c r="K440" i="45"/>
  <c r="L440" i="45"/>
  <c r="M440" i="45"/>
  <c r="N440" i="45"/>
  <c r="O440" i="45"/>
  <c r="P440" i="45"/>
  <c r="Q440" i="45"/>
  <c r="R440" i="45"/>
  <c r="S440" i="45"/>
  <c r="T440" i="45"/>
  <c r="U440" i="45"/>
  <c r="V440" i="45"/>
  <c r="W440" i="45"/>
  <c r="X440" i="45"/>
  <c r="Y440" i="45"/>
  <c r="Z440" i="45"/>
  <c r="AA440" i="45"/>
  <c r="AB440" i="45"/>
  <c r="AC440" i="45"/>
  <c r="AD440" i="45"/>
  <c r="F446" i="45"/>
  <c r="G446" i="45"/>
  <c r="H446" i="45"/>
  <c r="I446" i="45"/>
  <c r="J446" i="45"/>
  <c r="F448" i="45"/>
  <c r="F452" i="45"/>
  <c r="F471" i="45"/>
  <c r="F474" i="45"/>
  <c r="G448" i="45"/>
  <c r="G452" i="45"/>
  <c r="G471" i="45"/>
  <c r="G474" i="45"/>
  <c r="H448" i="45"/>
  <c r="H447" i="45" s="1"/>
  <c r="H482" i="45" s="1"/>
  <c r="H485" i="45" s="1"/>
  <c r="H487" i="45" s="1"/>
  <c r="H491" i="45" s="1"/>
  <c r="H510" i="45" s="1"/>
  <c r="H452" i="45"/>
  <c r="H471" i="45"/>
  <c r="H474" i="45"/>
  <c r="I448" i="45"/>
  <c r="I452" i="45"/>
  <c r="I471" i="45"/>
  <c r="I474" i="45"/>
  <c r="J448" i="45"/>
  <c r="J452" i="45"/>
  <c r="J471" i="45"/>
  <c r="J474" i="45"/>
  <c r="K471" i="45"/>
  <c r="K474" i="45"/>
  <c r="L471" i="45"/>
  <c r="L474" i="45"/>
  <c r="M471" i="45"/>
  <c r="M474" i="45"/>
  <c r="N471" i="45"/>
  <c r="N474" i="45"/>
  <c r="P471" i="45"/>
  <c r="P474" i="45"/>
  <c r="Q471" i="45"/>
  <c r="Q474" i="45"/>
  <c r="R471" i="45"/>
  <c r="R474" i="45"/>
  <c r="S471" i="45"/>
  <c r="S474" i="45"/>
  <c r="T471" i="45"/>
  <c r="T474" i="45"/>
  <c r="U471" i="45"/>
  <c r="U474" i="45"/>
  <c r="V471" i="45"/>
  <c r="V474" i="45"/>
  <c r="W471" i="45"/>
  <c r="W474" i="45"/>
  <c r="X471" i="45"/>
  <c r="X474" i="45"/>
  <c r="Y471" i="45"/>
  <c r="Y474" i="45"/>
  <c r="Z471" i="45"/>
  <c r="Z474" i="45"/>
  <c r="AA471" i="45"/>
  <c r="AA474" i="45"/>
  <c r="AB471" i="45"/>
  <c r="AB474" i="45"/>
  <c r="F488" i="45"/>
  <c r="G488" i="45"/>
  <c r="H488" i="45"/>
  <c r="I488" i="45"/>
  <c r="J488" i="45"/>
  <c r="F492" i="45"/>
  <c r="G492" i="45"/>
  <c r="H492" i="45"/>
  <c r="H509" i="45"/>
  <c r="I492" i="45"/>
  <c r="J492" i="45"/>
  <c r="J509" i="45" s="1"/>
  <c r="F500" i="45"/>
  <c r="G500" i="45"/>
  <c r="H500" i="45"/>
  <c r="I500" i="45"/>
  <c r="J500" i="45"/>
  <c r="F509" i="45"/>
  <c r="F513" i="45"/>
  <c r="G513" i="45"/>
  <c r="H513" i="45"/>
  <c r="I513" i="45"/>
  <c r="J513" i="45"/>
  <c r="K513" i="45"/>
  <c r="L513" i="45"/>
  <c r="M513" i="45"/>
  <c r="N513" i="45"/>
  <c r="O513" i="45"/>
  <c r="P513" i="45"/>
  <c r="Q513" i="45"/>
  <c r="R513" i="45"/>
  <c r="S513" i="45"/>
  <c r="T513" i="45"/>
  <c r="U513" i="45"/>
  <c r="V513" i="45"/>
  <c r="W513" i="45"/>
  <c r="X513" i="45"/>
  <c r="Y513" i="45"/>
  <c r="Z513" i="45"/>
  <c r="AA513" i="45"/>
  <c r="AB513" i="45"/>
  <c r="AC513" i="45"/>
  <c r="AD513" i="45"/>
  <c r="F517" i="45"/>
  <c r="G517" i="45"/>
  <c r="H517" i="45"/>
  <c r="I517" i="45"/>
  <c r="J517" i="45"/>
  <c r="K517" i="45"/>
  <c r="F522" i="45"/>
  <c r="F527" i="45"/>
  <c r="G522" i="45"/>
  <c r="G527" i="45"/>
  <c r="G528" i="45" s="1"/>
  <c r="H522" i="45"/>
  <c r="I522" i="45"/>
  <c r="I527" i="45"/>
  <c r="J522" i="45"/>
  <c r="J527" i="45"/>
  <c r="K522" i="45"/>
  <c r="K527" i="45"/>
  <c r="K528" i="45" s="1"/>
  <c r="L522" i="45"/>
  <c r="L527" i="45" s="1"/>
  <c r="M522" i="45"/>
  <c r="M527" i="45"/>
  <c r="N522" i="45"/>
  <c r="N527" i="45"/>
  <c r="O522" i="45"/>
  <c r="O527" i="45"/>
  <c r="O528" i="45" s="1"/>
  <c r="P522" i="45"/>
  <c r="Q522" i="45"/>
  <c r="Q527" i="45"/>
  <c r="R522" i="45"/>
  <c r="R527" i="45"/>
  <c r="S522" i="45"/>
  <c r="S527" i="45"/>
  <c r="T522" i="45"/>
  <c r="T527" i="45"/>
  <c r="U522" i="45"/>
  <c r="U527" i="45"/>
  <c r="V522" i="45"/>
  <c r="V527" i="45"/>
  <c r="W522" i="45"/>
  <c r="W527" i="45"/>
  <c r="W528" i="45" s="1"/>
  <c r="X522" i="45"/>
  <c r="X527" i="45" s="1"/>
  <c r="Y522" i="45"/>
  <c r="Y527" i="45"/>
  <c r="Z522" i="45"/>
  <c r="Z527" i="45"/>
  <c r="AA522" i="45"/>
  <c r="AA527" i="45"/>
  <c r="AB522" i="45"/>
  <c r="AC522" i="45"/>
  <c r="AC527" i="45" s="1"/>
  <c r="AD522" i="45"/>
  <c r="AD527" i="45" s="1"/>
  <c r="H527" i="45"/>
  <c r="P527" i="45"/>
  <c r="AB527" i="45"/>
  <c r="AB549" i="45" s="1"/>
  <c r="F530" i="45"/>
  <c r="G530" i="45"/>
  <c r="H530" i="45"/>
  <c r="H538" i="45"/>
  <c r="H545" i="45" s="1"/>
  <c r="H546" i="45"/>
  <c r="I530" i="45"/>
  <c r="J530" i="45"/>
  <c r="K530" i="45"/>
  <c r="L530" i="45"/>
  <c r="L538" i="45"/>
  <c r="L545" i="45"/>
  <c r="L546" i="45"/>
  <c r="M530" i="45"/>
  <c r="N530" i="45"/>
  <c r="O530" i="45"/>
  <c r="P530" i="45"/>
  <c r="P538" i="45"/>
  <c r="P545" i="45"/>
  <c r="P546" i="45"/>
  <c r="Q530" i="45"/>
  <c r="R530" i="45"/>
  <c r="S530" i="45"/>
  <c r="T530" i="45"/>
  <c r="T538" i="45"/>
  <c r="T545" i="45" s="1"/>
  <c r="T546" i="45"/>
  <c r="U530" i="45"/>
  <c r="V530" i="45"/>
  <c r="W530" i="45"/>
  <c r="X530" i="45"/>
  <c r="X538" i="45"/>
  <c r="X545" i="45"/>
  <c r="X546" i="45"/>
  <c r="Y530" i="45"/>
  <c r="Z530" i="45"/>
  <c r="AA530" i="45"/>
  <c r="AB530" i="45"/>
  <c r="AB538" i="45"/>
  <c r="AB545" i="45" s="1"/>
  <c r="AB546" i="45"/>
  <c r="AC530" i="45"/>
  <c r="AD530" i="45"/>
  <c r="F538" i="45"/>
  <c r="F545" i="45" s="1"/>
  <c r="G538" i="45"/>
  <c r="G545" i="45" s="1"/>
  <c r="G549" i="45" s="1"/>
  <c r="I538" i="45"/>
  <c r="I545" i="45" s="1"/>
  <c r="J538" i="45"/>
  <c r="K538" i="45"/>
  <c r="K545" i="45"/>
  <c r="K546" i="45"/>
  <c r="M538" i="45"/>
  <c r="N538" i="45"/>
  <c r="O538" i="45"/>
  <c r="O545" i="45" s="1"/>
  <c r="Q538" i="45"/>
  <c r="Q545" i="45" s="1"/>
  <c r="R538" i="45"/>
  <c r="R545" i="45" s="1"/>
  <c r="S538" i="45"/>
  <c r="S545" i="45" s="1"/>
  <c r="S546" i="45"/>
  <c r="U538" i="45"/>
  <c r="U545" i="45"/>
  <c r="V538" i="45"/>
  <c r="V545" i="45"/>
  <c r="W538" i="45"/>
  <c r="W545" i="45"/>
  <c r="Y538" i="45"/>
  <c r="Y545" i="45"/>
  <c r="Z538" i="45"/>
  <c r="AA538" i="45"/>
  <c r="AA545" i="45" s="1"/>
  <c r="AA546" i="45"/>
  <c r="AC538" i="45"/>
  <c r="AC545" i="45"/>
  <c r="AD538" i="45"/>
  <c r="J545" i="45"/>
  <c r="Z545" i="45"/>
  <c r="F546" i="45"/>
  <c r="G546" i="45"/>
  <c r="I546" i="45"/>
  <c r="J546" i="45"/>
  <c r="M546" i="45"/>
  <c r="N546" i="45"/>
  <c r="O546" i="45"/>
  <c r="Q546" i="45"/>
  <c r="R546" i="45"/>
  <c r="U546" i="45"/>
  <c r="V546" i="45"/>
  <c r="W546" i="45"/>
  <c r="Y546" i="45"/>
  <c r="Z546" i="45"/>
  <c r="AC546" i="45"/>
  <c r="AD546" i="45"/>
  <c r="F554" i="45"/>
  <c r="F558" i="45"/>
  <c r="F550" i="45"/>
  <c r="F560" i="45" s="1"/>
  <c r="G554" i="45"/>
  <c r="G550" i="45" s="1"/>
  <c r="G560" i="45" s="1"/>
  <c r="G558" i="45"/>
  <c r="H554" i="45"/>
  <c r="H558" i="45"/>
  <c r="I554" i="45"/>
  <c r="I550" i="45" s="1"/>
  <c r="I560" i="45" s="1"/>
  <c r="I558" i="45"/>
  <c r="I562" i="45"/>
  <c r="I569" i="45"/>
  <c r="I565" i="45"/>
  <c r="I574" i="45"/>
  <c r="I577" i="45"/>
  <c r="J554" i="45"/>
  <c r="J558" i="45"/>
  <c r="K554" i="45"/>
  <c r="K558" i="45"/>
  <c r="K550" i="45" s="1"/>
  <c r="K560" i="45" s="1"/>
  <c r="L554" i="45"/>
  <c r="L558" i="45"/>
  <c r="M554" i="45"/>
  <c r="M558" i="45"/>
  <c r="M550" i="45" s="1"/>
  <c r="M560" i="45" s="1"/>
  <c r="M562" i="45"/>
  <c r="M569" i="45"/>
  <c r="M565" i="45" s="1"/>
  <c r="M574" i="45"/>
  <c r="M573" i="45" s="1"/>
  <c r="M577" i="45"/>
  <c r="N554" i="45"/>
  <c r="N558" i="45"/>
  <c r="O554" i="45"/>
  <c r="O558" i="45"/>
  <c r="O550" i="45" s="1"/>
  <c r="O560" i="45" s="1"/>
  <c r="P554" i="45"/>
  <c r="P558" i="45"/>
  <c r="P562" i="45"/>
  <c r="P569" i="45"/>
  <c r="P565" i="45" s="1"/>
  <c r="P574" i="45"/>
  <c r="P577" i="45"/>
  <c r="Q554" i="45"/>
  <c r="Q550" i="45" s="1"/>
  <c r="Q560" i="45" s="1"/>
  <c r="Q558" i="45"/>
  <c r="R554" i="45"/>
  <c r="R558" i="45"/>
  <c r="S554" i="45"/>
  <c r="S550" i="45" s="1"/>
  <c r="S560" i="45" s="1"/>
  <c r="S558" i="45"/>
  <c r="S562" i="45"/>
  <c r="S569" i="45"/>
  <c r="S565" i="45"/>
  <c r="S574" i="45"/>
  <c r="S573" i="45"/>
  <c r="S577" i="45"/>
  <c r="T554" i="45"/>
  <c r="T558" i="45"/>
  <c r="U554" i="45"/>
  <c r="U550" i="45" s="1"/>
  <c r="U560" i="45" s="1"/>
  <c r="U558" i="45"/>
  <c r="V554" i="45"/>
  <c r="V558" i="45"/>
  <c r="W554" i="45"/>
  <c r="W550" i="45" s="1"/>
  <c r="W560" i="45" s="1"/>
  <c r="W558" i="45"/>
  <c r="W562" i="45"/>
  <c r="W569" i="45"/>
  <c r="W565" i="45"/>
  <c r="W574" i="45"/>
  <c r="W573" i="45"/>
  <c r="W577" i="45"/>
  <c r="X554" i="45"/>
  <c r="X558" i="45"/>
  <c r="Y554" i="45"/>
  <c r="Y550" i="45" s="1"/>
  <c r="Y560" i="45" s="1"/>
  <c r="Y558" i="45"/>
  <c r="Z554" i="45"/>
  <c r="Z558" i="45"/>
  <c r="AA554" i="45"/>
  <c r="AA550" i="45" s="1"/>
  <c r="AA560" i="45" s="1"/>
  <c r="AA558" i="45"/>
  <c r="AA562" i="45"/>
  <c r="AA569" i="45"/>
  <c r="AA565" i="45"/>
  <c r="AA574" i="45"/>
  <c r="AA573" i="45"/>
  <c r="AA577" i="45"/>
  <c r="AB554" i="45"/>
  <c r="AB558" i="45"/>
  <c r="AC554" i="45"/>
  <c r="AC550" i="45" s="1"/>
  <c r="AC560" i="45" s="1"/>
  <c r="AC558" i="45"/>
  <c r="AD554" i="45"/>
  <c r="AD558" i="45"/>
  <c r="F562" i="45"/>
  <c r="G562" i="45"/>
  <c r="H562" i="45"/>
  <c r="J562" i="45"/>
  <c r="K562" i="45"/>
  <c r="L562" i="45"/>
  <c r="N562" i="45"/>
  <c r="O562" i="45"/>
  <c r="Q562" i="45"/>
  <c r="R562" i="45"/>
  <c r="T562" i="45"/>
  <c r="U562" i="45"/>
  <c r="V562" i="45"/>
  <c r="X562" i="45"/>
  <c r="Y562" i="45"/>
  <c r="Z562" i="45"/>
  <c r="AB562" i="45"/>
  <c r="AC562" i="45"/>
  <c r="AD562" i="45"/>
  <c r="F569" i="45"/>
  <c r="F565" i="45"/>
  <c r="G569" i="45"/>
  <c r="G565" i="45"/>
  <c r="H569" i="45"/>
  <c r="H565" i="45"/>
  <c r="H574" i="45"/>
  <c r="H573" i="45"/>
  <c r="H577" i="45"/>
  <c r="J569" i="45"/>
  <c r="J565" i="45" s="1"/>
  <c r="K569" i="45"/>
  <c r="K565" i="45" s="1"/>
  <c r="L569" i="45"/>
  <c r="L565" i="45" s="1"/>
  <c r="N569" i="45"/>
  <c r="N565" i="45" s="1"/>
  <c r="O569" i="45"/>
  <c r="O565" i="45" s="1"/>
  <c r="Q569" i="45"/>
  <c r="Q565" i="45" s="1"/>
  <c r="R569" i="45"/>
  <c r="R565" i="45" s="1"/>
  <c r="R574" i="45"/>
  <c r="R577" i="45"/>
  <c r="T569" i="45"/>
  <c r="T565" i="45" s="1"/>
  <c r="U569" i="45"/>
  <c r="U565" i="45" s="1"/>
  <c r="U574" i="45"/>
  <c r="U577" i="45"/>
  <c r="V569" i="45"/>
  <c r="V565" i="45" s="1"/>
  <c r="V574" i="45"/>
  <c r="V573" i="45" s="1"/>
  <c r="V577" i="45"/>
  <c r="X569" i="45"/>
  <c r="X565" i="45"/>
  <c r="Y569" i="45"/>
  <c r="Y565" i="45"/>
  <c r="Y574" i="45"/>
  <c r="Y577" i="45"/>
  <c r="Y573" i="45" s="1"/>
  <c r="Y580" i="45" s="1"/>
  <c r="Z569" i="45"/>
  <c r="Z565" i="45"/>
  <c r="Z574" i="45"/>
  <c r="Z577" i="45"/>
  <c r="AB569" i="45"/>
  <c r="AB565" i="45"/>
  <c r="AC569" i="45"/>
  <c r="AC565" i="45"/>
  <c r="AC574" i="45"/>
  <c r="AC577" i="45"/>
  <c r="AD569" i="45"/>
  <c r="AD565" i="45"/>
  <c r="AD580" i="45" s="1"/>
  <c r="AD574" i="45"/>
  <c r="AD577" i="45"/>
  <c r="AD573" i="45"/>
  <c r="F574" i="45"/>
  <c r="F573" i="45"/>
  <c r="F577" i="45"/>
  <c r="G574" i="45"/>
  <c r="G577" i="45"/>
  <c r="J574" i="45"/>
  <c r="J577" i="45"/>
  <c r="J573" i="45"/>
  <c r="K574" i="45"/>
  <c r="K577" i="45"/>
  <c r="K573" i="45" s="1"/>
  <c r="L574" i="45"/>
  <c r="L577" i="45"/>
  <c r="L573" i="45"/>
  <c r="N574" i="45"/>
  <c r="N573" i="45"/>
  <c r="N577" i="45"/>
  <c r="O574" i="45"/>
  <c r="O577" i="45"/>
  <c r="O573" i="45"/>
  <c r="Q574" i="45"/>
  <c r="Q577" i="45"/>
  <c r="Q573" i="45" s="1"/>
  <c r="T574" i="45"/>
  <c r="T577" i="45"/>
  <c r="X574" i="45"/>
  <c r="X573" i="45" s="1"/>
  <c r="X577" i="45"/>
  <c r="AB574" i="45"/>
  <c r="AB577" i="45"/>
  <c r="AB573" i="45" s="1"/>
  <c r="G593" i="45"/>
  <c r="H593" i="45"/>
  <c r="I593" i="45"/>
  <c r="J593" i="45"/>
  <c r="H594" i="45"/>
  <c r="J594" i="45"/>
  <c r="F612" i="45"/>
  <c r="G612" i="45"/>
  <c r="H612" i="45"/>
  <c r="I612" i="45"/>
  <c r="J612" i="45"/>
  <c r="F613" i="45"/>
  <c r="F649" i="45"/>
  <c r="F642" i="45" s="1"/>
  <c r="G649" i="45"/>
  <c r="G642" i="45" s="1"/>
  <c r="H649" i="45"/>
  <c r="H642" i="45" s="1"/>
  <c r="I649" i="45"/>
  <c r="I642" i="45" s="1"/>
  <c r="J649" i="45"/>
  <c r="J642" i="45" s="1"/>
  <c r="K649" i="45"/>
  <c r="K642" i="45" s="1"/>
  <c r="L649" i="45"/>
  <c r="L642" i="45" s="1"/>
  <c r="M649" i="45"/>
  <c r="M642" i="45" s="1"/>
  <c r="N649" i="45"/>
  <c r="N642" i="45" s="1"/>
  <c r="O649" i="45"/>
  <c r="O642" i="45" s="1"/>
  <c r="P649" i="45"/>
  <c r="P642" i="45" s="1"/>
  <c r="Q649" i="45"/>
  <c r="Q642" i="45" s="1"/>
  <c r="R649" i="45"/>
  <c r="R642" i="45" s="1"/>
  <c r="S649" i="45"/>
  <c r="S642" i="45" s="1"/>
  <c r="T649" i="45"/>
  <c r="T642" i="45" s="1"/>
  <c r="U649" i="45"/>
  <c r="U642" i="45" s="1"/>
  <c r="V649" i="45"/>
  <c r="V642" i="45" s="1"/>
  <c r="W649" i="45"/>
  <c r="W642" i="45" s="1"/>
  <c r="X649" i="45"/>
  <c r="X642" i="45" s="1"/>
  <c r="Y649" i="45"/>
  <c r="Y642" i="45" s="1"/>
  <c r="Z649" i="45"/>
  <c r="Z642" i="45" s="1"/>
  <c r="AA649" i="45"/>
  <c r="AA642" i="45" s="1"/>
  <c r="AB649" i="45"/>
  <c r="AB642" i="45" s="1"/>
  <c r="AC649" i="45"/>
  <c r="AC642" i="45" s="1"/>
  <c r="AD649" i="45"/>
  <c r="AD642" i="45" s="1"/>
  <c r="C644" i="45"/>
  <c r="G706" i="45" s="1"/>
  <c r="C645" i="45"/>
  <c r="C646" i="45"/>
  <c r="G708" i="45"/>
  <c r="C647" i="45"/>
  <c r="G709" i="45"/>
  <c r="C648" i="45"/>
  <c r="G710" i="45"/>
  <c r="F651" i="45"/>
  <c r="G651" i="45"/>
  <c r="G658" i="45"/>
  <c r="H651" i="45"/>
  <c r="H658" i="45"/>
  <c r="H663" i="45"/>
  <c r="H666" i="45" s="1"/>
  <c r="H669" i="45" s="1"/>
  <c r="I651" i="45"/>
  <c r="J651" i="45"/>
  <c r="J658" i="45"/>
  <c r="K651" i="45"/>
  <c r="L651" i="45"/>
  <c r="L663" i="45"/>
  <c r="M651" i="45"/>
  <c r="N651" i="45"/>
  <c r="N658" i="45"/>
  <c r="O651" i="45"/>
  <c r="P651" i="45"/>
  <c r="P658" i="45"/>
  <c r="P663" i="45" s="1"/>
  <c r="P666" i="45" s="1"/>
  <c r="P669" i="45" s="1"/>
  <c r="Q651" i="45"/>
  <c r="Q658" i="45"/>
  <c r="R651" i="45"/>
  <c r="R663" i="45" s="1"/>
  <c r="R666" i="45" s="1"/>
  <c r="R669" i="45" s="1"/>
  <c r="S651" i="45"/>
  <c r="T651" i="45"/>
  <c r="T658" i="45"/>
  <c r="U651" i="45"/>
  <c r="U658" i="45"/>
  <c r="V651" i="45"/>
  <c r="W651" i="45"/>
  <c r="W658" i="45"/>
  <c r="X651" i="45"/>
  <c r="X658" i="45"/>
  <c r="Y651" i="45"/>
  <c r="Z651" i="45"/>
  <c r="Z663" i="45"/>
  <c r="Z666" i="45" s="1"/>
  <c r="Z669" i="45" s="1"/>
  <c r="Z658" i="45"/>
  <c r="AA651" i="45"/>
  <c r="AB651" i="45"/>
  <c r="AC651" i="45"/>
  <c r="AC663" i="45" s="1"/>
  <c r="AC666" i="45" s="1"/>
  <c r="AC669" i="45" s="1"/>
  <c r="AD651" i="45"/>
  <c r="AD663" i="45" s="1"/>
  <c r="AD666" i="45" s="1"/>
  <c r="AD669" i="45" s="1"/>
  <c r="AD658" i="45"/>
  <c r="C653" i="45"/>
  <c r="C654" i="45"/>
  <c r="G714" i="45" s="1"/>
  <c r="C655" i="45"/>
  <c r="C656" i="45"/>
  <c r="G716" i="45" s="1"/>
  <c r="C657" i="45"/>
  <c r="F658" i="45"/>
  <c r="F663" i="45" s="1"/>
  <c r="F666" i="45" s="1"/>
  <c r="F669" i="45" s="1"/>
  <c r="I658" i="45"/>
  <c r="I663" i="45" s="1"/>
  <c r="I666" i="45" s="1"/>
  <c r="I669" i="45" s="1"/>
  <c r="K658" i="45"/>
  <c r="L658" i="45"/>
  <c r="L666" i="45"/>
  <c r="L669" i="45" s="1"/>
  <c r="M658" i="45"/>
  <c r="O658" i="45"/>
  <c r="R658" i="45"/>
  <c r="S658" i="45"/>
  <c r="V658" i="45"/>
  <c r="V663" i="45" s="1"/>
  <c r="V666" i="45" s="1"/>
  <c r="V669" i="45" s="1"/>
  <c r="Y658" i="45"/>
  <c r="AA658" i="45"/>
  <c r="AB658" i="45"/>
  <c r="AB663" i="45" s="1"/>
  <c r="AB666" i="45" s="1"/>
  <c r="AB669" i="45" s="1"/>
  <c r="AC658" i="45"/>
  <c r="F671" i="45"/>
  <c r="F690" i="45"/>
  <c r="F688" i="45" s="1"/>
  <c r="G671" i="45"/>
  <c r="G690" i="45" s="1"/>
  <c r="G688" i="45" s="1"/>
  <c r="H671" i="45"/>
  <c r="H694" i="45"/>
  <c r="I671" i="45"/>
  <c r="I691" i="45"/>
  <c r="J671" i="45"/>
  <c r="J691" i="45"/>
  <c r="K671" i="45"/>
  <c r="K690" i="45"/>
  <c r="K688" i="45" s="1"/>
  <c r="L671" i="45"/>
  <c r="M671" i="45"/>
  <c r="M691" i="45"/>
  <c r="N671" i="45"/>
  <c r="N690" i="45"/>
  <c r="N688" i="45" s="1"/>
  <c r="O671" i="45"/>
  <c r="O690" i="45" s="1"/>
  <c r="O688" i="45" s="1"/>
  <c r="P671" i="45"/>
  <c r="P693" i="45"/>
  <c r="Q671" i="45"/>
  <c r="Q690" i="45"/>
  <c r="Q688" i="45" s="1"/>
  <c r="R671" i="45"/>
  <c r="R694" i="45" s="1"/>
  <c r="S671" i="45"/>
  <c r="S690" i="45" s="1"/>
  <c r="S688" i="45" s="1"/>
  <c r="T671" i="45"/>
  <c r="T693" i="45"/>
  <c r="U671" i="45"/>
  <c r="U693" i="45"/>
  <c r="U691" i="45"/>
  <c r="V671" i="45"/>
  <c r="V690" i="45" s="1"/>
  <c r="V688" i="45" s="1"/>
  <c r="W671" i="45"/>
  <c r="X671" i="45"/>
  <c r="Y671" i="45"/>
  <c r="Y691" i="45"/>
  <c r="Z671" i="45"/>
  <c r="AA671" i="45"/>
  <c r="AA690" i="45" s="1"/>
  <c r="AA688" i="45" s="1"/>
  <c r="AB671" i="45"/>
  <c r="AB690" i="45"/>
  <c r="AB688" i="45" s="1"/>
  <c r="AC671" i="45"/>
  <c r="AC691" i="45" s="1"/>
  <c r="AD671" i="45"/>
  <c r="AD690" i="45" s="1"/>
  <c r="AD688" i="45" s="1"/>
  <c r="C673" i="45"/>
  <c r="C674" i="45"/>
  <c r="C675" i="45"/>
  <c r="C676" i="45"/>
  <c r="C677" i="45"/>
  <c r="C683" i="45"/>
  <c r="C684" i="45"/>
  <c r="C685" i="45"/>
  <c r="C686" i="45"/>
  <c r="C687" i="45"/>
  <c r="I690" i="45"/>
  <c r="I688" i="45"/>
  <c r="T690" i="45"/>
  <c r="T688" i="45"/>
  <c r="W690" i="45"/>
  <c r="W688" i="45"/>
  <c r="Z690" i="45"/>
  <c r="Z688" i="45"/>
  <c r="C690" i="45"/>
  <c r="C691" i="45"/>
  <c r="Z691" i="45"/>
  <c r="C692" i="45"/>
  <c r="Z692" i="45"/>
  <c r="Z697" i="45"/>
  <c r="Z695" i="45" s="1"/>
  <c r="C693" i="45"/>
  <c r="H693" i="45"/>
  <c r="M693" i="45"/>
  <c r="Y693" i="45"/>
  <c r="Z693" i="45"/>
  <c r="C694" i="45"/>
  <c r="J694" i="45"/>
  <c r="M694" i="45"/>
  <c r="Q694" i="45"/>
  <c r="Y694" i="45"/>
  <c r="Z694" i="45"/>
  <c r="C697" i="45"/>
  <c r="C698" i="45"/>
  <c r="C699" i="45"/>
  <c r="C700" i="45"/>
  <c r="C701" i="45"/>
  <c r="C706" i="45"/>
  <c r="F706" i="45"/>
  <c r="H706" i="45"/>
  <c r="I706" i="45"/>
  <c r="J706" i="45"/>
  <c r="K706" i="45"/>
  <c r="L706" i="45"/>
  <c r="M706" i="45"/>
  <c r="N706" i="45"/>
  <c r="O706" i="45"/>
  <c r="P706" i="45"/>
  <c r="Q706" i="45"/>
  <c r="R706" i="45"/>
  <c r="S706" i="45"/>
  <c r="T706" i="45"/>
  <c r="U706" i="45"/>
  <c r="V706" i="45"/>
  <c r="W706" i="45"/>
  <c r="X706" i="45"/>
  <c r="Y706" i="45"/>
  <c r="Z706" i="45"/>
  <c r="AA706" i="45"/>
  <c r="AB706" i="45"/>
  <c r="AC706" i="45"/>
  <c r="AD706" i="45"/>
  <c r="C707" i="45"/>
  <c r="F707" i="45"/>
  <c r="G707" i="45"/>
  <c r="H707" i="45"/>
  <c r="I707" i="45"/>
  <c r="J707" i="45"/>
  <c r="K707" i="45"/>
  <c r="L707" i="45"/>
  <c r="M707" i="45"/>
  <c r="N707" i="45"/>
  <c r="O707" i="45"/>
  <c r="P707" i="45"/>
  <c r="Q707" i="45"/>
  <c r="R707" i="45"/>
  <c r="S707" i="45"/>
  <c r="T707" i="45"/>
  <c r="U707" i="45"/>
  <c r="V707" i="45"/>
  <c r="W707" i="45"/>
  <c r="X707" i="45"/>
  <c r="Y707" i="45"/>
  <c r="Z707" i="45"/>
  <c r="AA707" i="45"/>
  <c r="AB707" i="45"/>
  <c r="AC707" i="45"/>
  <c r="AD707" i="45"/>
  <c r="C708" i="45"/>
  <c r="F708" i="45"/>
  <c r="H708" i="45"/>
  <c r="I708" i="45"/>
  <c r="J708" i="45"/>
  <c r="K708" i="45"/>
  <c r="L708" i="45"/>
  <c r="M708" i="45"/>
  <c r="N708" i="45"/>
  <c r="O708" i="45"/>
  <c r="P708" i="45"/>
  <c r="Q708" i="45"/>
  <c r="R708" i="45"/>
  <c r="S708" i="45"/>
  <c r="T708" i="45"/>
  <c r="U708" i="45"/>
  <c r="V708" i="45"/>
  <c r="W708" i="45"/>
  <c r="X708" i="45"/>
  <c r="Y708" i="45"/>
  <c r="Z708" i="45"/>
  <c r="AA708" i="45"/>
  <c r="AB708" i="45"/>
  <c r="AC708" i="45"/>
  <c r="AD708" i="45"/>
  <c r="C709" i="45"/>
  <c r="F709" i="45"/>
  <c r="H709" i="45"/>
  <c r="I709" i="45"/>
  <c r="J709" i="45"/>
  <c r="K709" i="45"/>
  <c r="L709" i="45"/>
  <c r="M709" i="45"/>
  <c r="N709" i="45"/>
  <c r="O709" i="45"/>
  <c r="P709" i="45"/>
  <c r="Q709" i="45"/>
  <c r="R709" i="45"/>
  <c r="S709" i="45"/>
  <c r="T709" i="45"/>
  <c r="U709" i="45"/>
  <c r="V709" i="45"/>
  <c r="W709" i="45"/>
  <c r="X709" i="45"/>
  <c r="Y709" i="45"/>
  <c r="Z709" i="45"/>
  <c r="AA709" i="45"/>
  <c r="AB709" i="45"/>
  <c r="AC709" i="45"/>
  <c r="AD709" i="45"/>
  <c r="C710" i="45"/>
  <c r="F710" i="45"/>
  <c r="H710" i="45"/>
  <c r="I710" i="45"/>
  <c r="J710" i="45"/>
  <c r="K710" i="45"/>
  <c r="L710" i="45"/>
  <c r="M710" i="45"/>
  <c r="N710" i="45"/>
  <c r="O710" i="45"/>
  <c r="P710" i="45"/>
  <c r="Q710" i="45"/>
  <c r="R710" i="45"/>
  <c r="S710" i="45"/>
  <c r="T710" i="45"/>
  <c r="U710" i="45"/>
  <c r="V710" i="45"/>
  <c r="W710" i="45"/>
  <c r="X710" i="45"/>
  <c r="Y710" i="45"/>
  <c r="Z710" i="45"/>
  <c r="AA710" i="45"/>
  <c r="AB710" i="45"/>
  <c r="AC710" i="45"/>
  <c r="AD710" i="45"/>
  <c r="C713" i="45"/>
  <c r="F713" i="45"/>
  <c r="G713" i="45"/>
  <c r="H713" i="45"/>
  <c r="I713" i="45"/>
  <c r="J713" i="45"/>
  <c r="K713" i="45"/>
  <c r="L713" i="45"/>
  <c r="M713" i="45"/>
  <c r="N713" i="45"/>
  <c r="O713" i="45"/>
  <c r="P713" i="45"/>
  <c r="Q713" i="45"/>
  <c r="R713" i="45"/>
  <c r="S713" i="45"/>
  <c r="T713" i="45"/>
  <c r="U713" i="45"/>
  <c r="V713" i="45"/>
  <c r="W713" i="45"/>
  <c r="X713" i="45"/>
  <c r="Y713" i="45"/>
  <c r="Z713" i="45"/>
  <c r="AA713" i="45"/>
  <c r="AB713" i="45"/>
  <c r="AC713" i="45"/>
  <c r="AD713" i="45"/>
  <c r="C714" i="45"/>
  <c r="F714" i="45"/>
  <c r="H714" i="45"/>
  <c r="I714" i="45"/>
  <c r="J714" i="45"/>
  <c r="K714" i="45"/>
  <c r="L714" i="45"/>
  <c r="M714" i="45"/>
  <c r="N714" i="45"/>
  <c r="O714" i="45"/>
  <c r="P714" i="45"/>
  <c r="Q714" i="45"/>
  <c r="R714" i="45"/>
  <c r="S714" i="45"/>
  <c r="T714" i="45"/>
  <c r="U714" i="45"/>
  <c r="V714" i="45"/>
  <c r="W714" i="45"/>
  <c r="X714" i="45"/>
  <c r="Y714" i="45"/>
  <c r="Z714" i="45"/>
  <c r="AA714" i="45"/>
  <c r="AB714" i="45"/>
  <c r="AC714" i="45"/>
  <c r="AD714" i="45"/>
  <c r="C715" i="45"/>
  <c r="F715" i="45"/>
  <c r="G715" i="45"/>
  <c r="H715" i="45"/>
  <c r="I715" i="45"/>
  <c r="J715" i="45"/>
  <c r="K715" i="45"/>
  <c r="L715" i="45"/>
  <c r="M715" i="45"/>
  <c r="N715" i="45"/>
  <c r="O715" i="45"/>
  <c r="P715" i="45"/>
  <c r="Q715" i="45"/>
  <c r="R715" i="45"/>
  <c r="S715" i="45"/>
  <c r="T715" i="45"/>
  <c r="U715" i="45"/>
  <c r="V715" i="45"/>
  <c r="W715" i="45"/>
  <c r="X715" i="45"/>
  <c r="Y715" i="45"/>
  <c r="Z715" i="45"/>
  <c r="AA715" i="45"/>
  <c r="AB715" i="45"/>
  <c r="AC715" i="45"/>
  <c r="AD715" i="45"/>
  <c r="C716" i="45"/>
  <c r="F716" i="45"/>
  <c r="H716" i="45"/>
  <c r="I716" i="45"/>
  <c r="J716" i="45"/>
  <c r="K716" i="45"/>
  <c r="L716" i="45"/>
  <c r="M716" i="45"/>
  <c r="N716" i="45"/>
  <c r="O716" i="45"/>
  <c r="P716" i="45"/>
  <c r="Q716" i="45"/>
  <c r="R716" i="45"/>
  <c r="S716" i="45"/>
  <c r="T716" i="45"/>
  <c r="U716" i="45"/>
  <c r="V716" i="45"/>
  <c r="W716" i="45"/>
  <c r="X716" i="45"/>
  <c r="Y716" i="45"/>
  <c r="Z716" i="45"/>
  <c r="AA716" i="45"/>
  <c r="AB716" i="45"/>
  <c r="AC716" i="45"/>
  <c r="AD716" i="45"/>
  <c r="C717" i="45"/>
  <c r="F717" i="45"/>
  <c r="G717" i="45"/>
  <c r="H717" i="45"/>
  <c r="I717" i="45"/>
  <c r="J717" i="45"/>
  <c r="K717" i="45"/>
  <c r="L717" i="45"/>
  <c r="M717" i="45"/>
  <c r="N717" i="45"/>
  <c r="O717" i="45"/>
  <c r="P717" i="45"/>
  <c r="Q717" i="45"/>
  <c r="R717" i="45"/>
  <c r="S717" i="45"/>
  <c r="T717" i="45"/>
  <c r="U717" i="45"/>
  <c r="V717" i="45"/>
  <c r="W717" i="45"/>
  <c r="X717" i="45"/>
  <c r="Y717" i="45"/>
  <c r="Z717" i="45"/>
  <c r="AA717" i="45"/>
  <c r="AB717" i="45"/>
  <c r="AC717" i="45"/>
  <c r="AD717" i="45"/>
  <c r="C720" i="45"/>
  <c r="F720" i="45"/>
  <c r="G720" i="45"/>
  <c r="H720" i="45"/>
  <c r="I720" i="45"/>
  <c r="J720" i="45"/>
  <c r="K720" i="45"/>
  <c r="L720" i="45"/>
  <c r="M720" i="45"/>
  <c r="N720" i="45"/>
  <c r="O720" i="45"/>
  <c r="P720" i="45"/>
  <c r="Q720" i="45"/>
  <c r="R720" i="45"/>
  <c r="S720" i="45"/>
  <c r="T720" i="45"/>
  <c r="U720" i="45"/>
  <c r="V720" i="45"/>
  <c r="W720" i="45"/>
  <c r="X720" i="45"/>
  <c r="Y720" i="45"/>
  <c r="Z720" i="45"/>
  <c r="AA720" i="45"/>
  <c r="AB720" i="45"/>
  <c r="AC720" i="45"/>
  <c r="AD720" i="45"/>
  <c r="C721" i="45"/>
  <c r="F721" i="45"/>
  <c r="G721" i="45"/>
  <c r="H721" i="45"/>
  <c r="I721" i="45"/>
  <c r="J721" i="45"/>
  <c r="K721" i="45"/>
  <c r="L721" i="45"/>
  <c r="M721" i="45"/>
  <c r="N721" i="45"/>
  <c r="O721" i="45"/>
  <c r="P721" i="45"/>
  <c r="Q721" i="45"/>
  <c r="R721" i="45"/>
  <c r="S721" i="45"/>
  <c r="T721" i="45"/>
  <c r="U721" i="45"/>
  <c r="V721" i="45"/>
  <c r="W721" i="45"/>
  <c r="X721" i="45"/>
  <c r="Y721" i="45"/>
  <c r="Z721" i="45"/>
  <c r="AA721" i="45"/>
  <c r="AB721" i="45"/>
  <c r="AC721" i="45"/>
  <c r="AD721" i="45"/>
  <c r="C722" i="45"/>
  <c r="F722" i="45"/>
  <c r="G722" i="45"/>
  <c r="H722" i="45"/>
  <c r="I722" i="45"/>
  <c r="J722" i="45"/>
  <c r="K722" i="45"/>
  <c r="L722" i="45"/>
  <c r="M722" i="45"/>
  <c r="N722" i="45"/>
  <c r="O722" i="45"/>
  <c r="P722" i="45"/>
  <c r="Q722" i="45"/>
  <c r="R722" i="45"/>
  <c r="S722" i="45"/>
  <c r="T722" i="45"/>
  <c r="U722" i="45"/>
  <c r="V722" i="45"/>
  <c r="W722" i="45"/>
  <c r="X722" i="45"/>
  <c r="Y722" i="45"/>
  <c r="Z722" i="45"/>
  <c r="AA722" i="45"/>
  <c r="AB722" i="45"/>
  <c r="AC722" i="45"/>
  <c r="AD722" i="45"/>
  <c r="C723" i="45"/>
  <c r="F723" i="45"/>
  <c r="G723" i="45"/>
  <c r="H723" i="45"/>
  <c r="I723" i="45"/>
  <c r="J723" i="45"/>
  <c r="K723" i="45"/>
  <c r="L723" i="45"/>
  <c r="M723" i="45"/>
  <c r="N723" i="45"/>
  <c r="O723" i="45"/>
  <c r="P723" i="45"/>
  <c r="Q723" i="45"/>
  <c r="R723" i="45"/>
  <c r="S723" i="45"/>
  <c r="T723" i="45"/>
  <c r="U723" i="45"/>
  <c r="V723" i="45"/>
  <c r="W723" i="45"/>
  <c r="X723" i="45"/>
  <c r="Y723" i="45"/>
  <c r="Z723" i="45"/>
  <c r="AA723" i="45"/>
  <c r="AB723" i="45"/>
  <c r="AC723" i="45"/>
  <c r="AD723" i="45"/>
  <c r="C724" i="45"/>
  <c r="F724" i="45"/>
  <c r="G724" i="45"/>
  <c r="H724" i="45"/>
  <c r="I724" i="45"/>
  <c r="J724" i="45"/>
  <c r="K724" i="45"/>
  <c r="L724" i="45"/>
  <c r="M724" i="45"/>
  <c r="N724" i="45"/>
  <c r="O724" i="45"/>
  <c r="P724" i="45"/>
  <c r="Q724" i="45"/>
  <c r="R724" i="45"/>
  <c r="S724" i="45"/>
  <c r="T724" i="45"/>
  <c r="U724" i="45"/>
  <c r="V724" i="45"/>
  <c r="W724" i="45"/>
  <c r="X724" i="45"/>
  <c r="Y724" i="45"/>
  <c r="Z724" i="45"/>
  <c r="AA724" i="45"/>
  <c r="AB724" i="45"/>
  <c r="AC724" i="45"/>
  <c r="AD724" i="45"/>
  <c r="C727" i="45"/>
  <c r="F727" i="45"/>
  <c r="G727" i="45"/>
  <c r="H727" i="45"/>
  <c r="I727" i="45"/>
  <c r="J727" i="45"/>
  <c r="K727" i="45"/>
  <c r="L727" i="45"/>
  <c r="M727" i="45"/>
  <c r="N727" i="45"/>
  <c r="O727" i="45"/>
  <c r="P727" i="45"/>
  <c r="Q727" i="45"/>
  <c r="R727" i="45"/>
  <c r="S727" i="45"/>
  <c r="T727" i="45"/>
  <c r="U727" i="45"/>
  <c r="V727" i="45"/>
  <c r="W727" i="45"/>
  <c r="X727" i="45"/>
  <c r="Y727" i="45"/>
  <c r="Z727" i="45"/>
  <c r="AA727" i="45"/>
  <c r="AB727" i="45"/>
  <c r="AC727" i="45"/>
  <c r="AD727" i="45"/>
  <c r="C728" i="45"/>
  <c r="F728" i="45"/>
  <c r="G728" i="45"/>
  <c r="H728" i="45"/>
  <c r="I728" i="45"/>
  <c r="J728" i="45"/>
  <c r="K728" i="45"/>
  <c r="L728" i="45"/>
  <c r="M728" i="45"/>
  <c r="N728" i="45"/>
  <c r="O728" i="45"/>
  <c r="P728" i="45"/>
  <c r="Q728" i="45"/>
  <c r="R728" i="45"/>
  <c r="S728" i="45"/>
  <c r="T728" i="45"/>
  <c r="U728" i="45"/>
  <c r="V728" i="45"/>
  <c r="W728" i="45"/>
  <c r="X728" i="45"/>
  <c r="Y728" i="45"/>
  <c r="Z728" i="45"/>
  <c r="AA728" i="45"/>
  <c r="AB728" i="45"/>
  <c r="AC728" i="45"/>
  <c r="AD728" i="45"/>
  <c r="C729" i="45"/>
  <c r="F729" i="45"/>
  <c r="G729" i="45"/>
  <c r="H729" i="45"/>
  <c r="I729" i="45"/>
  <c r="J729" i="45"/>
  <c r="K729" i="45"/>
  <c r="L729" i="45"/>
  <c r="M729" i="45"/>
  <c r="N729" i="45"/>
  <c r="O729" i="45"/>
  <c r="P729" i="45"/>
  <c r="Q729" i="45"/>
  <c r="R729" i="45"/>
  <c r="S729" i="45"/>
  <c r="T729" i="45"/>
  <c r="U729" i="45"/>
  <c r="V729" i="45"/>
  <c r="W729" i="45"/>
  <c r="X729" i="45"/>
  <c r="Y729" i="45"/>
  <c r="Z729" i="45"/>
  <c r="AA729" i="45"/>
  <c r="AB729" i="45"/>
  <c r="AC729" i="45"/>
  <c r="AD729" i="45"/>
  <c r="C730" i="45"/>
  <c r="F730" i="45"/>
  <c r="G730" i="45"/>
  <c r="H730" i="45"/>
  <c r="I730" i="45"/>
  <c r="J730" i="45"/>
  <c r="K730" i="45"/>
  <c r="L730" i="45"/>
  <c r="M730" i="45"/>
  <c r="N730" i="45"/>
  <c r="O730" i="45"/>
  <c r="P730" i="45"/>
  <c r="Q730" i="45"/>
  <c r="R730" i="45"/>
  <c r="S730" i="45"/>
  <c r="T730" i="45"/>
  <c r="U730" i="45"/>
  <c r="V730" i="45"/>
  <c r="W730" i="45"/>
  <c r="X730" i="45"/>
  <c r="Y730" i="45"/>
  <c r="Z730" i="45"/>
  <c r="AA730" i="45"/>
  <c r="AB730" i="45"/>
  <c r="AC730" i="45"/>
  <c r="AD730" i="45"/>
  <c r="C731" i="45"/>
  <c r="F731" i="45"/>
  <c r="G731" i="45"/>
  <c r="H731" i="45"/>
  <c r="I731" i="45"/>
  <c r="J731" i="45"/>
  <c r="K731" i="45"/>
  <c r="L731" i="45"/>
  <c r="M731" i="45"/>
  <c r="N731" i="45"/>
  <c r="O731" i="45"/>
  <c r="P731" i="45"/>
  <c r="Q731" i="45"/>
  <c r="R731" i="45"/>
  <c r="S731" i="45"/>
  <c r="T731" i="45"/>
  <c r="U731" i="45"/>
  <c r="V731" i="45"/>
  <c r="W731" i="45"/>
  <c r="X731" i="45"/>
  <c r="Y731" i="45"/>
  <c r="Z731" i="45"/>
  <c r="AA731" i="45"/>
  <c r="AB731" i="45"/>
  <c r="AC731" i="45"/>
  <c r="AD731" i="45"/>
  <c r="C735" i="45"/>
  <c r="F735" i="45"/>
  <c r="G735" i="45"/>
  <c r="H735" i="45"/>
  <c r="I735" i="45"/>
  <c r="J735" i="45"/>
  <c r="K735" i="45"/>
  <c r="L735" i="45"/>
  <c r="M735" i="45"/>
  <c r="N735" i="45"/>
  <c r="O735" i="45"/>
  <c r="P735" i="45"/>
  <c r="Q735" i="45"/>
  <c r="R735" i="45"/>
  <c r="S735" i="45"/>
  <c r="T735" i="45"/>
  <c r="U735" i="45"/>
  <c r="V735" i="45"/>
  <c r="W735" i="45"/>
  <c r="X735" i="45"/>
  <c r="Y735" i="45"/>
  <c r="Z735" i="45"/>
  <c r="AA735" i="45"/>
  <c r="AB735" i="45"/>
  <c r="AC735" i="45"/>
  <c r="AD735" i="45"/>
  <c r="C736" i="45"/>
  <c r="F736" i="45"/>
  <c r="G736" i="45"/>
  <c r="H736" i="45"/>
  <c r="I736" i="45"/>
  <c r="J736" i="45"/>
  <c r="K736" i="45"/>
  <c r="L736" i="45"/>
  <c r="M736" i="45"/>
  <c r="N736" i="45"/>
  <c r="O736" i="45"/>
  <c r="P736" i="45"/>
  <c r="Q736" i="45"/>
  <c r="R736" i="45"/>
  <c r="S736" i="45"/>
  <c r="T736" i="45"/>
  <c r="U736" i="45"/>
  <c r="V736" i="45"/>
  <c r="W736" i="45"/>
  <c r="X736" i="45"/>
  <c r="Y736" i="45"/>
  <c r="Z736" i="45"/>
  <c r="AA736" i="45"/>
  <c r="AB736" i="45"/>
  <c r="AC736" i="45"/>
  <c r="AD736" i="45"/>
  <c r="C737" i="45"/>
  <c r="F737" i="45"/>
  <c r="G737" i="45"/>
  <c r="H737" i="45"/>
  <c r="I737" i="45"/>
  <c r="J737" i="45"/>
  <c r="K737" i="45"/>
  <c r="L737" i="45"/>
  <c r="M737" i="45"/>
  <c r="N737" i="45"/>
  <c r="O737" i="45"/>
  <c r="P737" i="45"/>
  <c r="Q737" i="45"/>
  <c r="R737" i="45"/>
  <c r="S737" i="45"/>
  <c r="T737" i="45"/>
  <c r="U737" i="45"/>
  <c r="V737" i="45"/>
  <c r="W737" i="45"/>
  <c r="X737" i="45"/>
  <c r="Y737" i="45"/>
  <c r="Z737" i="45"/>
  <c r="AA737" i="45"/>
  <c r="AB737" i="45"/>
  <c r="AC737" i="45"/>
  <c r="AD737" i="45"/>
  <c r="C738" i="45"/>
  <c r="F738" i="45"/>
  <c r="G738" i="45"/>
  <c r="H738" i="45"/>
  <c r="I738" i="45"/>
  <c r="J738" i="45"/>
  <c r="K738" i="45"/>
  <c r="L738" i="45"/>
  <c r="M738" i="45"/>
  <c r="N738" i="45"/>
  <c r="O738" i="45"/>
  <c r="P738" i="45"/>
  <c r="Q738" i="45"/>
  <c r="R738" i="45"/>
  <c r="S738" i="45"/>
  <c r="T738" i="45"/>
  <c r="U738" i="45"/>
  <c r="V738" i="45"/>
  <c r="W738" i="45"/>
  <c r="X738" i="45"/>
  <c r="Y738" i="45"/>
  <c r="Z738" i="45"/>
  <c r="AA738" i="45"/>
  <c r="AB738" i="45"/>
  <c r="AC738" i="45"/>
  <c r="AD738" i="45"/>
  <c r="C739" i="45"/>
  <c r="F739" i="45"/>
  <c r="G739" i="45"/>
  <c r="H739" i="45"/>
  <c r="I739" i="45"/>
  <c r="J739" i="45"/>
  <c r="K739" i="45"/>
  <c r="L739" i="45"/>
  <c r="M739" i="45"/>
  <c r="N739" i="45"/>
  <c r="O739" i="45"/>
  <c r="P739" i="45"/>
  <c r="Q739" i="45"/>
  <c r="R739" i="45"/>
  <c r="S739" i="45"/>
  <c r="T739" i="45"/>
  <c r="U739" i="45"/>
  <c r="V739" i="45"/>
  <c r="W739" i="45"/>
  <c r="X739" i="45"/>
  <c r="Y739" i="45"/>
  <c r="Z739" i="45"/>
  <c r="AA739" i="45"/>
  <c r="AB739" i="45"/>
  <c r="AC739" i="45"/>
  <c r="AD739" i="45"/>
  <c r="C743" i="45"/>
  <c r="F743" i="45"/>
  <c r="G743" i="45"/>
  <c r="H743" i="45"/>
  <c r="I743" i="45"/>
  <c r="J743" i="45"/>
  <c r="K743" i="45"/>
  <c r="L743" i="45"/>
  <c r="M743" i="45"/>
  <c r="N743" i="45"/>
  <c r="O743" i="45"/>
  <c r="P743" i="45"/>
  <c r="Q743" i="45"/>
  <c r="R743" i="45"/>
  <c r="S743" i="45"/>
  <c r="T743" i="45"/>
  <c r="U743" i="45"/>
  <c r="V743" i="45"/>
  <c r="W743" i="45"/>
  <c r="X743" i="45"/>
  <c r="Y743" i="45"/>
  <c r="Z743" i="45"/>
  <c r="AA743" i="45"/>
  <c r="AB743" i="45"/>
  <c r="AC743" i="45"/>
  <c r="AD743" i="45"/>
  <c r="C744" i="45"/>
  <c r="F744" i="45"/>
  <c r="G744" i="45"/>
  <c r="H744" i="45"/>
  <c r="I744" i="45"/>
  <c r="J744" i="45"/>
  <c r="K744" i="45"/>
  <c r="L744" i="45"/>
  <c r="M744" i="45"/>
  <c r="N744" i="45"/>
  <c r="O744" i="45"/>
  <c r="P744" i="45"/>
  <c r="Q744" i="45"/>
  <c r="R744" i="45"/>
  <c r="S744" i="45"/>
  <c r="T744" i="45"/>
  <c r="U744" i="45"/>
  <c r="V744" i="45"/>
  <c r="W744" i="45"/>
  <c r="X744" i="45"/>
  <c r="Y744" i="45"/>
  <c r="Z744" i="45"/>
  <c r="AA744" i="45"/>
  <c r="AB744" i="45"/>
  <c r="AC744" i="45"/>
  <c r="AD744" i="45"/>
  <c r="C745" i="45"/>
  <c r="F745" i="45"/>
  <c r="G745" i="45"/>
  <c r="H745" i="45"/>
  <c r="I745" i="45"/>
  <c r="J745" i="45"/>
  <c r="K745" i="45"/>
  <c r="L745" i="45"/>
  <c r="M745" i="45"/>
  <c r="N745" i="45"/>
  <c r="O745" i="45"/>
  <c r="P745" i="45"/>
  <c r="Q745" i="45"/>
  <c r="R745" i="45"/>
  <c r="S745" i="45"/>
  <c r="T745" i="45"/>
  <c r="U745" i="45"/>
  <c r="V745" i="45"/>
  <c r="W745" i="45"/>
  <c r="X745" i="45"/>
  <c r="Y745" i="45"/>
  <c r="Z745" i="45"/>
  <c r="AA745" i="45"/>
  <c r="AB745" i="45"/>
  <c r="AC745" i="45"/>
  <c r="AD745" i="45"/>
  <c r="C746" i="45"/>
  <c r="F746" i="45"/>
  <c r="G746" i="45"/>
  <c r="H746" i="45"/>
  <c r="I746" i="45"/>
  <c r="J746" i="45"/>
  <c r="K746" i="45"/>
  <c r="L746" i="45"/>
  <c r="M746" i="45"/>
  <c r="N746" i="45"/>
  <c r="O746" i="45"/>
  <c r="P746" i="45"/>
  <c r="Q746" i="45"/>
  <c r="R746" i="45"/>
  <c r="S746" i="45"/>
  <c r="T746" i="45"/>
  <c r="U746" i="45"/>
  <c r="V746" i="45"/>
  <c r="W746" i="45"/>
  <c r="X746" i="45"/>
  <c r="Y746" i="45"/>
  <c r="Z746" i="45"/>
  <c r="AA746" i="45"/>
  <c r="AB746" i="45"/>
  <c r="AC746" i="45"/>
  <c r="AD746" i="45"/>
  <c r="C747" i="45"/>
  <c r="F747" i="45"/>
  <c r="G747" i="45"/>
  <c r="H747" i="45"/>
  <c r="I747" i="45"/>
  <c r="J747" i="45"/>
  <c r="K747" i="45"/>
  <c r="L747" i="45"/>
  <c r="M747" i="45"/>
  <c r="N747" i="45"/>
  <c r="O747" i="45"/>
  <c r="P747" i="45"/>
  <c r="Q747" i="45"/>
  <c r="R747" i="45"/>
  <c r="S747" i="45"/>
  <c r="T747" i="45"/>
  <c r="U747" i="45"/>
  <c r="V747" i="45"/>
  <c r="W747" i="45"/>
  <c r="X747" i="45"/>
  <c r="Y747" i="45"/>
  <c r="Z747" i="45"/>
  <c r="AA747" i="45"/>
  <c r="AB747" i="45"/>
  <c r="AC747" i="45"/>
  <c r="AD747" i="45"/>
  <c r="K103" i="44"/>
  <c r="K85" i="44" s="1"/>
  <c r="L95" i="44"/>
  <c r="K95" i="44"/>
  <c r="J95" i="44"/>
  <c r="I95" i="44"/>
  <c r="H95" i="44"/>
  <c r="G95" i="44"/>
  <c r="F95" i="44"/>
  <c r="E95" i="44"/>
  <c r="D95" i="44"/>
  <c r="C95" i="44"/>
  <c r="K92" i="44"/>
  <c r="L90" i="44"/>
  <c r="K90" i="44"/>
  <c r="J90" i="44"/>
  <c r="I90" i="44"/>
  <c r="H90" i="44"/>
  <c r="G90" i="44"/>
  <c r="F90" i="44"/>
  <c r="E90" i="44"/>
  <c r="D90" i="44"/>
  <c r="C90" i="44"/>
  <c r="L82" i="44"/>
  <c r="K82" i="44"/>
  <c r="J82" i="44"/>
  <c r="I82" i="44"/>
  <c r="H82" i="44"/>
  <c r="G82" i="44"/>
  <c r="F82" i="44"/>
  <c r="E82" i="44"/>
  <c r="D82" i="44"/>
  <c r="C82" i="44"/>
  <c r="L80" i="44"/>
  <c r="K80" i="44"/>
  <c r="J80" i="44"/>
  <c r="I80" i="44"/>
  <c r="H80" i="44"/>
  <c r="G80" i="44"/>
  <c r="F80" i="44"/>
  <c r="E80" i="44"/>
  <c r="D80" i="44"/>
  <c r="C80" i="44"/>
  <c r="A63" i="44"/>
  <c r="A8" i="44"/>
  <c r="A7" i="44"/>
  <c r="A48" i="44" s="1"/>
  <c r="A60" i="44" s="1"/>
  <c r="A6" i="44"/>
  <c r="A44" i="44"/>
  <c r="A30" i="44"/>
  <c r="A43" i="44" s="1"/>
  <c r="A41" i="44"/>
  <c r="A40" i="44"/>
  <c r="A37" i="44"/>
  <c r="J28" i="44"/>
  <c r="K27" i="44"/>
  <c r="L24" i="44"/>
  <c r="K24" i="44"/>
  <c r="J24" i="44"/>
  <c r="L23" i="44"/>
  <c r="K23" i="44"/>
  <c r="L22" i="44"/>
  <c r="K22" i="44"/>
  <c r="J22" i="44"/>
  <c r="L21" i="44"/>
  <c r="K21" i="44"/>
  <c r="J21" i="44"/>
  <c r="L20" i="44"/>
  <c r="K20" i="44"/>
  <c r="L9" i="2"/>
  <c r="V159" i="45" s="1"/>
  <c r="J37" i="12"/>
  <c r="I37" i="12"/>
  <c r="H37" i="12"/>
  <c r="F37" i="12"/>
  <c r="E37" i="12"/>
  <c r="X11" i="12"/>
  <c r="W11" i="12"/>
  <c r="V11" i="12"/>
  <c r="U11" i="12"/>
  <c r="M100" i="2"/>
  <c r="W150" i="45" s="1"/>
  <c r="W151" i="45" s="1"/>
  <c r="M122" i="2"/>
  <c r="M18" i="2" s="1"/>
  <c r="W28" i="12" s="1"/>
  <c r="J73" i="12"/>
  <c r="X73" i="12" s="1"/>
  <c r="X35" i="12"/>
  <c r="X18" i="12"/>
  <c r="J116" i="12"/>
  <c r="J109" i="12"/>
  <c r="J110" i="12" s="1"/>
  <c r="J83" i="12"/>
  <c r="N65" i="3"/>
  <c r="J46" i="12"/>
  <c r="X46" i="12" s="1"/>
  <c r="J40" i="12"/>
  <c r="J32" i="12"/>
  <c r="AW215" i="45"/>
  <c r="AW216" i="45" s="1"/>
  <c r="AW218" i="45" s="1"/>
  <c r="AV215" i="45"/>
  <c r="AV216" i="45" s="1"/>
  <c r="AV218" i="45" s="1"/>
  <c r="AU215" i="45"/>
  <c r="AU216" i="45" s="1"/>
  <c r="AU218" i="45" s="1"/>
  <c r="AT215" i="45"/>
  <c r="AT216" i="45" s="1"/>
  <c r="AT218" i="45" s="1"/>
  <c r="AS215" i="45"/>
  <c r="AS216" i="45" s="1"/>
  <c r="AS218" i="45" s="1"/>
  <c r="AR215" i="45"/>
  <c r="AR216" i="45" s="1"/>
  <c r="AR218" i="45" s="1"/>
  <c r="AQ215" i="45"/>
  <c r="AP215" i="45"/>
  <c r="AP216" i="45" s="1"/>
  <c r="AP218" i="45" s="1"/>
  <c r="AO215" i="45"/>
  <c r="AO216" i="45" s="1"/>
  <c r="AO218" i="45" s="1"/>
  <c r="AN215" i="45"/>
  <c r="AN216" i="45" s="1"/>
  <c r="AN218" i="45" s="1"/>
  <c r="AM215" i="45"/>
  <c r="AM216" i="45" s="1"/>
  <c r="AM218" i="45" s="1"/>
  <c r="AK215" i="45"/>
  <c r="AK216" i="45" s="1"/>
  <c r="AK218" i="45" s="1"/>
  <c r="AJ215" i="45"/>
  <c r="AJ216" i="45" s="1"/>
  <c r="AJ218" i="45" s="1"/>
  <c r="AJ226" i="45" s="1"/>
  <c r="AJ256" i="45" s="1"/>
  <c r="AI215" i="45"/>
  <c r="AI216" i="45" s="1"/>
  <c r="AI218" i="45" s="1"/>
  <c r="AI403" i="45" s="1"/>
  <c r="AH215" i="45"/>
  <c r="AG215" i="45"/>
  <c r="AG216" i="45" s="1"/>
  <c r="AG218" i="45" s="1"/>
  <c r="AF215" i="45"/>
  <c r="AF216" i="45" s="1"/>
  <c r="AF218" i="45" s="1"/>
  <c r="AF403" i="45" s="1"/>
  <c r="G99" i="28"/>
  <c r="H30" i="28"/>
  <c r="H11" i="28"/>
  <c r="H28" i="28"/>
  <c r="H9" i="28"/>
  <c r="H38" i="28"/>
  <c r="H21" i="28"/>
  <c r="H19" i="28"/>
  <c r="B64" i="43"/>
  <c r="G10" i="27"/>
  <c r="G13" i="27" s="1"/>
  <c r="F4" i="38"/>
  <c r="D22" i="56"/>
  <c r="G22" i="56" s="1"/>
  <c r="E4" i="38"/>
  <c r="C22" i="56" s="1"/>
  <c r="G16" i="38"/>
  <c r="H62" i="1"/>
  <c r="D40" i="12" s="1"/>
  <c r="J62" i="1"/>
  <c r="F40" i="12" s="1"/>
  <c r="K62" i="1"/>
  <c r="G40" i="12" s="1"/>
  <c r="J139" i="2"/>
  <c r="J140" i="2" s="1"/>
  <c r="J23" i="2" s="1"/>
  <c r="J118" i="4" s="1"/>
  <c r="G22" i="28"/>
  <c r="G12" i="28"/>
  <c r="G41" i="28"/>
  <c r="E49" i="51" s="1"/>
  <c r="F41" i="28"/>
  <c r="G31" i="28"/>
  <c r="E48" i="51" s="1"/>
  <c r="E50" i="51" s="1"/>
  <c r="E92" i="28"/>
  <c r="D92" i="28"/>
  <c r="C92" i="28"/>
  <c r="B92" i="28"/>
  <c r="C33" i="38"/>
  <c r="C36" i="38"/>
  <c r="B33" i="38"/>
  <c r="B36" i="38"/>
  <c r="C38" i="38"/>
  <c r="E38" i="38"/>
  <c r="F38" i="38" s="1"/>
  <c r="G38" i="38"/>
  <c r="B38" i="38"/>
  <c r="B17" i="38"/>
  <c r="B18" i="38"/>
  <c r="B12" i="38"/>
  <c r="B31" i="38" s="1"/>
  <c r="C17" i="38"/>
  <c r="C16" i="38"/>
  <c r="C4" i="38"/>
  <c r="C8" i="38"/>
  <c r="C14" i="38"/>
  <c r="C12" i="38"/>
  <c r="C20" i="38"/>
  <c r="B20" i="38"/>
  <c r="B8" i="38"/>
  <c r="B4" i="38"/>
  <c r="B28" i="38"/>
  <c r="L122" i="2"/>
  <c r="L18" i="2" s="1"/>
  <c r="F10" i="27"/>
  <c r="F13" i="27"/>
  <c r="G21" i="28"/>
  <c r="G19" i="28"/>
  <c r="G38" i="28"/>
  <c r="G28" i="28"/>
  <c r="G30" i="28"/>
  <c r="G11" i="28"/>
  <c r="G9" i="28"/>
  <c r="K48" i="3"/>
  <c r="K47" i="3"/>
  <c r="K45" i="3"/>
  <c r="K40" i="3"/>
  <c r="K72" i="3"/>
  <c r="K33" i="3"/>
  <c r="K19" i="3"/>
  <c r="K17" i="3"/>
  <c r="K15" i="3"/>
  <c r="K12" i="3"/>
  <c r="K122" i="2"/>
  <c r="K18" i="2" s="1"/>
  <c r="K61" i="2"/>
  <c r="K11" i="2" s="1"/>
  <c r="K146" i="2"/>
  <c r="K149" i="2" s="1"/>
  <c r="K24" i="2" s="1"/>
  <c r="U171" i="45" s="1"/>
  <c r="U170" i="45" s="1"/>
  <c r="K139" i="2"/>
  <c r="K140" i="2" s="1"/>
  <c r="E13" i="27"/>
  <c r="D13" i="27"/>
  <c r="C13" i="27"/>
  <c r="I26" i="3"/>
  <c r="J26" i="3"/>
  <c r="J51" i="2"/>
  <c r="K43" i="2"/>
  <c r="K9" i="2" s="1"/>
  <c r="U21" i="12" s="1"/>
  <c r="M65" i="3"/>
  <c r="K89" i="2"/>
  <c r="J89" i="2"/>
  <c r="T26" i="12" s="1"/>
  <c r="D89" i="2"/>
  <c r="N154" i="45" s="1"/>
  <c r="E89" i="2"/>
  <c r="O154" i="45" s="1"/>
  <c r="F89" i="2"/>
  <c r="P154" i="45" s="1"/>
  <c r="G89" i="2"/>
  <c r="Q154" i="45" s="1"/>
  <c r="H89" i="2"/>
  <c r="I89" i="2"/>
  <c r="S26" i="12" s="1"/>
  <c r="I51" i="2"/>
  <c r="I10" i="2" s="1"/>
  <c r="C89" i="2"/>
  <c r="M154" i="45"/>
  <c r="E9" i="26"/>
  <c r="E99" i="28"/>
  <c r="F82" i="28"/>
  <c r="F55" i="28"/>
  <c r="E82" i="28"/>
  <c r="E55" i="28"/>
  <c r="E10" i="26"/>
  <c r="E21" i="26"/>
  <c r="W35" i="12"/>
  <c r="W18" i="12"/>
  <c r="I116" i="12"/>
  <c r="I109" i="12"/>
  <c r="I110" i="12" s="1"/>
  <c r="I83" i="12"/>
  <c r="I73" i="12"/>
  <c r="W73" i="12" s="1"/>
  <c r="I46" i="12"/>
  <c r="W46" i="12" s="1"/>
  <c r="I40" i="12"/>
  <c r="I32" i="12"/>
  <c r="I31" i="12"/>
  <c r="L72" i="3"/>
  <c r="J146" i="2"/>
  <c r="J149" i="2" s="1"/>
  <c r="J24" i="2" s="1"/>
  <c r="T171" i="45" s="1"/>
  <c r="T170" i="45" s="1"/>
  <c r="K70" i="2"/>
  <c r="K12" i="2" s="1"/>
  <c r="U165" i="45" s="1"/>
  <c r="D46" i="26"/>
  <c r="E11" i="26"/>
  <c r="J122" i="2"/>
  <c r="J18" i="2" s="1"/>
  <c r="H135" i="2"/>
  <c r="I61" i="2"/>
  <c r="J43" i="2"/>
  <c r="G173" i="1"/>
  <c r="G32" i="1" s="1"/>
  <c r="Q105" i="45" s="1"/>
  <c r="Q104" i="45" s="1"/>
  <c r="Q192" i="45" s="1"/>
  <c r="G82" i="1"/>
  <c r="G84" i="1" s="1"/>
  <c r="G10" i="1" s="1"/>
  <c r="G131" i="1"/>
  <c r="G27" i="1" s="1"/>
  <c r="G143" i="1"/>
  <c r="G150" i="1"/>
  <c r="G151" i="1" s="1"/>
  <c r="G29" i="1" s="1"/>
  <c r="F173" i="1"/>
  <c r="F82" i="1"/>
  <c r="F84" i="1" s="1"/>
  <c r="F109" i="1"/>
  <c r="F131" i="1"/>
  <c r="F27" i="1" s="1"/>
  <c r="F143" i="1"/>
  <c r="F28" i="1"/>
  <c r="F151" i="1"/>
  <c r="F29" i="1" s="1"/>
  <c r="E173" i="1"/>
  <c r="E32" i="1" s="1"/>
  <c r="O105" i="45" s="1"/>
  <c r="O104" i="45" s="1"/>
  <c r="E82" i="1"/>
  <c r="E84" i="1" s="1"/>
  <c r="E10" i="1" s="1"/>
  <c r="E131" i="1"/>
  <c r="E27" i="1" s="1"/>
  <c r="O86" i="45" s="1"/>
  <c r="O84" i="45" s="1"/>
  <c r="E139" i="1"/>
  <c r="E143" i="1" s="1"/>
  <c r="E28" i="1" s="1"/>
  <c r="O82" i="45" s="1"/>
  <c r="O197" i="45" s="1"/>
  <c r="E151" i="1"/>
  <c r="E29" i="1" s="1"/>
  <c r="D173" i="1"/>
  <c r="D32" i="1" s="1"/>
  <c r="D82" i="1"/>
  <c r="D84" i="1" s="1"/>
  <c r="D131" i="1"/>
  <c r="D27" i="1" s="1"/>
  <c r="D139" i="1"/>
  <c r="D143" i="1" s="1"/>
  <c r="D28" i="1" s="1"/>
  <c r="D150" i="1"/>
  <c r="D151" i="1" s="1"/>
  <c r="D29" i="1" s="1"/>
  <c r="C173" i="1"/>
  <c r="C32" i="1" s="1"/>
  <c r="C80" i="1"/>
  <c r="C84" i="1"/>
  <c r="C10" i="1" s="1"/>
  <c r="C131" i="1"/>
  <c r="C27" i="1" s="1"/>
  <c r="M86" i="45" s="1"/>
  <c r="M84" i="45" s="1"/>
  <c r="M205" i="45" s="1"/>
  <c r="C139" i="1"/>
  <c r="C141" i="1"/>
  <c r="C151" i="1"/>
  <c r="C29" i="1" s="1"/>
  <c r="C38" i="1" s="1"/>
  <c r="H64" i="1"/>
  <c r="D33" i="1"/>
  <c r="C39" i="1"/>
  <c r="J48" i="3"/>
  <c r="J79" i="3" s="1"/>
  <c r="F57" i="12"/>
  <c r="J47" i="3"/>
  <c r="J50" i="3"/>
  <c r="J45" i="3"/>
  <c r="J40" i="3"/>
  <c r="J72" i="3" s="1"/>
  <c r="F53" i="12" s="1"/>
  <c r="J34" i="3"/>
  <c r="J38" i="3"/>
  <c r="J33" i="3"/>
  <c r="J19" i="3"/>
  <c r="J15" i="3"/>
  <c r="J17" i="3"/>
  <c r="J11" i="3"/>
  <c r="J13" i="3"/>
  <c r="J12" i="3"/>
  <c r="H116" i="12"/>
  <c r="G116" i="12"/>
  <c r="F116" i="12"/>
  <c r="E116" i="12"/>
  <c r="D116" i="12"/>
  <c r="C116" i="12"/>
  <c r="B116" i="12"/>
  <c r="Q112" i="12"/>
  <c r="D45" i="26"/>
  <c r="E7" i="26"/>
  <c r="E12" i="26"/>
  <c r="D7" i="26"/>
  <c r="D18" i="26"/>
  <c r="D8" i="26"/>
  <c r="D9" i="26"/>
  <c r="I48" i="3"/>
  <c r="I49" i="3"/>
  <c r="I80" i="3" s="1"/>
  <c r="I148" i="2"/>
  <c r="I146" i="2"/>
  <c r="F38" i="28"/>
  <c r="F35" i="28"/>
  <c r="F30" i="28"/>
  <c r="F28" i="28"/>
  <c r="F21" i="28"/>
  <c r="F19" i="28"/>
  <c r="F16" i="28"/>
  <c r="F11" i="28"/>
  <c r="F9" i="28"/>
  <c r="K65" i="3"/>
  <c r="F12" i="28"/>
  <c r="F45" i="28" s="1"/>
  <c r="E12" i="28"/>
  <c r="E13" i="28"/>
  <c r="F31" i="28"/>
  <c r="D48" i="51" s="1"/>
  <c r="F47" i="28"/>
  <c r="F48" i="28" s="1"/>
  <c r="F22" i="28"/>
  <c r="F49" i="28"/>
  <c r="H109" i="12"/>
  <c r="H110" i="12" s="1"/>
  <c r="G109" i="12"/>
  <c r="G110" i="12" s="1"/>
  <c r="K130" i="2"/>
  <c r="K131" i="2" s="1"/>
  <c r="K19" i="2" s="1"/>
  <c r="J130" i="2"/>
  <c r="J131" i="2" s="1"/>
  <c r="J19" i="2" s="1"/>
  <c r="T29" i="12" s="1"/>
  <c r="H83" i="12"/>
  <c r="H73" i="12"/>
  <c r="V73" i="12" s="1"/>
  <c r="G73" i="12"/>
  <c r="U73" i="12" s="1"/>
  <c r="L65" i="3"/>
  <c r="V35" i="12"/>
  <c r="V18" i="12"/>
  <c r="H46" i="12"/>
  <c r="V46" i="12" s="1"/>
  <c r="H40" i="12"/>
  <c r="H32" i="12"/>
  <c r="H31" i="12"/>
  <c r="B55" i="28"/>
  <c r="B59" i="28"/>
  <c r="C82" i="28"/>
  <c r="B82" i="28"/>
  <c r="C55" i="28"/>
  <c r="D82" i="28"/>
  <c r="D88" i="28" s="1"/>
  <c r="D55" i="28"/>
  <c r="G66" i="28"/>
  <c r="E22" i="28"/>
  <c r="F23" i="28"/>
  <c r="D22" i="28"/>
  <c r="D41" i="28"/>
  <c r="E42" i="28" s="1"/>
  <c r="D12" i="28"/>
  <c r="D45" i="28"/>
  <c r="D68" i="28" s="1"/>
  <c r="D31" i="28"/>
  <c r="D47" i="28"/>
  <c r="C22" i="28"/>
  <c r="B22" i="28"/>
  <c r="E31" i="28"/>
  <c r="C48" i="51" s="1"/>
  <c r="C12" i="28"/>
  <c r="B12" i="28"/>
  <c r="B31" i="28"/>
  <c r="E41" i="28"/>
  <c r="C49" i="51" s="1"/>
  <c r="C41" i="28"/>
  <c r="B41" i="28"/>
  <c r="C31" i="28"/>
  <c r="F73" i="28"/>
  <c r="G72" i="28"/>
  <c r="F72" i="28"/>
  <c r="F70" i="28"/>
  <c r="G67" i="28"/>
  <c r="F67" i="28"/>
  <c r="F66" i="28"/>
  <c r="E73" i="28"/>
  <c r="D73" i="28"/>
  <c r="C73" i="28"/>
  <c r="E72" i="28"/>
  <c r="D72" i="28"/>
  <c r="C72" i="28"/>
  <c r="E70" i="28"/>
  <c r="D70" i="28"/>
  <c r="C70" i="28"/>
  <c r="E67" i="28"/>
  <c r="D67" i="28"/>
  <c r="C67" i="28"/>
  <c r="E66" i="28"/>
  <c r="D66" i="28"/>
  <c r="C66" i="28"/>
  <c r="B73" i="28"/>
  <c r="B72" i="28"/>
  <c r="B70" i="28"/>
  <c r="B67" i="28"/>
  <c r="B66" i="28"/>
  <c r="E47" i="28"/>
  <c r="E48" i="28"/>
  <c r="C47" i="28"/>
  <c r="B47" i="28"/>
  <c r="C99" i="28"/>
  <c r="B99" i="28"/>
  <c r="E40" i="28"/>
  <c r="D40" i="28"/>
  <c r="C40" i="28"/>
  <c r="E38" i="28"/>
  <c r="D38" i="28"/>
  <c r="C38" i="28"/>
  <c r="E35" i="28"/>
  <c r="D35" i="28"/>
  <c r="C35" i="28"/>
  <c r="E30" i="28"/>
  <c r="D30" i="28"/>
  <c r="C30" i="28"/>
  <c r="E28" i="28"/>
  <c r="D28" i="28"/>
  <c r="C28" i="28"/>
  <c r="E21" i="28"/>
  <c r="D21" i="28"/>
  <c r="C21" i="28"/>
  <c r="E19" i="28"/>
  <c r="D19" i="28"/>
  <c r="C19" i="28"/>
  <c r="E16" i="28"/>
  <c r="D16" i="28"/>
  <c r="C16" i="28"/>
  <c r="E11" i="28"/>
  <c r="D11" i="28"/>
  <c r="C11" i="28"/>
  <c r="E9" i="28"/>
  <c r="D9" i="28"/>
  <c r="C9" i="28"/>
  <c r="I130" i="2"/>
  <c r="I131" i="2" s="1"/>
  <c r="I19" i="2" s="1"/>
  <c r="H20" i="2"/>
  <c r="R29" i="12" s="1"/>
  <c r="H130" i="2"/>
  <c r="H131" i="2" s="1"/>
  <c r="H19" i="2" s="1"/>
  <c r="I45" i="3"/>
  <c r="I46" i="3"/>
  <c r="I47" i="3"/>
  <c r="I40" i="3"/>
  <c r="I34" i="3"/>
  <c r="I38" i="3"/>
  <c r="I12" i="3"/>
  <c r="I13" i="3"/>
  <c r="I17" i="3"/>
  <c r="I19" i="3"/>
  <c r="I28" i="3"/>
  <c r="I70" i="3"/>
  <c r="E51" i="12" s="1"/>
  <c r="J61" i="6"/>
  <c r="J62" i="6"/>
  <c r="J63" i="6"/>
  <c r="J64" i="6"/>
  <c r="J65" i="6"/>
  <c r="J66" i="6"/>
  <c r="J68" i="6"/>
  <c r="J69" i="6"/>
  <c r="J56" i="6"/>
  <c r="I87" i="2"/>
  <c r="S152" i="45" s="1"/>
  <c r="K56" i="6"/>
  <c r="J32" i="6"/>
  <c r="I86" i="2" s="1"/>
  <c r="S24" i="12" s="1"/>
  <c r="I43" i="2"/>
  <c r="I9" i="2" s="1"/>
  <c r="F109" i="12"/>
  <c r="F110" i="12" s="1"/>
  <c r="E108" i="12"/>
  <c r="E109" i="12" s="1"/>
  <c r="E110" i="12" s="1"/>
  <c r="D109" i="12"/>
  <c r="H51" i="2"/>
  <c r="H10" i="2" s="1"/>
  <c r="R20" i="12" s="1"/>
  <c r="H40" i="2"/>
  <c r="H42" i="2"/>
  <c r="H57" i="2"/>
  <c r="H59" i="2"/>
  <c r="H61" i="2" s="1"/>
  <c r="H11" i="2" s="1"/>
  <c r="J70" i="2"/>
  <c r="J12" i="2" s="1"/>
  <c r="I70" i="2"/>
  <c r="I12" i="2" s="1"/>
  <c r="K69" i="6"/>
  <c r="I140" i="2"/>
  <c r="I23" i="6"/>
  <c r="I31" i="6"/>
  <c r="G76" i="2"/>
  <c r="G81" i="2" s="1"/>
  <c r="G13" i="2" s="1"/>
  <c r="G159" i="2"/>
  <c r="G25" i="2" s="1"/>
  <c r="G168" i="2"/>
  <c r="G26" i="2" s="1"/>
  <c r="G110" i="2"/>
  <c r="G111" i="2"/>
  <c r="G112" i="2"/>
  <c r="F76" i="2"/>
  <c r="F81" i="2"/>
  <c r="F13" i="2" s="1"/>
  <c r="P161" i="45" s="1"/>
  <c r="P327" i="45" s="1"/>
  <c r="F159" i="2"/>
  <c r="F25" i="2" s="1"/>
  <c r="F168" i="2"/>
  <c r="F26" i="2" s="1"/>
  <c r="P123" i="45" s="1"/>
  <c r="P122" i="45" s="1"/>
  <c r="P324" i="45" s="1"/>
  <c r="F110" i="2"/>
  <c r="F111" i="2"/>
  <c r="E76" i="2"/>
  <c r="E77" i="2"/>
  <c r="E159" i="2"/>
  <c r="E25" i="2" s="1"/>
  <c r="E168" i="2"/>
  <c r="E26" i="2" s="1"/>
  <c r="O123" i="45" s="1"/>
  <c r="O122" i="45" s="1"/>
  <c r="O324" i="45" s="1"/>
  <c r="E111" i="2"/>
  <c r="D76" i="2"/>
  <c r="D77" i="2"/>
  <c r="D81" i="2" s="1"/>
  <c r="D13" i="2" s="1"/>
  <c r="D159" i="2"/>
  <c r="D25" i="2" s="1"/>
  <c r="D168" i="2"/>
  <c r="D26" i="2" s="1"/>
  <c r="D111" i="2"/>
  <c r="H23" i="6"/>
  <c r="H31" i="6"/>
  <c r="G23" i="6"/>
  <c r="G61" i="6" s="1"/>
  <c r="G31" i="6"/>
  <c r="F23" i="6"/>
  <c r="F31" i="6"/>
  <c r="E23" i="6"/>
  <c r="E61" i="6" s="1"/>
  <c r="E31" i="6"/>
  <c r="D23" i="6"/>
  <c r="D31" i="6"/>
  <c r="J80" i="3"/>
  <c r="F58" i="12" s="1"/>
  <c r="H80" i="3"/>
  <c r="G80" i="3"/>
  <c r="F80" i="3"/>
  <c r="E80" i="3"/>
  <c r="D80" i="3"/>
  <c r="I79" i="3"/>
  <c r="H79" i="3"/>
  <c r="G79" i="3"/>
  <c r="F79" i="3"/>
  <c r="E79" i="3"/>
  <c r="D79" i="3"/>
  <c r="H78" i="3"/>
  <c r="G78" i="3"/>
  <c r="G77" i="3"/>
  <c r="G13" i="3"/>
  <c r="G16" i="3"/>
  <c r="G18" i="3"/>
  <c r="G26" i="3"/>
  <c r="G28" i="3"/>
  <c r="G34" i="3"/>
  <c r="G38" i="3"/>
  <c r="G40" i="3"/>
  <c r="G72" i="3"/>
  <c r="G47" i="3"/>
  <c r="G50" i="3"/>
  <c r="F78" i="3"/>
  <c r="E78" i="3"/>
  <c r="E77" i="3"/>
  <c r="E81" i="3"/>
  <c r="E12" i="3"/>
  <c r="E13" i="3"/>
  <c r="E15" i="3"/>
  <c r="E16" i="3"/>
  <c r="E17" i="3"/>
  <c r="E19" i="3"/>
  <c r="E26" i="3"/>
  <c r="E28" i="3"/>
  <c r="E29" i="3" s="1"/>
  <c r="E34" i="3"/>
  <c r="E38" i="3"/>
  <c r="E40" i="3"/>
  <c r="E47" i="3"/>
  <c r="E50" i="3"/>
  <c r="D46" i="3"/>
  <c r="D78" i="3"/>
  <c r="D77" i="3"/>
  <c r="J77" i="3"/>
  <c r="F55" i="12" s="1"/>
  <c r="I77" i="3"/>
  <c r="E55" i="12" s="1"/>
  <c r="H77" i="3"/>
  <c r="H81" i="3"/>
  <c r="F77" i="3"/>
  <c r="C80" i="3"/>
  <c r="C48" i="3"/>
  <c r="C79" i="3"/>
  <c r="C45" i="3"/>
  <c r="C77" i="3"/>
  <c r="H72" i="3"/>
  <c r="G70" i="3"/>
  <c r="F40" i="3"/>
  <c r="D40" i="3"/>
  <c r="D72" i="3" s="1"/>
  <c r="H71" i="3"/>
  <c r="F34" i="3"/>
  <c r="F71" i="3"/>
  <c r="D34" i="3"/>
  <c r="D71" i="3"/>
  <c r="D70" i="3"/>
  <c r="D73" i="3" s="1"/>
  <c r="H70" i="3"/>
  <c r="H73" i="3"/>
  <c r="H26" i="3"/>
  <c r="H41" i="3"/>
  <c r="H50" i="3"/>
  <c r="F70" i="3"/>
  <c r="E70" i="3"/>
  <c r="C40" i="3"/>
  <c r="C72" i="3" s="1"/>
  <c r="C34" i="3"/>
  <c r="C36" i="3"/>
  <c r="C70" i="3"/>
  <c r="J64" i="3"/>
  <c r="I64" i="3"/>
  <c r="I65" i="3"/>
  <c r="H64" i="3"/>
  <c r="H65" i="3"/>
  <c r="G64" i="3"/>
  <c r="G65" i="3"/>
  <c r="F13" i="3"/>
  <c r="F16" i="3"/>
  <c r="F26" i="3"/>
  <c r="F27" i="3"/>
  <c r="F28" i="3"/>
  <c r="F38" i="3"/>
  <c r="F47" i="3"/>
  <c r="F64" i="3"/>
  <c r="F65" i="3"/>
  <c r="E66" i="3"/>
  <c r="E64" i="3"/>
  <c r="E65" i="3"/>
  <c r="D12" i="3"/>
  <c r="D13" i="3"/>
  <c r="D15" i="3"/>
  <c r="D16" i="3"/>
  <c r="D17" i="3"/>
  <c r="D19" i="3"/>
  <c r="D26" i="3"/>
  <c r="D66" i="3" s="1"/>
  <c r="D28" i="3"/>
  <c r="D38" i="3"/>
  <c r="D47" i="3"/>
  <c r="D50" i="3" s="1"/>
  <c r="D64" i="3"/>
  <c r="D65" i="3"/>
  <c r="C13" i="3"/>
  <c r="C15" i="3"/>
  <c r="C16" i="3"/>
  <c r="C17" i="3"/>
  <c r="C26" i="3"/>
  <c r="C66" i="3" s="1"/>
  <c r="C28" i="3"/>
  <c r="C38" i="3"/>
  <c r="C39" i="3"/>
  <c r="C64" i="3"/>
  <c r="C65" i="3"/>
  <c r="C75" i="2"/>
  <c r="C76" i="2"/>
  <c r="L61" i="6"/>
  <c r="L62" i="6"/>
  <c r="L63" i="6"/>
  <c r="L64" i="6"/>
  <c r="L65" i="6"/>
  <c r="L66" i="6"/>
  <c r="L68" i="6"/>
  <c r="G177" i="2"/>
  <c r="F177" i="2"/>
  <c r="P113" i="45" s="1"/>
  <c r="E177" i="2"/>
  <c r="O113" i="45" s="1"/>
  <c r="D177" i="2"/>
  <c r="N113" i="45" s="1"/>
  <c r="C177" i="2"/>
  <c r="M113" i="45" s="1"/>
  <c r="M203" i="45" s="1"/>
  <c r="G139" i="2"/>
  <c r="G140" i="2" s="1"/>
  <c r="G23" i="2" s="1"/>
  <c r="F139" i="2"/>
  <c r="F140" i="2" s="1"/>
  <c r="F23" i="2" s="1"/>
  <c r="E139" i="2"/>
  <c r="E140" i="2" s="1"/>
  <c r="E23" i="2" s="1"/>
  <c r="O168" i="45" s="1"/>
  <c r="O167" i="45" s="1"/>
  <c r="D139" i="2"/>
  <c r="D140" i="2" s="1"/>
  <c r="D23" i="2" s="1"/>
  <c r="N168" i="45" s="1"/>
  <c r="N167" i="45" s="1"/>
  <c r="C136" i="2"/>
  <c r="C140" i="2" s="1"/>
  <c r="C23" i="2" s="1"/>
  <c r="G130" i="2"/>
  <c r="G131" i="2" s="1"/>
  <c r="G19" i="2" s="1"/>
  <c r="Q174" i="45" s="1"/>
  <c r="F130" i="2"/>
  <c r="F131" i="2" s="1"/>
  <c r="F19" i="2" s="1"/>
  <c r="P174" i="45" s="1"/>
  <c r="E130" i="2"/>
  <c r="E131" i="2" s="1"/>
  <c r="E19" i="2" s="1"/>
  <c r="O174" i="45" s="1"/>
  <c r="D130" i="2"/>
  <c r="D131" i="2" s="1"/>
  <c r="D19" i="2" s="1"/>
  <c r="N174" i="45" s="1"/>
  <c r="I122" i="2"/>
  <c r="I18" i="2" s="1"/>
  <c r="S28" i="12" s="1"/>
  <c r="H122" i="2"/>
  <c r="H18" i="2" s="1"/>
  <c r="G122" i="2"/>
  <c r="G18" i="2" s="1"/>
  <c r="Q139" i="45" s="1"/>
  <c r="Q138" i="45" s="1"/>
  <c r="F122" i="2"/>
  <c r="F18" i="2" s="1"/>
  <c r="P139" i="45" s="1"/>
  <c r="P138" i="45" s="1"/>
  <c r="E122" i="2"/>
  <c r="E18" i="2" s="1"/>
  <c r="O139" i="45" s="1"/>
  <c r="O138" i="45" s="1"/>
  <c r="D122" i="2"/>
  <c r="D18" i="2" s="1"/>
  <c r="N139" i="45" s="1"/>
  <c r="N138" i="45" s="1"/>
  <c r="F112" i="2"/>
  <c r="J100" i="2"/>
  <c r="J16" i="2" s="1"/>
  <c r="T27" i="12" s="1"/>
  <c r="T150" i="45"/>
  <c r="T151" i="45" s="1"/>
  <c r="I100" i="2"/>
  <c r="S150" i="45" s="1"/>
  <c r="S151" i="45" s="1"/>
  <c r="H96" i="2"/>
  <c r="H100" i="2" s="1"/>
  <c r="G96" i="2"/>
  <c r="G100" i="2" s="1"/>
  <c r="F96" i="2"/>
  <c r="F100" i="2" s="1"/>
  <c r="P150" i="45" s="1"/>
  <c r="P151" i="45" s="1"/>
  <c r="E96" i="2"/>
  <c r="E100" i="2" s="1"/>
  <c r="D96" i="2"/>
  <c r="D100" i="2" s="1"/>
  <c r="K61" i="6"/>
  <c r="K62" i="6"/>
  <c r="K63" i="6"/>
  <c r="K64" i="6"/>
  <c r="K65" i="6"/>
  <c r="K66" i="6"/>
  <c r="K68" i="6"/>
  <c r="I61" i="6"/>
  <c r="I62" i="6"/>
  <c r="I63" i="6"/>
  <c r="I64" i="6"/>
  <c r="I65" i="6"/>
  <c r="I66" i="6"/>
  <c r="I67" i="6"/>
  <c r="I68" i="6"/>
  <c r="I55" i="6"/>
  <c r="H62" i="6"/>
  <c r="H63" i="6"/>
  <c r="H64" i="6"/>
  <c r="H65" i="6"/>
  <c r="H66" i="6"/>
  <c r="H67" i="6"/>
  <c r="H68" i="6"/>
  <c r="H55" i="6"/>
  <c r="H56" i="6" s="1"/>
  <c r="G87" i="2" s="1"/>
  <c r="Q152" i="45" s="1"/>
  <c r="G62" i="6"/>
  <c r="G63" i="6"/>
  <c r="G64" i="6"/>
  <c r="G65" i="6"/>
  <c r="G66" i="6"/>
  <c r="G67" i="6"/>
  <c r="G68" i="6"/>
  <c r="G55" i="6"/>
  <c r="F62" i="6"/>
  <c r="F63" i="6"/>
  <c r="F64" i="6"/>
  <c r="F65" i="6"/>
  <c r="F66" i="6"/>
  <c r="F67" i="6"/>
  <c r="F68" i="6"/>
  <c r="F55" i="6"/>
  <c r="E62" i="6"/>
  <c r="E70" i="6" s="1"/>
  <c r="D88" i="2" s="1"/>
  <c r="E63" i="6"/>
  <c r="E64" i="6"/>
  <c r="E65" i="6"/>
  <c r="E66" i="6"/>
  <c r="E67" i="6"/>
  <c r="E68" i="6"/>
  <c r="E55" i="6"/>
  <c r="I11" i="2"/>
  <c r="S164" i="45" s="1"/>
  <c r="S162" i="45" s="1"/>
  <c r="H70" i="2"/>
  <c r="H12" i="2" s="1"/>
  <c r="G40" i="2"/>
  <c r="G43" i="2" s="1"/>
  <c r="G9" i="2" s="1"/>
  <c r="Q159" i="45" s="1"/>
  <c r="G42" i="2"/>
  <c r="G48" i="2"/>
  <c r="G51" i="2" s="1"/>
  <c r="G59" i="2"/>
  <c r="G61" i="2" s="1"/>
  <c r="G69" i="2"/>
  <c r="G70" i="2" s="1"/>
  <c r="G12" i="2" s="1"/>
  <c r="Q165" i="45" s="1"/>
  <c r="F40" i="2"/>
  <c r="F42" i="2"/>
  <c r="F48" i="2"/>
  <c r="F51" i="2" s="1"/>
  <c r="F59" i="2"/>
  <c r="F61" i="2" s="1"/>
  <c r="F69" i="2"/>
  <c r="F70" i="2" s="1"/>
  <c r="F12" i="2" s="1"/>
  <c r="P165" i="45" s="1"/>
  <c r="E40" i="2"/>
  <c r="E42" i="2"/>
  <c r="E43" i="2" s="1"/>
  <c r="E9" i="2" s="1"/>
  <c r="E48" i="2"/>
  <c r="E51" i="2" s="1"/>
  <c r="E10" i="2" s="1"/>
  <c r="E59" i="2"/>
  <c r="E61" i="2" s="1"/>
  <c r="E11" i="2" s="1"/>
  <c r="O164" i="45" s="1"/>
  <c r="O162" i="45" s="1"/>
  <c r="E67" i="2"/>
  <c r="E70" i="2" s="1"/>
  <c r="E12" i="2" s="1"/>
  <c r="O165" i="45" s="1"/>
  <c r="D40" i="2"/>
  <c r="D43" i="2" s="1"/>
  <c r="D9" i="2" s="1"/>
  <c r="D42" i="2"/>
  <c r="D48" i="2"/>
  <c r="D51" i="2" s="1"/>
  <c r="D53" i="2" s="1"/>
  <c r="D59" i="2"/>
  <c r="D61" i="2" s="1"/>
  <c r="D67" i="2"/>
  <c r="D70" i="2" s="1"/>
  <c r="D12" i="2" s="1"/>
  <c r="N165" i="45" s="1"/>
  <c r="D69" i="2"/>
  <c r="D110" i="12"/>
  <c r="C159" i="2"/>
  <c r="C25" i="2" s="1"/>
  <c r="M131" i="45" s="1"/>
  <c r="M130" i="45" s="1"/>
  <c r="C168" i="2"/>
  <c r="C26" i="2" s="1"/>
  <c r="C185" i="2"/>
  <c r="N61" i="6"/>
  <c r="N62" i="6"/>
  <c r="N63" i="6"/>
  <c r="N64" i="6"/>
  <c r="N65" i="6"/>
  <c r="N66" i="6"/>
  <c r="N68" i="6"/>
  <c r="M130" i="2"/>
  <c r="M131" i="2" s="1"/>
  <c r="M19" i="2" s="1"/>
  <c r="M61" i="6"/>
  <c r="M62" i="6"/>
  <c r="M63" i="6"/>
  <c r="M64" i="6"/>
  <c r="M65" i="6"/>
  <c r="M66" i="6"/>
  <c r="M68" i="6"/>
  <c r="L130" i="2"/>
  <c r="L131" i="2" s="1"/>
  <c r="L19" i="2" s="1"/>
  <c r="D62" i="6"/>
  <c r="D63" i="6"/>
  <c r="D64" i="6"/>
  <c r="D65" i="6"/>
  <c r="D66" i="6"/>
  <c r="D67" i="6"/>
  <c r="D68" i="6"/>
  <c r="D55" i="6"/>
  <c r="C42" i="2"/>
  <c r="C43" i="2" s="1"/>
  <c r="C9" i="2" s="1"/>
  <c r="M159" i="45" s="1"/>
  <c r="M186" i="45" s="1"/>
  <c r="C48" i="2"/>
  <c r="C51" i="2" s="1"/>
  <c r="C10" i="2" s="1"/>
  <c r="C56" i="2"/>
  <c r="C61" i="2" s="1"/>
  <c r="C11" i="2" s="1"/>
  <c r="M164" i="45" s="1"/>
  <c r="M162" i="45" s="1"/>
  <c r="C59" i="2"/>
  <c r="C69" i="2"/>
  <c r="C70" i="2" s="1"/>
  <c r="C12" i="2" s="1"/>
  <c r="M165" i="45" s="1"/>
  <c r="M188" i="45" s="1"/>
  <c r="C100" i="2"/>
  <c r="M150" i="45" s="1"/>
  <c r="M151" i="45" s="1"/>
  <c r="C107" i="2"/>
  <c r="C109" i="2"/>
  <c r="C110" i="2"/>
  <c r="C111" i="2"/>
  <c r="C112" i="2"/>
  <c r="C122" i="2"/>
  <c r="C18" i="2" s="1"/>
  <c r="C130" i="2"/>
  <c r="C131" i="2" s="1"/>
  <c r="C19" i="2" s="1"/>
  <c r="M174" i="45" s="1"/>
  <c r="H148" i="2"/>
  <c r="H149" i="2" s="1"/>
  <c r="H24" i="2" s="1"/>
  <c r="G148" i="2"/>
  <c r="G149" i="2" s="1"/>
  <c r="G24" i="2" s="1"/>
  <c r="F148" i="2"/>
  <c r="F149" i="2" s="1"/>
  <c r="F24" i="2" s="1"/>
  <c r="E149" i="2"/>
  <c r="E24" i="2" s="1"/>
  <c r="D148" i="2"/>
  <c r="D149" i="2" s="1"/>
  <c r="D24" i="2" s="1"/>
  <c r="N171" i="45" s="1"/>
  <c r="N170" i="45" s="1"/>
  <c r="C149" i="2"/>
  <c r="C24" i="2" s="1"/>
  <c r="M171" i="45" s="1"/>
  <c r="M170" i="45"/>
  <c r="M191" i="45" s="1"/>
  <c r="E112" i="12"/>
  <c r="D112" i="12"/>
  <c r="C112" i="12"/>
  <c r="B112" i="12"/>
  <c r="C109" i="12"/>
  <c r="C110" i="12" s="1"/>
  <c r="B109" i="12"/>
  <c r="B110" i="12" s="1"/>
  <c r="D77" i="12"/>
  <c r="C77" i="12"/>
  <c r="B77" i="12"/>
  <c r="C76" i="12"/>
  <c r="B76" i="12"/>
  <c r="U36" i="12"/>
  <c r="U35" i="12"/>
  <c r="T35" i="12"/>
  <c r="S35" i="12"/>
  <c r="R35" i="12"/>
  <c r="R79" i="12"/>
  <c r="R78" i="12"/>
  <c r="R77" i="12"/>
  <c r="D37" i="12"/>
  <c r="G83" i="12"/>
  <c r="F83" i="12"/>
  <c r="E83" i="12"/>
  <c r="D83" i="12"/>
  <c r="C83" i="12"/>
  <c r="B83" i="12"/>
  <c r="T11" i="12"/>
  <c r="S11" i="12"/>
  <c r="F73" i="12"/>
  <c r="T73" i="12" s="1"/>
  <c r="E73" i="12"/>
  <c r="S73" i="12" s="1"/>
  <c r="D73" i="12"/>
  <c r="R73" i="12" s="1"/>
  <c r="C73" i="12"/>
  <c r="B73" i="12"/>
  <c r="D79" i="12"/>
  <c r="C79" i="12"/>
  <c r="B79" i="12"/>
  <c r="C78" i="12"/>
  <c r="B78" i="12"/>
  <c r="D75" i="12"/>
  <c r="C75" i="12"/>
  <c r="B75" i="12"/>
  <c r="G46" i="12"/>
  <c r="U46" i="12" s="1"/>
  <c r="F46" i="12"/>
  <c r="T46" i="12" s="1"/>
  <c r="E46" i="12"/>
  <c r="S46" i="12" s="1"/>
  <c r="D46" i="12"/>
  <c r="R46" i="12" s="1"/>
  <c r="C46" i="12"/>
  <c r="B46" i="12"/>
  <c r="U18" i="12"/>
  <c r="T18" i="12"/>
  <c r="S18" i="12"/>
  <c r="R18" i="12"/>
  <c r="C74" i="12"/>
  <c r="B74" i="12"/>
  <c r="G32" i="12"/>
  <c r="F32" i="12"/>
  <c r="E32" i="12"/>
  <c r="G31" i="12"/>
  <c r="F31" i="12"/>
  <c r="E31" i="12"/>
  <c r="D31" i="12"/>
  <c r="F23" i="12"/>
  <c r="E23" i="12"/>
  <c r="D23" i="12"/>
  <c r="I17" i="6"/>
  <c r="H17" i="6"/>
  <c r="G17" i="6"/>
  <c r="F17" i="6"/>
  <c r="E17" i="6"/>
  <c r="C17" i="6" s="1"/>
  <c r="I16" i="6"/>
  <c r="H16" i="6"/>
  <c r="G16" i="6"/>
  <c r="F16" i="6"/>
  <c r="E16" i="6"/>
  <c r="I15" i="6"/>
  <c r="H15" i="6"/>
  <c r="G15" i="6"/>
  <c r="F15" i="6"/>
  <c r="E15" i="6"/>
  <c r="I14" i="6"/>
  <c r="H14" i="6"/>
  <c r="G14" i="6"/>
  <c r="F14" i="6"/>
  <c r="E14" i="6"/>
  <c r="I13" i="6"/>
  <c r="H13" i="6"/>
  <c r="G13" i="6"/>
  <c r="F13" i="6"/>
  <c r="E13" i="6"/>
  <c r="I12" i="6"/>
  <c r="H12" i="6"/>
  <c r="G12" i="6"/>
  <c r="F12" i="6"/>
  <c r="E12" i="6"/>
  <c r="G56" i="6"/>
  <c r="F87" i="2" s="1"/>
  <c r="P152" i="45" s="1"/>
  <c r="F56" i="6"/>
  <c r="E87" i="2" s="1"/>
  <c r="O152" i="45" s="1"/>
  <c r="J82" i="6"/>
  <c r="J81" i="6"/>
  <c r="J80" i="6"/>
  <c r="J79" i="6"/>
  <c r="J78" i="6"/>
  <c r="J77" i="6"/>
  <c r="L82" i="6"/>
  <c r="K82" i="6"/>
  <c r="L81" i="6"/>
  <c r="K81" i="6"/>
  <c r="L80" i="6"/>
  <c r="K80" i="6"/>
  <c r="L79" i="6"/>
  <c r="K79" i="6"/>
  <c r="L78" i="6"/>
  <c r="K78" i="6"/>
  <c r="L77" i="6"/>
  <c r="K77" i="6"/>
  <c r="K83" i="6"/>
  <c r="L76" i="6"/>
  <c r="K76" i="6"/>
  <c r="I82" i="6"/>
  <c r="H82" i="6"/>
  <c r="G82" i="6"/>
  <c r="F82" i="6"/>
  <c r="I81" i="6"/>
  <c r="H81" i="6"/>
  <c r="G81" i="6"/>
  <c r="F81" i="6"/>
  <c r="I80" i="6"/>
  <c r="H80" i="6"/>
  <c r="G80" i="6"/>
  <c r="F80" i="6"/>
  <c r="I79" i="6"/>
  <c r="H79" i="6"/>
  <c r="G79" i="6"/>
  <c r="F79" i="6"/>
  <c r="I78" i="6"/>
  <c r="H78" i="6"/>
  <c r="G78" i="6"/>
  <c r="F78" i="6"/>
  <c r="I77" i="6"/>
  <c r="H77" i="6"/>
  <c r="G77" i="6"/>
  <c r="F77" i="6"/>
  <c r="E82" i="6"/>
  <c r="E81" i="6"/>
  <c r="E80" i="6"/>
  <c r="E79" i="6"/>
  <c r="E78" i="6"/>
  <c r="E77" i="6"/>
  <c r="H53" i="12"/>
  <c r="I84" i="3"/>
  <c r="H84" i="3"/>
  <c r="D84" i="3"/>
  <c r="C84" i="3"/>
  <c r="E57" i="12"/>
  <c r="S31" i="12"/>
  <c r="S32" i="12"/>
  <c r="K32" i="6"/>
  <c r="J86" i="2" s="1"/>
  <c r="L32" i="6"/>
  <c r="K86" i="2" s="1"/>
  <c r="K161" i="1" s="1"/>
  <c r="C58" i="28"/>
  <c r="C59" i="28"/>
  <c r="C105" i="28" s="1"/>
  <c r="E59" i="28"/>
  <c r="D59" i="28"/>
  <c r="E88" i="28"/>
  <c r="J61" i="2"/>
  <c r="J11" i="2"/>
  <c r="T164" i="45" s="1"/>
  <c r="T162" i="45" s="1"/>
  <c r="J78" i="3"/>
  <c r="F56" i="12"/>
  <c r="T31" i="12"/>
  <c r="J70" i="3"/>
  <c r="J66" i="3"/>
  <c r="F49" i="12" s="1"/>
  <c r="F74" i="28"/>
  <c r="H72" i="28"/>
  <c r="F81" i="3"/>
  <c r="D56" i="28"/>
  <c r="D58" i="28"/>
  <c r="F56" i="28"/>
  <c r="C23" i="28"/>
  <c r="F59" i="28"/>
  <c r="D105" i="28"/>
  <c r="C56" i="28"/>
  <c r="E32" i="28"/>
  <c r="L83" i="6"/>
  <c r="F58" i="28"/>
  <c r="E58" i="28"/>
  <c r="E83" i="6"/>
  <c r="G18" i="6"/>
  <c r="F66" i="3"/>
  <c r="C48" i="28"/>
  <c r="B49" i="28"/>
  <c r="B74" i="28" s="1"/>
  <c r="D48" i="28"/>
  <c r="E49" i="28"/>
  <c r="E74" i="28" s="1"/>
  <c r="E23" i="28"/>
  <c r="K80" i="3"/>
  <c r="G58" i="12"/>
  <c r="E18" i="26"/>
  <c r="E45" i="26"/>
  <c r="F32" i="1"/>
  <c r="P105" i="45" s="1"/>
  <c r="P104" i="45" s="1"/>
  <c r="L80" i="3"/>
  <c r="H58" i="12" s="1"/>
  <c r="E42" i="26"/>
  <c r="H66" i="28"/>
  <c r="G23" i="12"/>
  <c r="K64" i="3"/>
  <c r="C100" i="28"/>
  <c r="D100" i="28"/>
  <c r="K100" i="2"/>
  <c r="K16" i="2" s="1"/>
  <c r="U27" i="12" s="1"/>
  <c r="E56" i="6"/>
  <c r="D87" i="2" s="1"/>
  <c r="N152" i="45" s="1"/>
  <c r="I23" i="2"/>
  <c r="S168" i="45" s="1"/>
  <c r="S167" i="45" s="1"/>
  <c r="D114" i="2"/>
  <c r="E186" i="2"/>
  <c r="O118" i="45" s="1"/>
  <c r="O114" i="45" s="1"/>
  <c r="F29" i="3"/>
  <c r="G66" i="3"/>
  <c r="I72" i="3"/>
  <c r="E53" i="12" s="1"/>
  <c r="D13" i="28"/>
  <c r="J87" i="2"/>
  <c r="T152" i="45" s="1"/>
  <c r="L56" i="6"/>
  <c r="K87" i="2" s="1"/>
  <c r="U152" i="45" s="1"/>
  <c r="L69" i="6"/>
  <c r="F44" i="26"/>
  <c r="E20" i="26"/>
  <c r="E44" i="26"/>
  <c r="D20" i="26"/>
  <c r="K20" i="26"/>
  <c r="K44" i="26" s="1"/>
  <c r="D42" i="26"/>
  <c r="D19" i="26"/>
  <c r="K19" i="26"/>
  <c r="K43" i="26" s="1"/>
  <c r="H12" i="28"/>
  <c r="H13" i="28" s="1"/>
  <c r="K77" i="3"/>
  <c r="G55" i="12"/>
  <c r="K51" i="2"/>
  <c r="K10" i="2" s="1"/>
  <c r="L100" i="2"/>
  <c r="V150" i="45" s="1"/>
  <c r="V151" i="45" s="1"/>
  <c r="K70" i="3"/>
  <c r="H41" i="28"/>
  <c r="H31" i="28"/>
  <c r="G45" i="28"/>
  <c r="H22" i="28"/>
  <c r="H73" i="28"/>
  <c r="G73" i="28"/>
  <c r="L77" i="3"/>
  <c r="H55" i="12" s="1"/>
  <c r="K79" i="3"/>
  <c r="G57" i="12" s="1"/>
  <c r="G51" i="12"/>
  <c r="G23" i="28"/>
  <c r="K71" i="3"/>
  <c r="G52" i="12" s="1"/>
  <c r="K41" i="3"/>
  <c r="K50" i="3"/>
  <c r="K78" i="3"/>
  <c r="L71" i="3"/>
  <c r="H52" i="12" s="1"/>
  <c r="U31" i="12"/>
  <c r="K26" i="3"/>
  <c r="K29" i="3" s="1"/>
  <c r="K188" i="2"/>
  <c r="K29" i="2" s="1"/>
  <c r="G70" i="28"/>
  <c r="G35" i="28"/>
  <c r="G58" i="28"/>
  <c r="I73" i="28"/>
  <c r="H67" i="28"/>
  <c r="L78" i="3"/>
  <c r="H56" i="12"/>
  <c r="D27" i="38"/>
  <c r="C28" i="38"/>
  <c r="G100" i="28"/>
  <c r="F50" i="3"/>
  <c r="I71" i="3"/>
  <c r="E52" i="12"/>
  <c r="E27" i="38"/>
  <c r="I66" i="28"/>
  <c r="I67" i="28"/>
  <c r="I72" i="28"/>
  <c r="J73" i="28"/>
  <c r="J72" i="28"/>
  <c r="K73" i="28"/>
  <c r="K72" i="28"/>
  <c r="J67" i="28"/>
  <c r="K67" i="28"/>
  <c r="L81" i="3"/>
  <c r="J66" i="28"/>
  <c r="F15" i="1"/>
  <c r="L70" i="3"/>
  <c r="L73" i="3"/>
  <c r="H54" i="12" s="1"/>
  <c r="I66" i="3"/>
  <c r="E49" i="12" s="1"/>
  <c r="K66" i="28"/>
  <c r="H51" i="12"/>
  <c r="L64" i="3"/>
  <c r="H23" i="12"/>
  <c r="M69" i="6"/>
  <c r="L84" i="3"/>
  <c r="L61" i="2"/>
  <c r="L11" i="2" s="1"/>
  <c r="V21" i="12"/>
  <c r="L66" i="3"/>
  <c r="H49" i="12"/>
  <c r="K30" i="44"/>
  <c r="L27" i="44"/>
  <c r="K28" i="44"/>
  <c r="J130" i="4"/>
  <c r="T56" i="12" s="1"/>
  <c r="M16" i="2"/>
  <c r="W27" i="12" s="1"/>
  <c r="I16" i="2"/>
  <c r="C29" i="3"/>
  <c r="J120" i="45"/>
  <c r="H337" i="45"/>
  <c r="H227" i="45" s="1"/>
  <c r="F120" i="45"/>
  <c r="Z701" i="45"/>
  <c r="Z700" i="45"/>
  <c r="Z699" i="45"/>
  <c r="Z698" i="45"/>
  <c r="AC692" i="45"/>
  <c r="AC697" i="45"/>
  <c r="AC695" i="45" s="1"/>
  <c r="Y692" i="45"/>
  <c r="W692" i="45"/>
  <c r="W697" i="45"/>
  <c r="W695" i="45" s="1"/>
  <c r="U692" i="45"/>
  <c r="Q692" i="45"/>
  <c r="O692" i="45"/>
  <c r="O697" i="45"/>
  <c r="O695" i="45" s="1"/>
  <c r="M692" i="45"/>
  <c r="I692" i="45"/>
  <c r="I698" i="45"/>
  <c r="G692" i="45"/>
  <c r="G697" i="45"/>
  <c r="G695" i="45" s="1"/>
  <c r="H191" i="45"/>
  <c r="I191" i="45"/>
  <c r="K78" i="45"/>
  <c r="K181" i="45" s="1"/>
  <c r="K153" i="45"/>
  <c r="J166" i="45"/>
  <c r="K191" i="45"/>
  <c r="F166" i="45"/>
  <c r="F191" i="45"/>
  <c r="G191" i="45"/>
  <c r="K42" i="45"/>
  <c r="K77" i="45"/>
  <c r="G42" i="45"/>
  <c r="G277" i="45"/>
  <c r="I70" i="44"/>
  <c r="I71" i="44"/>
  <c r="I69" i="44" s="1"/>
  <c r="J71" i="44"/>
  <c r="M697" i="45"/>
  <c r="M695" i="45" s="1"/>
  <c r="M698" i="45"/>
  <c r="Q697" i="45"/>
  <c r="Q695" i="45" s="1"/>
  <c r="Y697" i="45"/>
  <c r="Y695" i="45" s="1"/>
  <c r="AC700" i="45"/>
  <c r="H99" i="28"/>
  <c r="H100" i="28" s="1"/>
  <c r="H58" i="28"/>
  <c r="G699" i="45"/>
  <c r="G701" i="45"/>
  <c r="O699" i="45"/>
  <c r="O701" i="45"/>
  <c r="W699" i="45"/>
  <c r="W701" i="45"/>
  <c r="S27" i="12"/>
  <c r="E16" i="38"/>
  <c r="J23" i="28"/>
  <c r="J192" i="28" s="1"/>
  <c r="F16" i="38"/>
  <c r="F36" i="38"/>
  <c r="D36" i="38"/>
  <c r="G8" i="38"/>
  <c r="I699" i="45"/>
  <c r="U699" i="45"/>
  <c r="Y699" i="45"/>
  <c r="C78" i="3"/>
  <c r="C41" i="3"/>
  <c r="C50" i="3"/>
  <c r="I78" i="3"/>
  <c r="G32" i="28"/>
  <c r="F32" i="28"/>
  <c r="I43" i="26"/>
  <c r="F19" i="26"/>
  <c r="F43" i="26"/>
  <c r="F21" i="26"/>
  <c r="F45" i="26"/>
  <c r="E19" i="26"/>
  <c r="J65" i="3"/>
  <c r="J29" i="3"/>
  <c r="J71" i="3"/>
  <c r="F52" i="12" s="1"/>
  <c r="J41" i="3"/>
  <c r="J9" i="2"/>
  <c r="J45" i="2"/>
  <c r="E22" i="26"/>
  <c r="E46" i="26" s="1"/>
  <c r="V36" i="12"/>
  <c r="A49" i="44"/>
  <c r="A61" i="44" s="1"/>
  <c r="A22" i="44"/>
  <c r="A36" i="44" s="1"/>
  <c r="AA691" i="45"/>
  <c r="AA693" i="45"/>
  <c r="AA694" i="45"/>
  <c r="AA692" i="45"/>
  <c r="X691" i="45"/>
  <c r="X692" i="45"/>
  <c r="X690" i="45"/>
  <c r="X688" i="45"/>
  <c r="S691" i="45"/>
  <c r="S693" i="45"/>
  <c r="S694" i="45"/>
  <c r="S692" i="45"/>
  <c r="P691" i="45"/>
  <c r="P692" i="45"/>
  <c r="P690" i="45"/>
  <c r="P688" i="45"/>
  <c r="K691" i="45"/>
  <c r="K693" i="45"/>
  <c r="K694" i="45"/>
  <c r="K692" i="45"/>
  <c r="H691" i="45"/>
  <c r="H692" i="45"/>
  <c r="H690" i="45"/>
  <c r="H688" i="45"/>
  <c r="I594" i="45"/>
  <c r="J613" i="45"/>
  <c r="I613" i="45"/>
  <c r="G594" i="45"/>
  <c r="H613" i="45"/>
  <c r="G613" i="45"/>
  <c r="H189" i="45"/>
  <c r="I189" i="45"/>
  <c r="K137" i="45"/>
  <c r="I137" i="45"/>
  <c r="J137" i="45"/>
  <c r="J204" i="45"/>
  <c r="J208" i="45" s="1"/>
  <c r="J324" i="45"/>
  <c r="J326" i="45" s="1"/>
  <c r="H137" i="45"/>
  <c r="H324" i="45"/>
  <c r="H326" i="45"/>
  <c r="G120" i="45"/>
  <c r="F60" i="28"/>
  <c r="D41" i="3"/>
  <c r="I447" i="45"/>
  <c r="I482" i="45"/>
  <c r="F332" i="45"/>
  <c r="J78" i="45"/>
  <c r="J181" i="45" s="1"/>
  <c r="I78" i="45"/>
  <c r="I181" i="45" s="1"/>
  <c r="J42" i="45"/>
  <c r="I42" i="45"/>
  <c r="I277" i="45"/>
  <c r="G45" i="26"/>
  <c r="M699" i="45"/>
  <c r="Q699" i="45"/>
  <c r="AC699" i="45"/>
  <c r="AC701" i="45"/>
  <c r="K53" i="3"/>
  <c r="K66" i="3"/>
  <c r="G49" i="12"/>
  <c r="I118" i="4"/>
  <c r="J73" i="3"/>
  <c r="F54" i="12" s="1"/>
  <c r="F51" i="12"/>
  <c r="C71" i="3"/>
  <c r="C73" i="3" s="1"/>
  <c r="E71" i="3"/>
  <c r="F72" i="3"/>
  <c r="F41" i="3"/>
  <c r="E32" i="6"/>
  <c r="E69" i="6"/>
  <c r="F83" i="6"/>
  <c r="F69" i="6"/>
  <c r="G32" i="6"/>
  <c r="F86" i="2" s="1"/>
  <c r="P146" i="45" s="1"/>
  <c r="P147" i="45" s="1"/>
  <c r="G69" i="6"/>
  <c r="G83" i="6"/>
  <c r="H83" i="6"/>
  <c r="H61" i="6"/>
  <c r="H76" i="6"/>
  <c r="H84" i="6" s="1"/>
  <c r="E56" i="28"/>
  <c r="G28" i="1"/>
  <c r="E100" i="28"/>
  <c r="F100" i="28"/>
  <c r="T154" i="45"/>
  <c r="J10" i="2"/>
  <c r="T160" i="45" s="1"/>
  <c r="G44" i="26"/>
  <c r="A47" i="44"/>
  <c r="A59" i="44" s="1"/>
  <c r="A20" i="44"/>
  <c r="A34" i="44" s="1"/>
  <c r="Q444" i="45"/>
  <c r="Q446" i="45" s="1"/>
  <c r="J20" i="44"/>
  <c r="J23" i="44"/>
  <c r="C85" i="44"/>
  <c r="G85" i="44"/>
  <c r="L92" i="1"/>
  <c r="L95" i="1"/>
  <c r="G49" i="28"/>
  <c r="G74" i="28" s="1"/>
  <c r="K277" i="45"/>
  <c r="G11" i="6"/>
  <c r="J76" i="6"/>
  <c r="L92" i="44"/>
  <c r="AB691" i="45"/>
  <c r="AB692" i="45"/>
  <c r="W691" i="45"/>
  <c r="W693" i="45"/>
  <c r="W694" i="45"/>
  <c r="T691" i="45"/>
  <c r="T692" i="45"/>
  <c r="O691" i="45"/>
  <c r="O693" i="45"/>
  <c r="O694" i="45"/>
  <c r="L691" i="45"/>
  <c r="L692" i="45"/>
  <c r="G691" i="45"/>
  <c r="G693" i="45"/>
  <c r="G694" i="45"/>
  <c r="AB528" i="45"/>
  <c r="X528" i="45"/>
  <c r="T528" i="45"/>
  <c r="P528" i="45"/>
  <c r="H528" i="45"/>
  <c r="I509" i="45"/>
  <c r="G509" i="45"/>
  <c r="G158" i="45"/>
  <c r="H187" i="45"/>
  <c r="G187" i="45"/>
  <c r="H182" i="45"/>
  <c r="H205" i="45"/>
  <c r="J40" i="45"/>
  <c r="K41" i="45" s="1"/>
  <c r="J38" i="45"/>
  <c r="J283" i="45"/>
  <c r="J105" i="44"/>
  <c r="H105" i="44"/>
  <c r="H55" i="44" s="1"/>
  <c r="M23" i="44"/>
  <c r="I95" i="1"/>
  <c r="N213" i="46"/>
  <c r="N54" i="46"/>
  <c r="N56" i="46" s="1"/>
  <c r="N58" i="46"/>
  <c r="N83" i="46"/>
  <c r="F18" i="6"/>
  <c r="O663" i="45"/>
  <c r="O666" i="45" s="1"/>
  <c r="O669" i="45" s="1"/>
  <c r="H46" i="46"/>
  <c r="F190" i="45"/>
  <c r="F277" i="45"/>
  <c r="F158" i="45"/>
  <c r="F187" i="45"/>
  <c r="K332" i="45"/>
  <c r="L333" i="45" s="1"/>
  <c r="I205" i="45"/>
  <c r="I182" i="45"/>
  <c r="I38" i="45"/>
  <c r="I40" i="45"/>
  <c r="I283" i="45"/>
  <c r="R217" i="45"/>
  <c r="X217" i="45"/>
  <c r="G55" i="28"/>
  <c r="G59" i="28" s="1"/>
  <c r="G13" i="38"/>
  <c r="G12" i="38"/>
  <c r="E23" i="56" s="1"/>
  <c r="F12" i="38"/>
  <c r="D23" i="56"/>
  <c r="G23" i="56" s="1"/>
  <c r="L221" i="46"/>
  <c r="H221" i="46"/>
  <c r="M220" i="46"/>
  <c r="M225" i="46"/>
  <c r="K220" i="46"/>
  <c r="K225" i="46"/>
  <c r="I220" i="46"/>
  <c r="I225" i="46"/>
  <c r="I226" i="46" s="1"/>
  <c r="G220" i="46"/>
  <c r="G225" i="46"/>
  <c r="G221" i="46" s="1"/>
  <c r="E220" i="46"/>
  <c r="E225" i="46"/>
  <c r="E221" i="46" s="1"/>
  <c r="C220" i="46"/>
  <c r="C225" i="46"/>
  <c r="I174" i="46"/>
  <c r="G169" i="46"/>
  <c r="G174" i="46"/>
  <c r="E169" i="46"/>
  <c r="E174" i="46"/>
  <c r="E170" i="46" s="1"/>
  <c r="L175" i="46"/>
  <c r="L153" i="46"/>
  <c r="L171" i="46" s="1"/>
  <c r="H175" i="46"/>
  <c r="H153" i="46"/>
  <c r="H171" i="46" s="1"/>
  <c r="N33" i="46"/>
  <c r="N37" i="46"/>
  <c r="N35" i="46" s="1"/>
  <c r="N23" i="46"/>
  <c r="P32" i="46"/>
  <c r="B45" i="46"/>
  <c r="D45" i="46" s="1"/>
  <c r="N19" i="46"/>
  <c r="O19" i="46" s="1"/>
  <c r="D24" i="46"/>
  <c r="P33" i="46"/>
  <c r="D25" i="46"/>
  <c r="P28" i="46"/>
  <c r="B41" i="46"/>
  <c r="D41" i="46"/>
  <c r="E218" i="46"/>
  <c r="N217" i="46"/>
  <c r="N218" i="46" s="1"/>
  <c r="AA663" i="45"/>
  <c r="AA666" i="45" s="1"/>
  <c r="AA669" i="45"/>
  <c r="AA683" i="45" s="1"/>
  <c r="AA681" i="45" s="1"/>
  <c r="S663" i="45"/>
  <c r="S666" i="45"/>
  <c r="S669" i="45" s="1"/>
  <c r="S684" i="45" s="1"/>
  <c r="K663" i="45"/>
  <c r="K666" i="45" s="1"/>
  <c r="K669" i="45"/>
  <c r="W549" i="45"/>
  <c r="O549" i="45"/>
  <c r="K141" i="45"/>
  <c r="H42" i="45"/>
  <c r="I45" i="26"/>
  <c r="D9" i="1"/>
  <c r="D116" i="1" s="1"/>
  <c r="D92" i="1"/>
  <c r="N179" i="46"/>
  <c r="N185" i="46"/>
  <c r="F157" i="46"/>
  <c r="D152" i="46"/>
  <c r="D157" i="46"/>
  <c r="D169" i="46"/>
  <c r="B152" i="46"/>
  <c r="B157" i="46"/>
  <c r="K135" i="46"/>
  <c r="K136" i="46"/>
  <c r="G140" i="46"/>
  <c r="G141" i="46" s="1"/>
  <c r="C135" i="46"/>
  <c r="C140" i="46"/>
  <c r="C141" i="46"/>
  <c r="N107" i="46"/>
  <c r="N128" i="46"/>
  <c r="M78" i="46"/>
  <c r="M81" i="46"/>
  <c r="M79" i="46" s="1"/>
  <c r="K78" i="46"/>
  <c r="K81" i="46"/>
  <c r="K79" i="46"/>
  <c r="I78" i="46"/>
  <c r="I81" i="46"/>
  <c r="I79" i="46" s="1"/>
  <c r="G78" i="46"/>
  <c r="G81" i="46"/>
  <c r="G79" i="46"/>
  <c r="E78" i="46"/>
  <c r="E81" i="46"/>
  <c r="E79" i="46" s="1"/>
  <c r="C78" i="46"/>
  <c r="C81" i="46"/>
  <c r="C79" i="46"/>
  <c r="N21" i="46"/>
  <c r="O21" i="46"/>
  <c r="P30" i="46"/>
  <c r="B43" i="46"/>
  <c r="D43" i="46" s="1"/>
  <c r="O206" i="45"/>
  <c r="E12" i="38"/>
  <c r="N77" i="46"/>
  <c r="N78" i="46" s="1"/>
  <c r="O16" i="46"/>
  <c r="N164" i="46"/>
  <c r="N168" i="46"/>
  <c r="B168" i="46"/>
  <c r="G153" i="46"/>
  <c r="D136" i="46"/>
  <c r="N138" i="46"/>
  <c r="N156" i="46" s="1"/>
  <c r="D156" i="46"/>
  <c r="M135" i="46"/>
  <c r="M140" i="46"/>
  <c r="M136" i="46" s="1"/>
  <c r="I140" i="46"/>
  <c r="I141" i="46" s="1"/>
  <c r="E135" i="46"/>
  <c r="E140" i="46"/>
  <c r="E136" i="46" s="1"/>
  <c r="I192" i="46"/>
  <c r="G187" i="46"/>
  <c r="C187" i="46"/>
  <c r="I186" i="46"/>
  <c r="G186" i="46"/>
  <c r="E186" i="46"/>
  <c r="H134" i="46"/>
  <c r="H152" i="46" s="1"/>
  <c r="F134" i="46"/>
  <c r="F140" i="46" s="1"/>
  <c r="F136" i="46"/>
  <c r="O33" i="46"/>
  <c r="I485" i="45"/>
  <c r="I487" i="45" s="1"/>
  <c r="I595" i="45"/>
  <c r="I136" i="46"/>
  <c r="I137" i="46" s="1"/>
  <c r="B174" i="46"/>
  <c r="B170" i="46"/>
  <c r="B169" i="46"/>
  <c r="E36" i="38"/>
  <c r="N187" i="46"/>
  <c r="N191" i="46"/>
  <c r="I26" i="12"/>
  <c r="L28" i="44"/>
  <c r="G56" i="28"/>
  <c r="I276" i="45"/>
  <c r="I115" i="1"/>
  <c r="I116" i="1"/>
  <c r="I63" i="2"/>
  <c r="L697" i="45"/>
  <c r="L695" i="45" s="1"/>
  <c r="L701" i="45"/>
  <c r="L699" i="45"/>
  <c r="L700" i="45"/>
  <c r="L698" i="45"/>
  <c r="AB697" i="45"/>
  <c r="AB695" i="45" s="1"/>
  <c r="AB701" i="45"/>
  <c r="AB699" i="45"/>
  <c r="AB700" i="45"/>
  <c r="AB698" i="45"/>
  <c r="G50" i="28"/>
  <c r="G51" i="28"/>
  <c r="G115" i="28" s="1"/>
  <c r="J50" i="44"/>
  <c r="I53" i="44"/>
  <c r="G37" i="6"/>
  <c r="H699" i="45"/>
  <c r="H698" i="45"/>
  <c r="K700" i="45"/>
  <c r="K701" i="45"/>
  <c r="X699" i="45"/>
  <c r="X698" i="45"/>
  <c r="AA700" i="45"/>
  <c r="AA701" i="45"/>
  <c r="D23" i="26"/>
  <c r="D29" i="26" s="1"/>
  <c r="D31" i="26" s="1"/>
  <c r="F51" i="28"/>
  <c r="F76" i="28" s="1"/>
  <c r="F68" i="28"/>
  <c r="D106" i="28"/>
  <c r="H140" i="46"/>
  <c r="H136" i="46" s="1"/>
  <c r="N108" i="46"/>
  <c r="N111" i="46"/>
  <c r="C136" i="46"/>
  <c r="B153" i="46"/>
  <c r="F115" i="1"/>
  <c r="D114" i="1"/>
  <c r="D113" i="1"/>
  <c r="D115" i="1"/>
  <c r="D117" i="1"/>
  <c r="D14" i="4"/>
  <c r="D15" i="4"/>
  <c r="N35" i="45"/>
  <c r="N37" i="45" s="1"/>
  <c r="D165" i="4"/>
  <c r="D11" i="4"/>
  <c r="H595" i="45"/>
  <c r="H631" i="45"/>
  <c r="H603" i="45" s="1"/>
  <c r="E188" i="46"/>
  <c r="I170" i="46"/>
  <c r="I188" i="46" s="1"/>
  <c r="C221" i="46"/>
  <c r="E226" i="46"/>
  <c r="I221" i="46"/>
  <c r="K221" i="46"/>
  <c r="K222" i="46" s="1"/>
  <c r="K226" i="46"/>
  <c r="F24" i="38"/>
  <c r="H70" i="28"/>
  <c r="K230" i="45"/>
  <c r="T698" i="45"/>
  <c r="E39" i="6"/>
  <c r="E38" i="6"/>
  <c r="E36" i="6"/>
  <c r="E40" i="6"/>
  <c r="F333" i="45"/>
  <c r="G333" i="45"/>
  <c r="H141" i="45"/>
  <c r="I141" i="45"/>
  <c r="P699" i="45"/>
  <c r="P698" i="45"/>
  <c r="S700" i="45"/>
  <c r="S699" i="45"/>
  <c r="F97" i="44"/>
  <c r="E43" i="26"/>
  <c r="E56" i="12"/>
  <c r="F152" i="46"/>
  <c r="K204" i="45"/>
  <c r="H56" i="28"/>
  <c r="H596" i="45"/>
  <c r="H632" i="45"/>
  <c r="H158" i="46"/>
  <c r="F116" i="28"/>
  <c r="C97" i="44"/>
  <c r="D97" i="44"/>
  <c r="G114" i="28"/>
  <c r="B175" i="46"/>
  <c r="L70" i="28"/>
  <c r="I70" i="28"/>
  <c r="G97" i="44"/>
  <c r="G60" i="28"/>
  <c r="G102" i="28"/>
  <c r="L30" i="44"/>
  <c r="K70" i="28"/>
  <c r="J70" i="28"/>
  <c r="H597" i="45"/>
  <c r="H633" i="45"/>
  <c r="H604" i="45"/>
  <c r="H605" i="45"/>
  <c r="H496" i="45"/>
  <c r="H599" i="45" s="1"/>
  <c r="H598" i="45"/>
  <c r="H590" i="45"/>
  <c r="H634" i="45"/>
  <c r="H606" i="45" s="1"/>
  <c r="J68" i="28"/>
  <c r="H499" i="45"/>
  <c r="H587" i="45" s="1"/>
  <c r="H635" i="45"/>
  <c r="H607" i="45" s="1"/>
  <c r="H636" i="45"/>
  <c r="H608" i="45" s="1"/>
  <c r="H505" i="45"/>
  <c r="H601" i="45" s="1"/>
  <c r="M92" i="44"/>
  <c r="M95" i="44"/>
  <c r="M80" i="44"/>
  <c r="H637" i="45"/>
  <c r="H609" i="45" s="1"/>
  <c r="M82" i="44"/>
  <c r="I84" i="28"/>
  <c r="I82" i="28" s="1"/>
  <c r="I87" i="28"/>
  <c r="M90" i="44"/>
  <c r="M74" i="1"/>
  <c r="M10" i="2"/>
  <c r="M9" i="2"/>
  <c r="W19" i="12"/>
  <c r="M23" i="2"/>
  <c r="W31" i="12"/>
  <c r="N186" i="46"/>
  <c r="N169" i="46"/>
  <c r="N170" i="46"/>
  <c r="N171" i="46" s="1"/>
  <c r="N174" i="46"/>
  <c r="S687" i="45"/>
  <c r="S685" i="45"/>
  <c r="AA685" i="45"/>
  <c r="AA687" i="45"/>
  <c r="K83" i="3"/>
  <c r="K247" i="45"/>
  <c r="K81" i="45"/>
  <c r="T146" i="45"/>
  <c r="T147" i="45" s="1"/>
  <c r="T24" i="12"/>
  <c r="M139" i="45"/>
  <c r="M138" i="45" s="1"/>
  <c r="M189" i="45" s="1"/>
  <c r="D10" i="2"/>
  <c r="F10" i="2"/>
  <c r="P160" i="45" s="1"/>
  <c r="G10" i="2"/>
  <c r="M168" i="45"/>
  <c r="M167" i="45" s="1"/>
  <c r="Q123" i="45"/>
  <c r="Q122" i="45" s="1"/>
  <c r="C60" i="28"/>
  <c r="B105" i="28"/>
  <c r="C106" i="28"/>
  <c r="B102" i="28"/>
  <c r="T174" i="45"/>
  <c r="N86" i="45"/>
  <c r="N84" i="45" s="1"/>
  <c r="N205" i="45" s="1"/>
  <c r="G53" i="12"/>
  <c r="K73" i="3"/>
  <c r="G54" i="12" s="1"/>
  <c r="G24" i="38"/>
  <c r="W139" i="45"/>
  <c r="W138" i="45" s="1"/>
  <c r="AB683" i="45"/>
  <c r="AB681" i="45"/>
  <c r="AB684" i="45"/>
  <c r="AB686" i="45"/>
  <c r="AB685" i="45"/>
  <c r="AB687" i="45"/>
  <c r="R686" i="45"/>
  <c r="R685" i="45"/>
  <c r="R683" i="45"/>
  <c r="R681" i="45"/>
  <c r="R684" i="45"/>
  <c r="R687" i="45"/>
  <c r="F686" i="45"/>
  <c r="F685" i="45"/>
  <c r="F683" i="45"/>
  <c r="F681" i="45"/>
  <c r="F684" i="45"/>
  <c r="F687" i="45"/>
  <c r="AC686" i="45"/>
  <c r="AC685" i="45"/>
  <c r="AC683" i="45"/>
  <c r="AC681" i="45"/>
  <c r="AC684" i="45"/>
  <c r="AC687" i="45"/>
  <c r="I686" i="45"/>
  <c r="I685" i="45"/>
  <c r="I683" i="45"/>
  <c r="I681" i="45"/>
  <c r="I684" i="45"/>
  <c r="I687" i="45"/>
  <c r="AD686" i="45"/>
  <c r="AD685" i="45"/>
  <c r="AD683" i="45"/>
  <c r="AD681" i="45"/>
  <c r="AD684" i="45"/>
  <c r="AD687" i="45"/>
  <c r="Z686" i="45"/>
  <c r="Z685" i="45"/>
  <c r="Z683" i="45"/>
  <c r="Z681" i="45"/>
  <c r="Z684" i="45"/>
  <c r="Z687" i="45"/>
  <c r="AD528" i="45"/>
  <c r="Y528" i="45"/>
  <c r="Y549" i="45"/>
  <c r="V528" i="45"/>
  <c r="V549" i="45"/>
  <c r="Q528" i="45"/>
  <c r="Q549" i="45"/>
  <c r="N528" i="45"/>
  <c r="I528" i="45"/>
  <c r="I549" i="45"/>
  <c r="F528" i="45"/>
  <c r="F549" i="45"/>
  <c r="D81" i="3"/>
  <c r="K685" i="45"/>
  <c r="K683" i="45"/>
  <c r="K681" i="45"/>
  <c r="K686" i="45"/>
  <c r="K687" i="45"/>
  <c r="K684" i="45"/>
  <c r="H339" i="45"/>
  <c r="H296" i="45"/>
  <c r="P171" i="45"/>
  <c r="P170" i="45" s="1"/>
  <c r="M123" i="45"/>
  <c r="M122" i="45" s="1"/>
  <c r="M324" i="45" s="1"/>
  <c r="G11" i="2"/>
  <c r="Q164" i="45"/>
  <c r="Q162" i="45" s="1"/>
  <c r="N150" i="45"/>
  <c r="N151" i="45" s="1"/>
  <c r="D16" i="2"/>
  <c r="Q168" i="45"/>
  <c r="Q167" i="45" s="1"/>
  <c r="N123" i="45"/>
  <c r="N122" i="45" s="1"/>
  <c r="N324" i="45" s="1"/>
  <c r="E58" i="12"/>
  <c r="I81" i="3"/>
  <c r="S160" i="45"/>
  <c r="V686" i="45"/>
  <c r="V685" i="45"/>
  <c r="V683" i="45"/>
  <c r="V681" i="45" s="1"/>
  <c r="V684" i="45"/>
  <c r="V687" i="45"/>
  <c r="L683" i="45"/>
  <c r="L681" i="45" s="1"/>
  <c r="L684" i="45"/>
  <c r="L686" i="45"/>
  <c r="L685" i="45"/>
  <c r="L687" i="45"/>
  <c r="P683" i="45"/>
  <c r="P681" i="45" s="1"/>
  <c r="P684" i="45"/>
  <c r="P685" i="45"/>
  <c r="P686" i="45"/>
  <c r="P687" i="45"/>
  <c r="H683" i="45"/>
  <c r="H681" i="45" s="1"/>
  <c r="H684" i="45"/>
  <c r="H686" i="45"/>
  <c r="H685" i="45"/>
  <c r="H687" i="45"/>
  <c r="AC528" i="45"/>
  <c r="AC549" i="45"/>
  <c r="U528" i="45"/>
  <c r="U549" i="45"/>
  <c r="M528" i="45"/>
  <c r="H276" i="45"/>
  <c r="H77" i="45"/>
  <c r="H247" i="45" s="1"/>
  <c r="I41" i="45"/>
  <c r="H275" i="45"/>
  <c r="I230" i="45"/>
  <c r="Y582" i="45"/>
  <c r="H38" i="45"/>
  <c r="G40" i="45"/>
  <c r="E242" i="46"/>
  <c r="G242" i="46" s="1"/>
  <c r="G241" i="46"/>
  <c r="L135" i="46"/>
  <c r="L140" i="46"/>
  <c r="L141" i="46" s="1"/>
  <c r="L152" i="46"/>
  <c r="X131" i="45"/>
  <c r="X130" i="45" s="1"/>
  <c r="AC515" i="45"/>
  <c r="AB515" i="45" s="1"/>
  <c r="S328" i="45"/>
  <c r="G31" i="38"/>
  <c r="E31" i="38"/>
  <c r="J81" i="3"/>
  <c r="D29" i="3"/>
  <c r="D53" i="3" s="1"/>
  <c r="D83" i="3" s="1"/>
  <c r="D43" i="4" s="1"/>
  <c r="C32" i="28"/>
  <c r="D42" i="28"/>
  <c r="B45" i="28"/>
  <c r="B68" i="28" s="1"/>
  <c r="AD694" i="45"/>
  <c r="V694" i="45"/>
  <c r="N694" i="45"/>
  <c r="F694" i="45"/>
  <c r="AD693" i="45"/>
  <c r="V693" i="45"/>
  <c r="N693" i="45"/>
  <c r="F693" i="45"/>
  <c r="AD692" i="45"/>
  <c r="V692" i="45"/>
  <c r="V701" i="45" s="1"/>
  <c r="N692" i="45"/>
  <c r="F692" i="45"/>
  <c r="F701" i="45" s="1"/>
  <c r="AD691" i="45"/>
  <c r="V691" i="45"/>
  <c r="N691" i="45"/>
  <c r="F691" i="45"/>
  <c r="AC690" i="45"/>
  <c r="AC688" i="45"/>
  <c r="U690" i="45"/>
  <c r="U688" i="45"/>
  <c r="M690" i="45"/>
  <c r="M688" i="45"/>
  <c r="K187" i="45"/>
  <c r="G153" i="45"/>
  <c r="P134" i="46"/>
  <c r="I158" i="45"/>
  <c r="I187" i="45"/>
  <c r="F40" i="45"/>
  <c r="F41" i="45" s="1"/>
  <c r="G38" i="45"/>
  <c r="N153" i="46"/>
  <c r="N157" i="46"/>
  <c r="Y50" i="45"/>
  <c r="F31" i="38"/>
  <c r="BF65" i="45"/>
  <c r="BI65" i="45"/>
  <c r="BK50" i="45"/>
  <c r="M191" i="46"/>
  <c r="M209" i="46"/>
  <c r="L208" i="46"/>
  <c r="K169" i="46"/>
  <c r="K152" i="46"/>
  <c r="H109" i="46"/>
  <c r="K109" i="46"/>
  <c r="E109" i="46"/>
  <c r="P109" i="46" s="1"/>
  <c r="G41" i="46"/>
  <c r="G19" i="26"/>
  <c r="G43" i="26"/>
  <c r="G22" i="26"/>
  <c r="G46" i="26" s="1"/>
  <c r="M30" i="44"/>
  <c r="E276" i="46"/>
  <c r="V113" i="45"/>
  <c r="M87" i="2"/>
  <c r="W152" i="45" s="1"/>
  <c r="C241" i="46"/>
  <c r="G239" i="46"/>
  <c r="H45" i="26"/>
  <c r="H43" i="26"/>
  <c r="Z113" i="45"/>
  <c r="AI337" i="45"/>
  <c r="AM337" i="45"/>
  <c r="AM297" i="45" s="1"/>
  <c r="AQ337" i="45"/>
  <c r="AQ382" i="45"/>
  <c r="AU337" i="45"/>
  <c r="AU338" i="45" s="1"/>
  <c r="AY337" i="45"/>
  <c r="AY382" i="45"/>
  <c r="AY383" i="45" s="1"/>
  <c r="BC337" i="45"/>
  <c r="BC339" i="45"/>
  <c r="BC335" i="45" s="1"/>
  <c r="BG337" i="45"/>
  <c r="BG382" i="45"/>
  <c r="BK382" i="45"/>
  <c r="BK337" i="45"/>
  <c r="AF549" i="45"/>
  <c r="AF528" i="45"/>
  <c r="AH549" i="45"/>
  <c r="AH528" i="45"/>
  <c r="AJ549" i="45"/>
  <c r="AJ528" i="45"/>
  <c r="AL549" i="45"/>
  <c r="AL528" i="45"/>
  <c r="AP528" i="45"/>
  <c r="AR549" i="45"/>
  <c r="AR528" i="45"/>
  <c r="AT528" i="45"/>
  <c r="AV549" i="45"/>
  <c r="AV528" i="45"/>
  <c r="AX528" i="45"/>
  <c r="AZ549" i="45"/>
  <c r="AZ528" i="45"/>
  <c r="BB528" i="45"/>
  <c r="BD549" i="45"/>
  <c r="BD528" i="45"/>
  <c r="BF528" i="45"/>
  <c r="BH549" i="45"/>
  <c r="BH528" i="45"/>
  <c r="BJ528" i="45"/>
  <c r="AI549" i="45"/>
  <c r="AQ549" i="45"/>
  <c r="AS549" i="45"/>
  <c r="AU549" i="45"/>
  <c r="AW549" i="45"/>
  <c r="AY549" i="45"/>
  <c r="BA549" i="45"/>
  <c r="BC549" i="45"/>
  <c r="BE549" i="45"/>
  <c r="BG549" i="45"/>
  <c r="BI549" i="45"/>
  <c r="BK549" i="45"/>
  <c r="AG582" i="45"/>
  <c r="AK582" i="45"/>
  <c r="AG337" i="45"/>
  <c r="AK337" i="45"/>
  <c r="AK382" i="45"/>
  <c r="AO337" i="45"/>
  <c r="AO339" i="45" s="1"/>
  <c r="AO335" i="45" s="1"/>
  <c r="AS337" i="45"/>
  <c r="AS382" i="45"/>
  <c r="AW337" i="45"/>
  <c r="BA337" i="45"/>
  <c r="BA382" i="45"/>
  <c r="BA383" i="45" s="1"/>
  <c r="BA384" i="45" s="1"/>
  <c r="BA266" i="45" s="1"/>
  <c r="BA415" i="45" s="1"/>
  <c r="BE337" i="45"/>
  <c r="BE339" i="45"/>
  <c r="BI337" i="45"/>
  <c r="BB582" i="45"/>
  <c r="BJ582" i="45"/>
  <c r="AG528" i="45"/>
  <c r="AI528" i="45"/>
  <c r="AK528" i="45"/>
  <c r="AQ528" i="45"/>
  <c r="AS528" i="45"/>
  <c r="AU528" i="45"/>
  <c r="AW528" i="45"/>
  <c r="AY528" i="45"/>
  <c r="BA528" i="45"/>
  <c r="BC528" i="45"/>
  <c r="AG686" i="45"/>
  <c r="AG685" i="45"/>
  <c r="AG684" i="45"/>
  <c r="AG683" i="45"/>
  <c r="AG681" i="45"/>
  <c r="AG687" i="45"/>
  <c r="AK686" i="45"/>
  <c r="AK685" i="45"/>
  <c r="AK684" i="45"/>
  <c r="AK683" i="45"/>
  <c r="AK681" i="45"/>
  <c r="AK687" i="45"/>
  <c r="AO686" i="45"/>
  <c r="AO685" i="45"/>
  <c r="AO684" i="45"/>
  <c r="AO683" i="45"/>
  <c r="AO681" i="45"/>
  <c r="AO687" i="45"/>
  <c r="AS686" i="45"/>
  <c r="AS685" i="45"/>
  <c r="AS684" i="45"/>
  <c r="AS683" i="45"/>
  <c r="AS681" i="45"/>
  <c r="AS687" i="45"/>
  <c r="AW686" i="45"/>
  <c r="AW685" i="45"/>
  <c r="AW684" i="45"/>
  <c r="AW683" i="45"/>
  <c r="AW681" i="45"/>
  <c r="AW687" i="45"/>
  <c r="BA686" i="45"/>
  <c r="BA685" i="45"/>
  <c r="BA684" i="45"/>
  <c r="BA683" i="45"/>
  <c r="BA681" i="45"/>
  <c r="BA687" i="45"/>
  <c r="BC686" i="45"/>
  <c r="BC685" i="45"/>
  <c r="BC684" i="45"/>
  <c r="BC683" i="45"/>
  <c r="BC681" i="45"/>
  <c r="BC687" i="45"/>
  <c r="AQ701" i="45"/>
  <c r="AQ700" i="45"/>
  <c r="AQ699" i="45"/>
  <c r="AQ698" i="45"/>
  <c r="AQ697" i="45"/>
  <c r="AQ695" i="45" s="1"/>
  <c r="AU701" i="45"/>
  <c r="AU700" i="45"/>
  <c r="AU699" i="45"/>
  <c r="AU698" i="45"/>
  <c r="AU697" i="45"/>
  <c r="AU695" i="45" s="1"/>
  <c r="BC701" i="45"/>
  <c r="BC700" i="45"/>
  <c r="BC699" i="45"/>
  <c r="BC698" i="45"/>
  <c r="BC697" i="45"/>
  <c r="BC695" i="45" s="1"/>
  <c r="AP687" i="45"/>
  <c r="AP686" i="45"/>
  <c r="AP685" i="45"/>
  <c r="AP684" i="45"/>
  <c r="AP683" i="45"/>
  <c r="AP681" i="45" s="1"/>
  <c r="AT687" i="45"/>
  <c r="AT686" i="45"/>
  <c r="AT685" i="45"/>
  <c r="AT684" i="45"/>
  <c r="AT683" i="45"/>
  <c r="AT681" i="45" s="1"/>
  <c r="AX687" i="45"/>
  <c r="AX686" i="45"/>
  <c r="AX685" i="45"/>
  <c r="AX684" i="45"/>
  <c r="AX683" i="45"/>
  <c r="AX681" i="45" s="1"/>
  <c r="BB687" i="45"/>
  <c r="BB686" i="45"/>
  <c r="BB685" i="45"/>
  <c r="BB684" i="45"/>
  <c r="BB683" i="45"/>
  <c r="BB681" i="45" s="1"/>
  <c r="BF687" i="45"/>
  <c r="BF686" i="45"/>
  <c r="BF685" i="45"/>
  <c r="BF684" i="45"/>
  <c r="BF683" i="45"/>
  <c r="BF681" i="45" s="1"/>
  <c r="BJ687" i="45"/>
  <c r="BJ686" i="45"/>
  <c r="BJ685" i="45"/>
  <c r="BJ684" i="45"/>
  <c r="BJ683" i="45"/>
  <c r="BJ681" i="45" s="1"/>
  <c r="AK701" i="45"/>
  <c r="AK700" i="45"/>
  <c r="AK699" i="45"/>
  <c r="AK698" i="45"/>
  <c r="AK697" i="45"/>
  <c r="AK695" i="45" s="1"/>
  <c r="AK383" i="45"/>
  <c r="AK384" i="45" s="1"/>
  <c r="AK266" i="45" s="1"/>
  <c r="AK415" i="45" s="1"/>
  <c r="BK383" i="45"/>
  <c r="BK384" i="45" s="1"/>
  <c r="BK266" i="45" s="1"/>
  <c r="BK415" i="45" s="1"/>
  <c r="BD338" i="45"/>
  <c r="AY339" i="45"/>
  <c r="AY296" i="45"/>
  <c r="AR338" i="45"/>
  <c r="AM339" i="45"/>
  <c r="AM335" i="45" s="1"/>
  <c r="AI339" i="45"/>
  <c r="AI296" i="45"/>
  <c r="C242" i="46"/>
  <c r="D242" i="46" s="1"/>
  <c r="D241" i="46"/>
  <c r="M187" i="46"/>
  <c r="M188" i="46" s="1"/>
  <c r="M192" i="46"/>
  <c r="L204" i="46"/>
  <c r="L205" i="46" s="1"/>
  <c r="L209" i="46"/>
  <c r="L226" i="46"/>
  <c r="F275" i="45"/>
  <c r="N697" i="45"/>
  <c r="N695" i="45" s="1"/>
  <c r="N700" i="45"/>
  <c r="N701" i="45"/>
  <c r="N699" i="45"/>
  <c r="N698" i="45"/>
  <c r="AD697" i="45"/>
  <c r="AD695" i="45" s="1"/>
  <c r="AD700" i="45"/>
  <c r="AD701" i="45"/>
  <c r="AD699" i="45"/>
  <c r="AD698" i="45"/>
  <c r="K248" i="45"/>
  <c r="K83" i="45"/>
  <c r="G59" i="12"/>
  <c r="N175" i="46"/>
  <c r="N192" i="46"/>
  <c r="BI339" i="45"/>
  <c r="BI296" i="45"/>
  <c r="BE338" i="45"/>
  <c r="BE296" i="45"/>
  <c r="BA338" i="45"/>
  <c r="AS338" i="45"/>
  <c r="AG339" i="45"/>
  <c r="AG296" i="45"/>
  <c r="BG383" i="45"/>
  <c r="BG384" i="45" s="1"/>
  <c r="BG266" i="45" s="1"/>
  <c r="BG415" i="45" s="1"/>
  <c r="AY384" i="45"/>
  <c r="AY266" i="45" s="1"/>
  <c r="AY415" i="45"/>
  <c r="O12" i="2"/>
  <c r="Y165" i="45" s="1"/>
  <c r="BK36" i="45"/>
  <c r="F697" i="45"/>
  <c r="F695" i="45" s="1"/>
  <c r="F700" i="45"/>
  <c r="F699" i="45"/>
  <c r="V697" i="45"/>
  <c r="V695" i="45" s="1"/>
  <c r="V700" i="45"/>
  <c r="V699" i="45"/>
  <c r="B51" i="28"/>
  <c r="B114" i="28" s="1"/>
  <c r="L136" i="46"/>
  <c r="L158" i="46"/>
  <c r="H230" i="45"/>
  <c r="G276" i="45"/>
  <c r="G273" i="45"/>
  <c r="G275" i="45"/>
  <c r="G77" i="45"/>
  <c r="H41" i="45"/>
  <c r="K43" i="4"/>
  <c r="G117" i="4"/>
  <c r="N160" i="45"/>
  <c r="N188" i="46"/>
  <c r="B76" i="28"/>
  <c r="L222" i="46"/>
  <c r="M205" i="46"/>
  <c r="M103" i="44"/>
  <c r="M85" i="44" s="1"/>
  <c r="AI335" i="45"/>
  <c r="G247" i="45"/>
  <c r="L137" i="46"/>
  <c r="AG335" i="45"/>
  <c r="K300" i="45"/>
  <c r="K87" i="45"/>
  <c r="N95" i="44"/>
  <c r="K89" i="45"/>
  <c r="K251" i="45" s="1"/>
  <c r="BK35" i="45"/>
  <c r="X353" i="45"/>
  <c r="X355" i="45" s="1"/>
  <c r="X79" i="45" s="1"/>
  <c r="X78" i="45" s="1"/>
  <c r="X181" i="45" s="1"/>
  <c r="J23" i="12"/>
  <c r="N80" i="44"/>
  <c r="N92" i="44"/>
  <c r="N82" i="44"/>
  <c r="J87" i="28"/>
  <c r="N90" i="44"/>
  <c r="N74" i="1"/>
  <c r="BK105" i="45"/>
  <c r="BK104" i="45" s="1"/>
  <c r="BK88" i="45" s="1"/>
  <c r="BK509" i="45" s="1"/>
  <c r="N92" i="1"/>
  <c r="N61" i="2"/>
  <c r="N11" i="2" s="1"/>
  <c r="X164" i="45" s="1"/>
  <c r="X162" i="45" s="1"/>
  <c r="X159" i="45"/>
  <c r="X31" i="12"/>
  <c r="N103" i="44"/>
  <c r="F135" i="46"/>
  <c r="U697" i="45"/>
  <c r="U695" i="45"/>
  <c r="I697" i="45"/>
  <c r="I695" i="45"/>
  <c r="H45" i="28"/>
  <c r="C14" i="6"/>
  <c r="C81" i="2"/>
  <c r="C13" i="2" s="1"/>
  <c r="E41" i="3"/>
  <c r="G29" i="3"/>
  <c r="G81" i="3"/>
  <c r="I50" i="3"/>
  <c r="E45" i="28"/>
  <c r="F46" i="28"/>
  <c r="D49" i="28"/>
  <c r="F96" i="28"/>
  <c r="F580" i="45"/>
  <c r="F582" i="45"/>
  <c r="Q151" i="46"/>
  <c r="J157" i="46"/>
  <c r="G46" i="46"/>
  <c r="E141" i="46"/>
  <c r="U700" i="45"/>
  <c r="I700" i="45"/>
  <c r="D44" i="26"/>
  <c r="D47" i="26" s="1"/>
  <c r="D54" i="26" s="1"/>
  <c r="J528" i="45"/>
  <c r="J549" i="45"/>
  <c r="O151" i="46"/>
  <c r="M152" i="46"/>
  <c r="M157" i="46"/>
  <c r="I152" i="46"/>
  <c r="I157" i="46"/>
  <c r="E157" i="46"/>
  <c r="E152" i="46"/>
  <c r="C53" i="3"/>
  <c r="C83" i="3"/>
  <c r="D43" i="26"/>
  <c r="C16" i="6"/>
  <c r="G41" i="3"/>
  <c r="C45" i="28"/>
  <c r="C46" i="28"/>
  <c r="D32" i="28"/>
  <c r="C96" i="28"/>
  <c r="F13" i="28"/>
  <c r="D12" i="26"/>
  <c r="E13" i="26" s="1"/>
  <c r="N580" i="45"/>
  <c r="E204" i="46"/>
  <c r="E205" i="46" s="1"/>
  <c r="E209" i="46"/>
  <c r="F73" i="3"/>
  <c r="E53" i="3"/>
  <c r="E83" i="3"/>
  <c r="E44" i="4" s="1"/>
  <c r="J53" i="3"/>
  <c r="Z528" i="45"/>
  <c r="Z549" i="45"/>
  <c r="R528" i="45"/>
  <c r="R549" i="45"/>
  <c r="K120" i="45"/>
  <c r="K337" i="45"/>
  <c r="L338" i="45" s="1"/>
  <c r="J174" i="46"/>
  <c r="J170" i="46"/>
  <c r="J169" i="46"/>
  <c r="C152" i="46"/>
  <c r="C157" i="46"/>
  <c r="L79" i="46"/>
  <c r="L89" i="46"/>
  <c r="N89" i="46" s="1"/>
  <c r="B16" i="38"/>
  <c r="A21" i="44"/>
  <c r="A35" i="44" s="1"/>
  <c r="Y663" i="45"/>
  <c r="Y666" i="45" s="1"/>
  <c r="Y669" i="45" s="1"/>
  <c r="W663" i="45"/>
  <c r="W666" i="45"/>
  <c r="W669" i="45" s="1"/>
  <c r="N663" i="45"/>
  <c r="N666" i="45" s="1"/>
  <c r="N669" i="45" s="1"/>
  <c r="R573" i="45"/>
  <c r="O580" i="45"/>
  <c r="O582" i="45" s="1"/>
  <c r="K580" i="45"/>
  <c r="K582" i="45" s="1"/>
  <c r="AD550" i="45"/>
  <c r="AD560" i="45" s="1"/>
  <c r="AD582" i="45"/>
  <c r="AB550" i="45"/>
  <c r="AB560" i="45"/>
  <c r="Z550" i="45"/>
  <c r="Z560" i="45"/>
  <c r="X550" i="45"/>
  <c r="X560" i="45"/>
  <c r="V550" i="45"/>
  <c r="V560" i="45"/>
  <c r="V582" i="45" s="1"/>
  <c r="T550" i="45"/>
  <c r="T560" i="45" s="1"/>
  <c r="R550" i="45"/>
  <c r="R560" i="45" s="1"/>
  <c r="R582" i="45" s="1"/>
  <c r="P573" i="45"/>
  <c r="P580" i="45"/>
  <c r="P550" i="45"/>
  <c r="P560" i="45"/>
  <c r="P582" i="45" s="1"/>
  <c r="N550" i="45"/>
  <c r="N560" i="45" s="1"/>
  <c r="N582" i="45" s="1"/>
  <c r="L550" i="45"/>
  <c r="L560" i="45"/>
  <c r="J550" i="45"/>
  <c r="J560" i="45"/>
  <c r="H550" i="45"/>
  <c r="H560" i="45" s="1"/>
  <c r="K549" i="45"/>
  <c r="X549" i="45"/>
  <c r="G447" i="45"/>
  <c r="G482" i="45" s="1"/>
  <c r="F198" i="45"/>
  <c r="G137" i="45"/>
  <c r="F225" i="46"/>
  <c r="F221" i="46" s="1"/>
  <c r="M203" i="46"/>
  <c r="N196" i="46"/>
  <c r="L186" i="46"/>
  <c r="C186" i="46"/>
  <c r="K175" i="46"/>
  <c r="K171" i="46"/>
  <c r="R168" i="46"/>
  <c r="N167" i="46"/>
  <c r="O164" i="46"/>
  <c r="O147" i="46"/>
  <c r="O138" i="46"/>
  <c r="B111" i="46"/>
  <c r="D111" i="46"/>
  <c r="F108" i="46"/>
  <c r="P111" i="46"/>
  <c r="H81" i="46"/>
  <c r="H79" i="46" s="1"/>
  <c r="D81" i="46"/>
  <c r="D79" i="46" s="1"/>
  <c r="N79" i="46"/>
  <c r="N113" i="46" s="1"/>
  <c r="J78" i="46"/>
  <c r="G45" i="46"/>
  <c r="P29" i="46"/>
  <c r="O22" i="46"/>
  <c r="AC694" i="45"/>
  <c r="T694" i="45"/>
  <c r="AC693" i="45"/>
  <c r="Y690" i="45"/>
  <c r="Y688" i="45"/>
  <c r="X663" i="45"/>
  <c r="X666" i="45"/>
  <c r="X669" i="45" s="1"/>
  <c r="T663" i="45"/>
  <c r="T666" i="45" s="1"/>
  <c r="T669" i="45" s="1"/>
  <c r="M663" i="45"/>
  <c r="M666" i="45"/>
  <c r="M669" i="45" s="1"/>
  <c r="J663" i="45"/>
  <c r="J666" i="45" s="1"/>
  <c r="J669" i="45" s="1"/>
  <c r="V580" i="45"/>
  <c r="R580" i="45"/>
  <c r="I573" i="45"/>
  <c r="J447" i="45"/>
  <c r="J482" i="45" s="1"/>
  <c r="J614" i="45" s="1"/>
  <c r="J631" i="45"/>
  <c r="F447" i="45"/>
  <c r="F482" i="45"/>
  <c r="F485" i="45" s="1"/>
  <c r="J143" i="45"/>
  <c r="J153" i="45" s="1"/>
  <c r="I326" i="45"/>
  <c r="I339" i="45"/>
  <c r="L220" i="46"/>
  <c r="M175" i="46"/>
  <c r="F78" i="46"/>
  <c r="N16" i="46"/>
  <c r="AK44" i="45"/>
  <c r="AK43" i="45" s="1"/>
  <c r="J690" i="45"/>
  <c r="J688" i="45" s="1"/>
  <c r="J580" i="45"/>
  <c r="M545" i="45"/>
  <c r="M549" i="45"/>
  <c r="L326" i="45"/>
  <c r="K166" i="45"/>
  <c r="J158" i="45"/>
  <c r="K326" i="45"/>
  <c r="K296" i="45" s="1"/>
  <c r="K38" i="45"/>
  <c r="J220" i="46"/>
  <c r="B220" i="46"/>
  <c r="G208" i="46"/>
  <c r="I203" i="46"/>
  <c r="L188" i="46"/>
  <c r="J186" i="46"/>
  <c r="F186" i="46"/>
  <c r="M169" i="46"/>
  <c r="Q168" i="46"/>
  <c r="P168" i="46"/>
  <c r="N162" i="46"/>
  <c r="L108" i="46"/>
  <c r="G44" i="46"/>
  <c r="J43" i="46"/>
  <c r="D42" i="46"/>
  <c r="F39" i="46"/>
  <c r="H39" i="46"/>
  <c r="O20" i="46"/>
  <c r="R113" i="45"/>
  <c r="U113" i="45"/>
  <c r="AB580" i="45"/>
  <c r="C169" i="46"/>
  <c r="R151" i="46"/>
  <c r="P151" i="46"/>
  <c r="R134" i="46"/>
  <c r="BA198" i="45"/>
  <c r="AI332" i="45"/>
  <c r="AI137" i="45"/>
  <c r="AJ204" i="45"/>
  <c r="BH332" i="45"/>
  <c r="BH333" i="45"/>
  <c r="BH153" i="45"/>
  <c r="BJ173" i="45"/>
  <c r="BJ334" i="45" s="1"/>
  <c r="BJ299" i="45"/>
  <c r="AG184" i="45"/>
  <c r="AQ184" i="45"/>
  <c r="BB184" i="45"/>
  <c r="AL329" i="45"/>
  <c r="AP189" i="45"/>
  <c r="AP184" i="45" s="1"/>
  <c r="AO189" i="45"/>
  <c r="AO184" i="45"/>
  <c r="BC329" i="45"/>
  <c r="BI329" i="45"/>
  <c r="AG332" i="45"/>
  <c r="AG153" i="45"/>
  <c r="AR339" i="45"/>
  <c r="AQ198" i="45"/>
  <c r="AW198" i="45"/>
  <c r="BE198" i="45"/>
  <c r="AI184" i="45"/>
  <c r="AY402" i="45"/>
  <c r="BH189" i="45"/>
  <c r="BH184" i="45" s="1"/>
  <c r="BG189" i="45"/>
  <c r="BG184" i="45" s="1"/>
  <c r="BJ329" i="45"/>
  <c r="BJ401" i="45" s="1"/>
  <c r="BJ402" i="45"/>
  <c r="AH137" i="45"/>
  <c r="AH141" i="45"/>
  <c r="AH325" i="45"/>
  <c r="AH326" i="45"/>
  <c r="AY153" i="45"/>
  <c r="AY332" i="45"/>
  <c r="AS326" i="45"/>
  <c r="AX189" i="45"/>
  <c r="AY189" i="45"/>
  <c r="AG329" i="45"/>
  <c r="AG401" i="45"/>
  <c r="AF190" i="45"/>
  <c r="AF184" i="45"/>
  <c r="AF166" i="45"/>
  <c r="AO332" i="45"/>
  <c r="AO153" i="45"/>
  <c r="AO175" i="45"/>
  <c r="AO176" i="45" s="1"/>
  <c r="AL694" i="45"/>
  <c r="AL692" i="45"/>
  <c r="AL701" i="45"/>
  <c r="AL693" i="45"/>
  <c r="AL690" i="45"/>
  <c r="AL688" i="45" s="1"/>
  <c r="AL691" i="45"/>
  <c r="BG692" i="45"/>
  <c r="BG690" i="45"/>
  <c r="BG688" i="45" s="1"/>
  <c r="BG691" i="45"/>
  <c r="BG694" i="45"/>
  <c r="BG693" i="45"/>
  <c r="I12" i="28"/>
  <c r="I189" i="28" s="1"/>
  <c r="J9" i="28"/>
  <c r="AI402" i="45"/>
  <c r="AJ325" i="45"/>
  <c r="AJ326" i="45"/>
  <c r="AP325" i="45"/>
  <c r="AP326" i="45"/>
  <c r="AP329" i="45" s="1"/>
  <c r="AX325" i="45"/>
  <c r="AX326" i="45" s="1"/>
  <c r="AX329" i="45" s="1"/>
  <c r="AH143" i="45"/>
  <c r="AH153" i="45" s="1"/>
  <c r="AH175" i="45" s="1"/>
  <c r="AL137" i="45"/>
  <c r="AL382" i="45"/>
  <c r="AL166" i="45"/>
  <c r="AP143" i="45"/>
  <c r="AS166" i="45"/>
  <c r="AS299" i="45" s="1"/>
  <c r="AW137" i="45"/>
  <c r="AW141" i="45"/>
  <c r="AY204" i="45"/>
  <c r="AZ137" i="45"/>
  <c r="AY166" i="45"/>
  <c r="BB137" i="45"/>
  <c r="BB141" i="45" s="1"/>
  <c r="BB166" i="45"/>
  <c r="BI143" i="45"/>
  <c r="BI153" i="45" s="1"/>
  <c r="BJ143" i="45"/>
  <c r="BJ332" i="45"/>
  <c r="AI573" i="45"/>
  <c r="AI580" i="45" s="1"/>
  <c r="AL580" i="45"/>
  <c r="AL582" i="45" s="1"/>
  <c r="AQ550" i="45"/>
  <c r="AQ560" i="45" s="1"/>
  <c r="AQ582" i="45"/>
  <c r="AV550" i="45"/>
  <c r="AV560" i="45"/>
  <c r="AZ573" i="45"/>
  <c r="AZ580" i="45"/>
  <c r="BC580" i="45"/>
  <c r="BC582" i="45"/>
  <c r="BE573" i="45"/>
  <c r="BE580" i="45"/>
  <c r="BE582" i="45" s="1"/>
  <c r="BG550" i="45"/>
  <c r="BG560" i="45" s="1"/>
  <c r="AU663" i="45"/>
  <c r="AU666" i="45" s="1"/>
  <c r="AU669" i="45" s="1"/>
  <c r="AF700" i="45"/>
  <c r="AF699" i="45"/>
  <c r="AF698" i="45"/>
  <c r="AF697" i="45"/>
  <c r="AF695" i="45" s="1"/>
  <c r="AF701" i="45"/>
  <c r="AJ693" i="45"/>
  <c r="AJ694" i="45"/>
  <c r="AJ690" i="45"/>
  <c r="AJ688" i="45"/>
  <c r="AW692" i="45"/>
  <c r="AW701" i="45"/>
  <c r="AW694" i="45"/>
  <c r="AW690" i="45"/>
  <c r="AW688" i="45" s="1"/>
  <c r="BB692" i="45"/>
  <c r="BB694" i="45"/>
  <c r="BB690" i="45"/>
  <c r="BB688" i="45"/>
  <c r="BB691" i="45"/>
  <c r="BH700" i="45"/>
  <c r="BH701" i="45"/>
  <c r="AL332" i="45"/>
  <c r="AM333" i="45" s="1"/>
  <c r="AJ184" i="45"/>
  <c r="AK187" i="45"/>
  <c r="AM190" i="45"/>
  <c r="AM184" i="45" s="1"/>
  <c r="AN187" i="45"/>
  <c r="AN184" i="45" s="1"/>
  <c r="AR184" i="45"/>
  <c r="AS191" i="45"/>
  <c r="AS184" i="45"/>
  <c r="AV187" i="45"/>
  <c r="AV184" i="45"/>
  <c r="BC190" i="45"/>
  <c r="BD190" i="45"/>
  <c r="BE187" i="45"/>
  <c r="BE184" i="45"/>
  <c r="BI187" i="45"/>
  <c r="BI184" i="45"/>
  <c r="AF329" i="45"/>
  <c r="AJ329" i="45"/>
  <c r="AR329" i="45"/>
  <c r="AR297" i="45"/>
  <c r="AW325" i="45"/>
  <c r="AW326" i="45"/>
  <c r="AW296" i="45" s="1"/>
  <c r="BF325" i="45"/>
  <c r="AG137" i="45"/>
  <c r="AM137" i="45"/>
  <c r="AN204" i="45"/>
  <c r="AO137" i="45"/>
  <c r="AN166" i="45"/>
  <c r="AN299" i="45" s="1"/>
  <c r="AT137" i="45"/>
  <c r="AT204" i="45" s="1"/>
  <c r="AU143" i="45"/>
  <c r="AU153" i="45"/>
  <c r="AW143" i="45"/>
  <c r="AX143" i="45"/>
  <c r="AX332" i="45" s="1"/>
  <c r="AY333" i="45" s="1"/>
  <c r="BC137" i="45"/>
  <c r="BE137" i="45"/>
  <c r="BF204" i="45"/>
  <c r="BD166" i="45"/>
  <c r="BG166" i="45"/>
  <c r="BG173" i="45" s="1"/>
  <c r="BG334" i="45" s="1"/>
  <c r="BG341" i="45" s="1"/>
  <c r="BH166" i="45"/>
  <c r="AG545" i="45"/>
  <c r="AG549" i="45" s="1"/>
  <c r="AK545" i="45"/>
  <c r="AK549" i="45" s="1"/>
  <c r="AP545" i="45"/>
  <c r="AP549" i="45" s="1"/>
  <c r="AT545" i="45"/>
  <c r="AT549" i="45" s="1"/>
  <c r="AX545" i="45"/>
  <c r="AX549" i="45" s="1"/>
  <c r="BB545" i="45"/>
  <c r="BB549" i="45" s="1"/>
  <c r="BF545" i="45"/>
  <c r="BF549" i="45" s="1"/>
  <c r="BJ545" i="45"/>
  <c r="BJ549" i="45" s="1"/>
  <c r="AI550" i="45"/>
  <c r="AI560" i="45" s="1"/>
  <c r="AI582" i="45"/>
  <c r="AQ580" i="45"/>
  <c r="AS573" i="45"/>
  <c r="AS580" i="45" s="1"/>
  <c r="AS582" i="45" s="1"/>
  <c r="AU550" i="45"/>
  <c r="AU560" i="45"/>
  <c r="AU582" i="45" s="1"/>
  <c r="AZ550" i="45"/>
  <c r="AZ560" i="45"/>
  <c r="AZ582" i="45" s="1"/>
  <c r="BD573" i="45"/>
  <c r="BD580" i="45" s="1"/>
  <c r="BG580" i="45"/>
  <c r="BI573" i="45"/>
  <c r="BI580" i="45"/>
  <c r="BI582" i="45" s="1"/>
  <c r="BK550" i="45"/>
  <c r="BK560" i="45" s="1"/>
  <c r="AG694" i="45"/>
  <c r="AG690" i="45"/>
  <c r="AG688" i="45"/>
  <c r="AG691" i="45"/>
  <c r="BI692" i="45"/>
  <c r="BI694" i="45"/>
  <c r="BI693" i="45"/>
  <c r="BI690" i="45"/>
  <c r="BI688" i="45"/>
  <c r="AZ332" i="45"/>
  <c r="AZ333" i="45"/>
  <c r="AH184" i="45"/>
  <c r="AK190" i="45"/>
  <c r="AT187" i="45"/>
  <c r="AY187" i="45"/>
  <c r="BA190" i="45"/>
  <c r="BA184" i="45" s="1"/>
  <c r="BF187" i="45"/>
  <c r="BF184" i="45" s="1"/>
  <c r="AV324" i="45"/>
  <c r="AV326" i="45" s="1"/>
  <c r="AZ325" i="45"/>
  <c r="AZ326" i="45" s="1"/>
  <c r="AZ329" i="45" s="1"/>
  <c r="AZ339" i="45"/>
  <c r="BA325" i="45"/>
  <c r="BA326" i="45"/>
  <c r="BB325" i="45"/>
  <c r="BB326" i="45"/>
  <c r="BB329" i="45" s="1"/>
  <c r="BE402" i="45"/>
  <c r="BF326" i="45"/>
  <c r="BF339" i="45" s="1"/>
  <c r="BF340" i="45" s="1"/>
  <c r="BK325" i="45"/>
  <c r="BK326" i="45" s="1"/>
  <c r="BK296" i="45" s="1"/>
  <c r="AR137" i="45"/>
  <c r="AR143" i="45"/>
  <c r="AU137" i="45"/>
  <c r="AU141" i="45" s="1"/>
  <c r="AT166" i="45"/>
  <c r="AT173" i="45"/>
  <c r="AV166" i="45"/>
  <c r="AV143" i="45"/>
  <c r="AW166" i="45"/>
  <c r="BC143" i="45"/>
  <c r="BC153" i="45"/>
  <c r="BE166" i="45"/>
  <c r="BE335" i="45"/>
  <c r="BH137" i="45"/>
  <c r="BH141" i="45"/>
  <c r="BJ137" i="45"/>
  <c r="BJ141" i="45"/>
  <c r="AF573" i="45"/>
  <c r="AF580" i="45"/>
  <c r="AF582" i="45" s="1"/>
  <c r="AH550" i="45"/>
  <c r="AH560" i="45" s="1"/>
  <c r="AR573" i="45"/>
  <c r="AR580" i="45" s="1"/>
  <c r="AR582" i="45"/>
  <c r="AU580" i="45"/>
  <c r="AW573" i="45"/>
  <c r="AW580" i="45" s="1"/>
  <c r="AW582" i="45" s="1"/>
  <c r="AY550" i="45"/>
  <c r="AY560" i="45"/>
  <c r="AY582" i="45" s="1"/>
  <c r="BD550" i="45"/>
  <c r="BD560" i="45" s="1"/>
  <c r="BD582" i="45" s="1"/>
  <c r="BH573" i="45"/>
  <c r="BH580" i="45"/>
  <c r="BH582" i="45" s="1"/>
  <c r="BK580" i="45"/>
  <c r="AJ691" i="45"/>
  <c r="AP700" i="45"/>
  <c r="AP699" i="45"/>
  <c r="AP698" i="45"/>
  <c r="AP697" i="45"/>
  <c r="AP695" i="45"/>
  <c r="AM699" i="45"/>
  <c r="AM700" i="45"/>
  <c r="AM697" i="45"/>
  <c r="AM695" i="45"/>
  <c r="AM701" i="45"/>
  <c r="AM698" i="45"/>
  <c r="AL663" i="45"/>
  <c r="AL666" i="45"/>
  <c r="AL669" i="45" s="1"/>
  <c r="AY663" i="45"/>
  <c r="AY666" i="45" s="1"/>
  <c r="AY669" i="45"/>
  <c r="BK663" i="45"/>
  <c r="BK666" i="45"/>
  <c r="BK669" i="45" s="1"/>
  <c r="AF690" i="45"/>
  <c r="AF688" i="45" s="1"/>
  <c r="AO690" i="45"/>
  <c r="AO688" i="45" s="1"/>
  <c r="BA690" i="45"/>
  <c r="BA688" i="45" s="1"/>
  <c r="AT691" i="45"/>
  <c r="BF691" i="45"/>
  <c r="AI693" i="45"/>
  <c r="AO693" i="45"/>
  <c r="AT693" i="45"/>
  <c r="BK693" i="45"/>
  <c r="BA694" i="45"/>
  <c r="BK694" i="45"/>
  <c r="AQ496" i="45"/>
  <c r="AQ499" i="45" s="1"/>
  <c r="AQ505" i="45" s="1"/>
  <c r="AU496" i="45"/>
  <c r="AU499" i="45" s="1"/>
  <c r="AU505" i="45"/>
  <c r="AY496" i="45"/>
  <c r="AY499" i="45"/>
  <c r="AY505" i="45" s="1"/>
  <c r="BG496" i="45"/>
  <c r="BG499" i="45" s="1"/>
  <c r="BG505" i="45"/>
  <c r="AF516" i="45"/>
  <c r="N148" i="2"/>
  <c r="N149" i="2" s="1"/>
  <c r="N24" i="2" s="1"/>
  <c r="AM580" i="45"/>
  <c r="AM582" i="45"/>
  <c r="AJ663" i="45"/>
  <c r="AJ666" i="45"/>
  <c r="AJ669" i="45" s="1"/>
  <c r="AQ663" i="45"/>
  <c r="AQ666" i="45" s="1"/>
  <c r="AQ669" i="45"/>
  <c r="AV663" i="45"/>
  <c r="AV666" i="45"/>
  <c r="AV669" i="45" s="1"/>
  <c r="AV685" i="45" s="1"/>
  <c r="BG663" i="45"/>
  <c r="BG666" i="45" s="1"/>
  <c r="BG669" i="45"/>
  <c r="AT690" i="45"/>
  <c r="AT688" i="45"/>
  <c r="BF690" i="45"/>
  <c r="BF688" i="45"/>
  <c r="AH691" i="45"/>
  <c r="AU691" i="45"/>
  <c r="AY691" i="45"/>
  <c r="BK691" i="45"/>
  <c r="AP693" i="45"/>
  <c r="AU693" i="45"/>
  <c r="AY693" i="45"/>
  <c r="BD693" i="45"/>
  <c r="BH693" i="45"/>
  <c r="AF694" i="45"/>
  <c r="BH694" i="45"/>
  <c r="BF692" i="45"/>
  <c r="K51" i="44"/>
  <c r="J73" i="44"/>
  <c r="J69" i="44" s="1"/>
  <c r="AM690" i="45"/>
  <c r="AM688" i="45"/>
  <c r="AM693" i="45"/>
  <c r="AM694" i="45"/>
  <c r="AM691" i="45"/>
  <c r="N78" i="44"/>
  <c r="J84" i="28" s="1"/>
  <c r="Q81" i="44"/>
  <c r="J96" i="44"/>
  <c r="J87" i="44"/>
  <c r="I31" i="28"/>
  <c r="J30" i="28"/>
  <c r="AP447" i="45"/>
  <c r="AP482" i="45" s="1"/>
  <c r="AP485" i="45" s="1"/>
  <c r="AP487" i="45" s="1"/>
  <c r="AP491" i="45" s="1"/>
  <c r="AT447" i="45"/>
  <c r="AT482" i="45" s="1"/>
  <c r="AT485" i="45"/>
  <c r="AT487" i="45" s="1"/>
  <c r="AT491" i="45" s="1"/>
  <c r="AX447" i="45"/>
  <c r="AX482" i="45" s="1"/>
  <c r="AX485" i="45"/>
  <c r="AX487" i="45" s="1"/>
  <c r="AX491" i="45" s="1"/>
  <c r="BB447" i="45"/>
  <c r="BB482" i="45"/>
  <c r="BB485" i="45" s="1"/>
  <c r="BB487" i="45"/>
  <c r="BB491" i="45" s="1"/>
  <c r="BB496" i="45" s="1"/>
  <c r="BF447" i="45"/>
  <c r="BF482" i="45"/>
  <c r="BF485" i="45" s="1"/>
  <c r="BF487" i="45"/>
  <c r="BF491" i="45" s="1"/>
  <c r="BF590" i="45" s="1"/>
  <c r="BJ447" i="45"/>
  <c r="BJ482" i="45"/>
  <c r="BJ485" i="45" s="1"/>
  <c r="BJ487" i="45"/>
  <c r="BJ491" i="45" s="1"/>
  <c r="BJ496" i="45" s="1"/>
  <c r="BJ499" i="45" s="1"/>
  <c r="BJ505" i="45" s="1"/>
  <c r="BK447" i="45"/>
  <c r="BK482" i="45"/>
  <c r="BK485" i="45" s="1"/>
  <c r="BK487" i="45" s="1"/>
  <c r="BK491" i="45" s="1"/>
  <c r="M50" i="3"/>
  <c r="AS447" i="45"/>
  <c r="AS482" i="45"/>
  <c r="AS485" i="45" s="1"/>
  <c r="AS487" i="45" s="1"/>
  <c r="AS491" i="45" s="1"/>
  <c r="AW447" i="45"/>
  <c r="AW482" i="45" s="1"/>
  <c r="AW485" i="45" s="1"/>
  <c r="AW487" i="45" s="1"/>
  <c r="AW491" i="45" s="1"/>
  <c r="BA447" i="45"/>
  <c r="BA482" i="45" s="1"/>
  <c r="BA485" i="45"/>
  <c r="BA487" i="45" s="1"/>
  <c r="BA491" i="45" s="1"/>
  <c r="BE447" i="45"/>
  <c r="BE482" i="45" s="1"/>
  <c r="BE485" i="45" s="1"/>
  <c r="BE487" i="45" s="1"/>
  <c r="BE491" i="45" s="1"/>
  <c r="BI447" i="45"/>
  <c r="BI482" i="45"/>
  <c r="BI485" i="45" s="1"/>
  <c r="BI487" i="45" s="1"/>
  <c r="BI491" i="45" s="1"/>
  <c r="AM549" i="45"/>
  <c r="AR447" i="45"/>
  <c r="AR482" i="45"/>
  <c r="AR485" i="45" s="1"/>
  <c r="AR487" i="45" s="1"/>
  <c r="AR491" i="45" s="1"/>
  <c r="AV447" i="45"/>
  <c r="AV482" i="45"/>
  <c r="AV485" i="45" s="1"/>
  <c r="AV487" i="45" s="1"/>
  <c r="AV491" i="45" s="1"/>
  <c r="AZ447" i="45"/>
  <c r="AZ482" i="45"/>
  <c r="AZ485" i="45" s="1"/>
  <c r="AZ487" i="45" s="1"/>
  <c r="AZ491" i="45" s="1"/>
  <c r="BD447" i="45"/>
  <c r="BD482" i="45"/>
  <c r="BD485" i="45" s="1"/>
  <c r="BD487" i="45" s="1"/>
  <c r="BD491" i="45" s="1"/>
  <c r="BH447" i="45"/>
  <c r="BH482" i="45"/>
  <c r="BH485" i="45" s="1"/>
  <c r="BH487" i="45"/>
  <c r="BH491" i="45" s="1"/>
  <c r="BH496" i="45" s="1"/>
  <c r="L50" i="3"/>
  <c r="M29" i="3"/>
  <c r="E87" i="44"/>
  <c r="I17" i="44"/>
  <c r="D56" i="3"/>
  <c r="D85" i="3" s="1"/>
  <c r="H602" i="45"/>
  <c r="W160" i="45"/>
  <c r="C56" i="3"/>
  <c r="C68" i="28"/>
  <c r="D46" i="28"/>
  <c r="U139" i="45"/>
  <c r="U138" i="45" s="1"/>
  <c r="U28" i="12"/>
  <c r="O131" i="45"/>
  <c r="O130" i="45"/>
  <c r="O137" i="45" s="1"/>
  <c r="B46" i="46"/>
  <c r="D46" i="46" s="1"/>
  <c r="F153" i="46"/>
  <c r="E275" i="46"/>
  <c r="F275" i="46"/>
  <c r="I73" i="3"/>
  <c r="E72" i="3"/>
  <c r="E73" i="3" s="1"/>
  <c r="G71" i="3"/>
  <c r="G73" i="3" s="1"/>
  <c r="C13" i="28"/>
  <c r="AB694" i="45"/>
  <c r="U694" i="45"/>
  <c r="P694" i="45"/>
  <c r="I694" i="45"/>
  <c r="AB693" i="45"/>
  <c r="I693" i="45"/>
  <c r="Q691" i="45"/>
  <c r="Z573" i="45"/>
  <c r="Z580" i="45" s="1"/>
  <c r="U573" i="45"/>
  <c r="AA580" i="45"/>
  <c r="W580" i="45"/>
  <c r="S580" i="45"/>
  <c r="M580" i="45"/>
  <c r="I580" i="45"/>
  <c r="H332" i="45"/>
  <c r="H333" i="45" s="1"/>
  <c r="H153" i="45"/>
  <c r="F188" i="46"/>
  <c r="AF44" i="45"/>
  <c r="AF43" i="45" s="1"/>
  <c r="E274" i="46"/>
  <c r="U580" i="45"/>
  <c r="U582" i="45" s="1"/>
  <c r="L693" i="45"/>
  <c r="J332" i="45"/>
  <c r="D187" i="46"/>
  <c r="R111" i="46"/>
  <c r="M109" i="46"/>
  <c r="M137" i="46"/>
  <c r="Q693" i="45"/>
  <c r="J693" i="45"/>
  <c r="J692" i="45"/>
  <c r="AC573" i="45"/>
  <c r="AC580" i="45" s="1"/>
  <c r="AC582" i="45" s="1"/>
  <c r="AA582" i="45"/>
  <c r="W582" i="45"/>
  <c r="S582" i="45"/>
  <c r="M582" i="45"/>
  <c r="I582" i="45"/>
  <c r="AA528" i="45"/>
  <c r="AA549" i="45"/>
  <c r="S528" i="45"/>
  <c r="S549" i="45"/>
  <c r="D174" i="46"/>
  <c r="D186" i="46"/>
  <c r="O134" i="46"/>
  <c r="B140" i="46"/>
  <c r="B141" i="46" s="1"/>
  <c r="C109" i="46"/>
  <c r="O111" i="46"/>
  <c r="D24" i="38"/>
  <c r="D274" i="46"/>
  <c r="Z470" i="45"/>
  <c r="D276" i="46"/>
  <c r="F276" i="46" s="1"/>
  <c r="BB65" i="45"/>
  <c r="AL204" i="45"/>
  <c r="AM204" i="45"/>
  <c r="BH329" i="45"/>
  <c r="AF153" i="45"/>
  <c r="AF332" i="45"/>
  <c r="AG333" i="45" s="1"/>
  <c r="AI173" i="45"/>
  <c r="AI299" i="45"/>
  <c r="AJ173" i="45"/>
  <c r="AJ299" i="45"/>
  <c r="AN153" i="45"/>
  <c r="AN332" i="45"/>
  <c r="AO333" i="45" s="1"/>
  <c r="AS153" i="45"/>
  <c r="AS332" i="45"/>
  <c r="AT333" i="45"/>
  <c r="AT299" i="45"/>
  <c r="AX299" i="45"/>
  <c r="AX173" i="45"/>
  <c r="AZ173" i="45"/>
  <c r="AZ334" i="45" s="1"/>
  <c r="AZ341" i="45" s="1"/>
  <c r="AZ299" i="45"/>
  <c r="BD153" i="45"/>
  <c r="BD341" i="45" s="1"/>
  <c r="BD332" i="45"/>
  <c r="BE173" i="45"/>
  <c r="BE299" i="45"/>
  <c r="BF153" i="45"/>
  <c r="BF332" i="45"/>
  <c r="BG333" i="45"/>
  <c r="BH382" i="45"/>
  <c r="BH337" i="45"/>
  <c r="BK204" i="45"/>
  <c r="J208" i="46"/>
  <c r="N202" i="46"/>
  <c r="F192" i="46"/>
  <c r="K191" i="46"/>
  <c r="J152" i="46"/>
  <c r="I46" i="46"/>
  <c r="J46" i="46"/>
  <c r="AH337" i="45"/>
  <c r="AH382" i="45"/>
  <c r="AH383" i="45"/>
  <c r="AH384" i="45" s="1"/>
  <c r="AH332" i="45"/>
  <c r="AI333" i="45" s="1"/>
  <c r="AL173" i="45"/>
  <c r="AL299" i="45"/>
  <c r="AM299" i="45"/>
  <c r="AM173" i="45"/>
  <c r="AP337" i="45"/>
  <c r="AP382" i="45"/>
  <c r="AQ173" i="45"/>
  <c r="AQ334" i="45" s="1"/>
  <c r="AQ299" i="45"/>
  <c r="AS173" i="45"/>
  <c r="AX204" i="45"/>
  <c r="AX337" i="45"/>
  <c r="AX339" i="45" s="1"/>
  <c r="AX382" i="45"/>
  <c r="AZ382" i="45"/>
  <c r="AZ383" i="45" s="1"/>
  <c r="BB204" i="45"/>
  <c r="BC299" i="45"/>
  <c r="BC173" i="45"/>
  <c r="BC334" i="45" s="1"/>
  <c r="BF337" i="45"/>
  <c r="BF382" i="45"/>
  <c r="BI332" i="45"/>
  <c r="BJ333" i="45" s="1"/>
  <c r="BJ153" i="45"/>
  <c r="D278" i="46"/>
  <c r="F278" i="46" s="1"/>
  <c r="N130" i="46"/>
  <c r="N134" i="46" s="1"/>
  <c r="AF401" i="45"/>
  <c r="AF402" i="45" s="1"/>
  <c r="AJ401" i="45"/>
  <c r="AJ402" i="45" s="1"/>
  <c r="AR401" i="45"/>
  <c r="AR402" i="45" s="1"/>
  <c r="AR173" i="45"/>
  <c r="AR334" i="45" s="1"/>
  <c r="AR299" i="45"/>
  <c r="AU332" i="45"/>
  <c r="AU333" i="45" s="1"/>
  <c r="AW332" i="45"/>
  <c r="AX333" i="45"/>
  <c r="AW153" i="45"/>
  <c r="AX153" i="45"/>
  <c r="AX175" i="45" s="1"/>
  <c r="AY299" i="45"/>
  <c r="BF299" i="45"/>
  <c r="BF173" i="45"/>
  <c r="BG299" i="45"/>
  <c r="L192" i="46"/>
  <c r="O70" i="6"/>
  <c r="AO198" i="45"/>
  <c r="BF329" i="45"/>
  <c r="AF337" i="45"/>
  <c r="AF382" i="45"/>
  <c r="AG173" i="45"/>
  <c r="AG175" i="45" s="1"/>
  <c r="AG299" i="45"/>
  <c r="AH299" i="45"/>
  <c r="AH173" i="45"/>
  <c r="AK153" i="45"/>
  <c r="AK332" i="45"/>
  <c r="AL333" i="45"/>
  <c r="AM332" i="45"/>
  <c r="AM153" i="45"/>
  <c r="AO173" i="45"/>
  <c r="AO299" i="45"/>
  <c r="AP299" i="45"/>
  <c r="AP173" i="45"/>
  <c r="AP334" i="45" s="1"/>
  <c r="AR204" i="45"/>
  <c r="AT382" i="45"/>
  <c r="AT337" i="45"/>
  <c r="AU204" i="45"/>
  <c r="AV299" i="45"/>
  <c r="AV173" i="45"/>
  <c r="AV334" i="45" s="1"/>
  <c r="AW173" i="45"/>
  <c r="AW334" i="45" s="1"/>
  <c r="AW341" i="45" s="1"/>
  <c r="AW299" i="45"/>
  <c r="BA153" i="45"/>
  <c r="BA332" i="45"/>
  <c r="BC332" i="45"/>
  <c r="BH204" i="45"/>
  <c r="BJ382" i="45"/>
  <c r="BJ383" i="45" s="1"/>
  <c r="BI333" i="45"/>
  <c r="AV701" i="45"/>
  <c r="AV700" i="45"/>
  <c r="AV699" i="45"/>
  <c r="AV698" i="45"/>
  <c r="AV697" i="45"/>
  <c r="AV695" i="45" s="1"/>
  <c r="AT701" i="45"/>
  <c r="AT700" i="45"/>
  <c r="AT699" i="45"/>
  <c r="AT698" i="45"/>
  <c r="AT697" i="45"/>
  <c r="AT695" i="45" s="1"/>
  <c r="AI663" i="45"/>
  <c r="AI666" i="45" s="1"/>
  <c r="AI669" i="45" s="1"/>
  <c r="AR663" i="45"/>
  <c r="AR666" i="45"/>
  <c r="AR669" i="45" s="1"/>
  <c r="AZ663" i="45"/>
  <c r="AZ666" i="45" s="1"/>
  <c r="AZ669" i="45" s="1"/>
  <c r="BD663" i="45"/>
  <c r="BD666" i="45"/>
  <c r="BD669" i="45" s="1"/>
  <c r="BH663" i="45"/>
  <c r="BH666" i="45" s="1"/>
  <c r="BH669" i="45" s="1"/>
  <c r="BB698" i="45"/>
  <c r="AG693" i="45"/>
  <c r="AL697" i="45"/>
  <c r="AL695" i="45" s="1"/>
  <c r="AL698" i="45"/>
  <c r="AL699" i="45"/>
  <c r="AL700" i="45"/>
  <c r="AG692" i="45"/>
  <c r="AJ692" i="45"/>
  <c r="AP701" i="45"/>
  <c r="AS692" i="45"/>
  <c r="BA692" i="45"/>
  <c r="AG516" i="45"/>
  <c r="BH697" i="45"/>
  <c r="BH695" i="45"/>
  <c r="BH698" i="45"/>
  <c r="BH699" i="45"/>
  <c r="O84" i="6"/>
  <c r="E28" i="54"/>
  <c r="I20" i="26"/>
  <c r="I44" i="26"/>
  <c r="H20" i="26"/>
  <c r="Q126" i="1"/>
  <c r="P131" i="1"/>
  <c r="L26" i="12" s="1"/>
  <c r="B36" i="56"/>
  <c r="L10" i="1"/>
  <c r="J22" i="26"/>
  <c r="J46" i="26" s="1"/>
  <c r="P63" i="1"/>
  <c r="Z362" i="45" s="1"/>
  <c r="N161" i="1"/>
  <c r="P83" i="6"/>
  <c r="AM687" i="45"/>
  <c r="AM684" i="45"/>
  <c r="AM685" i="45"/>
  <c r="AM683" i="45"/>
  <c r="AM681" i="45"/>
  <c r="AM686" i="45"/>
  <c r="AI444" i="45"/>
  <c r="AI446" i="45" s="1"/>
  <c r="AL470" i="45"/>
  <c r="I18" i="26"/>
  <c r="K22" i="26"/>
  <c r="K46" i="26" s="1"/>
  <c r="K47" i="26" s="1"/>
  <c r="K18" i="26"/>
  <c r="N41" i="3"/>
  <c r="M96" i="44"/>
  <c r="M87" i="44"/>
  <c r="P74" i="44"/>
  <c r="L51" i="44"/>
  <c r="K73" i="44"/>
  <c r="G87" i="44"/>
  <c r="H87" i="44"/>
  <c r="N54" i="44"/>
  <c r="N66" i="44" s="1"/>
  <c r="C87" i="44"/>
  <c r="D87" i="44"/>
  <c r="L96" i="44"/>
  <c r="L87" i="44"/>
  <c r="I96" i="44"/>
  <c r="I87" i="44"/>
  <c r="K96" i="44"/>
  <c r="K87" i="44"/>
  <c r="H101" i="44"/>
  <c r="N142" i="1"/>
  <c r="N143" i="1" s="1"/>
  <c r="N28" i="1" s="1"/>
  <c r="J18" i="26"/>
  <c r="J23" i="26" s="1"/>
  <c r="J29" i="26" s="1"/>
  <c r="J31" i="26" s="1"/>
  <c r="I101" i="44"/>
  <c r="J101" i="44"/>
  <c r="M108" i="1"/>
  <c r="J165" i="28"/>
  <c r="AW339" i="45"/>
  <c r="AW335" i="45" s="1"/>
  <c r="AV329" i="45"/>
  <c r="BB499" i="45"/>
  <c r="BB505" i="45" s="1"/>
  <c r="I32" i="28"/>
  <c r="I194" i="28" s="1"/>
  <c r="BF699" i="45"/>
  <c r="BF697" i="45"/>
  <c r="BF695" i="45" s="1"/>
  <c r="BF700" i="45"/>
  <c r="AQ687" i="45"/>
  <c r="BK582" i="45"/>
  <c r="BD173" i="45"/>
  <c r="BD299" i="45"/>
  <c r="AO204" i="45"/>
  <c r="AP204" i="45"/>
  <c r="AO141" i="45"/>
  <c r="AO382" i="45"/>
  <c r="BG582" i="45"/>
  <c r="AW382" i="45"/>
  <c r="AW383" i="45"/>
  <c r="AW384" i="45" s="1"/>
  <c r="AW266" i="45" s="1"/>
  <c r="AW415" i="45" s="1"/>
  <c r="AL383" i="45"/>
  <c r="AL141" i="45"/>
  <c r="I55" i="28"/>
  <c r="I13" i="28"/>
  <c r="I190" i="28" s="1"/>
  <c r="J13" i="28"/>
  <c r="J190" i="28" s="1"/>
  <c r="I329" i="45"/>
  <c r="G141" i="45"/>
  <c r="H204" i="45"/>
  <c r="H208" i="45"/>
  <c r="H68" i="28"/>
  <c r="H46" i="28"/>
  <c r="AJ685" i="45"/>
  <c r="AL685" i="45"/>
  <c r="BE382" i="45"/>
  <c r="BE383" i="45" s="1"/>
  <c r="BE384" i="45"/>
  <c r="BE266" i="45" s="1"/>
  <c r="BE415" i="45" s="1"/>
  <c r="AM382" i="45"/>
  <c r="AW697" i="45"/>
  <c r="AW695" i="45" s="1"/>
  <c r="AW700" i="45"/>
  <c r="AW698" i="45"/>
  <c r="AG402" i="45"/>
  <c r="AG297" i="45"/>
  <c r="BC401" i="45"/>
  <c r="BC402" i="45" s="1"/>
  <c r="BC297" i="45"/>
  <c r="AL401" i="45"/>
  <c r="AL402" i="45"/>
  <c r="K329" i="45"/>
  <c r="L296" i="45"/>
  <c r="L339" i="45"/>
  <c r="L335" i="45" s="1"/>
  <c r="L329" i="45"/>
  <c r="L294" i="45"/>
  <c r="AB582" i="45"/>
  <c r="C158" i="46"/>
  <c r="J83" i="3"/>
  <c r="M153" i="46"/>
  <c r="M158" i="46"/>
  <c r="BH499" i="45"/>
  <c r="BH505" i="45" s="1"/>
  <c r="BJ590" i="45"/>
  <c r="N86" i="44"/>
  <c r="N87" i="44" s="1"/>
  <c r="BG685" i="45"/>
  <c r="AU382" i="45"/>
  <c r="AU383" i="45" s="1"/>
  <c r="BI698" i="45"/>
  <c r="BI697" i="45"/>
  <c r="BI695" i="45" s="1"/>
  <c r="BI700" i="45"/>
  <c r="BC382" i="45"/>
  <c r="BC383" i="45" s="1"/>
  <c r="AT141" i="45"/>
  <c r="AG141" i="45"/>
  <c r="AS296" i="45"/>
  <c r="AR335" i="45"/>
  <c r="AI141" i="45"/>
  <c r="F614" i="45"/>
  <c r="M685" i="45"/>
  <c r="B24" i="38"/>
  <c r="K227" i="45"/>
  <c r="K339" i="45"/>
  <c r="D74" i="28"/>
  <c r="D51" i="28"/>
  <c r="E50" i="28"/>
  <c r="AN333" i="45"/>
  <c r="BF496" i="45"/>
  <c r="BF499" i="45" s="1"/>
  <c r="BF505" i="45"/>
  <c r="AV683" i="45"/>
  <c r="AV681" i="45" s="1"/>
  <c r="AV684" i="45"/>
  <c r="AN173" i="45"/>
  <c r="BG699" i="45"/>
  <c r="BG698" i="45"/>
  <c r="BG701" i="45"/>
  <c r="BG697" i="45"/>
  <c r="BG695" i="45" s="1"/>
  <c r="BG700" i="45"/>
  <c r="AF173" i="45"/>
  <c r="AF299" i="45"/>
  <c r="G204" i="46"/>
  <c r="G205" i="46" s="1"/>
  <c r="J485" i="45"/>
  <c r="J595" i="45"/>
  <c r="H614" i="45"/>
  <c r="W685" i="45"/>
  <c r="I153" i="46"/>
  <c r="I171" i="46" s="1"/>
  <c r="I158" i="46"/>
  <c r="I175" i="46"/>
  <c r="E68" i="28"/>
  <c r="E51" i="28"/>
  <c r="L45" i="2"/>
  <c r="BJ384" i="45"/>
  <c r="BJ266" i="45" s="1"/>
  <c r="BJ415" i="45" s="1"/>
  <c r="AO334" i="45"/>
  <c r="AO341" i="45" s="1"/>
  <c r="AG334" i="45"/>
  <c r="AG341" i="45" s="1"/>
  <c r="AV401" i="45"/>
  <c r="AV402" i="45" s="1"/>
  <c r="N152" i="46"/>
  <c r="AS334" i="45"/>
  <c r="AX401" i="45"/>
  <c r="AX402" i="45" s="1"/>
  <c r="N203" i="46"/>
  <c r="N208" i="46"/>
  <c r="BH384" i="45"/>
  <c r="BH266" i="45" s="1"/>
  <c r="BH415" i="45" s="1"/>
  <c r="BH383" i="45"/>
  <c r="BE334" i="45"/>
  <c r="AZ175" i="45"/>
  <c r="AS175" i="45"/>
  <c r="AJ334" i="45"/>
  <c r="AF175" i="45"/>
  <c r="R109" i="46"/>
  <c r="E43" i="4"/>
  <c r="K42" i="26"/>
  <c r="I42" i="26"/>
  <c r="P32" i="6"/>
  <c r="AH516" i="45"/>
  <c r="AI516" i="45" s="1"/>
  <c r="AR685" i="45"/>
  <c r="AX383" i="45"/>
  <c r="AX384" i="45" s="1"/>
  <c r="AX266" i="45" s="1"/>
  <c r="AX415" i="45" s="1"/>
  <c r="AP383" i="45"/>
  <c r="AX334" i="45"/>
  <c r="E54" i="12"/>
  <c r="BA701" i="45"/>
  <c r="BA697" i="45"/>
  <c r="BA695" i="45"/>
  <c r="BA700" i="45"/>
  <c r="BA699" i="45"/>
  <c r="BA698" i="45"/>
  <c r="AG699" i="45"/>
  <c r="AG698" i="45"/>
  <c r="AG701" i="45"/>
  <c r="AG697" i="45"/>
  <c r="AG695" i="45"/>
  <c r="AG700" i="45"/>
  <c r="AT297" i="45"/>
  <c r="AT296" i="45"/>
  <c r="AT339" i="45"/>
  <c r="AT338" i="45"/>
  <c r="AF296" i="45"/>
  <c r="AF338" i="45"/>
  <c r="AZ401" i="45"/>
  <c r="AZ402" i="45" s="1"/>
  <c r="AZ297" i="45"/>
  <c r="BG175" i="45"/>
  <c r="BF383" i="45"/>
  <c r="AX338" i="45"/>
  <c r="AP339" i="45"/>
  <c r="AP335" i="45" s="1"/>
  <c r="AP296" i="45"/>
  <c r="AQ338" i="45"/>
  <c r="AP338" i="45"/>
  <c r="AL334" i="45"/>
  <c r="AL175" i="45"/>
  <c r="AL176" i="45"/>
  <c r="AI338" i="45"/>
  <c r="K209" i="46"/>
  <c r="K192" i="46"/>
  <c r="K187" i="46"/>
  <c r="BF175" i="45"/>
  <c r="BF176" i="45" s="1"/>
  <c r="BD175" i="45"/>
  <c r="AN175" i="45"/>
  <c r="AI334" i="45"/>
  <c r="AI175" i="45"/>
  <c r="AI176" i="45" s="1"/>
  <c r="BH401" i="45"/>
  <c r="BH402" i="45" s="1"/>
  <c r="BH297" i="45"/>
  <c r="C137" i="46"/>
  <c r="J698" i="45"/>
  <c r="J697" i="45"/>
  <c r="J695" i="45"/>
  <c r="J699" i="45"/>
  <c r="J700" i="45"/>
  <c r="J701" i="45"/>
  <c r="K333" i="45"/>
  <c r="K273" i="45" s="1"/>
  <c r="H273" i="45"/>
  <c r="C85" i="3"/>
  <c r="D44" i="4"/>
  <c r="J42" i="26"/>
  <c r="J47" i="26" s="1"/>
  <c r="M51" i="44"/>
  <c r="N51" i="44"/>
  <c r="O51" i="44" s="1"/>
  <c r="P51" i="44" s="1"/>
  <c r="P73" i="44" s="1"/>
  <c r="L73" i="44"/>
  <c r="X24" i="12"/>
  <c r="X146" i="45"/>
  <c r="X147" i="45" s="1"/>
  <c r="J97" i="44"/>
  <c r="O89" i="2"/>
  <c r="P149" i="2"/>
  <c r="P24" i="2" s="1"/>
  <c r="Z171" i="45" s="1"/>
  <c r="Z170" i="45" s="1"/>
  <c r="AS698" i="45"/>
  <c r="BD683" i="45"/>
  <c r="BD681" i="45" s="1"/>
  <c r="BD686" i="45"/>
  <c r="AT383" i="45"/>
  <c r="BF334" i="45"/>
  <c r="BJ175" i="45"/>
  <c r="BJ176" i="45" s="1"/>
  <c r="BJ341" i="45"/>
  <c r="BG338" i="45"/>
  <c r="BF338" i="45"/>
  <c r="BF289" i="45"/>
  <c r="AH333" i="45"/>
  <c r="AX296" i="45"/>
  <c r="J209" i="46"/>
  <c r="BI338" i="45"/>
  <c r="AF333" i="45"/>
  <c r="B136" i="46"/>
  <c r="B158" i="46"/>
  <c r="D170" i="46"/>
  <c r="E55" i="3"/>
  <c r="E56" i="3" s="1"/>
  <c r="E114" i="28"/>
  <c r="G222" i="46"/>
  <c r="N96" i="44"/>
  <c r="N97" i="44" s="1"/>
  <c r="F59" i="12"/>
  <c r="L295" i="45"/>
  <c r="BB401" i="45"/>
  <c r="BB402" i="45" s="1"/>
  <c r="M154" i="46"/>
  <c r="R153" i="46"/>
  <c r="M171" i="46"/>
  <c r="I340" i="45"/>
  <c r="I271" i="45" s="1"/>
  <c r="I154" i="46"/>
  <c r="AM383" i="45"/>
  <c r="AM384" i="45"/>
  <c r="AM266" i="45" s="1"/>
  <c r="AM415" i="45" s="1"/>
  <c r="BD334" i="45"/>
  <c r="J615" i="45"/>
  <c r="AF334" i="45"/>
  <c r="AN334" i="45"/>
  <c r="AN341" i="45" s="1"/>
  <c r="AO342" i="45" s="1"/>
  <c r="D114" i="28"/>
  <c r="D76" i="28"/>
  <c r="I56" i="28"/>
  <c r="I204" i="28" s="1"/>
  <c r="P89" i="2"/>
  <c r="Z154" i="45" s="1"/>
  <c r="R71" i="6"/>
  <c r="Q89" i="2" s="1"/>
  <c r="AI341" i="45"/>
  <c r="AT335" i="45"/>
  <c r="O86" i="2"/>
  <c r="O161" i="1" s="1"/>
  <c r="N209" i="46"/>
  <c r="BF335" i="45"/>
  <c r="AL341" i="45"/>
  <c r="E84" i="3"/>
  <c r="E85" i="3"/>
  <c r="B154" i="46"/>
  <c r="M73" i="44"/>
  <c r="BF341" i="45"/>
  <c r="AP340" i="45"/>
  <c r="AP289" i="45" s="1"/>
  <c r="I288" i="45"/>
  <c r="AJ516" i="45"/>
  <c r="AK516" i="45" s="1"/>
  <c r="AL516" i="45" s="1"/>
  <c r="AM516" i="45" s="1"/>
  <c r="AN516" i="45" s="1"/>
  <c r="AO516" i="45" s="1"/>
  <c r="AP516" i="45" s="1"/>
  <c r="AQ516" i="45" s="1"/>
  <c r="AR516" i="45" s="1"/>
  <c r="AS516" i="45" s="1"/>
  <c r="AT516" i="45" s="1"/>
  <c r="AU516" i="45" s="1"/>
  <c r="AV516" i="45" s="1"/>
  <c r="AW516" i="45" s="1"/>
  <c r="AX516" i="45" s="1"/>
  <c r="AY516" i="45" s="1"/>
  <c r="AZ516" i="45" s="1"/>
  <c r="BA516" i="45" s="1"/>
  <c r="BB516" i="45" s="1"/>
  <c r="BC516" i="45" s="1"/>
  <c r="BD516" i="45" s="1"/>
  <c r="BE516" i="45" s="1"/>
  <c r="BF516" i="45" s="1"/>
  <c r="BG516" i="45" s="1"/>
  <c r="BH516" i="45" s="1"/>
  <c r="BI516" i="45" s="1"/>
  <c r="BJ516" i="45" s="1"/>
  <c r="BK516" i="45" s="1"/>
  <c r="O23" i="1"/>
  <c r="AP336" i="45"/>
  <c r="N73" i="44"/>
  <c r="BG342" i="45"/>
  <c r="C9" i="56"/>
  <c r="B9" i="56"/>
  <c r="C68" i="56"/>
  <c r="C75" i="56" s="1"/>
  <c r="C101" i="56" s="1"/>
  <c r="C24" i="38"/>
  <c r="B27" i="56"/>
  <c r="D27" i="56"/>
  <c r="F34" i="38"/>
  <c r="E34" i="38"/>
  <c r="D34" i="38"/>
  <c r="Q113" i="2"/>
  <c r="G33" i="38"/>
  <c r="P12" i="2"/>
  <c r="Z165" i="45" s="1"/>
  <c r="P122" i="2"/>
  <c r="P18" i="2" s="1"/>
  <c r="Q66" i="2"/>
  <c r="Z86" i="45"/>
  <c r="Z84" i="45" s="1"/>
  <c r="Z205" i="45" s="1"/>
  <c r="Q159" i="2"/>
  <c r="Q25" i="2" s="1"/>
  <c r="R159" i="2"/>
  <c r="R25" i="2" s="1"/>
  <c r="Y28" i="12"/>
  <c r="Y139" i="45"/>
  <c r="Y138" i="45" s="1"/>
  <c r="Q70" i="2"/>
  <c r="Q23" i="3" s="1"/>
  <c r="N70" i="28"/>
  <c r="AA36" i="12"/>
  <c r="AA113" i="45"/>
  <c r="B60" i="56"/>
  <c r="X218" i="45"/>
  <c r="V44" i="45"/>
  <c r="V43" i="45"/>
  <c r="P65" i="45"/>
  <c r="P47" i="45" s="1"/>
  <c r="G122" i="1"/>
  <c r="M109" i="1"/>
  <c r="M15" i="1" s="1"/>
  <c r="W65" i="45" s="1"/>
  <c r="C143" i="1"/>
  <c r="C28" i="1" s="1"/>
  <c r="P38" i="1"/>
  <c r="L34" i="12" s="1"/>
  <c r="I84" i="1"/>
  <c r="I86" i="1" s="1"/>
  <c r="N9" i="1"/>
  <c r="Q63" i="1"/>
  <c r="AA362" i="45" s="1"/>
  <c r="P64" i="1"/>
  <c r="O63" i="1"/>
  <c r="O64" i="1" s="1"/>
  <c r="Y444" i="45"/>
  <c r="Y446" i="45" s="1"/>
  <c r="BO227" i="45"/>
  <c r="AU65" i="45"/>
  <c r="V470" i="45"/>
  <c r="S503" i="45"/>
  <c r="S504" i="45" s="1"/>
  <c r="S494" i="45" s="1"/>
  <c r="W470" i="45"/>
  <c r="Z503" i="45"/>
  <c r="Q486" i="45"/>
  <c r="R444" i="45"/>
  <c r="U503" i="45"/>
  <c r="R470" i="45"/>
  <c r="R452" i="45" s="1"/>
  <c r="BG65" i="45"/>
  <c r="BJ65" i="45"/>
  <c r="K444" i="45"/>
  <c r="K446" i="45" s="1"/>
  <c r="K613" i="45" s="1"/>
  <c r="L444" i="45"/>
  <c r="X470" i="45"/>
  <c r="N470" i="45"/>
  <c r="AB470" i="45"/>
  <c r="U444" i="45"/>
  <c r="U446" i="45" s="1"/>
  <c r="P470" i="45"/>
  <c r="S444" i="45"/>
  <c r="AO65" i="45"/>
  <c r="AA470" i="45"/>
  <c r="B3" i="48"/>
  <c r="D3" i="48"/>
  <c r="F10" i="48"/>
  <c r="D10" i="48"/>
  <c r="E18" i="48"/>
  <c r="E20" i="48"/>
  <c r="F6" i="48"/>
  <c r="D6" i="48"/>
  <c r="C6" i="48"/>
  <c r="E3" i="48"/>
  <c r="BC403" i="45"/>
  <c r="BC404" i="45" s="1"/>
  <c r="N203" i="45"/>
  <c r="D13" i="54"/>
  <c r="W24" i="12"/>
  <c r="L161" i="1"/>
  <c r="BM215" i="45"/>
  <c r="BM216" i="45" s="1"/>
  <c r="BM218" i="45" s="1"/>
  <c r="AX65" i="45"/>
  <c r="AS65" i="45"/>
  <c r="AF470" i="45"/>
  <c r="AG470" i="45"/>
  <c r="BO36" i="45"/>
  <c r="AM444" i="45"/>
  <c r="AM446" i="45" s="1"/>
  <c r="AM449" i="45"/>
  <c r="AM448" i="45" s="1"/>
  <c r="BK65" i="45"/>
  <c r="O444" i="45"/>
  <c r="AZ65" i="45"/>
  <c r="AC470" i="45"/>
  <c r="AC444" i="45"/>
  <c r="AC446" i="45" s="1"/>
  <c r="AC594" i="45" s="1"/>
  <c r="BK96" i="45"/>
  <c r="BK93" i="45" s="1"/>
  <c r="AD483" i="45"/>
  <c r="BC79" i="45"/>
  <c r="BC78" i="45" s="1"/>
  <c r="BC181" i="45" s="1"/>
  <c r="BC195" i="45" s="1"/>
  <c r="BB226" i="45"/>
  <c r="BB256" i="45" s="1"/>
  <c r="AR65" i="45"/>
  <c r="S470" i="45"/>
  <c r="AK449" i="45"/>
  <c r="AK448" i="45" s="1"/>
  <c r="W444" i="45"/>
  <c r="W446" i="45" s="1"/>
  <c r="BD65" i="45"/>
  <c r="AQ82" i="45"/>
  <c r="AQ197" i="45" s="1"/>
  <c r="R486" i="45"/>
  <c r="W449" i="45"/>
  <c r="W448" i="45" s="1"/>
  <c r="AI470" i="45"/>
  <c r="AI452" i="45" s="1"/>
  <c r="AT65" i="45"/>
  <c r="U470" i="45"/>
  <c r="U452" i="45" s="1"/>
  <c r="AD503" i="45"/>
  <c r="BC96" i="45"/>
  <c r="BC93" i="45" s="1"/>
  <c r="AA444" i="45"/>
  <c r="BH65" i="45"/>
  <c r="AK452" i="45"/>
  <c r="BL65" i="45"/>
  <c r="S449" i="45"/>
  <c r="S448" i="45" s="1"/>
  <c r="T444" i="45"/>
  <c r="T446" i="45" s="1"/>
  <c r="M444" i="45"/>
  <c r="O449" i="45"/>
  <c r="O448" i="45" s="1"/>
  <c r="BG44" i="45"/>
  <c r="BG43" i="45" s="1"/>
  <c r="M191" i="28"/>
  <c r="V14" i="44"/>
  <c r="C37" i="49" s="1"/>
  <c r="H37" i="49" s="1"/>
  <c r="L37" i="49" s="1"/>
  <c r="K41" i="28"/>
  <c r="F26" i="54"/>
  <c r="P56" i="6"/>
  <c r="O87" i="2" s="1"/>
  <c r="P69" i="6"/>
  <c r="Y353" i="45"/>
  <c r="Y355" i="45" s="1"/>
  <c r="Y79" i="45" s="1"/>
  <c r="Y78" i="45" s="1"/>
  <c r="Y181" i="45" s="1"/>
  <c r="K32" i="28"/>
  <c r="K194" i="28" s="1"/>
  <c r="O54" i="44"/>
  <c r="O9" i="44"/>
  <c r="O12" i="44" s="1"/>
  <c r="O17" i="44" s="1"/>
  <c r="G18" i="26"/>
  <c r="G42" i="26" s="1"/>
  <c r="AL403" i="45"/>
  <c r="AL404" i="45" s="1"/>
  <c r="AV44" i="45"/>
  <c r="AV43" i="45" s="1"/>
  <c r="AZ403" i="45"/>
  <c r="AZ404" i="45" s="1"/>
  <c r="AZ226" i="45"/>
  <c r="AZ256" i="45" s="1"/>
  <c r="AZ227" i="45"/>
  <c r="AZ308" i="45" s="1"/>
  <c r="AE444" i="45"/>
  <c r="AE446" i="45" s="1"/>
  <c r="AH444" i="45"/>
  <c r="AH446" i="45" s="1"/>
  <c r="AI205" i="45"/>
  <c r="AT403" i="45"/>
  <c r="AT226" i="45"/>
  <c r="AT256" i="45" s="1"/>
  <c r="AT227" i="45"/>
  <c r="AT308" i="45" s="1"/>
  <c r="K23" i="12"/>
  <c r="F55" i="3"/>
  <c r="AF341" i="45"/>
  <c r="M187" i="45"/>
  <c r="E76" i="28"/>
  <c r="J487" i="45"/>
  <c r="BD685" i="45"/>
  <c r="AR684" i="45"/>
  <c r="AR687" i="45"/>
  <c r="AX341" i="45"/>
  <c r="N136" i="46"/>
  <c r="P107" i="2"/>
  <c r="Q107" i="2" s="1"/>
  <c r="H44" i="26"/>
  <c r="AS699" i="45"/>
  <c r="AJ698" i="45"/>
  <c r="AJ697" i="45"/>
  <c r="AJ695" i="45" s="1"/>
  <c r="AW175" i="45"/>
  <c r="AW176" i="45" s="1"/>
  <c r="AH334" i="45"/>
  <c r="AH176" i="45"/>
  <c r="AZ384" i="45"/>
  <c r="AZ266" i="45" s="1"/>
  <c r="AZ415" i="45" s="1"/>
  <c r="AY338" i="45"/>
  <c r="AM334" i="45"/>
  <c r="AH266" i="45"/>
  <c r="BH339" i="45"/>
  <c r="BG687" i="45"/>
  <c r="AV687" i="45"/>
  <c r="AV686" i="45"/>
  <c r="BK687" i="45"/>
  <c r="AY687" i="45"/>
  <c r="AY685" i="45"/>
  <c r="BA339" i="45"/>
  <c r="BA340" i="45" s="1"/>
  <c r="BA289" i="45" s="1"/>
  <c r="AW329" i="45"/>
  <c r="X686" i="45"/>
  <c r="C43" i="4"/>
  <c r="N204" i="46"/>
  <c r="AQ683" i="45"/>
  <c r="AQ681" i="45" s="1"/>
  <c r="AQ686" i="45"/>
  <c r="AJ683" i="45"/>
  <c r="AJ681" i="45" s="1"/>
  <c r="AJ686" i="45"/>
  <c r="AL684" i="45"/>
  <c r="BF296" i="45"/>
  <c r="AL384" i="45"/>
  <c r="AL266" i="45" s="1"/>
  <c r="AL415" i="45" s="1"/>
  <c r="M687" i="45"/>
  <c r="G485" i="45"/>
  <c r="W683" i="45"/>
  <c r="W681" i="45" s="1"/>
  <c r="W684" i="45"/>
  <c r="N166" i="45"/>
  <c r="Q324" i="45"/>
  <c r="H137" i="46"/>
  <c r="H154" i="46"/>
  <c r="K154" i="46"/>
  <c r="K137" i="46"/>
  <c r="E46" i="28"/>
  <c r="F631" i="45"/>
  <c r="AI382" i="45"/>
  <c r="AI204" i="45"/>
  <c r="E222" i="46"/>
  <c r="AW699" i="45"/>
  <c r="AM141" i="45"/>
  <c r="BE141" i="45"/>
  <c r="J192" i="46"/>
  <c r="I296" i="45"/>
  <c r="BB697" i="45"/>
  <c r="BB695" i="45" s="1"/>
  <c r="BB699" i="45"/>
  <c r="AZ296" i="45"/>
  <c r="BE204" i="45"/>
  <c r="BC204" i="45"/>
  <c r="BB382" i="45"/>
  <c r="BA204" i="45"/>
  <c r="X325" i="45"/>
  <c r="B188" i="46"/>
  <c r="B171" i="46"/>
  <c r="I633" i="45"/>
  <c r="I491" i="45"/>
  <c r="I616" i="45"/>
  <c r="I597" i="45"/>
  <c r="F137" i="46"/>
  <c r="G154" i="46"/>
  <c r="AO297" i="45"/>
  <c r="BE297" i="45"/>
  <c r="F276" i="45"/>
  <c r="G41" i="45"/>
  <c r="F273" i="45"/>
  <c r="AI297" i="45"/>
  <c r="AM296" i="45"/>
  <c r="AZ338" i="45"/>
  <c r="AY297" i="45"/>
  <c r="BC296" i="45"/>
  <c r="M118" i="4"/>
  <c r="W20" i="12"/>
  <c r="H600" i="45"/>
  <c r="I596" i="45"/>
  <c r="F141" i="46"/>
  <c r="B192" i="46"/>
  <c r="G52" i="28"/>
  <c r="F114" i="28"/>
  <c r="H141" i="46"/>
  <c r="T700" i="45"/>
  <c r="T701" i="45"/>
  <c r="G136" i="46"/>
  <c r="G137" i="46"/>
  <c r="N81" i="46"/>
  <c r="Q134" i="46"/>
  <c r="H135" i="46"/>
  <c r="O168" i="46"/>
  <c r="B186" i="46"/>
  <c r="F175" i="46"/>
  <c r="F158" i="46"/>
  <c r="F114" i="1"/>
  <c r="F110" i="1"/>
  <c r="J230" i="45"/>
  <c r="I275" i="45"/>
  <c r="P168" i="45"/>
  <c r="P167" i="45" s="1"/>
  <c r="F118" i="4"/>
  <c r="H338" i="45"/>
  <c r="G296" i="45"/>
  <c r="G227" i="45"/>
  <c r="G338" i="45"/>
  <c r="C23" i="56"/>
  <c r="E24" i="38"/>
  <c r="K158" i="46"/>
  <c r="K141" i="46"/>
  <c r="O23" i="46"/>
  <c r="N24" i="46"/>
  <c r="O24" i="46" s="1"/>
  <c r="T20" i="12"/>
  <c r="I631" i="45"/>
  <c r="I614" i="45"/>
  <c r="D23" i="28"/>
  <c r="D96" i="28"/>
  <c r="B96" i="28"/>
  <c r="C97" i="28" s="1"/>
  <c r="I29" i="3"/>
  <c r="X693" i="45"/>
  <c r="X694" i="45"/>
  <c r="U663" i="45"/>
  <c r="U666" i="45" s="1"/>
  <c r="U669" i="45" s="1"/>
  <c r="T573" i="45"/>
  <c r="T580" i="45"/>
  <c r="T582" i="45" s="1"/>
  <c r="G573" i="45"/>
  <c r="G580" i="45" s="1"/>
  <c r="G582" i="45" s="1"/>
  <c r="X580" i="45"/>
  <c r="X582" i="45"/>
  <c r="Q580" i="45"/>
  <c r="Q582" i="45"/>
  <c r="L580" i="45"/>
  <c r="L582" i="45"/>
  <c r="AD545" i="45"/>
  <c r="AD549" i="45"/>
  <c r="N545" i="45"/>
  <c r="N549" i="45"/>
  <c r="P549" i="45"/>
  <c r="H549" i="45"/>
  <c r="H511" i="45"/>
  <c r="F137" i="45"/>
  <c r="F325" i="45"/>
  <c r="F326" i="45"/>
  <c r="H188" i="46"/>
  <c r="J140" i="46"/>
  <c r="E188" i="2"/>
  <c r="E29" i="2" s="1"/>
  <c r="I701" i="45"/>
  <c r="W700" i="45"/>
  <c r="W698" i="45"/>
  <c r="O700" i="45"/>
  <c r="O698" i="45"/>
  <c r="G700" i="45"/>
  <c r="G698" i="45"/>
  <c r="AC698" i="45"/>
  <c r="F102" i="28"/>
  <c r="H29" i="3"/>
  <c r="H53" i="3" s="1"/>
  <c r="H66" i="3"/>
  <c r="R692" i="45"/>
  <c r="R690" i="45"/>
  <c r="R688" i="45" s="1"/>
  <c r="R691" i="45"/>
  <c r="L690" i="45"/>
  <c r="L688" i="45"/>
  <c r="L694" i="45"/>
  <c r="Q663" i="45"/>
  <c r="Q666" i="45" s="1"/>
  <c r="Q669" i="45" s="1"/>
  <c r="G663" i="45"/>
  <c r="G666" i="45"/>
  <c r="G669" i="45" s="1"/>
  <c r="H580" i="45"/>
  <c r="H582" i="45" s="1"/>
  <c r="T549" i="45"/>
  <c r="F283" i="45"/>
  <c r="I143" i="45"/>
  <c r="I332" i="45" s="1"/>
  <c r="K275" i="45"/>
  <c r="K276" i="45"/>
  <c r="I204" i="46"/>
  <c r="I205" i="46"/>
  <c r="I209" i="46"/>
  <c r="J17" i="2"/>
  <c r="T156" i="45" s="1"/>
  <c r="T155" i="45" s="1"/>
  <c r="R503" i="45"/>
  <c r="R504" i="45" s="1"/>
  <c r="R494" i="45" s="1"/>
  <c r="K122" i="1"/>
  <c r="H208" i="46"/>
  <c r="B208" i="46"/>
  <c r="F208" i="46"/>
  <c r="E203" i="46"/>
  <c r="H192" i="46"/>
  <c r="J111" i="46"/>
  <c r="K108" i="46"/>
  <c r="G108" i="46"/>
  <c r="L78" i="46"/>
  <c r="C25" i="56"/>
  <c r="E277" i="46"/>
  <c r="E267" i="46"/>
  <c r="AK141" i="45"/>
  <c r="AK120" i="45"/>
  <c r="AJ332" i="45"/>
  <c r="AJ153" i="45"/>
  <c r="AK299" i="45"/>
  <c r="AK173" i="45"/>
  <c r="AP141" i="45"/>
  <c r="AP120" i="45"/>
  <c r="AQ141" i="45"/>
  <c r="AQ120" i="45"/>
  <c r="AQ153" i="45"/>
  <c r="AQ332" i="45"/>
  <c r="AS141" i="45"/>
  <c r="AS176" i="45" s="1"/>
  <c r="AS120" i="45"/>
  <c r="AV120" i="45"/>
  <c r="AV337" i="45"/>
  <c r="AX141" i="45"/>
  <c r="AX120" i="45"/>
  <c r="AY141" i="45"/>
  <c r="AY120" i="45"/>
  <c r="BD382" i="45"/>
  <c r="BD141" i="45"/>
  <c r="BD176" i="45" s="1"/>
  <c r="BE153" i="45"/>
  <c r="BE332" i="45"/>
  <c r="BF333" i="45"/>
  <c r="BI120" i="45"/>
  <c r="BJ337" i="45"/>
  <c r="BJ120" i="45"/>
  <c r="AH580" i="45"/>
  <c r="AH582" i="45"/>
  <c r="AT580" i="45"/>
  <c r="AT582" i="45"/>
  <c r="AF204" i="45"/>
  <c r="AF141" i="45"/>
  <c r="AF176" i="45" s="1"/>
  <c r="AJ382" i="45"/>
  <c r="AJ120" i="45"/>
  <c r="AJ337" i="45"/>
  <c r="AJ141" i="45"/>
  <c r="AK204" i="45"/>
  <c r="AL120" i="45"/>
  <c r="AL337" i="45"/>
  <c r="AN120" i="45"/>
  <c r="AN337" i="45"/>
  <c r="AN382" i="45"/>
  <c r="AN141" i="45"/>
  <c r="AN176" i="45" s="1"/>
  <c r="AQ204" i="45"/>
  <c r="AR296" i="45"/>
  <c r="AU326" i="45"/>
  <c r="BB120" i="45"/>
  <c r="BB337" i="45"/>
  <c r="BB297" i="45" s="1"/>
  <c r="BG141" i="45"/>
  <c r="BG176" i="45" s="1"/>
  <c r="BG120" i="45"/>
  <c r="BK332" i="45"/>
  <c r="BK333" i="45" s="1"/>
  <c r="BK153" i="45"/>
  <c r="AJ580" i="45"/>
  <c r="AJ582" i="45"/>
  <c r="AP580" i="45"/>
  <c r="AP582" i="45"/>
  <c r="AV580" i="45"/>
  <c r="AV582" i="45"/>
  <c r="AX580" i="45"/>
  <c r="AX582" i="45"/>
  <c r="BA580" i="45"/>
  <c r="BA582" i="45"/>
  <c r="BF580" i="45"/>
  <c r="BF582" i="45"/>
  <c r="AL191" i="45"/>
  <c r="AY191" i="45"/>
  <c r="AY184" i="45" s="1"/>
  <c r="BI166" i="45"/>
  <c r="BI173" i="45" s="1"/>
  <c r="AH663" i="45"/>
  <c r="AH666" i="45"/>
  <c r="AH669" i="45" s="1"/>
  <c r="BE663" i="45"/>
  <c r="BE666" i="45" s="1"/>
  <c r="BE669" i="45" s="1"/>
  <c r="AH692" i="45"/>
  <c r="AH694" i="45"/>
  <c r="AH693" i="45"/>
  <c r="AN692" i="45"/>
  <c r="AN693" i="45"/>
  <c r="AN691" i="45"/>
  <c r="AR694" i="45"/>
  <c r="AR693" i="45"/>
  <c r="AR691" i="45"/>
  <c r="AX694" i="45"/>
  <c r="AX691" i="45"/>
  <c r="AX690" i="45"/>
  <c r="AX688" i="45" s="1"/>
  <c r="BA693" i="45"/>
  <c r="BA691" i="45"/>
  <c r="BD692" i="45"/>
  <c r="BD691" i="45"/>
  <c r="BF694" i="45"/>
  <c r="BF693" i="45"/>
  <c r="BK692" i="45"/>
  <c r="BK690" i="45"/>
  <c r="BK688" i="45"/>
  <c r="AT189" i="45"/>
  <c r="AT184" i="45"/>
  <c r="AU191" i="45"/>
  <c r="AU184" i="45"/>
  <c r="AW190" i="45"/>
  <c r="AW187" i="45"/>
  <c r="AW184" i="45" s="1"/>
  <c r="AX187" i="45"/>
  <c r="AX184" i="45" s="1"/>
  <c r="AZ190" i="45"/>
  <c r="AZ184" i="45" s="1"/>
  <c r="BC187" i="45"/>
  <c r="BD187" i="45"/>
  <c r="BD184" i="45" s="1"/>
  <c r="AK325" i="45"/>
  <c r="AK326" i="45" s="1"/>
  <c r="AN324" i="45"/>
  <c r="AN326" i="45" s="1"/>
  <c r="AQ325" i="45"/>
  <c r="AQ326" i="45" s="1"/>
  <c r="BD324" i="45"/>
  <c r="BD326" i="45" s="1"/>
  <c r="BG325" i="45"/>
  <c r="BG326" i="45" s="1"/>
  <c r="AL187" i="45"/>
  <c r="AL184" i="45" s="1"/>
  <c r="BA173" i="45"/>
  <c r="AF663" i="45"/>
  <c r="AF666" i="45"/>
  <c r="AF669" i="45" s="1"/>
  <c r="AN663" i="45"/>
  <c r="AN666" i="45" s="1"/>
  <c r="AN669" i="45" s="1"/>
  <c r="BI663" i="45"/>
  <c r="BI666" i="45"/>
  <c r="BI669" i="45" s="1"/>
  <c r="AN690" i="45"/>
  <c r="AN688" i="45" s="1"/>
  <c r="BD690" i="45"/>
  <c r="BD688" i="45" s="1"/>
  <c r="BD694" i="45"/>
  <c r="AI692" i="45"/>
  <c r="AI691" i="45"/>
  <c r="AO692" i="45"/>
  <c r="AO694" i="45"/>
  <c r="AR692" i="45"/>
  <c r="AS693" i="45"/>
  <c r="AS694" i="45"/>
  <c r="AX692" i="45"/>
  <c r="AY692" i="45"/>
  <c r="AY690" i="45"/>
  <c r="AY688" i="45" s="1"/>
  <c r="AZ692" i="45"/>
  <c r="AZ701" i="45" s="1"/>
  <c r="AZ694" i="45"/>
  <c r="AZ693" i="45"/>
  <c r="AZ690" i="45"/>
  <c r="AZ688" i="45"/>
  <c r="BC694" i="45"/>
  <c r="BC693" i="45"/>
  <c r="BE692" i="45"/>
  <c r="BE694" i="45"/>
  <c r="BJ692" i="45"/>
  <c r="BJ691" i="45"/>
  <c r="AJ470" i="45"/>
  <c r="BC447" i="45"/>
  <c r="BC482" i="45" s="1"/>
  <c r="BC485" i="45" s="1"/>
  <c r="BC487" i="45" s="1"/>
  <c r="BC491" i="45" s="1"/>
  <c r="M70" i="28"/>
  <c r="AE470" i="45"/>
  <c r="AG444" i="45"/>
  <c r="AG446" i="45" s="1"/>
  <c r="H59" i="28"/>
  <c r="C5" i="54" s="1"/>
  <c r="AM470" i="45"/>
  <c r="D9" i="56"/>
  <c r="C36" i="56"/>
  <c r="M344" i="45"/>
  <c r="AQ344" i="45"/>
  <c r="L345" i="45"/>
  <c r="L346" i="45" s="1"/>
  <c r="AG305" i="45"/>
  <c r="I345" i="45"/>
  <c r="BE344" i="45"/>
  <c r="J309" i="45"/>
  <c r="N344" i="45"/>
  <c r="H308" i="45"/>
  <c r="S344" i="45"/>
  <c r="I309" i="45"/>
  <c r="AH344" i="45"/>
  <c r="F309" i="45"/>
  <c r="BI344" i="45"/>
  <c r="L305" i="45"/>
  <c r="AK345" i="45"/>
  <c r="AK344" i="45"/>
  <c r="BK344" i="45"/>
  <c r="AW344" i="45"/>
  <c r="G345" i="45"/>
  <c r="BB344" i="45"/>
  <c r="AG344" i="45"/>
  <c r="AP345" i="45"/>
  <c r="AP346" i="45" s="1"/>
  <c r="AI344" i="45"/>
  <c r="H345" i="45"/>
  <c r="AG345" i="45"/>
  <c r="AG346" i="45" s="1"/>
  <c r="AG315" i="45" s="1"/>
  <c r="AX344" i="45"/>
  <c r="AJ344" i="45"/>
  <c r="P344" i="45"/>
  <c r="BF345" i="45"/>
  <c r="BF346" i="45" s="1"/>
  <c r="BF315" i="45" s="1"/>
  <c r="AF305" i="45"/>
  <c r="AI305" i="45"/>
  <c r="AP344" i="45"/>
  <c r="BC344" i="45"/>
  <c r="BH344" i="45"/>
  <c r="X344" i="45"/>
  <c r="AH305" i="45"/>
  <c r="AR344" i="45"/>
  <c r="AZ345" i="45"/>
  <c r="AZ346" i="45" s="1"/>
  <c r="AZ315" i="45" s="1"/>
  <c r="O344" i="45"/>
  <c r="F345" i="45"/>
  <c r="BB345" i="45"/>
  <c r="BB346" i="45" s="1"/>
  <c r="L308" i="45"/>
  <c r="AT344" i="45"/>
  <c r="BG344" i="45"/>
  <c r="AY344" i="45"/>
  <c r="AM344" i="45"/>
  <c r="Z344" i="45"/>
  <c r="R345" i="45"/>
  <c r="AN344" i="45"/>
  <c r="Q344" i="45"/>
  <c r="L309" i="45"/>
  <c r="AZ344" i="45"/>
  <c r="H309" i="45"/>
  <c r="K345" i="45"/>
  <c r="AS344" i="45"/>
  <c r="AX345" i="45"/>
  <c r="AX346" i="45" s="1"/>
  <c r="O345" i="45"/>
  <c r="G344" i="45"/>
  <c r="L304" i="45"/>
  <c r="L318" i="45" s="1"/>
  <c r="AL344" i="45"/>
  <c r="L344" i="45"/>
  <c r="R344" i="45"/>
  <c r="H344" i="45"/>
  <c r="BA344" i="45"/>
  <c r="AT345" i="45"/>
  <c r="AT346" i="45" s="1"/>
  <c r="Y344" i="45"/>
  <c r="J345" i="45"/>
  <c r="BD344" i="45"/>
  <c r="U344" i="45"/>
  <c r="E431" i="45"/>
  <c r="BG345" i="45"/>
  <c r="K344" i="45"/>
  <c r="AV344" i="45"/>
  <c r="F305" i="45"/>
  <c r="L306" i="45"/>
  <c r="AU344" i="45"/>
  <c r="F344" i="45"/>
  <c r="J344" i="45"/>
  <c r="I344" i="45"/>
  <c r="N345" i="45"/>
  <c r="G308" i="45"/>
  <c r="W344" i="45"/>
  <c r="L307" i="45"/>
  <c r="AO344" i="45"/>
  <c r="V344" i="45"/>
  <c r="G309" i="45"/>
  <c r="M345" i="45"/>
  <c r="T344" i="45"/>
  <c r="K308" i="45"/>
  <c r="AF344" i="45"/>
  <c r="P345" i="45"/>
  <c r="BF344" i="45"/>
  <c r="BJ344" i="45"/>
  <c r="K309" i="45"/>
  <c r="E9" i="54"/>
  <c r="X35" i="45"/>
  <c r="X37" i="45" s="1"/>
  <c r="N11" i="4"/>
  <c r="N14" i="4"/>
  <c r="J19" i="12"/>
  <c r="J74" i="12" s="1"/>
  <c r="N123" i="4"/>
  <c r="X60" i="12" s="1"/>
  <c r="N15" i="4"/>
  <c r="N165" i="4"/>
  <c r="D34" i="56"/>
  <c r="D41" i="56" s="1"/>
  <c r="N116" i="1"/>
  <c r="O116" i="1" s="1"/>
  <c r="P116" i="1" s="1"/>
  <c r="Q116" i="1" s="1"/>
  <c r="N117" i="1"/>
  <c r="I10" i="1"/>
  <c r="H96" i="28"/>
  <c r="Q64" i="1"/>
  <c r="Q146" i="2"/>
  <c r="BJ44" i="45"/>
  <c r="BJ43" i="45" s="1"/>
  <c r="AN44" i="45"/>
  <c r="AN43" i="45" s="1"/>
  <c r="K49" i="28"/>
  <c r="K200" i="28" s="1"/>
  <c r="AH449" i="45"/>
  <c r="AH448" i="45" s="1"/>
  <c r="V449" i="45"/>
  <c r="V448" i="45" s="1"/>
  <c r="AU44" i="45"/>
  <c r="AU43" i="45" s="1"/>
  <c r="BF44" i="45"/>
  <c r="BF43" i="45" s="1"/>
  <c r="AG449" i="45"/>
  <c r="AG448" i="45" s="1"/>
  <c r="AW44" i="45"/>
  <c r="AW43" i="45" s="1"/>
  <c r="X449" i="45"/>
  <c r="X448" i="45" s="1"/>
  <c r="U449" i="45"/>
  <c r="U448" i="45" s="1"/>
  <c r="AT44" i="45"/>
  <c r="AT43" i="45" s="1"/>
  <c r="K57" i="28"/>
  <c r="Y152" i="45"/>
  <c r="K83" i="28"/>
  <c r="O75" i="44" s="1"/>
  <c r="V7" i="44"/>
  <c r="C34" i="49" s="1"/>
  <c r="H34" i="49" s="1"/>
  <c r="L34" i="49" s="1"/>
  <c r="BJ700" i="45"/>
  <c r="BJ698" i="45"/>
  <c r="BJ701" i="45"/>
  <c r="BJ697" i="45"/>
  <c r="BJ695" i="45" s="1"/>
  <c r="BJ699" i="45"/>
  <c r="BE701" i="45"/>
  <c r="BE699" i="45"/>
  <c r="BE697" i="45"/>
  <c r="BE695" i="45"/>
  <c r="BE700" i="45"/>
  <c r="BE698" i="45"/>
  <c r="AZ700" i="45"/>
  <c r="AZ698" i="45"/>
  <c r="AY701" i="45"/>
  <c r="AY699" i="45"/>
  <c r="AY697" i="45"/>
  <c r="AY695" i="45"/>
  <c r="AY700" i="45"/>
  <c r="AY698" i="45"/>
  <c r="AR700" i="45"/>
  <c r="AR697" i="45"/>
  <c r="AR695" i="45" s="1"/>
  <c r="AR698" i="45"/>
  <c r="AR701" i="45"/>
  <c r="AR699" i="45"/>
  <c r="AO701" i="45"/>
  <c r="AO699" i="45"/>
  <c r="AO697" i="45"/>
  <c r="AO695" i="45"/>
  <c r="AO700" i="45"/>
  <c r="AO698" i="45"/>
  <c r="AI701" i="45"/>
  <c r="AI699" i="45"/>
  <c r="AI697" i="45"/>
  <c r="AI695" i="45"/>
  <c r="AI700" i="45"/>
  <c r="AI698" i="45"/>
  <c r="BK701" i="45"/>
  <c r="BK699" i="45"/>
  <c r="BK697" i="45"/>
  <c r="BK695" i="45" s="1"/>
  <c r="BK700" i="45"/>
  <c r="BK698" i="45"/>
  <c r="BD701" i="45"/>
  <c r="BD699" i="45"/>
  <c r="BD697" i="45"/>
  <c r="BD695" i="45" s="1"/>
  <c r="BD700" i="45"/>
  <c r="BD698" i="45"/>
  <c r="AH700" i="45"/>
  <c r="AH698" i="45"/>
  <c r="AH701" i="45"/>
  <c r="AH697" i="45"/>
  <c r="AH695" i="45"/>
  <c r="AH699" i="45"/>
  <c r="AN338" i="45"/>
  <c r="AO338" i="45"/>
  <c r="AL338" i="45"/>
  <c r="AM338" i="45"/>
  <c r="AL296" i="45"/>
  <c r="AL339" i="45"/>
  <c r="AK338" i="45"/>
  <c r="AJ339" i="45"/>
  <c r="AJ384" i="45"/>
  <c r="AJ266" i="45" s="1"/>
  <c r="AJ415" i="45" s="1"/>
  <c r="AJ383" i="45"/>
  <c r="BJ338" i="45"/>
  <c r="BK338" i="45"/>
  <c r="BJ339" i="45"/>
  <c r="BJ340" i="45" s="1"/>
  <c r="BJ289" i="45" s="1"/>
  <c r="BJ297" i="45"/>
  <c r="BE175" i="45"/>
  <c r="BE176" i="45" s="1"/>
  <c r="BE341" i="45"/>
  <c r="BE342" i="45" s="1"/>
  <c r="BD383" i="45"/>
  <c r="BD384" i="45"/>
  <c r="BD266" i="45" s="1"/>
  <c r="BD415" i="45" s="1"/>
  <c r="AV338" i="45"/>
  <c r="AW338" i="45"/>
  <c r="AV339" i="45"/>
  <c r="AV296" i="45"/>
  <c r="AK334" i="45"/>
  <c r="AK175" i="45"/>
  <c r="AK176" i="45" s="1"/>
  <c r="AJ195" i="45"/>
  <c r="AJ202" i="45" s="1"/>
  <c r="AJ175" i="45"/>
  <c r="AJ176" i="45"/>
  <c r="AJ341" i="45"/>
  <c r="E269" i="46"/>
  <c r="E271" i="46" s="1"/>
  <c r="F267" i="46"/>
  <c r="Q111" i="46"/>
  <c r="J109" i="46"/>
  <c r="B226" i="46"/>
  <c r="B209" i="46"/>
  <c r="B204" i="46"/>
  <c r="B205" i="46" s="1"/>
  <c r="I153" i="45"/>
  <c r="R700" i="45"/>
  <c r="R698" i="45"/>
  <c r="R697" i="45"/>
  <c r="R695" i="45" s="1"/>
  <c r="R701" i="45"/>
  <c r="R699" i="45"/>
  <c r="J135" i="46"/>
  <c r="F296" i="45"/>
  <c r="F339" i="45"/>
  <c r="F329" i="45"/>
  <c r="I603" i="45"/>
  <c r="I622" i="45"/>
  <c r="J622" i="45"/>
  <c r="AJ338" i="45"/>
  <c r="BB338" i="45"/>
  <c r="I605" i="45"/>
  <c r="I624" i="45"/>
  <c r="BB383" i="45"/>
  <c r="BB384" i="45" s="1"/>
  <c r="BB266" i="45" s="1"/>
  <c r="BB415" i="45" s="1"/>
  <c r="F622" i="45"/>
  <c r="J603" i="45"/>
  <c r="AL297" i="45"/>
  <c r="BB296" i="45"/>
  <c r="BE333" i="45"/>
  <c r="N205" i="46"/>
  <c r="AV297" i="45"/>
  <c r="AJ296" i="45"/>
  <c r="AW401" i="45"/>
  <c r="AW402" i="45" s="1"/>
  <c r="AW297" i="45"/>
  <c r="BA335" i="45"/>
  <c r="BH335" i="45"/>
  <c r="BI336" i="45" s="1"/>
  <c r="BI340" i="45"/>
  <c r="AH415" i="45"/>
  <c r="AM341" i="45"/>
  <c r="AH341" i="45"/>
  <c r="AI342" i="45" s="1"/>
  <c r="N154" i="46"/>
  <c r="AX176" i="45"/>
  <c r="AF342" i="45"/>
  <c r="AG342" i="45"/>
  <c r="F84" i="3"/>
  <c r="O103" i="44"/>
  <c r="D11" i="56"/>
  <c r="H60" i="28"/>
  <c r="AX701" i="45"/>
  <c r="AX700" i="45"/>
  <c r="AX698" i="45"/>
  <c r="AX697" i="45"/>
  <c r="AX695" i="45"/>
  <c r="AX699" i="45"/>
  <c r="BA334" i="45"/>
  <c r="AN700" i="45"/>
  <c r="AN698" i="45"/>
  <c r="AN699" i="45"/>
  <c r="AN701" i="45"/>
  <c r="AN697" i="45"/>
  <c r="AN695" i="45"/>
  <c r="BI299" i="45"/>
  <c r="BI335" i="45"/>
  <c r="BB227" i="45"/>
  <c r="BB308" i="45" s="1"/>
  <c r="BC338" i="45"/>
  <c r="BC289" i="45" s="1"/>
  <c r="BB339" i="45"/>
  <c r="AU329" i="45"/>
  <c r="AU401" i="45" s="1"/>
  <c r="AU402" i="45" s="1"/>
  <c r="AU339" i="45"/>
  <c r="AU296" i="45"/>
  <c r="AN383" i="45"/>
  <c r="AN384" i="45"/>
  <c r="AN266" i="45" s="1"/>
  <c r="AN415" i="45" s="1"/>
  <c r="BJ296" i="45"/>
  <c r="AQ175" i="45"/>
  <c r="AQ176" i="45" s="1"/>
  <c r="AQ341" i="45"/>
  <c r="AJ333" i="45"/>
  <c r="AK333" i="45"/>
  <c r="F277" i="46"/>
  <c r="E279" i="46"/>
  <c r="F204" i="46"/>
  <c r="F222" i="46" s="1"/>
  <c r="F209" i="46"/>
  <c r="H226" i="46"/>
  <c r="H209" i="46"/>
  <c r="H204" i="46"/>
  <c r="H222" i="46" s="1"/>
  <c r="J136" i="46"/>
  <c r="J137" i="46" s="1"/>
  <c r="J141" i="46"/>
  <c r="J158" i="46"/>
  <c r="F204" i="45"/>
  <c r="F141" i="45"/>
  <c r="G204" i="45"/>
  <c r="G208" i="45"/>
  <c r="D97" i="28"/>
  <c r="C27" i="56"/>
  <c r="P136" i="46"/>
  <c r="I510" i="45"/>
  <c r="I511" i="45" s="1"/>
  <c r="I598" i="45"/>
  <c r="I590" i="45"/>
  <c r="I496" i="45"/>
  <c r="I618" i="45" s="1"/>
  <c r="I617" i="45"/>
  <c r="I634" i="45"/>
  <c r="I606" i="45" s="1"/>
  <c r="AJ297" i="45"/>
  <c r="AI383" i="45"/>
  <c r="AI384" i="45" s="1"/>
  <c r="AI266" i="45" s="1"/>
  <c r="AI415" i="45" s="1"/>
  <c r="I222" i="46"/>
  <c r="G632" i="45"/>
  <c r="G604" i="45" s="1"/>
  <c r="H615" i="45"/>
  <c r="G615" i="45"/>
  <c r="G596" i="45"/>
  <c r="G487" i="45"/>
  <c r="H616" i="45" s="1"/>
  <c r="F226" i="46"/>
  <c r="AY340" i="45"/>
  <c r="AX340" i="45"/>
  <c r="AX289" i="45" s="1"/>
  <c r="AX335" i="45"/>
  <c r="BA175" i="45"/>
  <c r="BA176" i="45"/>
  <c r="J633" i="45"/>
  <c r="J616" i="45"/>
  <c r="J491" i="45"/>
  <c r="AX342" i="45"/>
  <c r="N162" i="4"/>
  <c r="O50" i="3"/>
  <c r="O95" i="44"/>
  <c r="K13" i="28"/>
  <c r="K190" i="28" s="1"/>
  <c r="K55" i="28"/>
  <c r="K203" i="28" s="1"/>
  <c r="K45" i="28"/>
  <c r="J496" i="45"/>
  <c r="J635" i="45" s="1"/>
  <c r="J590" i="45"/>
  <c r="J634" i="45"/>
  <c r="J510" i="45"/>
  <c r="J511" i="45" s="1"/>
  <c r="J617" i="45"/>
  <c r="J624" i="45"/>
  <c r="AX336" i="45"/>
  <c r="AY289" i="45"/>
  <c r="G491" i="45"/>
  <c r="G496" i="45" s="1"/>
  <c r="G597" i="45"/>
  <c r="H623" i="45"/>
  <c r="H205" i="46"/>
  <c r="F205" i="46"/>
  <c r="AV340" i="45"/>
  <c r="AU340" i="45"/>
  <c r="BC340" i="45"/>
  <c r="BB335" i="45"/>
  <c r="BC336" i="45" s="1"/>
  <c r="BA341" i="45"/>
  <c r="BA342" i="45" s="1"/>
  <c r="AM342" i="45"/>
  <c r="AN342" i="45"/>
  <c r="BB336" i="45"/>
  <c r="F340" i="45"/>
  <c r="F335" i="45"/>
  <c r="F336" i="45" s="1"/>
  <c r="F272" i="45" s="1"/>
  <c r="Q109" i="46"/>
  <c r="AJ279" i="45"/>
  <c r="BJ335" i="45"/>
  <c r="AJ335" i="45"/>
  <c r="AJ340" i="45"/>
  <c r="I625" i="45"/>
  <c r="I635" i="45"/>
  <c r="I626" i="45" s="1"/>
  <c r="I499" i="45"/>
  <c r="I587" i="45" s="1"/>
  <c r="BJ336" i="45"/>
  <c r="D13" i="56"/>
  <c r="AH342" i="45"/>
  <c r="BI289" i="45"/>
  <c r="BB340" i="45"/>
  <c r="J333" i="45"/>
  <c r="J273" i="45" s="1"/>
  <c r="I333" i="45"/>
  <c r="I273" i="45" s="1"/>
  <c r="B222" i="46"/>
  <c r="AJ342" i="45"/>
  <c r="AK341" i="45"/>
  <c r="AK342" i="45"/>
  <c r="AW340" i="45"/>
  <c r="AV335" i="45"/>
  <c r="AW336" i="45" s="1"/>
  <c r="BF342" i="45"/>
  <c r="AL335" i="45"/>
  <c r="AM336" i="45" s="1"/>
  <c r="AM340" i="45"/>
  <c r="AM289" i="45" s="1"/>
  <c r="K56" i="28"/>
  <c r="K204" i="28" s="1"/>
  <c r="K46" i="28"/>
  <c r="K199" i="28" s="1"/>
  <c r="BB289" i="45"/>
  <c r="AV289" i="45"/>
  <c r="AW289" i="45"/>
  <c r="AL342" i="45"/>
  <c r="I505" i="45"/>
  <c r="I601" i="45" s="1"/>
  <c r="I636" i="45"/>
  <c r="I608" i="45" s="1"/>
  <c r="I607" i="45"/>
  <c r="AJ289" i="45"/>
  <c r="AJ336" i="45"/>
  <c r="F271" i="45"/>
  <c r="F288" i="45" s="1"/>
  <c r="AU289" i="45"/>
  <c r="G598" i="45"/>
  <c r="H617" i="45"/>
  <c r="G510" i="45"/>
  <c r="G511" i="45" s="1"/>
  <c r="G634" i="45"/>
  <c r="J499" i="45"/>
  <c r="J505" i="45" s="1"/>
  <c r="I627" i="45"/>
  <c r="I586" i="45"/>
  <c r="I620" i="45"/>
  <c r="J587" i="45"/>
  <c r="J621" i="45" s="1"/>
  <c r="H625" i="45"/>
  <c r="G606" i="45"/>
  <c r="O78" i="44"/>
  <c r="K84" i="28" s="1"/>
  <c r="K85" i="28" s="1"/>
  <c r="O80" i="44"/>
  <c r="O86" i="44"/>
  <c r="O87" i="44" s="1"/>
  <c r="O75" i="1"/>
  <c r="O9" i="1" s="1"/>
  <c r="K87" i="28"/>
  <c r="O96" i="44"/>
  <c r="O97" i="44" s="1"/>
  <c r="O51" i="2"/>
  <c r="O10" i="2" s="1"/>
  <c r="O84" i="1"/>
  <c r="O10" i="1" s="1"/>
  <c r="O43" i="2"/>
  <c r="O9" i="2" s="1"/>
  <c r="Y159" i="45" s="1"/>
  <c r="Y31" i="12"/>
  <c r="Y32" i="12"/>
  <c r="O173" i="1"/>
  <c r="O32" i="1" s="1"/>
  <c r="BO35" i="45"/>
  <c r="I3" i="48"/>
  <c r="AN455" i="45"/>
  <c r="I10" i="48"/>
  <c r="I6" i="48"/>
  <c r="BO50" i="45"/>
  <c r="I8" i="48"/>
  <c r="AN470" i="45"/>
  <c r="BO65" i="45"/>
  <c r="I18" i="48"/>
  <c r="BO105" i="45"/>
  <c r="BO104" i="45" s="1"/>
  <c r="BO88" i="45" s="1"/>
  <c r="AN493" i="45"/>
  <c r="AN492" i="45" s="1"/>
  <c r="O26" i="3"/>
  <c r="O61" i="2"/>
  <c r="O11" i="2" s="1"/>
  <c r="F27" i="54"/>
  <c r="O81" i="2"/>
  <c r="O13" i="2" s="1"/>
  <c r="O38" i="3"/>
  <c r="O41" i="3"/>
  <c r="Y177" i="45" s="1"/>
  <c r="J10" i="48"/>
  <c r="AM26" i="29"/>
  <c r="AM107" i="29"/>
  <c r="AQ108" i="29" s="1"/>
  <c r="BP65" i="45"/>
  <c r="BP47" i="45" s="1"/>
  <c r="AM119" i="29"/>
  <c r="AQ120" i="29" s="1"/>
  <c r="J18" i="48"/>
  <c r="BP105" i="45"/>
  <c r="BP104" i="45" s="1"/>
  <c r="BP88" i="45" s="1"/>
  <c r="AM212" i="29"/>
  <c r="AM213" i="29" s="1"/>
  <c r="AM137" i="29"/>
  <c r="AM136" i="29"/>
  <c r="AM129" i="29"/>
  <c r="AQ130" i="29" s="1"/>
  <c r="AN306" i="29"/>
  <c r="AM19" i="29"/>
  <c r="K9" i="12"/>
  <c r="K8" i="12"/>
  <c r="K6" i="12"/>
  <c r="J637" i="45" l="1"/>
  <c r="J620" i="45"/>
  <c r="J586" i="45"/>
  <c r="I602" i="45"/>
  <c r="I621" i="45"/>
  <c r="G499" i="45"/>
  <c r="H618" i="45"/>
  <c r="G635" i="45"/>
  <c r="G599" i="45"/>
  <c r="J626" i="45"/>
  <c r="AF685" i="45"/>
  <c r="AF684" i="45"/>
  <c r="AF687" i="45"/>
  <c r="AF683" i="45"/>
  <c r="AF681" i="45" s="1"/>
  <c r="AF686" i="45"/>
  <c r="BG339" i="45"/>
  <c r="BG329" i="45"/>
  <c r="BG296" i="45"/>
  <c r="AQ329" i="45"/>
  <c r="AQ296" i="45"/>
  <c r="AQ339" i="45"/>
  <c r="AK339" i="45"/>
  <c r="AK329" i="45"/>
  <c r="AK296" i="45"/>
  <c r="BE684" i="45"/>
  <c r="BE683" i="45"/>
  <c r="BE681" i="45" s="1"/>
  <c r="BE687" i="45"/>
  <c r="BE686" i="45"/>
  <c r="BE685" i="45"/>
  <c r="G685" i="45"/>
  <c r="G686" i="45"/>
  <c r="G687" i="45"/>
  <c r="G683" i="45"/>
  <c r="G681" i="45" s="1"/>
  <c r="G684" i="45"/>
  <c r="Q687" i="45"/>
  <c r="Q683" i="45"/>
  <c r="Q681" i="45" s="1"/>
  <c r="Q684" i="45"/>
  <c r="Q685" i="45"/>
  <c r="Q686" i="45"/>
  <c r="H83" i="3"/>
  <c r="H56" i="3"/>
  <c r="H85" i="3" s="1"/>
  <c r="U687" i="45"/>
  <c r="U683" i="45"/>
  <c r="U681" i="45" s="1"/>
  <c r="U684" i="45"/>
  <c r="U685" i="45"/>
  <c r="U686" i="45"/>
  <c r="BH687" i="45"/>
  <c r="BH683" i="45"/>
  <c r="BH681" i="45" s="1"/>
  <c r="BH686" i="45"/>
  <c r="BH685" i="45"/>
  <c r="BH684" i="45"/>
  <c r="AI687" i="45"/>
  <c r="AI685" i="45"/>
  <c r="AI686" i="45"/>
  <c r="AI683" i="45"/>
  <c r="AI681" i="45" s="1"/>
  <c r="AI684" i="45"/>
  <c r="BI496" i="45"/>
  <c r="BI499" i="45" s="1"/>
  <c r="BI505" i="45" s="1"/>
  <c r="BI590" i="45"/>
  <c r="BE496" i="45"/>
  <c r="BE499" i="45" s="1"/>
  <c r="BE505" i="45" s="1"/>
  <c r="BE590" i="45"/>
  <c r="AS590" i="45"/>
  <c r="AS496" i="45"/>
  <c r="AS499" i="45" s="1"/>
  <c r="AS505" i="45" s="1"/>
  <c r="AX496" i="45"/>
  <c r="AX499" i="45" s="1"/>
  <c r="AX505" i="45" s="1"/>
  <c r="AX590" i="45"/>
  <c r="AT496" i="45"/>
  <c r="AT499" i="45" s="1"/>
  <c r="AT505" i="45" s="1"/>
  <c r="AT590" i="45"/>
  <c r="AP590" i="45"/>
  <c r="AP496" i="45"/>
  <c r="AP499" i="45" s="1"/>
  <c r="AP505" i="45" s="1"/>
  <c r="AU684" i="45"/>
  <c r="AU683" i="45"/>
  <c r="AU681" i="45" s="1"/>
  <c r="AU686" i="45"/>
  <c r="AU687" i="45"/>
  <c r="AU685" i="45"/>
  <c r="T687" i="45"/>
  <c r="T685" i="45"/>
  <c r="T683" i="45"/>
  <c r="T681" i="45" s="1"/>
  <c r="T684" i="45"/>
  <c r="T686" i="45"/>
  <c r="Y684" i="45"/>
  <c r="Y685" i="45"/>
  <c r="Y683" i="45"/>
  <c r="Y681" i="45" s="1"/>
  <c r="Y687" i="45"/>
  <c r="Y686" i="45"/>
  <c r="BC496" i="45"/>
  <c r="BC499" i="45" s="1"/>
  <c r="BC505" i="45" s="1"/>
  <c r="BC590" i="45"/>
  <c r="BI684" i="45"/>
  <c r="BI683" i="45"/>
  <c r="BI681" i="45" s="1"/>
  <c r="BI687" i="45"/>
  <c r="BI686" i="45"/>
  <c r="BI685" i="45"/>
  <c r="AN687" i="45"/>
  <c r="AN683" i="45"/>
  <c r="AN681" i="45" s="1"/>
  <c r="AN686" i="45"/>
  <c r="AN685" i="45"/>
  <c r="AN684" i="45"/>
  <c r="BD339" i="45"/>
  <c r="BD296" i="45"/>
  <c r="BD329" i="45"/>
  <c r="AN296" i="45"/>
  <c r="AN329" i="45"/>
  <c r="AN339" i="45"/>
  <c r="AH687" i="45"/>
  <c r="AH683" i="45"/>
  <c r="AH681" i="45" s="1"/>
  <c r="AH686" i="45"/>
  <c r="AH685" i="45"/>
  <c r="AH684" i="45"/>
  <c r="BI334" i="45"/>
  <c r="BI341" i="45" s="1"/>
  <c r="BJ342" i="45" s="1"/>
  <c r="BI175" i="45"/>
  <c r="AZ687" i="45"/>
  <c r="AZ686" i="45"/>
  <c r="AZ685" i="45"/>
  <c r="AZ683" i="45"/>
  <c r="AZ681" i="45" s="1"/>
  <c r="AZ684" i="45"/>
  <c r="BD496" i="45"/>
  <c r="BD499" i="45" s="1"/>
  <c r="BD505" i="45" s="1"/>
  <c r="BD590" i="45"/>
  <c r="AZ496" i="45"/>
  <c r="AZ499" i="45" s="1"/>
  <c r="AZ505" i="45" s="1"/>
  <c r="AZ590" i="45"/>
  <c r="AV496" i="45"/>
  <c r="AV499" i="45" s="1"/>
  <c r="AV505" i="45" s="1"/>
  <c r="AV590" i="45"/>
  <c r="AR590" i="45"/>
  <c r="AR496" i="45"/>
  <c r="AR499" i="45" s="1"/>
  <c r="AR505" i="45" s="1"/>
  <c r="BA590" i="45"/>
  <c r="BA496" i="45"/>
  <c r="BA499" i="45" s="1"/>
  <c r="BA505" i="45" s="1"/>
  <c r="AW496" i="45"/>
  <c r="AW499" i="45" s="1"/>
  <c r="AW505" i="45" s="1"/>
  <c r="AW590" i="45"/>
  <c r="BK590" i="45"/>
  <c r="BK496" i="45"/>
  <c r="BK499" i="45" s="1"/>
  <c r="BK505" i="45" s="1"/>
  <c r="J687" i="45"/>
  <c r="J684" i="45"/>
  <c r="J685" i="45"/>
  <c r="J683" i="45"/>
  <c r="J681" i="45" s="1"/>
  <c r="J686" i="45"/>
  <c r="N686" i="45"/>
  <c r="N687" i="45"/>
  <c r="N685" i="45"/>
  <c r="N683" i="45"/>
  <c r="N681" i="45" s="1"/>
  <c r="N684" i="45"/>
  <c r="D55" i="26"/>
  <c r="D61" i="26"/>
  <c r="AN215" i="29"/>
  <c r="AQ214" i="29"/>
  <c r="Y21" i="12"/>
  <c r="J619" i="45"/>
  <c r="J636" i="45"/>
  <c r="I637" i="45"/>
  <c r="J618" i="45"/>
  <c r="G590" i="45"/>
  <c r="I600" i="45"/>
  <c r="I619" i="45"/>
  <c r="J625" i="45"/>
  <c r="AU297" i="45"/>
  <c r="I599" i="45"/>
  <c r="Q136" i="46"/>
  <c r="G633" i="45"/>
  <c r="O85" i="44"/>
  <c r="AZ699" i="45"/>
  <c r="AZ697" i="45"/>
  <c r="AZ695" i="45" s="1"/>
  <c r="D188" i="46"/>
  <c r="O136" i="46"/>
  <c r="O73" i="44"/>
  <c r="E52" i="28"/>
  <c r="F52" i="28"/>
  <c r="J632" i="45"/>
  <c r="J596" i="45"/>
  <c r="BC384" i="45"/>
  <c r="BC266" i="45" s="1"/>
  <c r="BC415" i="45" s="1"/>
  <c r="AU384" i="45"/>
  <c r="AU266" i="45" s="1"/>
  <c r="AU415" i="45" s="1"/>
  <c r="L298" i="45"/>
  <c r="L297" i="45"/>
  <c r="AO383" i="45"/>
  <c r="AO384" i="45"/>
  <c r="AO266" i="45" s="1"/>
  <c r="AO415" i="45" s="1"/>
  <c r="L97" i="44"/>
  <c r="M97" i="44"/>
  <c r="X177" i="45"/>
  <c r="N53" i="3"/>
  <c r="N83" i="3" s="1"/>
  <c r="J59" i="12" s="1"/>
  <c r="AS697" i="45"/>
  <c r="AS695" i="45" s="1"/>
  <c r="AS700" i="45"/>
  <c r="AS701" i="45"/>
  <c r="AJ699" i="45"/>
  <c r="AJ700" i="45"/>
  <c r="AJ701" i="45"/>
  <c r="BD684" i="45"/>
  <c r="BD687" i="45"/>
  <c r="AR683" i="45"/>
  <c r="AR681" i="45" s="1"/>
  <c r="AR686" i="45"/>
  <c r="BB333" i="45"/>
  <c r="BA333" i="45"/>
  <c r="AT384" i="45"/>
  <c r="AT266" i="45" s="1"/>
  <c r="AT415" i="45" s="1"/>
  <c r="AM175" i="45"/>
  <c r="AM176" i="45" s="1"/>
  <c r="AG176" i="45"/>
  <c r="AF297" i="45"/>
  <c r="AF339" i="45"/>
  <c r="AG338" i="45"/>
  <c r="AH339" i="45"/>
  <c r="AH338" i="45"/>
  <c r="J226" i="46"/>
  <c r="J204" i="46"/>
  <c r="AS341" i="45"/>
  <c r="D192" i="46"/>
  <c r="D175" i="46"/>
  <c r="F274" i="46"/>
  <c r="M53" i="3"/>
  <c r="M83" i="3" s="1"/>
  <c r="I59" i="12" s="1"/>
  <c r="BH590" i="45"/>
  <c r="BB590" i="45"/>
  <c r="BF336" i="45"/>
  <c r="BC175" i="45"/>
  <c r="BC176" i="45" s="1"/>
  <c r="BC341" i="45"/>
  <c r="BD342" i="45" s="1"/>
  <c r="AR332" i="45"/>
  <c r="AR153" i="45"/>
  <c r="BI699" i="45"/>
  <c r="BI701" i="45"/>
  <c r="BD204" i="45"/>
  <c r="BC141" i="45"/>
  <c r="AG204" i="45"/>
  <c r="AH204" i="45"/>
  <c r="AG382" i="45"/>
  <c r="BB701" i="45"/>
  <c r="BB700" i="45"/>
  <c r="BB299" i="45"/>
  <c r="BB173" i="45"/>
  <c r="AY335" i="45"/>
  <c r="AY336" i="45" s="1"/>
  <c r="AY173" i="45"/>
  <c r="AP153" i="45"/>
  <c r="AP332" i="45"/>
  <c r="AQ333" i="45" s="1"/>
  <c r="AP401" i="45"/>
  <c r="AP402" i="45" s="1"/>
  <c r="AP297" i="45"/>
  <c r="AS329" i="45"/>
  <c r="AS339" i="45"/>
  <c r="AS340" i="45"/>
  <c r="AS289" i="45" s="1"/>
  <c r="M686" i="45"/>
  <c r="M683" i="45"/>
  <c r="M681" i="45" s="1"/>
  <c r="M684" i="45"/>
  <c r="X683" i="45"/>
  <c r="X681" i="45" s="1"/>
  <c r="X684" i="45"/>
  <c r="X687" i="45"/>
  <c r="X685" i="45"/>
  <c r="D135" i="46"/>
  <c r="D109" i="46"/>
  <c r="D137" i="46" s="1"/>
  <c r="D141" i="46"/>
  <c r="G631" i="45"/>
  <c r="G595" i="45"/>
  <c r="G614" i="45"/>
  <c r="J582" i="45"/>
  <c r="W686" i="45"/>
  <c r="W687" i="45"/>
  <c r="C153" i="46"/>
  <c r="C175" i="46"/>
  <c r="E158" i="46"/>
  <c r="E153" i="46"/>
  <c r="E175" i="46"/>
  <c r="N85" i="44"/>
  <c r="L154" i="46"/>
  <c r="R136" i="46"/>
  <c r="BG346" i="45"/>
  <c r="BG315" i="45" s="1"/>
  <c r="AK346" i="45"/>
  <c r="AK315" i="45" s="1"/>
  <c r="Y154" i="45"/>
  <c r="Y26" i="12"/>
  <c r="K188" i="46"/>
  <c r="K205" i="46"/>
  <c r="J43" i="4"/>
  <c r="J44" i="4"/>
  <c r="I203" i="28"/>
  <c r="J56" i="28"/>
  <c r="J204" i="28" s="1"/>
  <c r="BC333" i="45"/>
  <c r="BD333" i="45"/>
  <c r="AF383" i="45"/>
  <c r="AF384" i="45" s="1"/>
  <c r="AF266" i="45" s="1"/>
  <c r="BF297" i="45"/>
  <c r="BF401" i="45"/>
  <c r="BF402" i="45" s="1"/>
  <c r="N140" i="46"/>
  <c r="N135" i="46"/>
  <c r="BF384" i="45"/>
  <c r="BF266" i="45" s="1"/>
  <c r="BF415" i="45" s="1"/>
  <c r="AP384" i="45"/>
  <c r="AP266" i="45" s="1"/>
  <c r="AP415" i="45" s="1"/>
  <c r="BH296" i="45"/>
  <c r="BH338" i="45"/>
  <c r="D279" i="46"/>
  <c r="F279" i="46" s="1"/>
  <c r="F154" i="46"/>
  <c r="F171" i="46"/>
  <c r="I193" i="28"/>
  <c r="G48" i="51"/>
  <c r="I45" i="28"/>
  <c r="J32" i="28"/>
  <c r="J194" i="28" s="1"/>
  <c r="K97" i="44"/>
  <c r="BF701" i="45"/>
  <c r="BF698" i="45"/>
  <c r="BG683" i="45"/>
  <c r="BG681" i="45" s="1"/>
  <c r="BG686" i="45"/>
  <c r="BG684" i="45"/>
  <c r="AQ684" i="45"/>
  <c r="AQ685" i="45"/>
  <c r="AJ687" i="45"/>
  <c r="AJ684" i="45"/>
  <c r="BK685" i="45"/>
  <c r="BK686" i="45"/>
  <c r="BK683" i="45"/>
  <c r="BK681" i="45" s="1"/>
  <c r="BK684" i="45"/>
  <c r="AY684" i="45"/>
  <c r="AY683" i="45"/>
  <c r="AY681" i="45" s="1"/>
  <c r="AY686" i="45"/>
  <c r="AL687" i="45"/>
  <c r="AL683" i="45"/>
  <c r="AL681" i="45" s="1"/>
  <c r="AL686" i="45"/>
  <c r="AV332" i="45"/>
  <c r="AV153" i="45"/>
  <c r="AT334" i="45"/>
  <c r="AT341" i="45" s="1"/>
  <c r="AT316" i="45" s="1"/>
  <c r="AT175" i="45"/>
  <c r="AT176" i="45" s="1"/>
  <c r="AR141" i="45"/>
  <c r="AS204" i="45"/>
  <c r="AR382" i="45"/>
  <c r="BA296" i="45"/>
  <c r="BA329" i="45"/>
  <c r="AZ340" i="45"/>
  <c r="AZ289" i="45" s="1"/>
  <c r="AZ335" i="45"/>
  <c r="BA336" i="45" s="1"/>
  <c r="BH173" i="45"/>
  <c r="BH299" i="45"/>
  <c r="AK184" i="45"/>
  <c r="AZ141" i="45"/>
  <c r="AZ176" i="45" s="1"/>
  <c r="AZ204" i="45"/>
  <c r="AX297" i="45"/>
  <c r="BK329" i="45"/>
  <c r="AH329" i="45"/>
  <c r="AH296" i="45"/>
  <c r="BI401" i="45"/>
  <c r="BI402" i="45" s="1"/>
  <c r="BI297" i="45"/>
  <c r="G209" i="46"/>
  <c r="G226" i="46"/>
  <c r="K335" i="45"/>
  <c r="F487" i="45"/>
  <c r="F632" i="45"/>
  <c r="F623" i="45" s="1"/>
  <c r="F615" i="45"/>
  <c r="B109" i="46"/>
  <c r="B137" i="46" s="1"/>
  <c r="B135" i="46"/>
  <c r="Z582" i="45"/>
  <c r="B34" i="38"/>
  <c r="C34" i="38"/>
  <c r="J188" i="46"/>
  <c r="J153" i="46"/>
  <c r="J175" i="46"/>
  <c r="G53" i="3"/>
  <c r="K252" i="45"/>
  <c r="K348" i="45" s="1"/>
  <c r="K180" i="45"/>
  <c r="K250" i="45"/>
  <c r="BK339" i="45"/>
  <c r="O687" i="45"/>
  <c r="O685" i="45"/>
  <c r="O684" i="45"/>
  <c r="O683" i="45"/>
  <c r="O681" i="45" s="1"/>
  <c r="O686" i="45"/>
  <c r="AI208" i="45"/>
  <c r="Z188" i="45"/>
  <c r="N17" i="4"/>
  <c r="N88" i="2"/>
  <c r="E14" i="54"/>
  <c r="H231" i="45"/>
  <c r="V698" i="45"/>
  <c r="F698" i="45"/>
  <c r="AQ383" i="45"/>
  <c r="AQ384" i="45" s="1"/>
  <c r="AQ266" i="45" s="1"/>
  <c r="AQ415" i="45" s="1"/>
  <c r="AO296" i="45"/>
  <c r="G230" i="45"/>
  <c r="F77" i="45"/>
  <c r="F298" i="45" s="1"/>
  <c r="E137" i="46"/>
  <c r="AS383" i="45"/>
  <c r="AS384" i="45" s="1"/>
  <c r="AS266" i="45" s="1"/>
  <c r="AS415" i="45" s="1"/>
  <c r="AA684" i="45"/>
  <c r="AA686" i="45"/>
  <c r="S686" i="45"/>
  <c r="S683" i="45"/>
  <c r="S681" i="45" s="1"/>
  <c r="N129" i="4"/>
  <c r="X54" i="12" s="1"/>
  <c r="D17" i="56" s="1"/>
  <c r="I96" i="28"/>
  <c r="H586" i="45"/>
  <c r="I615" i="45"/>
  <c r="I632" i="45"/>
  <c r="G76" i="28"/>
  <c r="J276" i="45"/>
  <c r="N219" i="46"/>
  <c r="M141" i="46"/>
  <c r="E192" i="46"/>
  <c r="D153" i="46"/>
  <c r="D154" i="46" s="1"/>
  <c r="D158" i="46"/>
  <c r="M221" i="46"/>
  <c r="M222" i="46" s="1"/>
  <c r="M226" i="46"/>
  <c r="J41" i="45"/>
  <c r="I77" i="45"/>
  <c r="E42" i="6"/>
  <c r="D86" i="2"/>
  <c r="N146" i="45" s="1"/>
  <c r="N147" i="45" s="1"/>
  <c r="E35" i="6"/>
  <c r="E37" i="6"/>
  <c r="E41" i="6"/>
  <c r="Q700" i="45"/>
  <c r="Q701" i="45"/>
  <c r="Y700" i="45"/>
  <c r="Y701" i="45"/>
  <c r="G68" i="28"/>
  <c r="G46" i="28"/>
  <c r="F49" i="51"/>
  <c r="H42" i="28"/>
  <c r="D60" i="28"/>
  <c r="D102" i="28"/>
  <c r="K84" i="6"/>
  <c r="L84" i="6"/>
  <c r="H32" i="6"/>
  <c r="I76" i="6"/>
  <c r="H11" i="6"/>
  <c r="I11" i="6"/>
  <c r="J70" i="6"/>
  <c r="I88" i="2" s="1"/>
  <c r="C42" i="28"/>
  <c r="C49" i="28"/>
  <c r="F50" i="28"/>
  <c r="C31" i="38"/>
  <c r="D49" i="51"/>
  <c r="G42" i="28"/>
  <c r="F42" i="28"/>
  <c r="G13" i="28"/>
  <c r="AF404" i="45"/>
  <c r="L549" i="45"/>
  <c r="L528" i="45"/>
  <c r="F338" i="45"/>
  <c r="F289" i="45" s="1"/>
  <c r="F227" i="45"/>
  <c r="F308" i="45" s="1"/>
  <c r="C170" i="46"/>
  <c r="C192" i="46"/>
  <c r="G158" i="46"/>
  <c r="G192" i="46"/>
  <c r="G170" i="46"/>
  <c r="G175" i="46"/>
  <c r="J77" i="45"/>
  <c r="J275" i="45"/>
  <c r="T697" i="45"/>
  <c r="T695" i="45" s="1"/>
  <c r="T699" i="45"/>
  <c r="I204" i="45"/>
  <c r="H701" i="45"/>
  <c r="H697" i="45"/>
  <c r="H695" i="45" s="1"/>
  <c r="H700" i="45"/>
  <c r="K697" i="45"/>
  <c r="K695" i="45" s="1"/>
  <c r="K698" i="45"/>
  <c r="K699" i="45"/>
  <c r="P701" i="45"/>
  <c r="P700" i="45"/>
  <c r="P697" i="45"/>
  <c r="P695" i="45" s="1"/>
  <c r="S697" i="45"/>
  <c r="S695" i="45" s="1"/>
  <c r="S698" i="45"/>
  <c r="S701" i="45"/>
  <c r="X701" i="45"/>
  <c r="X697" i="45"/>
  <c r="X695" i="45" s="1"/>
  <c r="X700" i="45"/>
  <c r="AA697" i="45"/>
  <c r="AA695" i="45" s="1"/>
  <c r="AA698" i="45"/>
  <c r="AA699" i="45"/>
  <c r="H49" i="28"/>
  <c r="Y698" i="45"/>
  <c r="Q698" i="45"/>
  <c r="M700" i="45"/>
  <c r="M701" i="45"/>
  <c r="U698" i="45"/>
  <c r="U701" i="45"/>
  <c r="K81" i="3"/>
  <c r="K44" i="4" s="1"/>
  <c r="G56" i="12"/>
  <c r="I23" i="28"/>
  <c r="I192" i="28" s="1"/>
  <c r="H23" i="28"/>
  <c r="F48" i="51"/>
  <c r="F50" i="51" s="1"/>
  <c r="H32" i="28"/>
  <c r="F53" i="3"/>
  <c r="C102" i="28"/>
  <c r="C103" i="28" s="1"/>
  <c r="E102" i="28"/>
  <c r="E105" i="28"/>
  <c r="E106" i="28" s="1"/>
  <c r="E60" i="28"/>
  <c r="C12" i="6"/>
  <c r="M70" i="6"/>
  <c r="Q113" i="45"/>
  <c r="Q203" i="45" s="1"/>
  <c r="G186" i="2"/>
  <c r="Q118" i="45" s="1"/>
  <c r="Q114" i="45" s="1"/>
  <c r="C81" i="3"/>
  <c r="C44" i="4" s="1"/>
  <c r="C13" i="6"/>
  <c r="C15" i="6"/>
  <c r="C114" i="2"/>
  <c r="C116" i="2" s="1"/>
  <c r="C145" i="1" s="1"/>
  <c r="N70" i="6"/>
  <c r="I41" i="3"/>
  <c r="I53" i="3" s="1"/>
  <c r="C50" i="51"/>
  <c r="P188" i="45"/>
  <c r="F43" i="2"/>
  <c r="F9" i="2" s="1"/>
  <c r="P203" i="45"/>
  <c r="D50" i="51"/>
  <c r="D51" i="51" s="1"/>
  <c r="D38" i="1"/>
  <c r="E96" i="28"/>
  <c r="E97" i="28" s="1"/>
  <c r="AI404" i="45"/>
  <c r="AN227" i="45"/>
  <c r="AN308" i="45" s="1"/>
  <c r="AV227" i="45"/>
  <c r="AV308" i="45" s="1"/>
  <c r="R693" i="45"/>
  <c r="I208" i="45"/>
  <c r="G78" i="45"/>
  <c r="G181" i="45" s="1"/>
  <c r="AY404" i="45"/>
  <c r="G27" i="38"/>
  <c r="G36" i="38" s="1"/>
  <c r="H220" i="46"/>
  <c r="D208" i="46"/>
  <c r="C208" i="46"/>
  <c r="B156" i="46"/>
  <c r="G152" i="46"/>
  <c r="B78" i="46"/>
  <c r="H186" i="2"/>
  <c r="H188" i="2" s="1"/>
  <c r="BA227" i="45"/>
  <c r="BA308" i="45" s="1"/>
  <c r="AT402" i="45"/>
  <c r="AT404" i="45" s="1"/>
  <c r="J329" i="45"/>
  <c r="J298" i="45" s="1"/>
  <c r="H329" i="45"/>
  <c r="G329" i="45"/>
  <c r="H78" i="45"/>
  <c r="F78" i="45"/>
  <c r="E27" i="56"/>
  <c r="G27" i="56" s="1"/>
  <c r="S203" i="45"/>
  <c r="BB404" i="45"/>
  <c r="BA299" i="45"/>
  <c r="AV137" i="45"/>
  <c r="AU166" i="45"/>
  <c r="BC191" i="45"/>
  <c r="BC184" i="45" s="1"/>
  <c r="BI137" i="45"/>
  <c r="BK166" i="45"/>
  <c r="BJ191" i="45"/>
  <c r="BJ184" i="45" s="1"/>
  <c r="AK690" i="45"/>
  <c r="AK688" i="45" s="1"/>
  <c r="AP690" i="45"/>
  <c r="AP688" i="45" s="1"/>
  <c r="AQ690" i="45"/>
  <c r="AQ688" i="45" s="1"/>
  <c r="AF691" i="45"/>
  <c r="AQ691" i="45"/>
  <c r="BE691" i="45"/>
  <c r="AF693" i="45"/>
  <c r="AQ693" i="45"/>
  <c r="AT694" i="45"/>
  <c r="BJ195" i="45"/>
  <c r="BH195" i="45"/>
  <c r="BH394" i="45" s="1"/>
  <c r="BF195" i="45"/>
  <c r="BF394" i="45" s="1"/>
  <c r="BD195" i="45"/>
  <c r="BA195" i="45"/>
  <c r="AY195" i="45"/>
  <c r="AW195" i="45"/>
  <c r="AS195" i="45"/>
  <c r="AS394" i="45" s="1"/>
  <c r="AQ195" i="45"/>
  <c r="AQ394" i="45" s="1"/>
  <c r="AO195" i="45"/>
  <c r="AK195" i="45"/>
  <c r="AK394" i="45" s="1"/>
  <c r="AH195" i="45"/>
  <c r="AL227" i="45"/>
  <c r="AL308" i="45" s="1"/>
  <c r="BJ227" i="45"/>
  <c r="BJ308" i="45" s="1"/>
  <c r="BE404" i="45"/>
  <c r="F87" i="44"/>
  <c r="AO580" i="45"/>
  <c r="AO582" i="45"/>
  <c r="AO496" i="45"/>
  <c r="AO499" i="45" s="1"/>
  <c r="AO505" i="45" s="1"/>
  <c r="AO590" i="45"/>
  <c r="AN580" i="45"/>
  <c r="BW41" i="45"/>
  <c r="BW38" i="45"/>
  <c r="F15" i="57"/>
  <c r="H15" i="57"/>
  <c r="AF195" i="45"/>
  <c r="AO208" i="45"/>
  <c r="BK195" i="45"/>
  <c r="BK394" i="45" s="1"/>
  <c r="BI195" i="45"/>
  <c r="BG195" i="45"/>
  <c r="BE195" i="45"/>
  <c r="BB195" i="45"/>
  <c r="AZ195" i="45"/>
  <c r="AX195" i="45"/>
  <c r="AX279" i="45" s="1"/>
  <c r="AV195" i="45"/>
  <c r="AV279" i="45" s="1"/>
  <c r="AT195" i="45"/>
  <c r="AR195" i="45"/>
  <c r="AP195" i="45"/>
  <c r="AN195" i="45"/>
  <c r="AN279" i="45" s="1"/>
  <c r="AG195" i="45"/>
  <c r="I42" i="28"/>
  <c r="I196" i="28" s="1"/>
  <c r="L36" i="2"/>
  <c r="C4" i="56"/>
  <c r="C5" i="56" s="1"/>
  <c r="C11" i="56" s="1"/>
  <c r="C13" i="56" s="1"/>
  <c r="V34" i="12"/>
  <c r="P15" i="28"/>
  <c r="P70" i="28" s="1"/>
  <c r="O70" i="28"/>
  <c r="AN582" i="45"/>
  <c r="L165" i="28"/>
  <c r="AL195" i="45"/>
  <c r="AI195" i="45"/>
  <c r="AM208" i="45"/>
  <c r="AM195" i="45"/>
  <c r="M55" i="44"/>
  <c r="P20" i="44"/>
  <c r="P23" i="44"/>
  <c r="O23" i="44"/>
  <c r="O38" i="1"/>
  <c r="K34" i="12" s="1"/>
  <c r="F20" i="54"/>
  <c r="U96" i="29"/>
  <c r="N33" i="29"/>
  <c r="AI80" i="29"/>
  <c r="BL215" i="45" s="1"/>
  <c r="BL216" i="45" s="1"/>
  <c r="BL218" i="45" s="1"/>
  <c r="BL226" i="45" s="1"/>
  <c r="BL256" i="45" s="1"/>
  <c r="Z137" i="29"/>
  <c r="H48" i="51"/>
  <c r="AP185" i="29"/>
  <c r="AP225" i="29"/>
  <c r="AP232" i="29"/>
  <c r="AP206" i="29"/>
  <c r="AP233" i="29"/>
  <c r="N186" i="2"/>
  <c r="B11" i="56"/>
  <c r="B13" i="56" s="1"/>
  <c r="O20" i="44"/>
  <c r="AN152" i="29"/>
  <c r="AQ151" i="29"/>
  <c r="AQ313" i="29" s="1"/>
  <c r="AP321" i="29"/>
  <c r="N213" i="29"/>
  <c r="R214" i="29" s="1"/>
  <c r="R215" i="29"/>
  <c r="P189" i="45"/>
  <c r="Q189" i="45"/>
  <c r="O188" i="45"/>
  <c r="N188" i="45"/>
  <c r="Y168" i="45"/>
  <c r="Y167" i="45" s="1"/>
  <c r="O118" i="4"/>
  <c r="M160" i="45"/>
  <c r="C14" i="2"/>
  <c r="C116" i="4" s="1"/>
  <c r="R203" i="45"/>
  <c r="W164" i="45"/>
  <c r="W162" i="45" s="1"/>
  <c r="W22" i="12"/>
  <c r="X160" i="45"/>
  <c r="X185" i="45" s="1"/>
  <c r="N14" i="2"/>
  <c r="AC517" i="45"/>
  <c r="S139" i="45"/>
  <c r="S138" i="45" s="1"/>
  <c r="H17" i="2"/>
  <c r="O117" i="4"/>
  <c r="Y58" i="12" s="1"/>
  <c r="S154" i="45"/>
  <c r="O325" i="45"/>
  <c r="O326" i="45" s="1"/>
  <c r="AA29" i="12"/>
  <c r="F117" i="4"/>
  <c r="R328" i="45"/>
  <c r="U33" i="12"/>
  <c r="T33" i="12"/>
  <c r="T143" i="45"/>
  <c r="R160" i="45"/>
  <c r="G188" i="2"/>
  <c r="G29" i="2" s="1"/>
  <c r="G103" i="4" s="1"/>
  <c r="C118" i="4"/>
  <c r="I186" i="2"/>
  <c r="X113" i="45"/>
  <c r="O148" i="2"/>
  <c r="O149" i="2" s="1"/>
  <c r="O24" i="2" s="1"/>
  <c r="E103" i="4"/>
  <c r="N53" i="2"/>
  <c r="G118" i="4"/>
  <c r="L14" i="2"/>
  <c r="F186" i="2"/>
  <c r="F188" i="2" s="1"/>
  <c r="F29" i="2" s="1"/>
  <c r="G114" i="2"/>
  <c r="G17" i="2" s="1"/>
  <c r="Q156" i="45" s="1"/>
  <c r="Q155" i="45" s="1"/>
  <c r="I149" i="2"/>
  <c r="I24" i="2" s="1"/>
  <c r="S33" i="12" s="1"/>
  <c r="Y22" i="12"/>
  <c r="Y186" i="45"/>
  <c r="Q12" i="2"/>
  <c r="AA165" i="45" s="1"/>
  <c r="AA188" i="45" s="1"/>
  <c r="J116" i="2"/>
  <c r="T168" i="45"/>
  <c r="T167" i="45" s="1"/>
  <c r="T190" i="45" s="1"/>
  <c r="L114" i="2"/>
  <c r="Z29" i="12"/>
  <c r="S185" i="45"/>
  <c r="F16" i="2"/>
  <c r="X210" i="45"/>
  <c r="D186" i="2"/>
  <c r="N118" i="45" s="1"/>
  <c r="N114" i="45" s="1"/>
  <c r="N119" i="45" s="1"/>
  <c r="S36" i="12"/>
  <c r="N191" i="45"/>
  <c r="C186" i="2"/>
  <c r="N190" i="45"/>
  <c r="E118" i="4"/>
  <c r="R174" i="45"/>
  <c r="M114" i="2"/>
  <c r="M17" i="2" s="1"/>
  <c r="D19" i="54" s="1"/>
  <c r="Y161" i="45"/>
  <c r="Z210" i="45" s="1"/>
  <c r="Y19" i="12"/>
  <c r="Q161" i="45"/>
  <c r="H298" i="45"/>
  <c r="H297" i="45"/>
  <c r="D116" i="2"/>
  <c r="D145" i="1" s="1"/>
  <c r="D17" i="2"/>
  <c r="N156" i="45" s="1"/>
  <c r="N155" i="45" s="1"/>
  <c r="N328" i="45"/>
  <c r="Q150" i="45"/>
  <c r="Q151" i="45" s="1"/>
  <c r="G16" i="2"/>
  <c r="I17" i="2"/>
  <c r="I116" i="2"/>
  <c r="L186" i="2"/>
  <c r="V118" i="45" s="1"/>
  <c r="V114" i="45" s="1"/>
  <c r="V119" i="45" s="1"/>
  <c r="M182" i="2"/>
  <c r="M186" i="2" s="1"/>
  <c r="F297" i="45"/>
  <c r="J346" i="45"/>
  <c r="J310" i="45" s="1"/>
  <c r="F346" i="45"/>
  <c r="F311" i="45" s="1"/>
  <c r="Q210" i="45"/>
  <c r="X161" i="45"/>
  <c r="Y210" i="45" s="1"/>
  <c r="C134" i="4"/>
  <c r="L16" i="2"/>
  <c r="V27" i="12" s="1"/>
  <c r="N131" i="45"/>
  <c r="N130" i="45" s="1"/>
  <c r="N137" i="45" s="1"/>
  <c r="D36" i="2"/>
  <c r="P131" i="45"/>
  <c r="P130" i="45" s="1"/>
  <c r="F30" i="2"/>
  <c r="V165" i="45"/>
  <c r="V188" i="45" s="1"/>
  <c r="V22" i="12"/>
  <c r="R123" i="45"/>
  <c r="R122" i="45" s="1"/>
  <c r="R34" i="12"/>
  <c r="AD517" i="45"/>
  <c r="AE515" i="45"/>
  <c r="Y174" i="45"/>
  <c r="Y29" i="12"/>
  <c r="H346" i="45"/>
  <c r="H311" i="45" s="1"/>
  <c r="D58" i="3"/>
  <c r="N161" i="45"/>
  <c r="D87" i="3"/>
  <c r="Y164" i="45"/>
  <c r="Y162" i="45" s="1"/>
  <c r="Y187" i="45" s="1"/>
  <c r="Q36" i="3"/>
  <c r="T23" i="12"/>
  <c r="I346" i="45"/>
  <c r="I311" i="45" s="1"/>
  <c r="I297" i="45"/>
  <c r="N111" i="2"/>
  <c r="N114" i="2" s="1"/>
  <c r="O112" i="2"/>
  <c r="P112" i="2" s="1"/>
  <c r="Q112" i="2" s="1"/>
  <c r="R112" i="2" s="1"/>
  <c r="S112" i="2" s="1"/>
  <c r="S114" i="2" s="1"/>
  <c r="V164" i="45"/>
  <c r="V162" i="45" s="1"/>
  <c r="W187" i="45" s="1"/>
  <c r="P118" i="45"/>
  <c r="P114" i="45" s="1"/>
  <c r="P119" i="45" s="1"/>
  <c r="E16" i="2"/>
  <c r="E104" i="4" s="1"/>
  <c r="O150" i="45"/>
  <c r="O151" i="45" s="1"/>
  <c r="S174" i="45"/>
  <c r="S29" i="12"/>
  <c r="T28" i="12"/>
  <c r="T139" i="45"/>
  <c r="T138" i="45" s="1"/>
  <c r="R154" i="45"/>
  <c r="R26" i="12"/>
  <c r="O96" i="2"/>
  <c r="N20" i="2"/>
  <c r="W29" i="12"/>
  <c r="L148" i="2"/>
  <c r="L149" i="2" s="1"/>
  <c r="L24" i="2" s="1"/>
  <c r="X32" i="12"/>
  <c r="N23" i="2"/>
  <c r="N116" i="4" s="1"/>
  <c r="X57" i="12" s="1"/>
  <c r="S159" i="45"/>
  <c r="S21" i="12"/>
  <c r="X150" i="45"/>
  <c r="X151" i="45" s="1"/>
  <c r="X143" i="45" s="1"/>
  <c r="N16" i="2"/>
  <c r="X27" i="12" s="1"/>
  <c r="K100" i="4"/>
  <c r="K104" i="4"/>
  <c r="X118" i="45"/>
  <c r="X114" i="45" s="1"/>
  <c r="X119" i="45" s="1"/>
  <c r="N188" i="2"/>
  <c r="N29" i="2" s="1"/>
  <c r="X37" i="12"/>
  <c r="X38" i="12" s="1"/>
  <c r="C87" i="3"/>
  <c r="M161" i="45"/>
  <c r="M158" i="45" s="1"/>
  <c r="C58" i="3"/>
  <c r="I173" i="45"/>
  <c r="I299" i="45"/>
  <c r="M117" i="4"/>
  <c r="W58" i="12" s="1"/>
  <c r="W168" i="45"/>
  <c r="W167" i="45" s="1"/>
  <c r="K23" i="2"/>
  <c r="K117" i="4" s="1"/>
  <c r="U58" i="12" s="1"/>
  <c r="U32" i="12"/>
  <c r="N189" i="45"/>
  <c r="E114" i="2"/>
  <c r="G107" i="4"/>
  <c r="G36" i="2"/>
  <c r="Q131" i="45"/>
  <c r="Q130" i="45" s="1"/>
  <c r="G101" i="4"/>
  <c r="T22" i="12"/>
  <c r="T165" i="45"/>
  <c r="U164" i="45"/>
  <c r="U162" i="45" s="1"/>
  <c r="U187" i="45" s="1"/>
  <c r="U22" i="12"/>
  <c r="G166" i="45"/>
  <c r="G190" i="45"/>
  <c r="K190" i="45"/>
  <c r="J277" i="45"/>
  <c r="J190" i="45"/>
  <c r="J189" i="45"/>
  <c r="K189" i="45"/>
  <c r="K184" i="45" s="1"/>
  <c r="J337" i="45"/>
  <c r="J141" i="45"/>
  <c r="U118" i="45"/>
  <c r="U114" i="45" s="1"/>
  <c r="U119" i="45" s="1"/>
  <c r="U37" i="12"/>
  <c r="U38" i="12" s="1"/>
  <c r="L140" i="2"/>
  <c r="V31" i="12"/>
  <c r="L130" i="4"/>
  <c r="V56" i="12" s="1"/>
  <c r="B18" i="56" s="1"/>
  <c r="N164" i="2"/>
  <c r="M168" i="2"/>
  <c r="M26" i="2" s="1"/>
  <c r="M116" i="2"/>
  <c r="W328" i="45"/>
  <c r="X187" i="45"/>
  <c r="V203" i="45"/>
  <c r="D117" i="4"/>
  <c r="O119" i="45"/>
  <c r="O120" i="45" s="1"/>
  <c r="W174" i="45"/>
  <c r="J299" i="45"/>
  <c r="J195" i="45"/>
  <c r="O203" i="45"/>
  <c r="D90" i="2"/>
  <c r="D15" i="2" s="1"/>
  <c r="G189" i="45"/>
  <c r="G184" i="45" s="1"/>
  <c r="L340" i="45"/>
  <c r="N185" i="45"/>
  <c r="Q188" i="45"/>
  <c r="E81" i="2"/>
  <c r="E13" i="2" s="1"/>
  <c r="H43" i="2"/>
  <c r="H9" i="2" s="1"/>
  <c r="G339" i="45"/>
  <c r="X174" i="45"/>
  <c r="Y327" i="45"/>
  <c r="Y20" i="12"/>
  <c r="Y160" i="45"/>
  <c r="E170" i="56"/>
  <c r="O111" i="2"/>
  <c r="O114" i="2" s="1"/>
  <c r="K346" i="45"/>
  <c r="K313" i="45" s="1"/>
  <c r="P190" i="45"/>
  <c r="P166" i="45"/>
  <c r="W156" i="45"/>
  <c r="W23" i="12"/>
  <c r="R164" i="45"/>
  <c r="R162" i="45" s="1"/>
  <c r="R187" i="45" s="1"/>
  <c r="Q190" i="45"/>
  <c r="I190" i="45"/>
  <c r="I184" i="45" s="1"/>
  <c r="H190" i="45"/>
  <c r="H184" i="45" s="1"/>
  <c r="H166" i="45"/>
  <c r="H277" i="45"/>
  <c r="T137" i="45"/>
  <c r="T325" i="45"/>
  <c r="T326" i="45" s="1"/>
  <c r="R36" i="3"/>
  <c r="E100" i="4"/>
  <c r="E107" i="4"/>
  <c r="E101" i="4"/>
  <c r="U174" i="45"/>
  <c r="U29" i="12"/>
  <c r="S171" i="45"/>
  <c r="S170" i="45" s="1"/>
  <c r="T191" i="45" s="1"/>
  <c r="K298" i="45"/>
  <c r="K297" i="45"/>
  <c r="T166" i="45"/>
  <c r="U191" i="45"/>
  <c r="M137" i="45"/>
  <c r="M204" i="45" s="1"/>
  <c r="M325" i="45"/>
  <c r="M326" i="45" s="1"/>
  <c r="Q160" i="45"/>
  <c r="G14" i="2"/>
  <c r="W159" i="45"/>
  <c r="W21" i="12"/>
  <c r="M14" i="2"/>
  <c r="R31" i="12"/>
  <c r="H140" i="2"/>
  <c r="K173" i="45"/>
  <c r="K299" i="45"/>
  <c r="O14" i="2"/>
  <c r="X33" i="12"/>
  <c r="X171" i="45"/>
  <c r="X170" i="45" s="1"/>
  <c r="U189" i="45"/>
  <c r="T159" i="45"/>
  <c r="J14" i="2"/>
  <c r="J128" i="4"/>
  <c r="T55" i="12" s="1"/>
  <c r="T21" i="12"/>
  <c r="K128" i="4"/>
  <c r="U55" i="12" s="1"/>
  <c r="H62" i="4"/>
  <c r="R40" i="12" s="1"/>
  <c r="R68" i="12" s="1"/>
  <c r="H29" i="2"/>
  <c r="E30" i="2"/>
  <c r="E37" i="4" s="1"/>
  <c r="O171" i="45"/>
  <c r="O170" i="45" s="1"/>
  <c r="R33" i="12"/>
  <c r="R171" i="45"/>
  <c r="R170" i="45" s="1"/>
  <c r="W185" i="45"/>
  <c r="D63" i="2"/>
  <c r="D11" i="2"/>
  <c r="N164" i="45" s="1"/>
  <c r="N162" i="45" s="1"/>
  <c r="N187" i="45" s="1"/>
  <c r="O159" i="45"/>
  <c r="E14" i="2"/>
  <c r="T187" i="45"/>
  <c r="R150" i="45"/>
  <c r="R151" i="45" s="1"/>
  <c r="H16" i="2"/>
  <c r="R27" i="12" s="1"/>
  <c r="O189" i="45"/>
  <c r="O141" i="45"/>
  <c r="R139" i="45"/>
  <c r="R138" i="45" s="1"/>
  <c r="R28" i="12"/>
  <c r="O45" i="2"/>
  <c r="O160" i="45"/>
  <c r="E117" i="4"/>
  <c r="M185" i="45"/>
  <c r="AA203" i="45"/>
  <c r="Q77" i="3" s="1"/>
  <c r="M55" i="12" s="1"/>
  <c r="O190" i="45"/>
  <c r="F33" i="4"/>
  <c r="F31" i="4"/>
  <c r="F36" i="4"/>
  <c r="F34" i="4"/>
  <c r="T185" i="45"/>
  <c r="O337" i="45"/>
  <c r="K103" i="4"/>
  <c r="K101" i="4"/>
  <c r="K108" i="4"/>
  <c r="K107" i="4"/>
  <c r="U63" i="12" s="1"/>
  <c r="U159" i="45"/>
  <c r="V186" i="45" s="1"/>
  <c r="L128" i="4"/>
  <c r="V55" i="12" s="1"/>
  <c r="B16" i="56" s="1"/>
  <c r="F100" i="4"/>
  <c r="F107" i="4"/>
  <c r="F104" i="4"/>
  <c r="F103" i="4"/>
  <c r="F37" i="4"/>
  <c r="F108" i="4"/>
  <c r="D188" i="2"/>
  <c r="L116" i="2"/>
  <c r="I335" i="45"/>
  <c r="P159" i="45"/>
  <c r="F35" i="4"/>
  <c r="F32" i="4"/>
  <c r="F101" i="4"/>
  <c r="M190" i="45"/>
  <c r="M166" i="45"/>
  <c r="C16" i="2"/>
  <c r="K62" i="4"/>
  <c r="U40" i="12" s="1"/>
  <c r="U68" i="12" s="1"/>
  <c r="K63" i="4"/>
  <c r="B175" i="56"/>
  <c r="K30" i="2"/>
  <c r="K32" i="4" s="1"/>
  <c r="U160" i="45"/>
  <c r="U185" i="45" s="1"/>
  <c r="U20" i="12"/>
  <c r="F63" i="4"/>
  <c r="F62" i="4"/>
  <c r="J186" i="2"/>
  <c r="T36" i="12"/>
  <c r="T113" i="45"/>
  <c r="Z33" i="12"/>
  <c r="E62" i="4"/>
  <c r="E63" i="4"/>
  <c r="P110" i="2"/>
  <c r="Q110" i="2" s="1"/>
  <c r="P36" i="3"/>
  <c r="R70" i="2"/>
  <c r="R12" i="2" s="1"/>
  <c r="AB165" i="45" s="1"/>
  <c r="AB188" i="45" s="1"/>
  <c r="L336" i="45"/>
  <c r="O187" i="45"/>
  <c r="Q186" i="45"/>
  <c r="N159" i="45"/>
  <c r="D14" i="2"/>
  <c r="K14" i="2"/>
  <c r="U188" i="45"/>
  <c r="P325" i="45"/>
  <c r="P326" i="45" s="1"/>
  <c r="P137" i="45"/>
  <c r="Q171" i="45"/>
  <c r="Q170" i="45" s="1"/>
  <c r="Q191" i="45" s="1"/>
  <c r="V29" i="12"/>
  <c r="V174" i="45"/>
  <c r="F11" i="2"/>
  <c r="P164" i="45" s="1"/>
  <c r="P162" i="45" s="1"/>
  <c r="F63" i="2"/>
  <c r="E17" i="2"/>
  <c r="O156" i="45" s="1"/>
  <c r="E116" i="2"/>
  <c r="O328" i="45"/>
  <c r="S22" i="12"/>
  <c r="S165" i="45"/>
  <c r="T188" i="45" s="1"/>
  <c r="S20" i="12"/>
  <c r="I14" i="2"/>
  <c r="I117" i="4"/>
  <c r="S58" i="12" s="1"/>
  <c r="U154" i="45"/>
  <c r="U26" i="12"/>
  <c r="R120" i="2"/>
  <c r="Q122" i="2"/>
  <c r="Q18" i="2" s="1"/>
  <c r="X139" i="45"/>
  <c r="X138" i="45" s="1"/>
  <c r="X28" i="12"/>
  <c r="X165" i="45"/>
  <c r="X22" i="12"/>
  <c r="J173" i="45"/>
  <c r="C36" i="2"/>
  <c r="X20" i="12"/>
  <c r="I334" i="45"/>
  <c r="I274" i="45" s="1"/>
  <c r="D129" i="4"/>
  <c r="C117" i="4"/>
  <c r="F299" i="45"/>
  <c r="U150" i="45"/>
  <c r="U151" i="45" s="1"/>
  <c r="U328" i="45"/>
  <c r="K17" i="2"/>
  <c r="K116" i="2"/>
  <c r="S161" i="45"/>
  <c r="S19" i="12"/>
  <c r="V154" i="45"/>
  <c r="V26" i="12"/>
  <c r="AA515" i="45"/>
  <c r="AB517" i="45"/>
  <c r="J227" i="45"/>
  <c r="J308" i="45" s="1"/>
  <c r="J296" i="45"/>
  <c r="J297" i="45"/>
  <c r="K338" i="45"/>
  <c r="D118" i="4"/>
  <c r="R165" i="45"/>
  <c r="R188" i="45" s="1"/>
  <c r="R22" i="12"/>
  <c r="F114" i="2"/>
  <c r="F36" i="2"/>
  <c r="R118" i="45"/>
  <c r="R114" i="45" s="1"/>
  <c r="R119" i="45" s="1"/>
  <c r="R37" i="12"/>
  <c r="R38" i="12" s="1"/>
  <c r="S118" i="45"/>
  <c r="S114" i="45" s="1"/>
  <c r="S119" i="45" s="1"/>
  <c r="S37" i="12"/>
  <c r="I188" i="2"/>
  <c r="U161" i="45"/>
  <c r="U19" i="12"/>
  <c r="K36" i="2"/>
  <c r="J36" i="2"/>
  <c r="T34" i="12"/>
  <c r="S131" i="45"/>
  <c r="S130" i="45" s="1"/>
  <c r="S34" i="12"/>
  <c r="I36" i="2"/>
  <c r="I145" i="1"/>
  <c r="Y36" i="12"/>
  <c r="Y113" i="45"/>
  <c r="E175" i="56"/>
  <c r="M328" i="45"/>
  <c r="C17" i="2"/>
  <c r="M156" i="45" s="1"/>
  <c r="N143" i="45"/>
  <c r="J117" i="4"/>
  <c r="T58" i="12" s="1"/>
  <c r="T32" i="12"/>
  <c r="V139" i="45"/>
  <c r="V138" i="45" s="1"/>
  <c r="V189" i="45" s="1"/>
  <c r="V28" i="12"/>
  <c r="I120" i="45"/>
  <c r="X29" i="12"/>
  <c r="H81" i="2"/>
  <c r="H13" i="2" s="1"/>
  <c r="V19" i="12"/>
  <c r="H42" i="12" s="1"/>
  <c r="V161" i="45"/>
  <c r="N63" i="4"/>
  <c r="F173" i="45"/>
  <c r="V20" i="12"/>
  <c r="G116" i="2"/>
  <c r="H145" i="1" s="1"/>
  <c r="F184" i="45"/>
  <c r="I227" i="45"/>
  <c r="I308" i="45" s="1"/>
  <c r="I338" i="45"/>
  <c r="G195" i="45"/>
  <c r="G279" i="45" s="1"/>
  <c r="U131" i="45"/>
  <c r="U130" i="45" s="1"/>
  <c r="U34" i="12"/>
  <c r="T161" i="45"/>
  <c r="T19" i="12"/>
  <c r="F42" i="12" s="1"/>
  <c r="W113" i="45"/>
  <c r="W36" i="12"/>
  <c r="AB36" i="12"/>
  <c r="AB113" i="45"/>
  <c r="P143" i="45"/>
  <c r="P153" i="45" s="1"/>
  <c r="O185" i="2"/>
  <c r="O186" i="2" s="1"/>
  <c r="M149" i="2"/>
  <c r="M24" i="2" s="1"/>
  <c r="D175" i="56" s="1"/>
  <c r="N45" i="54"/>
  <c r="V131" i="45"/>
  <c r="V130" i="45" s="1"/>
  <c r="T149" i="2"/>
  <c r="S149" i="2"/>
  <c r="S24" i="2" s="1"/>
  <c r="W143" i="45"/>
  <c r="AD325" i="45"/>
  <c r="K208" i="45"/>
  <c r="T20" i="2"/>
  <c r="AC29" i="12"/>
  <c r="AC174" i="45"/>
  <c r="D10" i="1"/>
  <c r="D11" i="1" s="1"/>
  <c r="D86" i="1"/>
  <c r="I74" i="54"/>
  <c r="I73" i="54" s="1"/>
  <c r="I72" i="54" s="1"/>
  <c r="E116" i="28"/>
  <c r="N113" i="1"/>
  <c r="F165" i="4"/>
  <c r="F163" i="4" s="1"/>
  <c r="K45" i="2"/>
  <c r="I61" i="1"/>
  <c r="I64" i="1" s="1"/>
  <c r="F129" i="4"/>
  <c r="N108" i="1"/>
  <c r="N109" i="1" s="1"/>
  <c r="N10" i="1"/>
  <c r="N12" i="4" s="1"/>
  <c r="S35" i="45"/>
  <c r="S37" i="45" s="1"/>
  <c r="S40" i="45" s="1"/>
  <c r="F53" i="2"/>
  <c r="F113" i="1"/>
  <c r="I11" i="4"/>
  <c r="I53" i="2"/>
  <c r="I113" i="1"/>
  <c r="M206" i="45"/>
  <c r="H26" i="12"/>
  <c r="F95" i="1"/>
  <c r="L122" i="1"/>
  <c r="I16" i="4"/>
  <c r="N115" i="1"/>
  <c r="N86" i="1"/>
  <c r="F15" i="4"/>
  <c r="P35" i="45"/>
  <c r="P37" i="45" s="1"/>
  <c r="Y96" i="45"/>
  <c r="Y93" i="45" s="1"/>
  <c r="K130" i="4"/>
  <c r="U56" i="12" s="1"/>
  <c r="M96" i="45"/>
  <c r="M93" i="45" s="1"/>
  <c r="D68" i="56"/>
  <c r="D75" i="56" s="1"/>
  <c r="D101" i="56" s="1"/>
  <c r="E115" i="28"/>
  <c r="H85" i="28"/>
  <c r="G116" i="28"/>
  <c r="F116" i="1"/>
  <c r="I165" i="4"/>
  <c r="I163" i="4" s="1"/>
  <c r="I14" i="4"/>
  <c r="I114" i="1"/>
  <c r="F13" i="4"/>
  <c r="D53" i="56"/>
  <c r="H102" i="28"/>
  <c r="F14" i="4"/>
  <c r="F117" i="1"/>
  <c r="Q131" i="1"/>
  <c r="M122" i="1"/>
  <c r="B115" i="28"/>
  <c r="I129" i="4"/>
  <c r="S54" i="12" s="1"/>
  <c r="E19" i="12"/>
  <c r="E74" i="12" s="1"/>
  <c r="I15" i="4"/>
  <c r="I117" i="1"/>
  <c r="F92" i="1"/>
  <c r="I92" i="1"/>
  <c r="X361" i="45"/>
  <c r="V206" i="45"/>
  <c r="N105" i="45"/>
  <c r="N104" i="45" s="1"/>
  <c r="D18" i="4"/>
  <c r="N18" i="4"/>
  <c r="X105" i="45"/>
  <c r="X104" i="45" s="1"/>
  <c r="X88" i="45" s="1"/>
  <c r="J29" i="12"/>
  <c r="F181" i="45"/>
  <c r="F195" i="45" s="1"/>
  <c r="F81" i="45"/>
  <c r="I195" i="45"/>
  <c r="G202" i="45"/>
  <c r="L343" i="45"/>
  <c r="K249" i="45"/>
  <c r="J281" i="45"/>
  <c r="J279" i="45"/>
  <c r="K194" i="45"/>
  <c r="K195" i="45"/>
  <c r="H181" i="45"/>
  <c r="H195" i="45" s="1"/>
  <c r="H81" i="45"/>
  <c r="T65" i="45"/>
  <c r="J142" i="2"/>
  <c r="H10" i="1"/>
  <c r="D116" i="28"/>
  <c r="E125" i="28" s="1"/>
  <c r="X362" i="45"/>
  <c r="N64" i="1"/>
  <c r="K92" i="45"/>
  <c r="F205" i="45"/>
  <c r="F208" i="45" s="1"/>
  <c r="G44" i="56"/>
  <c r="U206" i="45"/>
  <c r="G103" i="28"/>
  <c r="T105" i="45"/>
  <c r="T104" i="45" s="1"/>
  <c r="T192" i="45" s="1"/>
  <c r="R105" i="45"/>
  <c r="R104" i="45" s="1"/>
  <c r="R88" i="45" s="1"/>
  <c r="J76" i="1"/>
  <c r="M76" i="1"/>
  <c r="N96" i="45"/>
  <c r="N93" i="45" s="1"/>
  <c r="T206" i="45"/>
  <c r="R96" i="45"/>
  <c r="R93" i="45" s="1"/>
  <c r="D27" i="12"/>
  <c r="H38" i="1"/>
  <c r="D34" i="12" s="1"/>
  <c r="Q38" i="1"/>
  <c r="M34" i="12" s="1"/>
  <c r="AA96" i="45"/>
  <c r="AA93" i="45" s="1"/>
  <c r="H41" i="6"/>
  <c r="G86" i="2"/>
  <c r="Q146" i="45" s="1"/>
  <c r="Q147" i="45" s="1"/>
  <c r="H35" i="6"/>
  <c r="H38" i="6"/>
  <c r="H37" i="6"/>
  <c r="H39" i="6"/>
  <c r="H36" i="6"/>
  <c r="W154" i="45"/>
  <c r="W26" i="12"/>
  <c r="D143" i="4"/>
  <c r="I90" i="2"/>
  <c r="S25" i="12"/>
  <c r="X25" i="12"/>
  <c r="N90" i="2"/>
  <c r="H40" i="6"/>
  <c r="AA154" i="45"/>
  <c r="AA26" i="12"/>
  <c r="H70" i="6"/>
  <c r="G88" i="2" s="1"/>
  <c r="G90" i="2" s="1"/>
  <c r="J161" i="1"/>
  <c r="S146" i="45"/>
  <c r="S147" i="45" s="1"/>
  <c r="S143" i="45" s="1"/>
  <c r="V146" i="45"/>
  <c r="V147" i="45" s="1"/>
  <c r="V143" i="45" s="1"/>
  <c r="C13" i="54"/>
  <c r="V24" i="12"/>
  <c r="M84" i="6"/>
  <c r="C28" i="54" s="1"/>
  <c r="N84" i="6"/>
  <c r="D28" i="54" s="1"/>
  <c r="P84" i="6"/>
  <c r="F28" i="54" s="1"/>
  <c r="G40" i="6"/>
  <c r="G42" i="6"/>
  <c r="G36" i="6"/>
  <c r="G41" i="6"/>
  <c r="G39" i="6"/>
  <c r="G38" i="6"/>
  <c r="I56" i="6"/>
  <c r="H87" i="2" s="1"/>
  <c r="R152" i="45" s="1"/>
  <c r="I18" i="6"/>
  <c r="D32" i="6"/>
  <c r="E11" i="6"/>
  <c r="E76" i="6"/>
  <c r="E84" i="6" s="1"/>
  <c r="I83" i="6"/>
  <c r="I84" i="6" s="1"/>
  <c r="J83" i="6"/>
  <c r="J84" i="6" s="1"/>
  <c r="X154" i="45"/>
  <c r="X26" i="12"/>
  <c r="G35" i="6"/>
  <c r="D35" i="6"/>
  <c r="I69" i="6"/>
  <c r="I70" i="6" s="1"/>
  <c r="H88" i="2" s="1"/>
  <c r="U146" i="45"/>
  <c r="U147" i="45" s="1"/>
  <c r="U24" i="12"/>
  <c r="D56" i="6"/>
  <c r="C87" i="2" s="1"/>
  <c r="M152" i="45" s="1"/>
  <c r="D69" i="6"/>
  <c r="E18" i="6"/>
  <c r="D61" i="6"/>
  <c r="G70" i="6"/>
  <c r="F88" i="2" s="1"/>
  <c r="F90" i="2" s="1"/>
  <c r="K70" i="6"/>
  <c r="J88" i="2" s="1"/>
  <c r="L70" i="6"/>
  <c r="K88" i="2" s="1"/>
  <c r="F11" i="6"/>
  <c r="F61" i="6"/>
  <c r="F70" i="6" s="1"/>
  <c r="E88" i="2" s="1"/>
  <c r="E90" i="2" s="1"/>
  <c r="G76" i="6"/>
  <c r="G84" i="6" s="1"/>
  <c r="F32" i="6"/>
  <c r="F76" i="6"/>
  <c r="F84" i="6" s="1"/>
  <c r="H69" i="6"/>
  <c r="H18" i="6"/>
  <c r="H42" i="6"/>
  <c r="I32" i="6"/>
  <c r="P70" i="6"/>
  <c r="Y105" i="45"/>
  <c r="Y104" i="45" s="1"/>
  <c r="Y192" i="45" s="1"/>
  <c r="K29" i="12"/>
  <c r="P86" i="45"/>
  <c r="P84" i="45" s="1"/>
  <c r="P205" i="45" s="1"/>
  <c r="F16" i="4"/>
  <c r="E9" i="1"/>
  <c r="E12" i="4" s="1"/>
  <c r="E92" i="1"/>
  <c r="E95" i="1"/>
  <c r="V96" i="45"/>
  <c r="V93" i="45" s="1"/>
  <c r="L38" i="1"/>
  <c r="H34" i="12" s="1"/>
  <c r="C126" i="56"/>
  <c r="L114" i="1"/>
  <c r="L15" i="4"/>
  <c r="L18" i="4"/>
  <c r="L11" i="4"/>
  <c r="L123" i="4"/>
  <c r="V60" i="12" s="1"/>
  <c r="L129" i="4"/>
  <c r="V54" i="12" s="1"/>
  <c r="B17" i="56" s="1"/>
  <c r="L11" i="1"/>
  <c r="L52" i="4" s="1"/>
  <c r="C9" i="54"/>
  <c r="C7" i="54" s="1"/>
  <c r="L117" i="1"/>
  <c r="L16" i="4"/>
  <c r="L14" i="4"/>
  <c r="L53" i="2"/>
  <c r="L12" i="4"/>
  <c r="L113" i="1"/>
  <c r="L115" i="1"/>
  <c r="H19" i="12"/>
  <c r="L165" i="4"/>
  <c r="L163" i="4" s="1"/>
  <c r="G256" i="46"/>
  <c r="L1" i="1"/>
  <c r="L116" i="1"/>
  <c r="L86" i="1"/>
  <c r="L110" i="1"/>
  <c r="L63" i="2"/>
  <c r="B34" i="56"/>
  <c r="V35" i="45"/>
  <c r="V37" i="45" s="1"/>
  <c r="V40" i="45" s="1"/>
  <c r="V276" i="45" s="1"/>
  <c r="N38" i="1"/>
  <c r="J34" i="12" s="1"/>
  <c r="X96" i="45"/>
  <c r="X93" i="45" s="1"/>
  <c r="I27" i="12"/>
  <c r="W82" i="45"/>
  <c r="W197" i="45" s="1"/>
  <c r="M72" i="3" s="1"/>
  <c r="I53" i="12" s="1"/>
  <c r="N82" i="45"/>
  <c r="N197" i="45" s="1"/>
  <c r="D17" i="4"/>
  <c r="P96" i="45"/>
  <c r="P93" i="45" s="1"/>
  <c r="F38" i="1"/>
  <c r="H9" i="1"/>
  <c r="D115" i="28"/>
  <c r="K53" i="2"/>
  <c r="K123" i="4"/>
  <c r="U60" i="12" s="1"/>
  <c r="K116" i="1"/>
  <c r="K129" i="4"/>
  <c r="U54" i="12" s="1"/>
  <c r="K14" i="4"/>
  <c r="K113" i="1"/>
  <c r="K11" i="1"/>
  <c r="K68" i="4" s="1"/>
  <c r="K86" i="1"/>
  <c r="K117" i="1"/>
  <c r="U35" i="45"/>
  <c r="U37" i="45" s="1"/>
  <c r="U40" i="45" s="1"/>
  <c r="V230" i="45" s="1"/>
  <c r="V416" i="45" s="1"/>
  <c r="J26" i="12"/>
  <c r="X86" i="45"/>
  <c r="X84" i="45" s="1"/>
  <c r="X205" i="45" s="1"/>
  <c r="N80" i="3" s="1"/>
  <c r="J58" i="12" s="1"/>
  <c r="M128" i="4"/>
  <c r="W55" i="12" s="1"/>
  <c r="C16" i="56" s="1"/>
  <c r="M142" i="2"/>
  <c r="M130" i="4"/>
  <c r="W56" i="12" s="1"/>
  <c r="C18" i="56" s="1"/>
  <c r="M45" i="2"/>
  <c r="W44" i="45"/>
  <c r="W43" i="45" s="1"/>
  <c r="U82" i="45"/>
  <c r="U197" i="45" s="1"/>
  <c r="K17" i="4"/>
  <c r="R86" i="45"/>
  <c r="R84" i="45" s="1"/>
  <c r="R205" i="45" s="1"/>
  <c r="H16" i="4"/>
  <c r="D26" i="12"/>
  <c r="K26" i="12"/>
  <c r="O16" i="4"/>
  <c r="Y86" i="45"/>
  <c r="Y84" i="45" s="1"/>
  <c r="Y182" i="45" s="1"/>
  <c r="O67" i="3" s="1"/>
  <c r="K48" i="12" s="1"/>
  <c r="O165" i="4"/>
  <c r="O162" i="4" s="1"/>
  <c r="O133" i="4"/>
  <c r="O15" i="4"/>
  <c r="D31" i="56"/>
  <c r="O11" i="1"/>
  <c r="O68" i="4" s="1"/>
  <c r="O44" i="45"/>
  <c r="O43" i="45" s="1"/>
  <c r="G130" i="4"/>
  <c r="G45" i="2"/>
  <c r="F27" i="12"/>
  <c r="T96" i="45"/>
  <c r="T93" i="45" s="1"/>
  <c r="J38" i="1"/>
  <c r="F34" i="12" s="1"/>
  <c r="O76" i="1"/>
  <c r="S44" i="45"/>
  <c r="S43" i="45" s="1"/>
  <c r="Y362" i="45"/>
  <c r="Y206" i="45" s="1"/>
  <c r="O79" i="3" s="1"/>
  <c r="K57" i="12" s="1"/>
  <c r="Z206" i="45"/>
  <c r="P79" i="3" s="1"/>
  <c r="L57" i="12" s="1"/>
  <c r="R131" i="1"/>
  <c r="R27" i="1" s="1"/>
  <c r="AB86" i="45" s="1"/>
  <c r="AB84" i="45" s="1"/>
  <c r="G46" i="56"/>
  <c r="N95" i="1"/>
  <c r="N76" i="1"/>
  <c r="D16" i="4"/>
  <c r="D43" i="56"/>
  <c r="K151" i="1"/>
  <c r="K29" i="1" s="1"/>
  <c r="G27" i="12" s="1"/>
  <c r="K76" i="1"/>
  <c r="O120" i="1"/>
  <c r="P120" i="1"/>
  <c r="L76" i="1"/>
  <c r="N120" i="1"/>
  <c r="M95" i="1"/>
  <c r="AB361" i="45"/>
  <c r="AB226" i="45" s="1"/>
  <c r="AB256" i="45" s="1"/>
  <c r="AB207" i="45"/>
  <c r="I15" i="1"/>
  <c r="I110" i="1"/>
  <c r="V65" i="45"/>
  <c r="L13" i="4"/>
  <c r="L142" i="2"/>
  <c r="N122" i="1"/>
  <c r="V47" i="45"/>
  <c r="X226" i="45"/>
  <c r="X256" i="45" s="1"/>
  <c r="G40" i="56"/>
  <c r="H90" i="28"/>
  <c r="H92" i="28" s="1"/>
  <c r="AA206" i="45"/>
  <c r="Q79" i="3" s="1"/>
  <c r="M57" i="12" s="1"/>
  <c r="D49" i="56"/>
  <c r="H103" i="28"/>
  <c r="X403" i="45"/>
  <c r="L29" i="3"/>
  <c r="L53" i="3" s="1"/>
  <c r="L56" i="3" s="1"/>
  <c r="B41" i="56"/>
  <c r="B43" i="56"/>
  <c r="H88" i="28"/>
  <c r="G123" i="28"/>
  <c r="B51" i="56"/>
  <c r="R256" i="45"/>
  <c r="R206" i="45"/>
  <c r="B45" i="56"/>
  <c r="I162" i="4"/>
  <c r="W218" i="45"/>
  <c r="W403" i="45" s="1"/>
  <c r="H56" i="44"/>
  <c r="I97" i="44"/>
  <c r="O66" i="44"/>
  <c r="I98" i="44"/>
  <c r="O55" i="44"/>
  <c r="G92" i="56"/>
  <c r="I93" i="56" s="1"/>
  <c r="M66" i="44"/>
  <c r="D35" i="26"/>
  <c r="I55" i="44"/>
  <c r="I56" i="44" s="1"/>
  <c r="J55" i="44"/>
  <c r="J85" i="28"/>
  <c r="K90" i="28"/>
  <c r="K72" i="44"/>
  <c r="L49" i="44"/>
  <c r="K71" i="44"/>
  <c r="L48" i="44"/>
  <c r="K70" i="44"/>
  <c r="K69" i="44" s="1"/>
  <c r="L47" i="44"/>
  <c r="T47" i="45"/>
  <c r="T42" i="45" s="1"/>
  <c r="T277" i="45" s="1"/>
  <c r="J53" i="44"/>
  <c r="V16" i="48"/>
  <c r="V13" i="48"/>
  <c r="AW37" i="45"/>
  <c r="AW283" i="45" s="1"/>
  <c r="V15" i="48"/>
  <c r="R74" i="44"/>
  <c r="BP37" i="45"/>
  <c r="O32" i="48"/>
  <c r="AS279" i="45"/>
  <c r="BK345" i="45"/>
  <c r="BK346" i="45" s="1"/>
  <c r="BK310" i="45" s="1"/>
  <c r="AG205" i="45"/>
  <c r="AG208" i="45" s="1"/>
  <c r="X452" i="45"/>
  <c r="X447" i="45" s="1"/>
  <c r="X482" i="45" s="1"/>
  <c r="X485" i="45" s="1"/>
  <c r="O35" i="48"/>
  <c r="AD504" i="45"/>
  <c r="AD494" i="45" s="1"/>
  <c r="AD492" i="45" s="1"/>
  <c r="AD509" i="45" s="1"/>
  <c r="BJ345" i="45"/>
  <c r="BJ346" i="45" s="1"/>
  <c r="BJ315" i="45" s="1"/>
  <c r="AE452" i="45"/>
  <c r="BD47" i="45"/>
  <c r="Z452" i="45"/>
  <c r="X8" i="44"/>
  <c r="Z226" i="45"/>
  <c r="Z256" i="45" s="1"/>
  <c r="Z403" i="45"/>
  <c r="N309" i="45"/>
  <c r="N256" i="45"/>
  <c r="L83" i="3"/>
  <c r="F162" i="4"/>
  <c r="D261" i="46"/>
  <c r="D263" i="46" s="1"/>
  <c r="Y218" i="45"/>
  <c r="Y226" i="45" s="1"/>
  <c r="Y256" i="45" s="1"/>
  <c r="W47" i="45"/>
  <c r="F161" i="4"/>
  <c r="F123" i="28"/>
  <c r="N206" i="45"/>
  <c r="P206" i="45"/>
  <c r="E123" i="28"/>
  <c r="M182" i="45"/>
  <c r="T217" i="45"/>
  <c r="D37" i="56"/>
  <c r="B47" i="56"/>
  <c r="B39" i="56"/>
  <c r="S275" i="45"/>
  <c r="X192" i="45"/>
  <c r="AA403" i="45"/>
  <c r="AA226" i="45"/>
  <c r="O88" i="45"/>
  <c r="O192" i="45"/>
  <c r="AA201" i="45"/>
  <c r="AA207" i="45"/>
  <c r="O29" i="3"/>
  <c r="O53" i="3" s="1"/>
  <c r="Q48" i="3"/>
  <c r="D47" i="56"/>
  <c r="F125" i="28"/>
  <c r="D51" i="56"/>
  <c r="V42" i="45"/>
  <c r="T215" i="45"/>
  <c r="T345" i="45" s="1"/>
  <c r="AA215" i="45"/>
  <c r="AA345" i="45" s="1"/>
  <c r="E4" i="56"/>
  <c r="E5" i="56" s="1"/>
  <c r="E11" i="56" s="1"/>
  <c r="E13" i="56" s="1"/>
  <c r="G13" i="56" s="1"/>
  <c r="D39" i="56"/>
  <c r="D45" i="56"/>
  <c r="O309" i="45"/>
  <c r="M309" i="45"/>
  <c r="Q88" i="45"/>
  <c r="W182" i="45"/>
  <c r="M67" i="3" s="1"/>
  <c r="I48" i="12" s="1"/>
  <c r="P226" i="45"/>
  <c r="Q149" i="2"/>
  <c r="Q25" i="3" s="1"/>
  <c r="N182" i="45"/>
  <c r="W217" i="45"/>
  <c r="Y217" i="45"/>
  <c r="M47" i="45"/>
  <c r="P65" i="3"/>
  <c r="F4" i="56"/>
  <c r="F5" i="56" s="1"/>
  <c r="F11" i="56" s="1"/>
  <c r="F13" i="56" s="1"/>
  <c r="AA217" i="45"/>
  <c r="L5" i="44"/>
  <c r="L17" i="44"/>
  <c r="L98" i="44" s="1"/>
  <c r="M26" i="44"/>
  <c r="K42" i="28"/>
  <c r="K196" i="28" s="1"/>
  <c r="H18" i="26"/>
  <c r="H42" i="26" s="1"/>
  <c r="L55" i="44"/>
  <c r="M56" i="44" s="1"/>
  <c r="H49" i="51"/>
  <c r="H50" i="51" s="1"/>
  <c r="I49" i="28"/>
  <c r="I74" i="28" s="1"/>
  <c r="I57" i="28"/>
  <c r="I59" i="28" s="1"/>
  <c r="J42" i="28"/>
  <c r="J196" i="28" s="1"/>
  <c r="J49" i="28"/>
  <c r="J57" i="28"/>
  <c r="N17" i="44"/>
  <c r="O31" i="44" s="1"/>
  <c r="O26" i="44"/>
  <c r="N5" i="44"/>
  <c r="N26" i="44"/>
  <c r="K17" i="44"/>
  <c r="K5" i="44"/>
  <c r="L26" i="44"/>
  <c r="L66" i="44"/>
  <c r="O98" i="44"/>
  <c r="O5" i="44"/>
  <c r="J17" i="44"/>
  <c r="M17" i="44"/>
  <c r="M5" i="44"/>
  <c r="J5" i="44"/>
  <c r="J43" i="44" s="1"/>
  <c r="J30" i="44"/>
  <c r="K55" i="44"/>
  <c r="I99" i="28"/>
  <c r="I100" i="28" s="1"/>
  <c r="I58" i="28"/>
  <c r="I206" i="28" s="1"/>
  <c r="N55" i="44"/>
  <c r="J54" i="44"/>
  <c r="J66" i="44" s="1"/>
  <c r="F18" i="26"/>
  <c r="F42" i="26" s="1"/>
  <c r="G49" i="51"/>
  <c r="G50" i="51" s="1"/>
  <c r="I195" i="28"/>
  <c r="R6" i="44"/>
  <c r="W6" i="44"/>
  <c r="I49" i="51"/>
  <c r="I50" i="51" s="1"/>
  <c r="K195" i="28"/>
  <c r="I5" i="44"/>
  <c r="I57" i="44" s="1"/>
  <c r="K68" i="28"/>
  <c r="K198" i="28"/>
  <c r="K59" i="28"/>
  <c r="K207" i="28" s="1"/>
  <c r="K205" i="28"/>
  <c r="B37" i="56"/>
  <c r="D93" i="56"/>
  <c r="R104" i="1"/>
  <c r="Q74" i="44"/>
  <c r="Q105" i="1"/>
  <c r="D48" i="26"/>
  <c r="E47" i="26"/>
  <c r="G23" i="26"/>
  <c r="G29" i="26" s="1"/>
  <c r="G31" i="26" s="1"/>
  <c r="G35" i="26" s="1"/>
  <c r="E54" i="26"/>
  <c r="G47" i="26"/>
  <c r="G54" i="26" s="1"/>
  <c r="E23" i="26"/>
  <c r="K23" i="26"/>
  <c r="K29" i="26" s="1"/>
  <c r="K31" i="26" s="1"/>
  <c r="K54" i="26"/>
  <c r="I23" i="26"/>
  <c r="I29" i="26" s="1"/>
  <c r="I46" i="26"/>
  <c r="I47" i="26" s="1"/>
  <c r="J48" i="26"/>
  <c r="J54" i="26"/>
  <c r="Q51" i="44"/>
  <c r="L23" i="28"/>
  <c r="L192" i="28" s="1"/>
  <c r="L191" i="28"/>
  <c r="L32" i="28"/>
  <c r="L194" i="28" s="1"/>
  <c r="L193" i="28"/>
  <c r="AN21" i="29"/>
  <c r="AQ20" i="29"/>
  <c r="AN137" i="29"/>
  <c r="AQ136" i="29"/>
  <c r="S71" i="6"/>
  <c r="Z26" i="12"/>
  <c r="Y24" i="12"/>
  <c r="Y146" i="45"/>
  <c r="Y147" i="45" s="1"/>
  <c r="F13" i="54"/>
  <c r="S160" i="29"/>
  <c r="W130" i="29"/>
  <c r="AI147" i="29"/>
  <c r="AI306" i="29" s="1"/>
  <c r="AI160" i="29"/>
  <c r="AI156" i="29"/>
  <c r="AI309" i="29" s="1"/>
  <c r="AD312" i="29"/>
  <c r="AD151" i="29"/>
  <c r="AD313" i="29" s="1"/>
  <c r="N16" i="29"/>
  <c r="N42" i="29"/>
  <c r="N52" i="29"/>
  <c r="V28" i="29"/>
  <c r="V42" i="29"/>
  <c r="V52" i="29"/>
  <c r="AB298" i="29"/>
  <c r="AB301" i="29"/>
  <c r="AB15" i="29"/>
  <c r="AB297" i="29"/>
  <c r="AF295" i="29"/>
  <c r="AF297" i="29"/>
  <c r="S60" i="58"/>
  <c r="AJ297" i="29"/>
  <c r="AJ52" i="29"/>
  <c r="AP15" i="29"/>
  <c r="U60" i="58"/>
  <c r="U66" i="58" s="1"/>
  <c r="O137" i="29"/>
  <c r="O129" i="29"/>
  <c r="Q160" i="29"/>
  <c r="R131" i="29"/>
  <c r="U129" i="29"/>
  <c r="U147" i="29" s="1"/>
  <c r="U137" i="29"/>
  <c r="AE129" i="29"/>
  <c r="AE130" i="29" s="1"/>
  <c r="AE136" i="29"/>
  <c r="AO136" i="29"/>
  <c r="AK129" i="29"/>
  <c r="AO130" i="29" s="1"/>
  <c r="AL137" i="29"/>
  <c r="AO142" i="29"/>
  <c r="AK213" i="29"/>
  <c r="AM153" i="29"/>
  <c r="AQ154" i="29" s="1"/>
  <c r="AN444" i="45"/>
  <c r="AN446" i="45" s="1"/>
  <c r="BO37" i="45"/>
  <c r="BP612" i="45" s="1"/>
  <c r="AC593" i="45"/>
  <c r="AZ309" i="45"/>
  <c r="BL44" i="45"/>
  <c r="BL43" i="45" s="1"/>
  <c r="BI345" i="45"/>
  <c r="BI346" i="45" s="1"/>
  <c r="BI316" i="45" s="1"/>
  <c r="AS345" i="45"/>
  <c r="AS346" i="45" s="1"/>
  <c r="AS316" i="45" s="1"/>
  <c r="BI227" i="45"/>
  <c r="BI308" i="45" s="1"/>
  <c r="X444" i="45"/>
  <c r="X446" i="45" s="1"/>
  <c r="Y613" i="45" s="1"/>
  <c r="AD444" i="45"/>
  <c r="AD593" i="45" s="1"/>
  <c r="V444" i="45"/>
  <c r="V446" i="45" s="1"/>
  <c r="Z594" i="45" s="1"/>
  <c r="AJ444" i="45"/>
  <c r="AJ446" i="45" s="1"/>
  <c r="C3" i="48"/>
  <c r="C9" i="48" s="1"/>
  <c r="G3" i="48"/>
  <c r="J3" i="48"/>
  <c r="V60" i="58"/>
  <c r="V66" i="58" s="1"/>
  <c r="Y198" i="29"/>
  <c r="Q198" i="29"/>
  <c r="AK143" i="29"/>
  <c r="Y206" i="29"/>
  <c r="Z121" i="29"/>
  <c r="Y106" i="29"/>
  <c r="K153" i="29"/>
  <c r="Z151" i="29"/>
  <c r="Z313" i="29" s="1"/>
  <c r="AB151" i="29"/>
  <c r="AB313" i="29" s="1"/>
  <c r="AB312" i="29"/>
  <c r="Y153" i="29"/>
  <c r="Y155" i="29" s="1"/>
  <c r="AI136" i="29"/>
  <c r="AA160" i="29"/>
  <c r="R52" i="29"/>
  <c r="R42" i="29"/>
  <c r="AB42" i="29"/>
  <c r="AF300" i="29"/>
  <c r="E101" i="29"/>
  <c r="E21" i="29"/>
  <c r="Y101" i="29"/>
  <c r="Y18" i="29"/>
  <c r="AB22" i="29"/>
  <c r="AB121" i="29"/>
  <c r="R312" i="29"/>
  <c r="R152" i="29"/>
  <c r="Y151" i="29"/>
  <c r="Y313" i="29" s="1"/>
  <c r="Z152" i="29"/>
  <c r="AA152" i="29"/>
  <c r="AA312" i="29"/>
  <c r="Y201" i="29"/>
  <c r="Y202" i="29"/>
  <c r="AB320" i="29"/>
  <c r="AF321" i="29"/>
  <c r="AB206" i="29"/>
  <c r="AE224" i="29"/>
  <c r="AE236" i="29" s="1"/>
  <c r="AE225" i="29"/>
  <c r="AE186" i="29"/>
  <c r="AI321" i="29"/>
  <c r="AI224" i="29"/>
  <c r="AI236" i="29" s="1"/>
  <c r="AI206" i="29"/>
  <c r="Y324" i="29"/>
  <c r="Y221" i="29"/>
  <c r="Y220" i="29"/>
  <c r="AC141" i="29"/>
  <c r="AC221" i="29"/>
  <c r="AC220" i="29"/>
  <c r="AG141" i="29"/>
  <c r="AG324" i="29"/>
  <c r="AG207" i="29"/>
  <c r="AG323" i="29"/>
  <c r="AI324" i="29"/>
  <c r="AL141" i="29"/>
  <c r="AL220" i="29"/>
  <c r="AL221" i="29"/>
  <c r="N121" i="29"/>
  <c r="S213" i="29"/>
  <c r="AG25" i="29"/>
  <c r="AG86" i="29" s="1"/>
  <c r="S220" i="29"/>
  <c r="S224" i="29" s="1"/>
  <c r="E21" i="49"/>
  <c r="F20" i="49" s="1"/>
  <c r="F51" i="51"/>
  <c r="G51" i="51"/>
  <c r="AA131" i="45"/>
  <c r="AA130" i="45" s="1"/>
  <c r="AA325" i="45" s="1"/>
  <c r="AB174" i="45"/>
  <c r="AB29" i="12"/>
  <c r="AB131" i="45"/>
  <c r="AB130" i="45" s="1"/>
  <c r="Z131" i="45"/>
  <c r="Z130" i="45" s="1"/>
  <c r="Z28" i="12"/>
  <c r="Z139" i="45"/>
  <c r="Z138" i="45" s="1"/>
  <c r="Z189" i="45" s="1"/>
  <c r="P50" i="3"/>
  <c r="Z182" i="45"/>
  <c r="P67" i="3" s="1"/>
  <c r="L48" i="12" s="1"/>
  <c r="L13" i="58"/>
  <c r="L14" i="58"/>
  <c r="AE20" i="29"/>
  <c r="B6" i="48"/>
  <c r="B7" i="48" s="1"/>
  <c r="AE18" i="29"/>
  <c r="AK101" i="29"/>
  <c r="AO102" i="29" s="1"/>
  <c r="AO96" i="29"/>
  <c r="J115" i="29"/>
  <c r="AM1" i="29"/>
  <c r="AN131" i="29"/>
  <c r="J6" i="48"/>
  <c r="AB97" i="29"/>
  <c r="L134" i="29"/>
  <c r="S13" i="58"/>
  <c r="S15" i="58" s="1"/>
  <c r="B15" i="58"/>
  <c r="B49" i="58"/>
  <c r="B51" i="58" s="1"/>
  <c r="B35" i="58"/>
  <c r="S35" i="58"/>
  <c r="W17" i="58"/>
  <c r="W45" i="58"/>
  <c r="AM52" i="29"/>
  <c r="I115" i="29"/>
  <c r="AC25" i="29"/>
  <c r="AC86" i="29" s="1"/>
  <c r="AK42" i="29"/>
  <c r="AO15" i="29"/>
  <c r="AC20" i="29"/>
  <c r="AA113" i="29"/>
  <c r="AB115" i="29" s="1"/>
  <c r="AA144" i="29"/>
  <c r="L12" i="58"/>
  <c r="L5" i="58"/>
  <c r="L11" i="58"/>
  <c r="L15" i="58"/>
  <c r="L3" i="58"/>
  <c r="L7" i="58"/>
  <c r="L4" i="58"/>
  <c r="L8" i="58"/>
  <c r="L9" i="58"/>
  <c r="L6" i="58"/>
  <c r="L10" i="58"/>
  <c r="AO151" i="29"/>
  <c r="AO313" i="29" s="1"/>
  <c r="R25" i="29"/>
  <c r="R86" i="29" s="1"/>
  <c r="L34" i="29"/>
  <c r="N137" i="29"/>
  <c r="F51" i="58"/>
  <c r="AN47" i="45"/>
  <c r="BN37" i="45"/>
  <c r="BN40" i="45" s="1"/>
  <c r="BN249" i="45" s="1"/>
  <c r="BF37" i="45"/>
  <c r="BF40" i="45" s="1"/>
  <c r="AT37" i="45"/>
  <c r="AT283" i="45" s="1"/>
  <c r="Q33" i="48"/>
  <c r="AO182" i="45"/>
  <c r="B9" i="48"/>
  <c r="H46" i="26"/>
  <c r="K82" i="28"/>
  <c r="K96" i="28" s="1"/>
  <c r="O74" i="1"/>
  <c r="J82" i="28"/>
  <c r="J96" i="28" s="1"/>
  <c r="J97" i="28" s="1"/>
  <c r="O163" i="4"/>
  <c r="E34" i="56"/>
  <c r="E39" i="56" s="1"/>
  <c r="G126" i="56"/>
  <c r="O14" i="4"/>
  <c r="O51" i="4"/>
  <c r="F9" i="54"/>
  <c r="F10" i="54" s="1"/>
  <c r="O11" i="4"/>
  <c r="O53" i="2"/>
  <c r="O129" i="4"/>
  <c r="Y54" i="12" s="1"/>
  <c r="E17" i="56" s="1"/>
  <c r="O63" i="2"/>
  <c r="O18" i="4"/>
  <c r="O12" i="4"/>
  <c r="Y44" i="45"/>
  <c r="Y43" i="45" s="1"/>
  <c r="O130" i="4"/>
  <c r="Y56" i="12" s="1"/>
  <c r="E18" i="56" s="1"/>
  <c r="O128" i="4"/>
  <c r="O123" i="4"/>
  <c r="Y60" i="12" s="1"/>
  <c r="E36" i="56"/>
  <c r="O86" i="1"/>
  <c r="Y35" i="45"/>
  <c r="Y37" i="45" s="1"/>
  <c r="K19" i="12"/>
  <c r="K20" i="12" s="1"/>
  <c r="K75" i="12" s="1"/>
  <c r="O92" i="1"/>
  <c r="O95" i="1"/>
  <c r="I97" i="28"/>
  <c r="N163" i="4"/>
  <c r="N161" i="4"/>
  <c r="O64" i="3"/>
  <c r="L68" i="4"/>
  <c r="AA86" i="45"/>
  <c r="AA84" i="45" s="1"/>
  <c r="M26" i="12"/>
  <c r="O205" i="45"/>
  <c r="O182" i="45"/>
  <c r="P88" i="45"/>
  <c r="P192" i="45"/>
  <c r="M44" i="45"/>
  <c r="M43" i="45" s="1"/>
  <c r="C45" i="2"/>
  <c r="M105" i="45"/>
  <c r="M104" i="45" s="1"/>
  <c r="O96" i="45"/>
  <c r="O93" i="45" s="1"/>
  <c r="E38" i="1"/>
  <c r="P82" i="45"/>
  <c r="P197" i="45" s="1"/>
  <c r="F17" i="4"/>
  <c r="F10" i="1"/>
  <c r="B116" i="28"/>
  <c r="F86" i="1"/>
  <c r="F90" i="28"/>
  <c r="F88" i="28"/>
  <c r="G85" i="28"/>
  <c r="G90" i="28"/>
  <c r="H91" i="28" s="1"/>
  <c r="C92" i="1"/>
  <c r="C95" i="1"/>
  <c r="C9" i="1"/>
  <c r="C12" i="4" s="1"/>
  <c r="G9" i="1"/>
  <c r="G17" i="4" s="1"/>
  <c r="G95" i="1"/>
  <c r="G92" i="1"/>
  <c r="E109" i="1"/>
  <c r="F122" i="1"/>
  <c r="G109" i="1"/>
  <c r="H122" i="1"/>
  <c r="V217" i="45"/>
  <c r="V215" i="45"/>
  <c r="V345" i="45" s="1"/>
  <c r="U105" i="45"/>
  <c r="U104" i="45" s="1"/>
  <c r="K18" i="4"/>
  <c r="G29" i="12"/>
  <c r="S82" i="45"/>
  <c r="S197" i="45" s="1"/>
  <c r="I17" i="4"/>
  <c r="E27" i="12"/>
  <c r="R182" i="45"/>
  <c r="V182" i="45"/>
  <c r="V205" i="45"/>
  <c r="W105" i="45"/>
  <c r="W104" i="45" s="1"/>
  <c r="I29" i="12"/>
  <c r="H105" i="28"/>
  <c r="E124" i="28"/>
  <c r="I12" i="4"/>
  <c r="I130" i="4"/>
  <c r="S56" i="12" s="1"/>
  <c r="I11" i="1"/>
  <c r="I45" i="2"/>
  <c r="S361" i="45"/>
  <c r="X40" i="45"/>
  <c r="X283" i="45"/>
  <c r="M82" i="45"/>
  <c r="M197" i="45" s="1"/>
  <c r="Q12" i="3"/>
  <c r="Q47" i="3" s="1"/>
  <c r="R192" i="45"/>
  <c r="E11" i="4"/>
  <c r="E51" i="4"/>
  <c r="E15" i="4"/>
  <c r="O35" i="45"/>
  <c r="O37" i="45" s="1"/>
  <c r="O38" i="45" s="1"/>
  <c r="E115" i="1"/>
  <c r="E14" i="4"/>
  <c r="E63" i="2"/>
  <c r="V77" i="45"/>
  <c r="L131" i="4"/>
  <c r="N45" i="2"/>
  <c r="X44" i="45"/>
  <c r="X43" i="45" s="1"/>
  <c r="G82" i="28"/>
  <c r="N64" i="3"/>
  <c r="C142" i="2"/>
  <c r="M80" i="3"/>
  <c r="I58" i="12" s="1"/>
  <c r="P182" i="45"/>
  <c r="H74" i="12"/>
  <c r="N40" i="45"/>
  <c r="N283" i="45"/>
  <c r="F18" i="4"/>
  <c r="V218" i="45"/>
  <c r="Q82" i="45"/>
  <c r="Q197" i="45" s="1"/>
  <c r="T88" i="45"/>
  <c r="E126" i="56"/>
  <c r="N63" i="2"/>
  <c r="C31" i="56"/>
  <c r="N16" i="4"/>
  <c r="N114" i="1"/>
  <c r="P80" i="3"/>
  <c r="L58" i="12" s="1"/>
  <c r="X82" i="45"/>
  <c r="X197" i="45" s="1"/>
  <c r="J27" i="12"/>
  <c r="Q44" i="45"/>
  <c r="Q43" i="45" s="1"/>
  <c r="G128" i="4"/>
  <c r="D130" i="4"/>
  <c r="N44" i="45"/>
  <c r="N43" i="45" s="1"/>
  <c r="S283" i="45"/>
  <c r="V38" i="45"/>
  <c r="L162" i="4"/>
  <c r="D163" i="4"/>
  <c r="D161" i="4"/>
  <c r="D162" i="4"/>
  <c r="E130" i="4"/>
  <c r="E128" i="4"/>
  <c r="E45" i="2"/>
  <c r="Q96" i="45"/>
  <c r="Q93" i="45" s="1"/>
  <c r="G38" i="1"/>
  <c r="Q86" i="45"/>
  <c r="Q84" i="45" s="1"/>
  <c r="G16" i="4"/>
  <c r="T226" i="45"/>
  <c r="T403" i="45"/>
  <c r="S96" i="45"/>
  <c r="S93" i="45" s="1"/>
  <c r="I38" i="1"/>
  <c r="E34" i="12" s="1"/>
  <c r="U215" i="45"/>
  <c r="U345" i="45" s="1"/>
  <c r="U217" i="45"/>
  <c r="U218" i="45"/>
  <c r="K15" i="1"/>
  <c r="K13" i="4" s="1"/>
  <c r="K110" i="1"/>
  <c r="T86" i="45"/>
  <c r="T84" i="45" s="1"/>
  <c r="F26" i="12"/>
  <c r="S86" i="45"/>
  <c r="S84" i="45" s="1"/>
  <c r="E26" i="12"/>
  <c r="T82" i="45"/>
  <c r="T197" i="45" s="1"/>
  <c r="H95" i="1"/>
  <c r="H92" i="1"/>
  <c r="J9" i="1"/>
  <c r="J95" i="1"/>
  <c r="J92" i="1"/>
  <c r="F115" i="28"/>
  <c r="K15" i="4"/>
  <c r="K165" i="4"/>
  <c r="K63" i="2"/>
  <c r="K11" i="4"/>
  <c r="K16" i="4"/>
  <c r="G19" i="12"/>
  <c r="K115" i="1"/>
  <c r="L51" i="4"/>
  <c r="K1" i="1"/>
  <c r="F256" i="46"/>
  <c r="K114" i="1"/>
  <c r="K12" i="4"/>
  <c r="Z215" i="45"/>
  <c r="Z345" i="45" s="1"/>
  <c r="Z217" i="45"/>
  <c r="G38" i="56"/>
  <c r="E43" i="56"/>
  <c r="G42" i="56"/>
  <c r="B126" i="56"/>
  <c r="Q215" i="45"/>
  <c r="Q345" i="45" s="1"/>
  <c r="Q217" i="45"/>
  <c r="Q218" i="45"/>
  <c r="D122" i="1"/>
  <c r="D109" i="1"/>
  <c r="U86" i="45"/>
  <c r="U84" i="45" s="1"/>
  <c r="G26" i="12"/>
  <c r="S105" i="45"/>
  <c r="S104" i="45" s="1"/>
  <c r="E29" i="12"/>
  <c r="H109" i="1"/>
  <c r="I122" i="1"/>
  <c r="V105" i="45"/>
  <c r="V104" i="45" s="1"/>
  <c r="H29" i="12"/>
  <c r="M38" i="1"/>
  <c r="I34" i="12" s="1"/>
  <c r="W96" i="45"/>
  <c r="W93" i="45" s="1"/>
  <c r="W361" i="45"/>
  <c r="M63" i="1"/>
  <c r="D26" i="54"/>
  <c r="W353" i="45"/>
  <c r="W355" i="45" s="1"/>
  <c r="W79" i="45" s="1"/>
  <c r="W78" i="45" s="1"/>
  <c r="W181" i="45" s="1"/>
  <c r="X206" i="45"/>
  <c r="N79" i="3" s="1"/>
  <c r="AB362" i="45"/>
  <c r="R48" i="3"/>
  <c r="C48" i="56"/>
  <c r="L143" i="1"/>
  <c r="L28" i="1" s="1"/>
  <c r="M9" i="1"/>
  <c r="M92" i="1"/>
  <c r="AB96" i="45"/>
  <c r="AB93" i="45" s="1"/>
  <c r="R38" i="1"/>
  <c r="N34" i="12" s="1"/>
  <c r="O108" i="1"/>
  <c r="O143" i="1"/>
  <c r="O28" i="1" s="1"/>
  <c r="G48" i="56"/>
  <c r="E49" i="56"/>
  <c r="K74" i="28"/>
  <c r="K50" i="28"/>
  <c r="K201" i="28" s="1"/>
  <c r="K51" i="28"/>
  <c r="I88" i="28"/>
  <c r="K99" i="28"/>
  <c r="K92" i="28"/>
  <c r="J90" i="28"/>
  <c r="I85" i="28"/>
  <c r="I90" i="28"/>
  <c r="F46" i="26"/>
  <c r="L42" i="28"/>
  <c r="L196" i="28" s="1"/>
  <c r="Z50" i="45"/>
  <c r="AA50" i="45"/>
  <c r="P9" i="44"/>
  <c r="P12" i="44" s="1"/>
  <c r="P593" i="45"/>
  <c r="AH205" i="45"/>
  <c r="AH208" i="45" s="1"/>
  <c r="AG316" i="45"/>
  <c r="BD345" i="45"/>
  <c r="BD346" i="45" s="1"/>
  <c r="BD315" i="45" s="1"/>
  <c r="AX47" i="45"/>
  <c r="BG202" i="45"/>
  <c r="AN452" i="45"/>
  <c r="Q612" i="45"/>
  <c r="AT47" i="45"/>
  <c r="AT42" i="45" s="1"/>
  <c r="AT277" i="45" s="1"/>
  <c r="AM182" i="45"/>
  <c r="BK37" i="45"/>
  <c r="BK40" i="45" s="1"/>
  <c r="AF37" i="45"/>
  <c r="BF47" i="45"/>
  <c r="AQ47" i="45"/>
  <c r="AJ47" i="45"/>
  <c r="BG37" i="45"/>
  <c r="BG40" i="45" s="1"/>
  <c r="BG275" i="45" s="1"/>
  <c r="BC37" i="45"/>
  <c r="BC283" i="45" s="1"/>
  <c r="AQ37" i="45"/>
  <c r="AQ283" i="45" s="1"/>
  <c r="AK37" i="45"/>
  <c r="AK40" i="45" s="1"/>
  <c r="BR35" i="45"/>
  <c r="BR37" i="45" s="1"/>
  <c r="Q35" i="48"/>
  <c r="I20" i="49"/>
  <c r="I15" i="49"/>
  <c r="I16" i="49"/>
  <c r="H21" i="49"/>
  <c r="I18" i="49"/>
  <c r="J18" i="49" s="1"/>
  <c r="I19" i="49"/>
  <c r="I17" i="49"/>
  <c r="L312" i="45"/>
  <c r="L310" i="45"/>
  <c r="L315" i="45"/>
  <c r="L313" i="45"/>
  <c r="L314" i="45"/>
  <c r="L311" i="45"/>
  <c r="L316" i="45"/>
  <c r="L317" i="45" s="1"/>
  <c r="E432" i="45"/>
  <c r="K13" i="12"/>
  <c r="Z353" i="45"/>
  <c r="Z355" i="45" s="1"/>
  <c r="Z79" i="45" s="1"/>
  <c r="Z78" i="45" s="1"/>
  <c r="Z181" i="45" s="1"/>
  <c r="P64" i="3" s="1"/>
  <c r="G26" i="54"/>
  <c r="L23" i="12"/>
  <c r="AP205" i="45"/>
  <c r="AP208" i="45" s="1"/>
  <c r="AJ205" i="45"/>
  <c r="AJ208" i="45" s="1"/>
  <c r="AJ394" i="45"/>
  <c r="BE345" i="45"/>
  <c r="BE346" i="45" s="1"/>
  <c r="BE315" i="45" s="1"/>
  <c r="AY345" i="45"/>
  <c r="AY346" i="45" s="1"/>
  <c r="AY315" i="45" s="1"/>
  <c r="AI226" i="45"/>
  <c r="AI256" i="45" s="1"/>
  <c r="AL226" i="45"/>
  <c r="BE226" i="45"/>
  <c r="BJ47" i="45"/>
  <c r="AL345" i="45"/>
  <c r="AL346" i="45" s="1"/>
  <c r="AL316" i="45" s="1"/>
  <c r="AN345" i="45"/>
  <c r="AN346" i="45" s="1"/>
  <c r="AN315" i="45" s="1"/>
  <c r="BH279" i="45"/>
  <c r="BE227" i="45"/>
  <c r="BE308" i="45" s="1"/>
  <c r="AL47" i="45"/>
  <c r="AR345" i="45"/>
  <c r="AR346" i="45" s="1"/>
  <c r="AR315" i="45" s="1"/>
  <c r="AI227" i="45"/>
  <c r="AI308" i="45" s="1"/>
  <c r="AU47" i="45"/>
  <c r="AM47" i="45"/>
  <c r="BC47" i="45"/>
  <c r="I11" i="48"/>
  <c r="AX315" i="45"/>
  <c r="AX316" i="45"/>
  <c r="L446" i="45"/>
  <c r="L593" i="45"/>
  <c r="D98" i="29"/>
  <c r="D42" i="29"/>
  <c r="E16" i="29"/>
  <c r="L98" i="29"/>
  <c r="L52" i="29"/>
  <c r="L32" i="29"/>
  <c r="L42" i="29"/>
  <c r="P42" i="29"/>
  <c r="P15" i="29"/>
  <c r="P28" i="29"/>
  <c r="U16" i="29"/>
  <c r="T52" i="29"/>
  <c r="X295" i="29"/>
  <c r="X296" i="29"/>
  <c r="X52" i="29"/>
  <c r="X300" i="29"/>
  <c r="X98" i="29"/>
  <c r="X42" i="29"/>
  <c r="Y16" i="29"/>
  <c r="X298" i="29"/>
  <c r="X15" i="29"/>
  <c r="AA101" i="29"/>
  <c r="AA22" i="29"/>
  <c r="AA18" i="29"/>
  <c r="AA20" i="29"/>
  <c r="E119" i="29"/>
  <c r="E107" i="29"/>
  <c r="E104" i="29"/>
  <c r="E113" i="29"/>
  <c r="I114" i="29" s="1"/>
  <c r="AE142" i="29"/>
  <c r="AE150" i="29"/>
  <c r="AE143" i="29"/>
  <c r="AG186" i="29"/>
  <c r="AG225" i="29"/>
  <c r="AK321" i="29"/>
  <c r="AG224" i="29"/>
  <c r="AG236" i="29" s="1"/>
  <c r="AL225" i="29"/>
  <c r="AL236" i="29" s="1"/>
  <c r="AM237" i="29" s="1"/>
  <c r="AL138" i="29"/>
  <c r="AL320" i="29"/>
  <c r="AL186" i="29"/>
  <c r="AL192" i="29"/>
  <c r="AL206" i="29"/>
  <c r="W323" i="29"/>
  <c r="W220" i="29"/>
  <c r="AE192" i="29"/>
  <c r="AE198" i="29" s="1"/>
  <c r="AE221" i="29"/>
  <c r="AI220" i="29"/>
  <c r="AI221" i="29"/>
  <c r="AI141" i="29"/>
  <c r="D107" i="29"/>
  <c r="D113" i="29"/>
  <c r="H114" i="29" s="1"/>
  <c r="D119" i="29"/>
  <c r="D104" i="29"/>
  <c r="H107" i="29"/>
  <c r="H108" i="29" s="1"/>
  <c r="H97" i="29"/>
  <c r="H101" i="29"/>
  <c r="H96" i="29"/>
  <c r="H119" i="29"/>
  <c r="L144" i="29"/>
  <c r="L96" i="29"/>
  <c r="L113" i="29"/>
  <c r="L114" i="29" s="1"/>
  <c r="L104" i="29"/>
  <c r="L107" i="29"/>
  <c r="L119" i="29"/>
  <c r="BI403" i="45"/>
  <c r="BI404" i="45" s="1"/>
  <c r="BA226" i="45"/>
  <c r="BA256" i="45" s="1"/>
  <c r="W452" i="45"/>
  <c r="W447" i="45" s="1"/>
  <c r="W482" i="45" s="1"/>
  <c r="K452" i="45"/>
  <c r="BA47" i="45"/>
  <c r="AV47" i="45"/>
  <c r="AV42" i="45" s="1"/>
  <c r="AH47" i="45"/>
  <c r="BI37" i="45"/>
  <c r="BI40" i="45" s="1"/>
  <c r="BI273" i="45" s="1"/>
  <c r="BE37" i="45"/>
  <c r="AS37" i="45"/>
  <c r="AS40" i="45" s="1"/>
  <c r="AS274" i="45" s="1"/>
  <c r="AH37" i="45"/>
  <c r="BH37" i="45"/>
  <c r="BH612" i="45" s="1"/>
  <c r="BD37" i="45"/>
  <c r="BD283" i="45" s="1"/>
  <c r="AZ37" i="45"/>
  <c r="AZ310" i="45" s="1"/>
  <c r="AV37" i="45"/>
  <c r="AR37" i="45"/>
  <c r="AR38" i="45" s="1"/>
  <c r="AN37" i="45"/>
  <c r="AN283" i="45" s="1"/>
  <c r="AG37" i="45"/>
  <c r="AG38" i="45" s="1"/>
  <c r="AD452" i="45"/>
  <c r="AL37" i="45"/>
  <c r="AL283" i="45" s="1"/>
  <c r="AI47" i="45"/>
  <c r="AI37" i="45"/>
  <c r="AI612" i="45" s="1"/>
  <c r="F11" i="48"/>
  <c r="G4" i="48"/>
  <c r="G12" i="48" s="1"/>
  <c r="BN47" i="45"/>
  <c r="AJ95" i="29"/>
  <c r="AJ94" i="29" s="1"/>
  <c r="AK104" i="29"/>
  <c r="AO105" i="29" s="1"/>
  <c r="G109" i="29"/>
  <c r="O221" i="29"/>
  <c r="V215" i="29"/>
  <c r="X301" i="29"/>
  <c r="W207" i="29"/>
  <c r="AE323" i="29"/>
  <c r="AG206" i="29"/>
  <c r="AB105" i="29"/>
  <c r="Q16" i="29"/>
  <c r="X297" i="29"/>
  <c r="D32" i="29"/>
  <c r="L101" i="29"/>
  <c r="L20" i="29"/>
  <c r="T25" i="29"/>
  <c r="X22" i="29"/>
  <c r="AB20" i="29"/>
  <c r="Y139" i="29"/>
  <c r="AJ201" i="29"/>
  <c r="AJ229" i="29"/>
  <c r="AJ228" i="29"/>
  <c r="AD225" i="29"/>
  <c r="AD138" i="29"/>
  <c r="AD139" i="29" s="1"/>
  <c r="AD192" i="29"/>
  <c r="AD224" i="29"/>
  <c r="BA345" i="45"/>
  <c r="BA346" i="45" s="1"/>
  <c r="BI309" i="45"/>
  <c r="BA403" i="45"/>
  <c r="AA452" i="45"/>
  <c r="AB444" i="45"/>
  <c r="AB446" i="45" s="1"/>
  <c r="AC613" i="45" s="1"/>
  <c r="BM47" i="45"/>
  <c r="AJ208" i="29"/>
  <c r="W221" i="29"/>
  <c r="AE220" i="29"/>
  <c r="AE324" i="29"/>
  <c r="AE213" i="29"/>
  <c r="AE214" i="29" s="1"/>
  <c r="AG320" i="29"/>
  <c r="L97" i="29"/>
  <c r="AA21" i="29"/>
  <c r="L28" i="29"/>
  <c r="K20" i="29"/>
  <c r="G101" i="29"/>
  <c r="G21" i="29"/>
  <c r="G18" i="29"/>
  <c r="G25" i="29" s="1"/>
  <c r="M21" i="29"/>
  <c r="AB34" i="29"/>
  <c r="AB26" i="29"/>
  <c r="AB32" i="29"/>
  <c r="AB107" i="29"/>
  <c r="AB33" i="29"/>
  <c r="AF34" i="29"/>
  <c r="AF26" i="29"/>
  <c r="AF32" i="29"/>
  <c r="AJ33" i="29"/>
  <c r="V113" i="29"/>
  <c r="V115" i="29" s="1"/>
  <c r="V119" i="29"/>
  <c r="V97" i="29"/>
  <c r="AN140" i="29"/>
  <c r="Q221" i="29"/>
  <c r="Q214" i="29"/>
  <c r="BE47" i="45"/>
  <c r="AJ197" i="29"/>
  <c r="V130" i="29"/>
  <c r="S131" i="29"/>
  <c r="P225" i="29"/>
  <c r="AI323" i="29"/>
  <c r="AA324" i="29"/>
  <c r="AK198" i="29"/>
  <c r="AK191" i="29"/>
  <c r="AL321" i="29"/>
  <c r="AG192" i="29"/>
  <c r="H104" i="29"/>
  <c r="H105" i="29" s="1"/>
  <c r="P52" i="29"/>
  <c r="AE32" i="29"/>
  <c r="AE22" i="29"/>
  <c r="AE15" i="29"/>
  <c r="D101" i="29"/>
  <c r="H20" i="29"/>
  <c r="D18" i="29"/>
  <c r="P26" i="29"/>
  <c r="P33" i="29"/>
  <c r="P32" i="29"/>
  <c r="P34" i="29"/>
  <c r="T33" i="29"/>
  <c r="X107" i="29"/>
  <c r="X32" i="29"/>
  <c r="X34" i="29"/>
  <c r="K97" i="29"/>
  <c r="K113" i="29"/>
  <c r="K96" i="29"/>
  <c r="K107" i="29"/>
  <c r="K109" i="29" s="1"/>
  <c r="AL134" i="29"/>
  <c r="AL210" i="29"/>
  <c r="R136" i="29"/>
  <c r="S137" i="29"/>
  <c r="R137" i="29"/>
  <c r="V136" i="29"/>
  <c r="W137" i="29"/>
  <c r="V137" i="29"/>
  <c r="Z129" i="29"/>
  <c r="AA137" i="29"/>
  <c r="Z136" i="29"/>
  <c r="Z153" i="29"/>
  <c r="Z155" i="29" s="1"/>
  <c r="AD136" i="29"/>
  <c r="AH137" i="29"/>
  <c r="AH129" i="29"/>
  <c r="AH136" i="29"/>
  <c r="AL129" i="29"/>
  <c r="AP130" i="29" s="1"/>
  <c r="AL136" i="29"/>
  <c r="AG138" i="29"/>
  <c r="AM143" i="29"/>
  <c r="AL142" i="29"/>
  <c r="T183" i="29"/>
  <c r="T230" i="29" s="1"/>
  <c r="AJ207" i="29"/>
  <c r="AC52" i="29"/>
  <c r="Y28" i="29"/>
  <c r="F21" i="29"/>
  <c r="Q21" i="29"/>
  <c r="Y98" i="29"/>
  <c r="AF15" i="29"/>
  <c r="AJ32" i="29"/>
  <c r="E18" i="29"/>
  <c r="AH44" i="45" s="1"/>
  <c r="AH43" i="45" s="1"/>
  <c r="I22" i="29"/>
  <c r="U32" i="29"/>
  <c r="AD34" i="29"/>
  <c r="Q136" i="29"/>
  <c r="AF213" i="29"/>
  <c r="X152" i="29"/>
  <c r="P183" i="29"/>
  <c r="P230" i="29" s="1"/>
  <c r="AC183" i="29"/>
  <c r="AH321" i="29"/>
  <c r="X215" i="29"/>
  <c r="AF271" i="29"/>
  <c r="AF292" i="29" s="1"/>
  <c r="AB263" i="29"/>
  <c r="W152" i="29"/>
  <c r="H25" i="29"/>
  <c r="H36" i="29" s="1"/>
  <c r="AG22" i="29"/>
  <c r="Y22" i="29"/>
  <c r="AI22" i="29"/>
  <c r="R36" i="29"/>
  <c r="AM34" i="29"/>
  <c r="N215" i="29"/>
  <c r="AE152" i="29"/>
  <c r="AC42" i="29"/>
  <c r="AG28" i="29"/>
  <c r="AI20" i="29"/>
  <c r="Y21" i="29"/>
  <c r="K101" i="29"/>
  <c r="K102" i="29" s="1"/>
  <c r="S20" i="29"/>
  <c r="AM33" i="29"/>
  <c r="AA97" i="29"/>
  <c r="AA104" i="29"/>
  <c r="AB106" i="29" s="1"/>
  <c r="AJ129" i="29"/>
  <c r="AG136" i="29"/>
  <c r="AF138" i="29"/>
  <c r="L152" i="29"/>
  <c r="U183" i="29"/>
  <c r="AE180" i="29"/>
  <c r="AE203" i="29" s="1"/>
  <c r="Z270" i="29"/>
  <c r="Z271" i="29" s="1"/>
  <c r="Z292" i="29" s="1"/>
  <c r="AN202" i="45"/>
  <c r="S500" i="45"/>
  <c r="AQ279" i="45"/>
  <c r="O612" i="45"/>
  <c r="N446" i="45"/>
  <c r="N594" i="45" s="1"/>
  <c r="U593" i="45"/>
  <c r="AF345" i="45"/>
  <c r="AF346" i="45" s="1"/>
  <c r="AF315" i="45" s="1"/>
  <c r="AO345" i="45"/>
  <c r="AO346" i="45" s="1"/>
  <c r="AO316" i="45" s="1"/>
  <c r="AK279" i="45"/>
  <c r="BF316" i="45"/>
  <c r="BK283" i="45"/>
  <c r="BL47" i="45"/>
  <c r="AZ47" i="45"/>
  <c r="AR279" i="45"/>
  <c r="AR394" i="45"/>
  <c r="AR202" i="45"/>
  <c r="AZ316" i="45"/>
  <c r="AP315" i="45"/>
  <c r="AT315" i="45"/>
  <c r="AN394" i="45"/>
  <c r="AJ227" i="45"/>
  <c r="AJ308" i="45" s="1"/>
  <c r="P612" i="45"/>
  <c r="M612" i="45"/>
  <c r="AV394" i="45"/>
  <c r="AW345" i="45"/>
  <c r="AW346" i="45" s="1"/>
  <c r="AW310" i="45" s="1"/>
  <c r="Q593" i="45"/>
  <c r="AR47" i="45"/>
  <c r="AG452" i="45"/>
  <c r="AG447" i="45" s="1"/>
  <c r="AG482" i="45" s="1"/>
  <c r="AG485" i="45" s="1"/>
  <c r="AG487" i="45" s="1"/>
  <c r="AG491" i="45" s="1"/>
  <c r="BB315" i="45"/>
  <c r="K594" i="45"/>
  <c r="AT309" i="45"/>
  <c r="AJ345" i="45"/>
  <c r="AJ346" i="45" s="1"/>
  <c r="AJ316" i="45" s="1"/>
  <c r="AM452" i="45"/>
  <c r="AM447" i="45" s="1"/>
  <c r="AM482" i="45" s="1"/>
  <c r="AM485" i="45" s="1"/>
  <c r="AM487" i="45" s="1"/>
  <c r="AM491" i="45" s="1"/>
  <c r="AM590" i="45" s="1"/>
  <c r="R492" i="45"/>
  <c r="AF452" i="45"/>
  <c r="BO225" i="45"/>
  <c r="T593" i="45"/>
  <c r="AJ309" i="45"/>
  <c r="AU205" i="45"/>
  <c r="AU208" i="45" s="1"/>
  <c r="AO47" i="45"/>
  <c r="BG47" i="45"/>
  <c r="BG42" i="45" s="1"/>
  <c r="AF47" i="45"/>
  <c r="AK47" i="45"/>
  <c r="AK42" i="45" s="1"/>
  <c r="AK277" i="45" s="1"/>
  <c r="BE40" i="45"/>
  <c r="AY47" i="45"/>
  <c r="AG47" i="45"/>
  <c r="AY37" i="45"/>
  <c r="AY283" i="45" s="1"/>
  <c r="AU37" i="45"/>
  <c r="AM37" i="45"/>
  <c r="AM612" i="45" s="1"/>
  <c r="BE283" i="45"/>
  <c r="BD612" i="45"/>
  <c r="Y452" i="45"/>
  <c r="BH202" i="45"/>
  <c r="BI47" i="45"/>
  <c r="BJ37" i="45"/>
  <c r="BJ40" i="45" s="1"/>
  <c r="BB37" i="45"/>
  <c r="AX37" i="45"/>
  <c r="AX310" i="45" s="1"/>
  <c r="AP37" i="45"/>
  <c r="AQ612" i="45" s="1"/>
  <c r="AJ37" i="45"/>
  <c r="AJ40" i="45" s="1"/>
  <c r="AJ272" i="45" s="1"/>
  <c r="U613" i="45"/>
  <c r="BA37" i="45"/>
  <c r="BA283" i="45" s="1"/>
  <c r="AO37" i="45"/>
  <c r="AP38" i="45" s="1"/>
  <c r="AA612" i="45"/>
  <c r="L452" i="45"/>
  <c r="L447" i="45" s="1"/>
  <c r="L482" i="45" s="1"/>
  <c r="BB394" i="45"/>
  <c r="BB279" i="45"/>
  <c r="AF40" i="45"/>
  <c r="AF273" i="45" s="1"/>
  <c r="V613" i="45"/>
  <c r="BG612" i="45"/>
  <c r="BM226" i="45"/>
  <c r="BM256" i="45" s="1"/>
  <c r="BM225" i="45"/>
  <c r="R446" i="45"/>
  <c r="V594" i="45" s="1"/>
  <c r="R593" i="45"/>
  <c r="I7" i="48"/>
  <c r="BF202" i="45"/>
  <c r="BG280" i="45"/>
  <c r="Y594" i="45"/>
  <c r="AF38" i="45"/>
  <c r="Z593" i="45"/>
  <c r="BE38" i="45"/>
  <c r="BD40" i="45"/>
  <c r="BD280" i="45" s="1"/>
  <c r="BE612" i="45"/>
  <c r="Y612" i="45"/>
  <c r="AQ40" i="45"/>
  <c r="AQ274" i="45" s="1"/>
  <c r="BG394" i="45"/>
  <c r="BG279" i="45"/>
  <c r="AX202" i="45"/>
  <c r="AX394" i="45"/>
  <c r="BB47" i="45"/>
  <c r="BH216" i="45"/>
  <c r="BH218" i="45" s="1"/>
  <c r="BH345" i="45"/>
  <c r="BH346" i="45" s="1"/>
  <c r="BF279" i="45"/>
  <c r="BH593" i="45"/>
  <c r="X594" i="45"/>
  <c r="BI38" i="45"/>
  <c r="BM227" i="45"/>
  <c r="BG283" i="45"/>
  <c r="L594" i="45"/>
  <c r="L613" i="45"/>
  <c r="AZ394" i="45"/>
  <c r="AZ279" i="45"/>
  <c r="T612" i="45"/>
  <c r="U612" i="45"/>
  <c r="BI276" i="45"/>
  <c r="AV283" i="45"/>
  <c r="AV40" i="45"/>
  <c r="AV278" i="45" s="1"/>
  <c r="D9" i="48"/>
  <c r="D7" i="48"/>
  <c r="S446" i="45"/>
  <c r="T613" i="45" s="1"/>
  <c r="W593" i="45"/>
  <c r="S612" i="45"/>
  <c r="S593" i="45"/>
  <c r="Z504" i="45"/>
  <c r="Z494" i="45" s="1"/>
  <c r="Z492" i="45" s="1"/>
  <c r="AH216" i="45"/>
  <c r="AH218" i="45" s="1"/>
  <c r="AH345" i="45"/>
  <c r="AH346" i="45" s="1"/>
  <c r="AH315" i="45" s="1"/>
  <c r="AM403" i="45"/>
  <c r="AM404" i="45" s="1"/>
  <c r="AM227" i="45"/>
  <c r="AM308" i="45" s="1"/>
  <c r="AQ216" i="45"/>
  <c r="AQ218" i="45" s="1"/>
  <c r="AQ345" i="45"/>
  <c r="AQ346" i="45" s="1"/>
  <c r="AQ310" i="45" s="1"/>
  <c r="Z613" i="45"/>
  <c r="AP47" i="45"/>
  <c r="BO47" i="45"/>
  <c r="U594" i="45"/>
  <c r="AH42" i="45"/>
  <c r="W613" i="45"/>
  <c r="AS283" i="45"/>
  <c r="BD38" i="45"/>
  <c r="BF310" i="45"/>
  <c r="BF612" i="45"/>
  <c r="AH40" i="45"/>
  <c r="AH283" i="45"/>
  <c r="O593" i="45"/>
  <c r="O446" i="45"/>
  <c r="P613" i="45" s="1"/>
  <c r="K593" i="45"/>
  <c r="K612" i="45"/>
  <c r="M452" i="45"/>
  <c r="BF42" i="45"/>
  <c r="BF277" i="45" s="1"/>
  <c r="AI345" i="45"/>
  <c r="AI346" i="45" s="1"/>
  <c r="AI315" i="45" s="1"/>
  <c r="BH47" i="45"/>
  <c r="AC452" i="45"/>
  <c r="AI40" i="45"/>
  <c r="AI276" i="45" s="1"/>
  <c r="P452" i="45"/>
  <c r="AY227" i="45"/>
  <c r="AY308" i="45" s="1"/>
  <c r="AL452" i="45"/>
  <c r="AN42" i="45"/>
  <c r="AV345" i="45"/>
  <c r="AV346" i="45" s="1"/>
  <c r="BC345" i="45"/>
  <c r="BC346" i="45" s="1"/>
  <c r="AJ452" i="45"/>
  <c r="AK205" i="45"/>
  <c r="AK208" i="45" s="1"/>
  <c r="AB612" i="45"/>
  <c r="BC227" i="45"/>
  <c r="BC308" i="45" s="1"/>
  <c r="BK47" i="45"/>
  <c r="AS47" i="45"/>
  <c r="AW47" i="45"/>
  <c r="AW42" i="45" s="1"/>
  <c r="AW277" i="45" s="1"/>
  <c r="N452" i="45"/>
  <c r="AF613" i="45"/>
  <c r="AF41" i="45"/>
  <c r="AN182" i="45"/>
  <c r="AN205" i="45"/>
  <c r="AN208" i="45" s="1"/>
  <c r="AP394" i="45"/>
  <c r="AP202" i="45"/>
  <c r="AP279" i="45"/>
  <c r="BI280" i="45"/>
  <c r="BG274" i="45"/>
  <c r="BG278" i="45"/>
  <c r="BB202" i="45"/>
  <c r="AO612" i="45"/>
  <c r="AZ202" i="45"/>
  <c r="AN593" i="45"/>
  <c r="AF283" i="45"/>
  <c r="AA446" i="45"/>
  <c r="AY38" i="45"/>
  <c r="AE593" i="45"/>
  <c r="BG276" i="45"/>
  <c r="AJ274" i="45"/>
  <c r="BB310" i="45"/>
  <c r="AJ593" i="45"/>
  <c r="AF612" i="45"/>
  <c r="U447" i="45"/>
  <c r="U482" i="45" s="1"/>
  <c r="U485" i="45" s="1"/>
  <c r="N612" i="45"/>
  <c r="BB283" i="45"/>
  <c r="AD612" i="45"/>
  <c r="AH612" i="45"/>
  <c r="M593" i="45"/>
  <c r="BB309" i="45"/>
  <c r="S492" i="45"/>
  <c r="S509" i="45" s="1"/>
  <c r="AK202" i="45"/>
  <c r="AJ280" i="45"/>
  <c r="R500" i="45"/>
  <c r="BG273" i="45"/>
  <c r="AU42" i="45"/>
  <c r="BF593" i="45"/>
  <c r="M446" i="45"/>
  <c r="AA593" i="45"/>
  <c r="R612" i="45"/>
  <c r="AM345" i="45"/>
  <c r="AM346" i="45" s="1"/>
  <c r="AU345" i="45"/>
  <c r="AU346" i="45" s="1"/>
  <c r="AF42" i="45"/>
  <c r="AF277" i="45" s="1"/>
  <c r="AM226" i="45"/>
  <c r="AM256" i="45" s="1"/>
  <c r="BH509" i="45"/>
  <c r="BF226" i="45"/>
  <c r="BF227" i="45"/>
  <c r="BF308" i="45" s="1"/>
  <c r="BF403" i="45"/>
  <c r="BF404" i="45" s="1"/>
  <c r="AF202" i="45"/>
  <c r="AF394" i="45"/>
  <c r="AF279" i="45"/>
  <c r="BJ394" i="45"/>
  <c r="BJ202" i="45"/>
  <c r="BJ279" i="45"/>
  <c r="G16" i="29"/>
  <c r="G42" i="29"/>
  <c r="G98" i="29"/>
  <c r="G32" i="29"/>
  <c r="G22" i="29"/>
  <c r="L16" i="29"/>
  <c r="K32" i="29"/>
  <c r="K25" i="29"/>
  <c r="K22" i="29"/>
  <c r="O52" i="29"/>
  <c r="P16" i="29"/>
  <c r="O15" i="29"/>
  <c r="O32" i="29"/>
  <c r="S42" i="29"/>
  <c r="T16" i="29"/>
  <c r="S52" i="29"/>
  <c r="S25" i="29"/>
  <c r="S15" i="29"/>
  <c r="S22" i="29"/>
  <c r="S32" i="29"/>
  <c r="AD28" i="29"/>
  <c r="AD296" i="29"/>
  <c r="AD295" i="29"/>
  <c r="AD297" i="29"/>
  <c r="AD301" i="29"/>
  <c r="AD298" i="29"/>
  <c r="AD16" i="29"/>
  <c r="AD42" i="29"/>
  <c r="AD300" i="29"/>
  <c r="AD52" i="29"/>
  <c r="AH15" i="29"/>
  <c r="AH28" i="29"/>
  <c r="AH301" i="29"/>
  <c r="AH296" i="29"/>
  <c r="AH297" i="29"/>
  <c r="AH42" i="29"/>
  <c r="AH52" i="29"/>
  <c r="AH295" i="29"/>
  <c r="AH300" i="29"/>
  <c r="AH98" i="29"/>
  <c r="AH315" i="29" s="1"/>
  <c r="AH298" i="29"/>
  <c r="AL15" i="29"/>
  <c r="AL28" i="29"/>
  <c r="AL42" i="29"/>
  <c r="AL52" i="29"/>
  <c r="AM22" i="29"/>
  <c r="AM131" i="29"/>
  <c r="AQ278" i="45"/>
  <c r="AZ612" i="45"/>
  <c r="AW612" i="45"/>
  <c r="BI612" i="45"/>
  <c r="AH452" i="45"/>
  <c r="AH447" i="45" s="1"/>
  <c r="AH482" i="45" s="1"/>
  <c r="AH485" i="45" s="1"/>
  <c r="AH487" i="45" s="1"/>
  <c r="AH491" i="45" s="1"/>
  <c r="AH496" i="45" s="1"/>
  <c r="AH499" i="45" s="1"/>
  <c r="AM147" i="29"/>
  <c r="AZ40" i="45"/>
  <c r="AZ271" i="45" s="1"/>
  <c r="AV612" i="45"/>
  <c r="AL444" i="45"/>
  <c r="AL446" i="45" s="1"/>
  <c r="AM130" i="29"/>
  <c r="AM20" i="29"/>
  <c r="AM18" i="29"/>
  <c r="AM156" i="29"/>
  <c r="AQ157" i="29" s="1"/>
  <c r="AQ310" i="29" s="1"/>
  <c r="AM160" i="29"/>
  <c r="BJ38" i="45"/>
  <c r="AV202" i="45"/>
  <c r="BC612" i="45"/>
  <c r="AM28" i="29"/>
  <c r="AM32" i="29"/>
  <c r="Q96" i="29"/>
  <c r="Q5" i="29"/>
  <c r="Q144" i="29"/>
  <c r="Q104" i="29"/>
  <c r="Q98" i="29"/>
  <c r="Q119" i="29"/>
  <c r="Q113" i="29"/>
  <c r="Q107" i="29"/>
  <c r="K143" i="29"/>
  <c r="K142" i="29"/>
  <c r="AJ143" i="29"/>
  <c r="AJ213" i="29"/>
  <c r="AJ150" i="29"/>
  <c r="AJ142" i="29"/>
  <c r="N138" i="29"/>
  <c r="N140" i="29" s="1"/>
  <c r="N146" i="29"/>
  <c r="N153" i="29"/>
  <c r="Z108" i="29"/>
  <c r="L103" i="29"/>
  <c r="AF20" i="29"/>
  <c r="AF18" i="29"/>
  <c r="AG21" i="29"/>
  <c r="AF22" i="29"/>
  <c r="G108" i="29"/>
  <c r="AM312" i="29"/>
  <c r="AJ107" i="29"/>
  <c r="AK107" i="29"/>
  <c r="AO108" i="29" s="1"/>
  <c r="H103" i="29"/>
  <c r="AK81" i="29"/>
  <c r="AK80" i="29" s="1"/>
  <c r="BN215" i="45" s="1"/>
  <c r="BN216" i="45" s="1"/>
  <c r="BN218" i="45" s="1"/>
  <c r="AJ80" i="29"/>
  <c r="AE95" i="29"/>
  <c r="AE208" i="29"/>
  <c r="AE196" i="29"/>
  <c r="AE197" i="29"/>
  <c r="AK119" i="29"/>
  <c r="AO120" i="29" s="1"/>
  <c r="AK144" i="29"/>
  <c r="AO145" i="29" s="1"/>
  <c r="AK98" i="29"/>
  <c r="AD208" i="29"/>
  <c r="AD95" i="29"/>
  <c r="AH96" i="29" s="1"/>
  <c r="AB215" i="29"/>
  <c r="AB214" i="29"/>
  <c r="O160" i="29"/>
  <c r="O131" i="29"/>
  <c r="AC160" i="29"/>
  <c r="N134" i="29"/>
  <c r="R133" i="29"/>
  <c r="N150" i="29"/>
  <c r="N129" i="29"/>
  <c r="N156" i="29" s="1"/>
  <c r="W160" i="29"/>
  <c r="AA130" i="29"/>
  <c r="W156" i="29"/>
  <c r="W309" i="29" s="1"/>
  <c r="W147" i="29"/>
  <c r="AA148" i="29" s="1"/>
  <c r="AA307" i="29" s="1"/>
  <c r="AF150" i="29"/>
  <c r="AF143" i="29"/>
  <c r="AF142" i="29"/>
  <c r="T229" i="29"/>
  <c r="AK97" i="29"/>
  <c r="Y236" i="29"/>
  <c r="AH1" i="29"/>
  <c r="AH104" i="29"/>
  <c r="O215" i="29"/>
  <c r="I119" i="29"/>
  <c r="I97" i="29"/>
  <c r="J97" i="29"/>
  <c r="I107" i="29"/>
  <c r="I104" i="29"/>
  <c r="I96" i="29"/>
  <c r="F113" i="29"/>
  <c r="J114" i="29" s="1"/>
  <c r="F119" i="29"/>
  <c r="F101" i="29"/>
  <c r="F104" i="29"/>
  <c r="G97" i="29"/>
  <c r="Y215" i="29"/>
  <c r="P214" i="29"/>
  <c r="V214" i="29"/>
  <c r="V233" i="29" s="1"/>
  <c r="AG95" i="29"/>
  <c r="AJ225" i="29"/>
  <c r="AB145" i="29"/>
  <c r="M115" i="29"/>
  <c r="F52" i="29"/>
  <c r="F42" i="29"/>
  <c r="E32" i="29"/>
  <c r="AC16" i="29"/>
  <c r="M16" i="29"/>
  <c r="Y15" i="29"/>
  <c r="I15" i="29"/>
  <c r="Q52" i="29"/>
  <c r="O34" i="29"/>
  <c r="Q25" i="29"/>
  <c r="Q86" i="29" s="1"/>
  <c r="D28" i="29"/>
  <c r="D52" i="29"/>
  <c r="D22" i="29"/>
  <c r="AD25" i="29"/>
  <c r="M101" i="29"/>
  <c r="Q102" i="29" s="1"/>
  <c r="M20" i="29"/>
  <c r="M18" i="29"/>
  <c r="M25" i="29" s="1"/>
  <c r="J21" i="29"/>
  <c r="N101" i="29"/>
  <c r="N103" i="29" s="1"/>
  <c r="AN33" i="29"/>
  <c r="AJ34" i="29"/>
  <c r="AJ26" i="29"/>
  <c r="T137" i="29"/>
  <c r="T129" i="29"/>
  <c r="AB137" i="29"/>
  <c r="AB129" i="29"/>
  <c r="AC131" i="29" s="1"/>
  <c r="AF136" i="29"/>
  <c r="AF137" i="29"/>
  <c r="AF129" i="29"/>
  <c r="AI139" i="29"/>
  <c r="AI140" i="29"/>
  <c r="AM139" i="29"/>
  <c r="P151" i="29"/>
  <c r="P152" i="29"/>
  <c r="AD236" i="29"/>
  <c r="U220" i="29"/>
  <c r="U225" i="29" s="1"/>
  <c r="E22" i="29"/>
  <c r="E98" i="29"/>
  <c r="I98" i="29"/>
  <c r="I99" i="29" s="1"/>
  <c r="M98" i="29"/>
  <c r="AB295" i="29"/>
  <c r="AB52" i="29"/>
  <c r="AB300" i="29"/>
  <c r="AB16" i="29"/>
  <c r="AB28" i="29"/>
  <c r="AF301" i="29"/>
  <c r="AF296" i="29"/>
  <c r="AF42" i="29"/>
  <c r="AF298" i="29"/>
  <c r="AF28" i="29"/>
  <c r="AJ300" i="29"/>
  <c r="AJ298" i="29"/>
  <c r="AJ15" i="29"/>
  <c r="AJ296" i="29"/>
  <c r="AJ28" i="29"/>
  <c r="F25" i="29"/>
  <c r="O25" i="29"/>
  <c r="AK18" i="29"/>
  <c r="BN44" i="45" s="1"/>
  <c r="BN43" i="45" s="1"/>
  <c r="BN42" i="45" s="1"/>
  <c r="AK21" i="29"/>
  <c r="U34" i="29"/>
  <c r="U107" i="29"/>
  <c r="V109" i="29" s="1"/>
  <c r="AG26" i="29"/>
  <c r="AK33" i="29"/>
  <c r="M153" i="29"/>
  <c r="M129" i="29"/>
  <c r="J96" i="29"/>
  <c r="J104" i="29"/>
  <c r="N113" i="29"/>
  <c r="N104" i="29"/>
  <c r="N97" i="29"/>
  <c r="X271" i="29"/>
  <c r="X292" i="29" s="1"/>
  <c r="F32" i="29"/>
  <c r="F98" i="29"/>
  <c r="G100" i="29" s="1"/>
  <c r="F16" i="29"/>
  <c r="AB21" i="29"/>
  <c r="AB101" i="29"/>
  <c r="AB18" i="29"/>
  <c r="AC21" i="29"/>
  <c r="L21" i="29"/>
  <c r="L22" i="29"/>
  <c r="L18" i="29"/>
  <c r="P22" i="29"/>
  <c r="P20" i="29"/>
  <c r="X101" i="29"/>
  <c r="Y103" i="29" s="1"/>
  <c r="X18" i="29"/>
  <c r="AN20" i="29"/>
  <c r="AJ22" i="29"/>
  <c r="AJ18" i="29"/>
  <c r="BM44" i="45" s="1"/>
  <c r="BM43" i="45" s="1"/>
  <c r="N107" i="29"/>
  <c r="N34" i="29"/>
  <c r="R34" i="29"/>
  <c r="S34" i="29"/>
  <c r="O22" i="29"/>
  <c r="H15" i="29"/>
  <c r="AI26" i="29"/>
  <c r="AI36" i="29" s="1"/>
  <c r="V33" i="29"/>
  <c r="AH33" i="29"/>
  <c r="AK34" i="29"/>
  <c r="Z33" i="29"/>
  <c r="AL34" i="29"/>
  <c r="AA44" i="29"/>
  <c r="AI52" i="29"/>
  <c r="M97" i="29"/>
  <c r="M96" i="29"/>
  <c r="AK160" i="29"/>
  <c r="M134" i="29"/>
  <c r="K134" i="29"/>
  <c r="AC136" i="29"/>
  <c r="AK137" i="29"/>
  <c r="M152" i="29"/>
  <c r="X183" i="29"/>
  <c r="AD271" i="29"/>
  <c r="AF291" i="29"/>
  <c r="AD291" i="29"/>
  <c r="S130" i="29"/>
  <c r="S136" i="29"/>
  <c r="R16" i="29"/>
  <c r="F22" i="29"/>
  <c r="AL26" i="29"/>
  <c r="O133" i="29"/>
  <c r="W136" i="29"/>
  <c r="S152" i="29"/>
  <c r="O183" i="29"/>
  <c r="S183" i="29"/>
  <c r="S203" i="29" s="1"/>
  <c r="V183" i="29"/>
  <c r="V202" i="29" s="1"/>
  <c r="Z183" i="29"/>
  <c r="X324" i="29"/>
  <c r="AF192" i="29"/>
  <c r="AF95" i="29" s="1"/>
  <c r="Z221" i="29"/>
  <c r="AH271" i="29"/>
  <c r="T494" i="45"/>
  <c r="T500" i="45"/>
  <c r="AO279" i="45"/>
  <c r="AO394" i="45"/>
  <c r="AN277" i="45"/>
  <c r="AY394" i="45"/>
  <c r="AY279" i="45"/>
  <c r="AS202" i="45"/>
  <c r="AH280" i="45"/>
  <c r="AY202" i="45"/>
  <c r="AK447" i="45"/>
  <c r="AK482" i="45" s="1"/>
  <c r="AK485" i="45" s="1"/>
  <c r="AK487" i="45" s="1"/>
  <c r="AK491" i="45" s="1"/>
  <c r="AK496" i="45" s="1"/>
  <c r="AK499" i="45" s="1"/>
  <c r="V494" i="45"/>
  <c r="V492" i="45" s="1"/>
  <c r="AO202" i="45"/>
  <c r="Z612" i="45"/>
  <c r="AQ202" i="45"/>
  <c r="Y593" i="45"/>
  <c r="O452" i="45"/>
  <c r="O447" i="45" s="1"/>
  <c r="O482" i="45" s="1"/>
  <c r="O485" i="45" s="1"/>
  <c r="Q452" i="45"/>
  <c r="AM21" i="29"/>
  <c r="AM101" i="29"/>
  <c r="AQ102" i="29" s="1"/>
  <c r="AH277" i="45"/>
  <c r="Q613" i="45"/>
  <c r="P594" i="45"/>
  <c r="T594" i="45"/>
  <c r="AU181" i="45"/>
  <c r="AU195" i="45" s="1"/>
  <c r="BD226" i="45"/>
  <c r="BD403" i="45"/>
  <c r="BD227" i="45"/>
  <c r="BD308" i="45" s="1"/>
  <c r="AL394" i="45"/>
  <c r="AM202" i="45"/>
  <c r="AM279" i="45"/>
  <c r="AM394" i="45"/>
  <c r="P500" i="45"/>
  <c r="P494" i="45"/>
  <c r="W494" i="45"/>
  <c r="W492" i="45" s="1"/>
  <c r="W500" i="45"/>
  <c r="Y494" i="45"/>
  <c r="Y492" i="45" s="1"/>
  <c r="Y500" i="45"/>
  <c r="BC256" i="45"/>
  <c r="BC309" i="45"/>
  <c r="AF182" i="45"/>
  <c r="AF205" i="45"/>
  <c r="AF208" i="45" s="1"/>
  <c r="AT394" i="45"/>
  <c r="AT279" i="45"/>
  <c r="AT202" i="45"/>
  <c r="AK403" i="45"/>
  <c r="AK226" i="45"/>
  <c r="AK227" i="45"/>
  <c r="AK308" i="45" s="1"/>
  <c r="AL182" i="45"/>
  <c r="AL205" i="45"/>
  <c r="AL208" i="45" s="1"/>
  <c r="BD202" i="45"/>
  <c r="BD279" i="45"/>
  <c r="BD394" i="45"/>
  <c r="BL37" i="45"/>
  <c r="BP593" i="45" s="1"/>
  <c r="N494" i="45"/>
  <c r="N492" i="45" s="1"/>
  <c r="AI42" i="45"/>
  <c r="AI277" i="45" s="1"/>
  <c r="AR42" i="45"/>
  <c r="BJ42" i="45"/>
  <c r="BJ277" i="45" s="1"/>
  <c r="L612" i="45"/>
  <c r="AM42" i="29"/>
  <c r="AJ98" i="29"/>
  <c r="AJ315" i="29" s="1"/>
  <c r="AJ1" i="29"/>
  <c r="AD214" i="29"/>
  <c r="AH214" i="29"/>
  <c r="AK94" i="29"/>
  <c r="AN142" i="29"/>
  <c r="AH151" i="29"/>
  <c r="AH313" i="29" s="1"/>
  <c r="C101" i="29"/>
  <c r="C22" i="29"/>
  <c r="D21" i="29"/>
  <c r="G20" i="29"/>
  <c r="AH20" i="29"/>
  <c r="AH22" i="29"/>
  <c r="AH18" i="29"/>
  <c r="AI21" i="29"/>
  <c r="AH21" i="29"/>
  <c r="N22" i="29"/>
  <c r="N20" i="29"/>
  <c r="N18" i="29"/>
  <c r="O21" i="29"/>
  <c r="N21" i="29"/>
  <c r="R20" i="29"/>
  <c r="R22" i="29"/>
  <c r="R21" i="29"/>
  <c r="S21" i="29"/>
  <c r="V22" i="29"/>
  <c r="V20" i="29"/>
  <c r="V101" i="29"/>
  <c r="V18" i="29"/>
  <c r="Z20" i="29"/>
  <c r="Z22" i="29"/>
  <c r="Z101" i="29"/>
  <c r="Z18" i="29"/>
  <c r="Z25" i="29" s="1"/>
  <c r="Z21" i="29"/>
  <c r="AD22" i="29"/>
  <c r="AD20" i="29"/>
  <c r="AD21" i="29"/>
  <c r="AE21" i="29"/>
  <c r="AL22" i="29"/>
  <c r="AL20" i="29"/>
  <c r="AL18" i="29"/>
  <c r="W119" i="29"/>
  <c r="W104" i="29"/>
  <c r="AA105" i="29" s="1"/>
  <c r="AA96" i="29"/>
  <c r="W113" i="29"/>
  <c r="W97" i="29"/>
  <c r="W144" i="29"/>
  <c r="X97" i="29"/>
  <c r="AB296" i="29"/>
  <c r="AB290" i="29"/>
  <c r="AB291" i="29" s="1"/>
  <c r="AJ191" i="29"/>
  <c r="U233" i="29"/>
  <c r="U224" i="29"/>
  <c r="AK52" i="29"/>
  <c r="AK25" i="29"/>
  <c r="AK15" i="29"/>
  <c r="AL16" i="29"/>
  <c r="AK28" i="29"/>
  <c r="AK16" i="29"/>
  <c r="AK32" i="29"/>
  <c r="W22" i="29"/>
  <c r="X21" i="29"/>
  <c r="W101" i="29"/>
  <c r="W18" i="29"/>
  <c r="W25" i="29" s="1"/>
  <c r="W20" i="29"/>
  <c r="W21" i="29"/>
  <c r="AA106" i="29"/>
  <c r="Y147" i="29"/>
  <c r="Y160" i="29"/>
  <c r="Y156" i="29"/>
  <c r="Y309" i="29" s="1"/>
  <c r="AC130" i="29"/>
  <c r="AE137" i="29"/>
  <c r="AD137" i="29"/>
  <c r="AD129" i="29"/>
  <c r="AC229" i="29"/>
  <c r="AC203" i="29"/>
  <c r="AC201" i="29"/>
  <c r="AC228" i="29"/>
  <c r="AC202" i="29"/>
  <c r="AC185" i="29"/>
  <c r="AC224" i="29" s="1"/>
  <c r="T224" i="29"/>
  <c r="T225" i="29"/>
  <c r="AK1" i="29"/>
  <c r="W203" i="29"/>
  <c r="W185" i="29"/>
  <c r="Q230" i="29"/>
  <c r="Q196" i="29"/>
  <c r="W16" i="29"/>
  <c r="W52" i="29"/>
  <c r="W28" i="29"/>
  <c r="W98" i="29"/>
  <c r="W315" i="29" s="1"/>
  <c r="AA15" i="29"/>
  <c r="W15" i="29"/>
  <c r="X16" i="29"/>
  <c r="W32" i="29"/>
  <c r="Z15" i="29"/>
  <c r="Z28" i="29"/>
  <c r="Z32" i="29"/>
  <c r="Z16" i="29"/>
  <c r="Z297" i="29"/>
  <c r="Z301" i="29"/>
  <c r="Z296" i="29"/>
  <c r="Z42" i="29"/>
  <c r="Z300" i="29"/>
  <c r="Z295" i="29"/>
  <c r="Z98" i="29"/>
  <c r="Z315" i="29" s="1"/>
  <c r="Z52" i="29"/>
  <c r="AD15" i="29"/>
  <c r="T22" i="29"/>
  <c r="X20" i="29"/>
  <c r="T21" i="29"/>
  <c r="U21" i="29"/>
  <c r="T20" i="29"/>
  <c r="W42" i="29"/>
  <c r="K147" i="29"/>
  <c r="K156" i="29"/>
  <c r="H86" i="29"/>
  <c r="C42" i="29"/>
  <c r="C28" i="29"/>
  <c r="D16" i="29"/>
  <c r="C98" i="29"/>
  <c r="C25" i="29"/>
  <c r="G15" i="29"/>
  <c r="C32" i="29"/>
  <c r="C52" i="29"/>
  <c r="L15" i="29"/>
  <c r="H98" i="29"/>
  <c r="H28" i="29"/>
  <c r="H32" i="29"/>
  <c r="H52" i="29"/>
  <c r="H16" i="29"/>
  <c r="H42" i="29"/>
  <c r="I16" i="29"/>
  <c r="J20" i="29"/>
  <c r="J101" i="29"/>
  <c r="N102" i="29" s="1"/>
  <c r="J22" i="29"/>
  <c r="J18" i="29"/>
  <c r="AJ138" i="29"/>
  <c r="AF236" i="29"/>
  <c r="Q215" i="29"/>
  <c r="Q224" i="29"/>
  <c r="AH191" i="29"/>
  <c r="AK236" i="29"/>
  <c r="AJ20" i="29"/>
  <c r="AJ42" i="29"/>
  <c r="AJ295" i="29"/>
  <c r="AJ301" i="29"/>
  <c r="T42" i="29"/>
  <c r="T15" i="29"/>
  <c r="AA28" i="29"/>
  <c r="AA98" i="29"/>
  <c r="AA315" i="29" s="1"/>
  <c r="AA52" i="29"/>
  <c r="AA42" i="29"/>
  <c r="AA16" i="29"/>
  <c r="AE52" i="29"/>
  <c r="AE16" i="29"/>
  <c r="AF16" i="29"/>
  <c r="AE42" i="29"/>
  <c r="AE28" i="29"/>
  <c r="AI15" i="29"/>
  <c r="AH16" i="29"/>
  <c r="Q20" i="29"/>
  <c r="AG20" i="29"/>
  <c r="M22" i="29"/>
  <c r="AC22" i="29"/>
  <c r="W107" i="29"/>
  <c r="C113" i="29"/>
  <c r="C104" i="29"/>
  <c r="K119" i="29"/>
  <c r="K104" i="29"/>
  <c r="AF196" i="29"/>
  <c r="AF191" i="29"/>
  <c r="J15" i="29"/>
  <c r="J28" i="29"/>
  <c r="J98" i="29"/>
  <c r="V16" i="29"/>
  <c r="U101" i="29"/>
  <c r="U18" i="29"/>
  <c r="AF21" i="29"/>
  <c r="U20" i="29"/>
  <c r="AK20" i="29"/>
  <c r="Q22" i="29"/>
  <c r="P18" i="29"/>
  <c r="P21" i="29"/>
  <c r="Q34" i="29"/>
  <c r="Q26" i="29"/>
  <c r="Q36" i="29" s="1"/>
  <c r="AH236" i="29"/>
  <c r="AJ224" i="29"/>
  <c r="AJ236" i="29" s="1"/>
  <c r="K28" i="29"/>
  <c r="K98" i="29"/>
  <c r="K52" i="29"/>
  <c r="K42" i="29"/>
  <c r="K16" i="29"/>
  <c r="N15" i="29"/>
  <c r="N98" i="29"/>
  <c r="R15" i="29"/>
  <c r="R28" i="29"/>
  <c r="V98" i="29"/>
  <c r="V15" i="29"/>
  <c r="K15" i="29"/>
  <c r="J16" i="29"/>
  <c r="I101" i="29"/>
  <c r="I18" i="29"/>
  <c r="I20" i="29"/>
  <c r="Y20" i="29"/>
  <c r="U22" i="29"/>
  <c r="AK22" i="29"/>
  <c r="N28" i="29"/>
  <c r="R33" i="29"/>
  <c r="N32" i="29"/>
  <c r="Y107" i="29"/>
  <c r="Z109" i="29" s="1"/>
  <c r="Z34" i="29"/>
  <c r="Y34" i="29"/>
  <c r="AC34" i="29"/>
  <c r="AG33" i="29"/>
  <c r="AC26" i="29"/>
  <c r="AC36" i="29" s="1"/>
  <c r="AG34" i="29"/>
  <c r="M52" i="29"/>
  <c r="G119" i="29"/>
  <c r="G104" i="29"/>
  <c r="G113" i="29"/>
  <c r="S16" i="29"/>
  <c r="AI16" i="29"/>
  <c r="X26" i="29"/>
  <c r="AK26" i="29"/>
  <c r="G28" i="29"/>
  <c r="O28" i="29"/>
  <c r="X33" i="29"/>
  <c r="J32" i="29"/>
  <c r="AD32" i="29"/>
  <c r="AL33" i="29"/>
  <c r="J34" i="29"/>
  <c r="Z113" i="29"/>
  <c r="G52" i="29"/>
  <c r="J119" i="29"/>
  <c r="X119" i="29"/>
  <c r="N96" i="29"/>
  <c r="V104" i="29"/>
  <c r="L133" i="29"/>
  <c r="P136" i="29"/>
  <c r="P129" i="29"/>
  <c r="Q137" i="29"/>
  <c r="P137" i="29"/>
  <c r="X312" i="29"/>
  <c r="X151" i="29"/>
  <c r="X313" i="29" s="1"/>
  <c r="Y152" i="29"/>
  <c r="R183" i="29"/>
  <c r="R203" i="29" s="1"/>
  <c r="AB192" i="29"/>
  <c r="AB225" i="29"/>
  <c r="AB236" i="29" s="1"/>
  <c r="AB237" i="29" s="1"/>
  <c r="AO321" i="29"/>
  <c r="AK138" i="29"/>
  <c r="AH32" i="29"/>
  <c r="AH34" i="29"/>
  <c r="O42" i="29"/>
  <c r="Z96" i="29"/>
  <c r="X136" i="29"/>
  <c r="X137" i="29"/>
  <c r="X129" i="29"/>
  <c r="Y137" i="29"/>
  <c r="N143" i="29"/>
  <c r="R142" i="29"/>
  <c r="T152" i="29"/>
  <c r="T151" i="29"/>
  <c r="T313" i="29" s="1"/>
  <c r="T312" i="29"/>
  <c r="AD143" i="29"/>
  <c r="AD142" i="29"/>
  <c r="AB271" i="29"/>
  <c r="AB292" i="29" s="1"/>
  <c r="O16" i="29"/>
  <c r="S28" i="29"/>
  <c r="AI28" i="29"/>
  <c r="V32" i="29"/>
  <c r="AL32" i="29"/>
  <c r="Z43" i="29"/>
  <c r="AD43" i="29"/>
  <c r="O136" i="29"/>
  <c r="O139" i="29" s="1"/>
  <c r="O142" i="29" s="1"/>
  <c r="O145" i="29" s="1"/>
  <c r="U153" i="29"/>
  <c r="U136" i="29"/>
  <c r="AG137" i="29"/>
  <c r="AG129" i="29"/>
  <c r="Y136" i="29"/>
  <c r="AE140" i="29"/>
  <c r="AE139" i="29"/>
  <c r="AI142" i="29"/>
  <c r="AI143" i="29"/>
  <c r="AB146" i="29"/>
  <c r="AA207" i="29"/>
  <c r="AA221" i="29"/>
  <c r="AA220" i="29"/>
  <c r="AA192" i="29"/>
  <c r="L215" i="29"/>
  <c r="AK131" i="29"/>
  <c r="T136" i="29"/>
  <c r="AB136" i="29"/>
  <c r="AJ136" i="29"/>
  <c r="AJ137" i="29"/>
  <c r="AH140" i="29"/>
  <c r="AB153" i="29"/>
  <c r="AB324" i="29"/>
  <c r="AE320" i="29"/>
  <c r="AC137" i="29"/>
  <c r="AK136" i="29"/>
  <c r="AI192" i="29"/>
  <c r="AE206" i="29"/>
  <c r="AN197" i="29"/>
  <c r="AN95" i="29"/>
  <c r="AM203" i="29"/>
  <c r="AM202" i="29"/>
  <c r="AM201" i="29"/>
  <c r="AN143" i="29"/>
  <c r="AM128" i="29"/>
  <c r="AF186" i="29"/>
  <c r="AI207" i="29"/>
  <c r="BN253" i="45"/>
  <c r="BN226" i="45"/>
  <c r="BN256" i="45" s="1"/>
  <c r="BN227" i="45"/>
  <c r="BN225" i="45"/>
  <c r="AP403" i="45"/>
  <c r="AP404" i="45" s="1"/>
  <c r="AP226" i="45"/>
  <c r="AP227" i="45"/>
  <c r="AP308" i="45" s="1"/>
  <c r="BJ182" i="45"/>
  <c r="BJ205" i="45"/>
  <c r="BF182" i="45"/>
  <c r="BF205" i="45"/>
  <c r="BF208" i="45" s="1"/>
  <c r="BB182" i="45"/>
  <c r="BB205" i="45"/>
  <c r="BB208" i="45" s="1"/>
  <c r="AX182" i="45"/>
  <c r="AX205" i="45"/>
  <c r="AX208" i="45" s="1"/>
  <c r="AT182" i="45"/>
  <c r="AT205" i="45"/>
  <c r="AT208" i="45" s="1"/>
  <c r="BA279" i="45"/>
  <c r="BA394" i="45"/>
  <c r="BA202" i="45"/>
  <c r="Q494" i="45"/>
  <c r="Q492" i="45" s="1"/>
  <c r="Q509" i="45" s="1"/>
  <c r="Q500" i="45"/>
  <c r="BI205" i="45"/>
  <c r="BI182" i="45"/>
  <c r="BE182" i="45"/>
  <c r="BE205" i="45"/>
  <c r="BE208" i="45" s="1"/>
  <c r="BA205" i="45"/>
  <c r="BA208" i="45" s="1"/>
  <c r="BA182" i="45"/>
  <c r="AW205" i="45"/>
  <c r="AW182" i="45"/>
  <c r="AS182" i="45"/>
  <c r="AS205" i="45"/>
  <c r="AS208" i="45" s="1"/>
  <c r="AW279" i="45"/>
  <c r="AW394" i="45"/>
  <c r="AW202" i="45"/>
  <c r="AI202" i="45"/>
  <c r="AI279" i="45"/>
  <c r="AI394" i="45"/>
  <c r="AG227" i="45"/>
  <c r="AG308" i="45" s="1"/>
  <c r="AG226" i="45"/>
  <c r="AG403" i="45"/>
  <c r="AG404" i="45" s="1"/>
  <c r="AN226" i="45"/>
  <c r="AN403" i="45"/>
  <c r="AR403" i="45"/>
  <c r="AR404" i="45" s="1"/>
  <c r="AR226" i="45"/>
  <c r="AR227" i="45"/>
  <c r="AR308" i="45" s="1"/>
  <c r="BH205" i="45"/>
  <c r="BH208" i="45" s="1"/>
  <c r="BH182" i="45"/>
  <c r="BD182" i="45"/>
  <c r="BD205" i="45"/>
  <c r="BD208" i="45" s="1"/>
  <c r="AZ182" i="45"/>
  <c r="AZ205" i="45"/>
  <c r="AZ208" i="45" s="1"/>
  <c r="AV205" i="45"/>
  <c r="AV182" i="45"/>
  <c r="AR205" i="45"/>
  <c r="AR208" i="45" s="1"/>
  <c r="AR182" i="45"/>
  <c r="BL593" i="45"/>
  <c r="AO403" i="45"/>
  <c r="AO404" i="45" s="1"/>
  <c r="AO226" i="45"/>
  <c r="AO227" i="45"/>
  <c r="AO308" i="45" s="1"/>
  <c r="BG403" i="45"/>
  <c r="BG227" i="45"/>
  <c r="BG308" i="45" s="1"/>
  <c r="BG226" i="45"/>
  <c r="BK182" i="45"/>
  <c r="BK205" i="45"/>
  <c r="BK208" i="45" s="1"/>
  <c r="BG182" i="45"/>
  <c r="BG205" i="45"/>
  <c r="BG208" i="45" s="1"/>
  <c r="BC205" i="45"/>
  <c r="BC208" i="45" s="1"/>
  <c r="BC182" i="45"/>
  <c r="AY182" i="45"/>
  <c r="AY205" i="45"/>
  <c r="AY208" i="45" s="1"/>
  <c r="AQ205" i="45"/>
  <c r="AQ208" i="45" s="1"/>
  <c r="AQ182" i="45"/>
  <c r="AG202" i="45"/>
  <c r="AG394" i="45"/>
  <c r="AG279" i="45"/>
  <c r="AJ403" i="45"/>
  <c r="AJ404" i="45" s="1"/>
  <c r="L492" i="45"/>
  <c r="L509" i="45" s="1"/>
  <c r="P492" i="45"/>
  <c r="F4" i="48"/>
  <c r="F12" i="48" s="1"/>
  <c r="S452" i="45"/>
  <c r="S447" i="45" s="1"/>
  <c r="BM37" i="45"/>
  <c r="BM40" i="45" s="1"/>
  <c r="H7" i="48"/>
  <c r="AB452" i="45"/>
  <c r="BI202" i="45"/>
  <c r="L500" i="45"/>
  <c r="AM16" i="29"/>
  <c r="AM98" i="29"/>
  <c r="AQ99" i="29" s="1"/>
  <c r="AQ316" i="29" s="1"/>
  <c r="AM15" i="29"/>
  <c r="AL202" i="29"/>
  <c r="AN202" i="29"/>
  <c r="AJ203" i="29"/>
  <c r="AN201" i="29"/>
  <c r="AO201" i="29"/>
  <c r="AO202" i="29"/>
  <c r="AO203" i="29"/>
  <c r="AN203" i="29"/>
  <c r="P16" i="44"/>
  <c r="P55" i="44" s="1"/>
  <c r="Q16" i="44"/>
  <c r="V13" i="44"/>
  <c r="C38" i="49" s="1"/>
  <c r="H38" i="49" s="1"/>
  <c r="L38" i="49" s="1"/>
  <c r="R13" i="44"/>
  <c r="M193" i="28"/>
  <c r="L57" i="28"/>
  <c r="M23" i="28"/>
  <c r="M192" i="28" s="1"/>
  <c r="R10" i="44"/>
  <c r="L49" i="28"/>
  <c r="L200" i="28" s="1"/>
  <c r="Q9" i="44"/>
  <c r="V9" i="44"/>
  <c r="L33" i="49"/>
  <c r="R509" i="45"/>
  <c r="AK316" i="45"/>
  <c r="AB613" i="45"/>
  <c r="AM309" i="45"/>
  <c r="K494" i="45"/>
  <c r="K492" i="45" s="1"/>
  <c r="K500" i="45"/>
  <c r="M504" i="45"/>
  <c r="M494" i="45" s="1"/>
  <c r="M492" i="45" s="1"/>
  <c r="N509" i="45"/>
  <c r="O494" i="45"/>
  <c r="O492" i="45" s="1"/>
  <c r="O500" i="45"/>
  <c r="V509" i="45"/>
  <c r="BO593" i="45"/>
  <c r="BO40" i="45"/>
  <c r="BN254" i="45"/>
  <c r="BE279" i="45"/>
  <c r="BE202" i="45"/>
  <c r="BE394" i="45"/>
  <c r="BK202" i="45"/>
  <c r="BK279" i="45"/>
  <c r="BE278" i="45"/>
  <c r="BF41" i="45"/>
  <c r="BE275" i="45"/>
  <c r="BF613" i="45"/>
  <c r="BE276" i="45"/>
  <c r="BE273" i="45"/>
  <c r="BE274" i="45"/>
  <c r="AI41" i="45"/>
  <c r="AI77" i="45"/>
  <c r="O631" i="45"/>
  <c r="AZ275" i="45"/>
  <c r="BD274" i="45"/>
  <c r="BE41" i="45"/>
  <c r="BD278" i="45"/>
  <c r="BB38" i="45"/>
  <c r="BE593" i="45"/>
  <c r="BC394" i="45"/>
  <c r="BC202" i="45"/>
  <c r="BC279" i="45"/>
  <c r="AQ403" i="45"/>
  <c r="AQ227" i="45"/>
  <c r="AQ308" i="45" s="1"/>
  <c r="AQ226" i="45"/>
  <c r="AU227" i="45"/>
  <c r="AU308" i="45" s="1"/>
  <c r="AU403" i="45"/>
  <c r="AU404" i="45" s="1"/>
  <c r="AU226" i="45"/>
  <c r="AV274" i="45"/>
  <c r="AG256" i="45"/>
  <c r="AG309" i="45"/>
  <c r="AE612" i="45"/>
  <c r="U504" i="45"/>
  <c r="U494" i="45" s="1"/>
  <c r="U492" i="45" s="1"/>
  <c r="AH279" i="45"/>
  <c r="AH202" i="45"/>
  <c r="AH394" i="45"/>
  <c r="AO283" i="45"/>
  <c r="AO40" i="45"/>
  <c r="AO38" i="45"/>
  <c r="AP612" i="45"/>
  <c r="BL227" i="45"/>
  <c r="BL225" i="45"/>
  <c r="AJ38" i="45"/>
  <c r="AS226" i="45"/>
  <c r="AS403" i="45"/>
  <c r="AS227" i="45"/>
  <c r="AS308" i="45" s="1"/>
  <c r="AV403" i="45"/>
  <c r="AV404" i="45" s="1"/>
  <c r="AV226" i="45"/>
  <c r="AY226" i="45"/>
  <c r="AX227" i="45"/>
  <c r="AX308" i="45" s="1"/>
  <c r="AX403" i="45"/>
  <c r="AX404" i="45" s="1"/>
  <c r="AX226" i="45"/>
  <c r="AC494" i="45"/>
  <c r="AC492" i="45" s="1"/>
  <c r="G9" i="48"/>
  <c r="AW403" i="45"/>
  <c r="AW404" i="45" s="1"/>
  <c r="AW226" i="45"/>
  <c r="AW227" i="45"/>
  <c r="AW308" i="45" s="1"/>
  <c r="T492" i="45"/>
  <c r="AB494" i="45"/>
  <c r="AB492" i="45" s="1"/>
  <c r="BK403" i="45"/>
  <c r="BK226" i="45"/>
  <c r="BK227" i="45"/>
  <c r="BK308" i="45" s="1"/>
  <c r="BI279" i="45"/>
  <c r="BI394" i="45"/>
  <c r="AF227" i="45"/>
  <c r="AF308" i="45" s="1"/>
  <c r="AF226" i="45"/>
  <c r="AH403" i="45"/>
  <c r="AH226" i="45"/>
  <c r="AH227" i="45"/>
  <c r="AH308" i="45" s="1"/>
  <c r="V452" i="45"/>
  <c r="V447" i="45" s="1"/>
  <c r="X504" i="45"/>
  <c r="X494" i="45" s="1"/>
  <c r="X492" i="45" s="1"/>
  <c r="AA494" i="45"/>
  <c r="AA492" i="45" s="1"/>
  <c r="AA500" i="45"/>
  <c r="BJ403" i="45"/>
  <c r="BJ404" i="45" s="1"/>
  <c r="BJ226" i="45"/>
  <c r="AL279" i="45"/>
  <c r="AL202" i="45"/>
  <c r="D4" i="48"/>
  <c r="D12" i="48" s="1"/>
  <c r="BQ593" i="45"/>
  <c r="BP225" i="45"/>
  <c r="BP227" i="45"/>
  <c r="BQ612" i="45"/>
  <c r="BQ38" i="45"/>
  <c r="BP40" i="45"/>
  <c r="G11" i="48"/>
  <c r="F9" i="48"/>
  <c r="E4" i="48"/>
  <c r="E5" i="48" s="1"/>
  <c r="G7" i="48"/>
  <c r="E9" i="48"/>
  <c r="E11" i="48"/>
  <c r="H9" i="48"/>
  <c r="E7" i="48"/>
  <c r="H4" i="48"/>
  <c r="H5" i="48" s="1"/>
  <c r="H11" i="48"/>
  <c r="F5" i="48"/>
  <c r="J4" i="48"/>
  <c r="I4" i="48"/>
  <c r="F7" i="48"/>
  <c r="B11" i="48"/>
  <c r="C4" i="48"/>
  <c r="I9" i="48"/>
  <c r="Q32" i="48"/>
  <c r="D11" i="48"/>
  <c r="B4" i="48"/>
  <c r="B5" i="48" s="1"/>
  <c r="J36" i="48"/>
  <c r="J34" i="48"/>
  <c r="K42" i="48"/>
  <c r="AN236" i="29"/>
  <c r="AO239" i="29"/>
  <c r="AN191" i="29"/>
  <c r="AN208" i="29"/>
  <c r="AN198" i="29"/>
  <c r="H310" i="45" l="1"/>
  <c r="F310" i="45"/>
  <c r="BG310" i="45"/>
  <c r="AN316" i="45"/>
  <c r="AB206" i="45"/>
  <c r="R79" i="3" s="1"/>
  <c r="BG316" i="45"/>
  <c r="I310" i="45"/>
  <c r="K310" i="45"/>
  <c r="J311" i="45"/>
  <c r="I315" i="45"/>
  <c r="K312" i="45"/>
  <c r="K314" i="45"/>
  <c r="I56" i="3"/>
  <c r="I83" i="3"/>
  <c r="AF343" i="45"/>
  <c r="AF415" i="45"/>
  <c r="AO97" i="29"/>
  <c r="AR96" i="29"/>
  <c r="K50" i="44"/>
  <c r="K62" i="44" s="1"/>
  <c r="V482" i="45"/>
  <c r="AJ612" i="45"/>
  <c r="AI283" i="45"/>
  <c r="AV275" i="45"/>
  <c r="BA310" i="45"/>
  <c r="BB612" i="45"/>
  <c r="AM496" i="45"/>
  <c r="AM499" i="45" s="1"/>
  <c r="AZ274" i="45"/>
  <c r="AI613" i="45"/>
  <c r="AI280" i="45"/>
  <c r="BI594" i="45"/>
  <c r="BI230" i="45" s="1"/>
  <c r="BI416" i="45" s="1"/>
  <c r="AB594" i="45"/>
  <c r="BN613" i="45"/>
  <c r="U131" i="29"/>
  <c r="AL139" i="29"/>
  <c r="P201" i="29"/>
  <c r="N147" i="29"/>
  <c r="AJ119" i="29"/>
  <c r="U631" i="45"/>
  <c r="BM42" i="45"/>
  <c r="AG36" i="29"/>
  <c r="BN77" i="45"/>
  <c r="T203" i="29"/>
  <c r="P203" i="29"/>
  <c r="AE160" i="29"/>
  <c r="AR40" i="45"/>
  <c r="AR41" i="45" s="1"/>
  <c r="C11" i="48"/>
  <c r="AV276" i="45"/>
  <c r="AQ276" i="45"/>
  <c r="BI283" i="45"/>
  <c r="AX38" i="45"/>
  <c r="X613" i="45"/>
  <c r="AF280" i="45"/>
  <c r="V593" i="45"/>
  <c r="AW40" i="45"/>
  <c r="AW594" i="45" s="1"/>
  <c r="AW230" i="45" s="1"/>
  <c r="AW416" i="45" s="1"/>
  <c r="AG283" i="45"/>
  <c r="BA309" i="45"/>
  <c r="BD593" i="45"/>
  <c r="AG310" i="45"/>
  <c r="AF274" i="45"/>
  <c r="AT38" i="45"/>
  <c r="AL40" i="45"/>
  <c r="AS276" i="45"/>
  <c r="AR612" i="45"/>
  <c r="AL315" i="45"/>
  <c r="W612" i="45"/>
  <c r="X612" i="45"/>
  <c r="X593" i="45"/>
  <c r="V612" i="45"/>
  <c r="AS271" i="45"/>
  <c r="BK315" i="45"/>
  <c r="BL42" i="45"/>
  <c r="AT310" i="45"/>
  <c r="AT40" i="45"/>
  <c r="L102" i="29"/>
  <c r="BC40" i="45"/>
  <c r="BG594" i="45" s="1"/>
  <c r="BG230" i="45" s="1"/>
  <c r="BG416" i="45" s="1"/>
  <c r="F19" i="49"/>
  <c r="F47" i="26"/>
  <c r="F124" i="28"/>
  <c r="G18" i="4"/>
  <c r="G86" i="1"/>
  <c r="L161" i="4"/>
  <c r="U283" i="45"/>
  <c r="D45" i="2"/>
  <c r="N11" i="1"/>
  <c r="O52" i="4" s="1"/>
  <c r="N128" i="4"/>
  <c r="N130" i="4"/>
  <c r="X56" i="12" s="1"/>
  <c r="D18" i="56" s="1"/>
  <c r="E17" i="4"/>
  <c r="E129" i="4"/>
  <c r="E116" i="1"/>
  <c r="E117" i="1"/>
  <c r="E18" i="4"/>
  <c r="E113" i="1"/>
  <c r="E86" i="1"/>
  <c r="X182" i="45"/>
  <c r="N67" i="3" s="1"/>
  <c r="J48" i="12" s="1"/>
  <c r="L21" i="1"/>
  <c r="O161" i="4"/>
  <c r="I51" i="28"/>
  <c r="K53" i="44"/>
  <c r="L31" i="44"/>
  <c r="H51" i="51"/>
  <c r="I161" i="4"/>
  <c r="Y88" i="45"/>
  <c r="O88" i="2"/>
  <c r="F14" i="54"/>
  <c r="N133" i="4"/>
  <c r="J184" i="45"/>
  <c r="X337" i="45"/>
  <c r="S276" i="45"/>
  <c r="T189" i="45"/>
  <c r="AP138" i="29"/>
  <c r="AU321" i="29"/>
  <c r="AP192" i="29"/>
  <c r="AP320" i="29"/>
  <c r="AP224" i="29"/>
  <c r="AP236" i="29" s="1"/>
  <c r="BI382" i="45"/>
  <c r="BJ204" i="45"/>
  <c r="BJ208" i="45" s="1"/>
  <c r="BI204" i="45"/>
  <c r="BI208" i="45" s="1"/>
  <c r="BI141" i="45"/>
  <c r="AU173" i="45"/>
  <c r="AU335" i="45"/>
  <c r="AU299" i="45"/>
  <c r="C209" i="46"/>
  <c r="C204" i="46"/>
  <c r="M88" i="2"/>
  <c r="D14" i="54"/>
  <c r="H74" i="28"/>
  <c r="H50" i="28"/>
  <c r="H51" i="28"/>
  <c r="C188" i="46"/>
  <c r="C171" i="46"/>
  <c r="C74" i="28"/>
  <c r="D50" i="28"/>
  <c r="C51" i="28"/>
  <c r="C50" i="28"/>
  <c r="I231" i="45"/>
  <c r="I247" i="45"/>
  <c r="I81" i="45"/>
  <c r="J231" i="45"/>
  <c r="C226" i="46"/>
  <c r="I623" i="45"/>
  <c r="I604" i="45"/>
  <c r="BK340" i="45"/>
  <c r="BK289" i="45" s="1"/>
  <c r="BK335" i="45"/>
  <c r="BK336" i="45" s="1"/>
  <c r="F97" i="28"/>
  <c r="Q153" i="46"/>
  <c r="J154" i="46"/>
  <c r="F491" i="45"/>
  <c r="F616" i="45"/>
  <c r="F633" i="45"/>
  <c r="J597" i="45"/>
  <c r="G616" i="45"/>
  <c r="BK401" i="45"/>
  <c r="BK402" i="45" s="1"/>
  <c r="BK404" i="45" s="1"/>
  <c r="BK297" i="45"/>
  <c r="BH175" i="45"/>
  <c r="BH176" i="45" s="1"/>
  <c r="BH334" i="45"/>
  <c r="BH341" i="45" s="1"/>
  <c r="AV175" i="45"/>
  <c r="AV341" i="45"/>
  <c r="AW342" i="45" s="1"/>
  <c r="N141" i="46"/>
  <c r="N158" i="46"/>
  <c r="P153" i="46"/>
  <c r="E154" i="46"/>
  <c r="E171" i="46"/>
  <c r="AS297" i="45"/>
  <c r="AS401" i="45"/>
  <c r="AS402" i="45" s="1"/>
  <c r="AS404" i="45" s="1"/>
  <c r="AY334" i="45"/>
  <c r="AY341" i="45" s="1"/>
  <c r="AY175" i="45"/>
  <c r="AY176" i="45" s="1"/>
  <c r="BB175" i="45"/>
  <c r="BB176" i="45" s="1"/>
  <c r="BB334" i="45"/>
  <c r="BB341" i="45" s="1"/>
  <c r="AG383" i="45"/>
  <c r="AG384" i="45" s="1"/>
  <c r="AG266" i="45" s="1"/>
  <c r="AG415" i="45" s="1"/>
  <c r="AS333" i="45"/>
  <c r="AS273" i="45" s="1"/>
  <c r="AR333" i="45"/>
  <c r="J205" i="46"/>
  <c r="J222" i="46"/>
  <c r="D171" i="46"/>
  <c r="G624" i="45"/>
  <c r="G605" i="45"/>
  <c r="H624" i="45"/>
  <c r="J627" i="45"/>
  <c r="AN335" i="45"/>
  <c r="AO340" i="45"/>
  <c r="AO289" i="45" s="1"/>
  <c r="AN340" i="45"/>
  <c r="AN289" i="45" s="1"/>
  <c r="H43" i="4"/>
  <c r="H44" i="4"/>
  <c r="AK401" i="45"/>
  <c r="AK402" i="45" s="1"/>
  <c r="AK404" i="45" s="1"/>
  <c r="AK297" i="45"/>
  <c r="AQ335" i="45"/>
  <c r="AR340" i="45"/>
  <c r="AR289" i="45" s="1"/>
  <c r="AQ340" i="45"/>
  <c r="AQ289" i="45" s="1"/>
  <c r="AQ297" i="45"/>
  <c r="AQ401" i="45"/>
  <c r="AQ402" i="45" s="1"/>
  <c r="AQ404" i="45" s="1"/>
  <c r="BG401" i="45"/>
  <c r="BG402" i="45" s="1"/>
  <c r="BG404" i="45" s="1"/>
  <c r="BG297" i="45"/>
  <c r="J628" i="45"/>
  <c r="AE237" i="29"/>
  <c r="I35" i="26"/>
  <c r="I31" i="26"/>
  <c r="I33" i="26" s="1"/>
  <c r="M208" i="45"/>
  <c r="AP186" i="29"/>
  <c r="BK173" i="45"/>
  <c r="BK299" i="45"/>
  <c r="AV204" i="45"/>
  <c r="AV208" i="45" s="1"/>
  <c r="AW204" i="45"/>
  <c r="AW208" i="45" s="1"/>
  <c r="AV382" i="45"/>
  <c r="AV141" i="45"/>
  <c r="G297" i="45"/>
  <c r="G298" i="45"/>
  <c r="D204" i="46"/>
  <c r="D226" i="46"/>
  <c r="D209" i="46"/>
  <c r="E51" i="51"/>
  <c r="Q119" i="45"/>
  <c r="L88" i="2"/>
  <c r="C14" i="54"/>
  <c r="E103" i="28"/>
  <c r="F103" i="28"/>
  <c r="F83" i="3"/>
  <c r="F56" i="3"/>
  <c r="J81" i="45"/>
  <c r="K231" i="45"/>
  <c r="J247" i="45"/>
  <c r="G188" i="46"/>
  <c r="G171" i="46"/>
  <c r="D103" i="28"/>
  <c r="N221" i="46"/>
  <c r="N222" i="46" s="1"/>
  <c r="N225" i="46"/>
  <c r="N226" i="46" s="1"/>
  <c r="N220" i="46"/>
  <c r="F247" i="45"/>
  <c r="G231" i="45"/>
  <c r="G81" i="45"/>
  <c r="G83" i="3"/>
  <c r="J171" i="46"/>
  <c r="O109" i="46"/>
  <c r="N109" i="46"/>
  <c r="N137" i="46" s="1"/>
  <c r="AH401" i="45"/>
  <c r="AH402" i="45" s="1"/>
  <c r="AH404" i="45" s="1"/>
  <c r="AH297" i="45"/>
  <c r="BA401" i="45"/>
  <c r="BA402" i="45" s="1"/>
  <c r="BA404" i="45" s="1"/>
  <c r="BA297" i="45"/>
  <c r="AR383" i="45"/>
  <c r="AR384" i="45" s="1"/>
  <c r="AR266" i="45" s="1"/>
  <c r="AR415" i="45" s="1"/>
  <c r="AW333" i="45"/>
  <c r="AV333" i="45"/>
  <c r="I198" i="28"/>
  <c r="I46" i="28"/>
  <c r="I199" i="28" s="1"/>
  <c r="I68" i="28"/>
  <c r="J46" i="28"/>
  <c r="J199" i="28" s="1"/>
  <c r="I298" i="45"/>
  <c r="G346" i="45"/>
  <c r="C154" i="46"/>
  <c r="O153" i="46"/>
  <c r="G603" i="45"/>
  <c r="G622" i="45"/>
  <c r="H622" i="45"/>
  <c r="AT340" i="45"/>
  <c r="AT289" i="45" s="1"/>
  <c r="AS335" i="45"/>
  <c r="AP333" i="45"/>
  <c r="AP175" i="45"/>
  <c r="AP176" i="45" s="1"/>
  <c r="AP341" i="45"/>
  <c r="AZ336" i="45"/>
  <c r="AR175" i="45"/>
  <c r="AR176" i="45" s="1"/>
  <c r="AR341" i="45"/>
  <c r="AT342" i="45"/>
  <c r="AI340" i="45"/>
  <c r="AI289" i="45" s="1"/>
  <c r="AH335" i="45"/>
  <c r="AH340" i="45"/>
  <c r="AH289" i="45" s="1"/>
  <c r="AF335" i="45"/>
  <c r="AG340" i="45"/>
  <c r="AG289" i="45" s="1"/>
  <c r="AF340" i="45"/>
  <c r="AF289" i="45" s="1"/>
  <c r="J604" i="45"/>
  <c r="J623" i="45"/>
  <c r="G623" i="45"/>
  <c r="I628" i="45"/>
  <c r="I609" i="45"/>
  <c r="BI176" i="45"/>
  <c r="AN401" i="45"/>
  <c r="AN402" i="45" s="1"/>
  <c r="AN404" i="45" s="1"/>
  <c r="AN297" i="45"/>
  <c r="BD401" i="45"/>
  <c r="BD402" i="45" s="1"/>
  <c r="BD404" i="45" s="1"/>
  <c r="BD297" i="45"/>
  <c r="BE340" i="45"/>
  <c r="BE289" i="45" s="1"/>
  <c r="BD340" i="45"/>
  <c r="BD289" i="45" s="1"/>
  <c r="BD335" i="45"/>
  <c r="AK335" i="45"/>
  <c r="AK340" i="45"/>
  <c r="AK289" i="45" s="1"/>
  <c r="AL340" i="45"/>
  <c r="AL289" i="45" s="1"/>
  <c r="BG335" i="45"/>
  <c r="BH340" i="45"/>
  <c r="BH289" i="45" s="1"/>
  <c r="BG340" i="45"/>
  <c r="G607" i="45"/>
  <c r="H626" i="45"/>
  <c r="G636" i="45"/>
  <c r="G600" i="45"/>
  <c r="H619" i="45"/>
  <c r="G505" i="45"/>
  <c r="G587" i="45"/>
  <c r="R12" i="3"/>
  <c r="R47" i="3" s="1"/>
  <c r="N26" i="12"/>
  <c r="G42" i="12"/>
  <c r="Y171" i="45"/>
  <c r="Y170" i="45" s="1"/>
  <c r="Y33" i="12"/>
  <c r="G175" i="56"/>
  <c r="R149" i="2"/>
  <c r="R25" i="3" s="1"/>
  <c r="P332" i="45"/>
  <c r="V37" i="12"/>
  <c r="V38" i="12" s="1"/>
  <c r="X158" i="45"/>
  <c r="G30" i="2"/>
  <c r="U39" i="12"/>
  <c r="G100" i="4"/>
  <c r="J145" i="1"/>
  <c r="R23" i="3"/>
  <c r="AB201" i="45"/>
  <c r="Q143" i="45"/>
  <c r="Q332" i="45" s="1"/>
  <c r="G62" i="4"/>
  <c r="L188" i="2"/>
  <c r="W188" i="45"/>
  <c r="V187" i="45"/>
  <c r="V337" i="45"/>
  <c r="V227" i="45" s="1"/>
  <c r="V308" i="45" s="1"/>
  <c r="X327" i="45"/>
  <c r="K118" i="4"/>
  <c r="E108" i="4"/>
  <c r="M118" i="45"/>
  <c r="M114" i="45" s="1"/>
  <c r="M119" i="45" s="1"/>
  <c r="C188" i="2"/>
  <c r="L17" i="2"/>
  <c r="V328" i="45"/>
  <c r="T153" i="45"/>
  <c r="T332" i="45"/>
  <c r="U143" i="45"/>
  <c r="X120" i="45"/>
  <c r="O296" i="45"/>
  <c r="U276" i="45"/>
  <c r="Q328" i="45"/>
  <c r="Y203" i="45"/>
  <c r="O77" i="3" s="1"/>
  <c r="K55" i="12" s="1"/>
  <c r="S38" i="12"/>
  <c r="U168" i="45"/>
  <c r="U167" i="45" s="1"/>
  <c r="B19" i="56"/>
  <c r="Y185" i="45"/>
  <c r="G63" i="4"/>
  <c r="R23" i="12"/>
  <c r="R156" i="45"/>
  <c r="V33" i="12"/>
  <c r="V171" i="45"/>
  <c r="V170" i="45" s="1"/>
  <c r="V191" i="45" s="1"/>
  <c r="N204" i="45"/>
  <c r="N208" i="45" s="1"/>
  <c r="D91" i="3" s="1"/>
  <c r="O204" i="45"/>
  <c r="O208" i="45" s="1"/>
  <c r="E91" i="3" s="1"/>
  <c r="R159" i="45"/>
  <c r="R186" i="45" s="1"/>
  <c r="R21" i="12"/>
  <c r="AF515" i="45"/>
  <c r="AE517" i="45"/>
  <c r="Q114" i="2"/>
  <c r="S39" i="12"/>
  <c r="H315" i="45"/>
  <c r="H312" i="45"/>
  <c r="K311" i="45"/>
  <c r="K315" i="45"/>
  <c r="I312" i="45"/>
  <c r="F315" i="45"/>
  <c r="N62" i="4"/>
  <c r="X40" i="12" s="1"/>
  <c r="X68" i="12" s="1"/>
  <c r="N325" i="45"/>
  <c r="N326" i="45" s="1"/>
  <c r="S191" i="45"/>
  <c r="H340" i="45"/>
  <c r="G335" i="45"/>
  <c r="G336" i="45" s="1"/>
  <c r="G272" i="45" s="1"/>
  <c r="G340" i="45"/>
  <c r="W123" i="45"/>
  <c r="W122" i="45" s="1"/>
  <c r="M36" i="2"/>
  <c r="W34" i="12"/>
  <c r="I42" i="12" s="1"/>
  <c r="V32" i="12"/>
  <c r="L23" i="2"/>
  <c r="J338" i="45"/>
  <c r="J339" i="45"/>
  <c r="J315" i="45" s="1"/>
  <c r="I278" i="45"/>
  <c r="I175" i="45"/>
  <c r="I176" i="45" s="1"/>
  <c r="P96" i="2"/>
  <c r="O100" i="2"/>
  <c r="N116" i="2"/>
  <c r="X328" i="45"/>
  <c r="N17" i="2"/>
  <c r="N327" i="45"/>
  <c r="O210" i="45"/>
  <c r="R324" i="45"/>
  <c r="R326" i="45" s="1"/>
  <c r="R137" i="45"/>
  <c r="Q327" i="45"/>
  <c r="R210" i="45"/>
  <c r="N168" i="2"/>
  <c r="N26" i="2" s="1"/>
  <c r="N30" i="2" s="1"/>
  <c r="O164" i="2"/>
  <c r="P120" i="45"/>
  <c r="P337" i="45"/>
  <c r="P338" i="45" s="1"/>
  <c r="S23" i="12"/>
  <c r="S30" i="12" s="1"/>
  <c r="S43" i="12" s="1"/>
  <c r="S156" i="45"/>
  <c r="V185" i="45"/>
  <c r="O161" i="45"/>
  <c r="O158" i="45" s="1"/>
  <c r="E58" i="3"/>
  <c r="E87" i="3"/>
  <c r="Q325" i="45"/>
  <c r="Q326" i="45" s="1"/>
  <c r="Q329" i="45" s="1"/>
  <c r="Q137" i="45"/>
  <c r="Q141" i="45" s="1"/>
  <c r="N210" i="45"/>
  <c r="M327" i="45"/>
  <c r="N118" i="4"/>
  <c r="N117" i="4"/>
  <c r="X58" i="12" s="1"/>
  <c r="X168" i="45"/>
  <c r="X167" i="45" s="1"/>
  <c r="W37" i="12"/>
  <c r="W38" i="12" s="1"/>
  <c r="W118" i="45"/>
  <c r="W114" i="45" s="1"/>
  <c r="W119" i="45" s="1"/>
  <c r="M188" i="2"/>
  <c r="G108" i="4"/>
  <c r="G104" i="4"/>
  <c r="F312" i="45"/>
  <c r="R114" i="2"/>
  <c r="G280" i="45"/>
  <c r="K37" i="4"/>
  <c r="Y158" i="45"/>
  <c r="J202" i="45"/>
  <c r="J280" i="45"/>
  <c r="D169" i="56"/>
  <c r="M117" i="2"/>
  <c r="G299" i="45"/>
  <c r="G173" i="45"/>
  <c r="E36" i="2"/>
  <c r="I128" i="4"/>
  <c r="S55" i="12" s="1"/>
  <c r="O188" i="2"/>
  <c r="Y118" i="45"/>
  <c r="Y114" i="45" s="1"/>
  <c r="Y119" i="45" s="1"/>
  <c r="Y37" i="12"/>
  <c r="Y38" i="12" s="1"/>
  <c r="U325" i="45"/>
  <c r="U326" i="45" s="1"/>
  <c r="U137" i="45"/>
  <c r="N332" i="45"/>
  <c r="N153" i="45"/>
  <c r="R337" i="45"/>
  <c r="R141" i="45"/>
  <c r="R120" i="45"/>
  <c r="Z515" i="45"/>
  <c r="AA517" i="45"/>
  <c r="U156" i="45"/>
  <c r="U23" i="12"/>
  <c r="X189" i="45"/>
  <c r="Y189" i="45"/>
  <c r="I134" i="4"/>
  <c r="I116" i="4"/>
  <c r="S57" i="12" s="1"/>
  <c r="P187" i="45"/>
  <c r="Q187" i="45"/>
  <c r="E134" i="4"/>
  <c r="E116" i="4"/>
  <c r="H107" i="4"/>
  <c r="R63" i="12" s="1"/>
  <c r="H103" i="4"/>
  <c r="H108" i="4"/>
  <c r="H101" i="4"/>
  <c r="H100" i="4"/>
  <c r="H104" i="4"/>
  <c r="G134" i="4"/>
  <c r="G116" i="4"/>
  <c r="AC33" i="12"/>
  <c r="AC171" i="45"/>
  <c r="AC170" i="45" s="1"/>
  <c r="F175" i="45"/>
  <c r="F176" i="45" s="1"/>
  <c r="F278" i="45"/>
  <c r="F334" i="45"/>
  <c r="V327" i="45"/>
  <c r="W210" i="45"/>
  <c r="X153" i="45"/>
  <c r="X332" i="45"/>
  <c r="AA28" i="12"/>
  <c r="AA139" i="45"/>
  <c r="AA138" i="45" s="1"/>
  <c r="AA189" i="45" s="1"/>
  <c r="E145" i="1"/>
  <c r="G37" i="4"/>
  <c r="G32" i="4"/>
  <c r="G31" i="4"/>
  <c r="G34" i="4"/>
  <c r="G36" i="4"/>
  <c r="G35" i="4"/>
  <c r="B170" i="56"/>
  <c r="K134" i="4"/>
  <c r="K116" i="4"/>
  <c r="U57" i="12" s="1"/>
  <c r="C169" i="56"/>
  <c r="M145" i="1"/>
  <c r="R189" i="45"/>
  <c r="S189" i="45"/>
  <c r="O186" i="45"/>
  <c r="O191" i="45"/>
  <c r="P191" i="45"/>
  <c r="D170" i="56"/>
  <c r="M116" i="4"/>
  <c r="W57" i="12" s="1"/>
  <c r="M134" i="4"/>
  <c r="U337" i="45"/>
  <c r="U120" i="45"/>
  <c r="K133" i="4"/>
  <c r="G281" i="45"/>
  <c r="I75" i="54"/>
  <c r="I76" i="54" s="1"/>
  <c r="I133" i="4"/>
  <c r="AD29" i="12"/>
  <c r="AD174" i="45"/>
  <c r="T25" i="3"/>
  <c r="T24" i="2"/>
  <c r="W203" i="45"/>
  <c r="M77" i="3" s="1"/>
  <c r="I55" i="12" s="1"/>
  <c r="X203" i="45"/>
  <c r="N77" i="3" s="1"/>
  <c r="J55" i="12" s="1"/>
  <c r="T327" i="45"/>
  <c r="U210" i="45"/>
  <c r="I289" i="45"/>
  <c r="E22" i="54"/>
  <c r="N101" i="4"/>
  <c r="S120" i="45"/>
  <c r="S337" i="45"/>
  <c r="F116" i="2"/>
  <c r="G145" i="1" s="1"/>
  <c r="F17" i="2"/>
  <c r="P156" i="45" s="1"/>
  <c r="P328" i="45"/>
  <c r="P329" i="45" s="1"/>
  <c r="T210" i="45"/>
  <c r="S327" i="45"/>
  <c r="X188" i="45"/>
  <c r="Y188" i="45"/>
  <c r="S120" i="2"/>
  <c r="R122" i="2"/>
  <c r="R18" i="2" s="1"/>
  <c r="S188" i="45"/>
  <c r="O199" i="45"/>
  <c r="O198" i="45" s="1"/>
  <c r="O155" i="45"/>
  <c r="P204" i="45"/>
  <c r="P208" i="45" s="1"/>
  <c r="F91" i="3" s="1"/>
  <c r="P141" i="45"/>
  <c r="W189" i="45"/>
  <c r="D116" i="4"/>
  <c r="D133" i="4"/>
  <c r="D134" i="4"/>
  <c r="P114" i="2"/>
  <c r="Q33" i="3" s="1"/>
  <c r="V120" i="45"/>
  <c r="T118" i="45"/>
  <c r="T114" i="45" s="1"/>
  <c r="T119" i="45" s="1"/>
  <c r="J188" i="2"/>
  <c r="T37" i="12"/>
  <c r="T38" i="12" s="1"/>
  <c r="T39" i="12" s="1"/>
  <c r="S158" i="45"/>
  <c r="P186" i="45"/>
  <c r="P158" i="45"/>
  <c r="N104" i="4"/>
  <c r="N120" i="45"/>
  <c r="N337" i="45"/>
  <c r="N141" i="45"/>
  <c r="O227" i="45"/>
  <c r="O308" i="45" s="1"/>
  <c r="O339" i="45"/>
  <c r="O166" i="45"/>
  <c r="M184" i="45"/>
  <c r="S187" i="45"/>
  <c r="E33" i="4"/>
  <c r="H63" i="4"/>
  <c r="J116" i="4"/>
  <c r="T57" i="12" s="1"/>
  <c r="J134" i="4"/>
  <c r="Q166" i="45"/>
  <c r="G170" i="56"/>
  <c r="O116" i="4"/>
  <c r="Y57" i="12" s="1"/>
  <c r="K334" i="45"/>
  <c r="K278" i="45"/>
  <c r="K175" i="45"/>
  <c r="K176" i="45" s="1"/>
  <c r="T36" i="3"/>
  <c r="S36" i="3"/>
  <c r="H299" i="45"/>
  <c r="H173" i="45"/>
  <c r="H335" i="45"/>
  <c r="W155" i="45"/>
  <c r="L62" i="4"/>
  <c r="V40" i="12" s="1"/>
  <c r="V68" i="12" s="1"/>
  <c r="L63" i="4"/>
  <c r="L29" i="2"/>
  <c r="I63" i="4"/>
  <c r="I62" i="4"/>
  <c r="S40" i="12" s="1"/>
  <c r="S68" i="12" s="1"/>
  <c r="I29" i="2"/>
  <c r="T203" i="45"/>
  <c r="U203" i="45"/>
  <c r="N65" i="54"/>
  <c r="P35" i="54" s="1"/>
  <c r="I30" i="54" s="1"/>
  <c r="W171" i="45"/>
  <c r="W170" i="45" s="1"/>
  <c r="W33" i="12"/>
  <c r="W39" i="12" s="1"/>
  <c r="R161" i="45"/>
  <c r="R19" i="12"/>
  <c r="H36" i="2"/>
  <c r="H87" i="3"/>
  <c r="M199" i="45"/>
  <c r="M198" i="45" s="1"/>
  <c r="M155" i="45"/>
  <c r="N199" i="45"/>
  <c r="N198" i="45" s="1"/>
  <c r="S137" i="45"/>
  <c r="S204" i="45" s="1"/>
  <c r="S325" i="45"/>
  <c r="S326" i="45" s="1"/>
  <c r="J175" i="45"/>
  <c r="J176" i="45" s="1"/>
  <c r="J278" i="45"/>
  <c r="J334" i="45"/>
  <c r="U166" i="45"/>
  <c r="U190" i="45"/>
  <c r="F14" i="2"/>
  <c r="M173" i="45"/>
  <c r="M334" i="45" s="1"/>
  <c r="M299" i="45"/>
  <c r="Q185" i="45"/>
  <c r="Q158" i="45"/>
  <c r="M329" i="45"/>
  <c r="H14" i="2"/>
  <c r="I341" i="45"/>
  <c r="E42" i="12"/>
  <c r="T114" i="2"/>
  <c r="AD328" i="45" s="1"/>
  <c r="W332" i="45"/>
  <c r="W153" i="45"/>
  <c r="V325" i="45"/>
  <c r="V326" i="45" s="1"/>
  <c r="V137" i="45"/>
  <c r="AB203" i="45"/>
  <c r="R77" i="3" s="1"/>
  <c r="N55" i="12" s="1"/>
  <c r="AC203" i="45"/>
  <c r="S77" i="3" s="1"/>
  <c r="O55" i="12" s="1"/>
  <c r="U327" i="45"/>
  <c r="V210" i="45"/>
  <c r="B169" i="56"/>
  <c r="L145" i="1"/>
  <c r="K145" i="1"/>
  <c r="V158" i="45"/>
  <c r="G33" i="4"/>
  <c r="P296" i="45"/>
  <c r="N329" i="45"/>
  <c r="N186" i="45"/>
  <c r="N184" i="45" s="1"/>
  <c r="N158" i="45"/>
  <c r="S70" i="2"/>
  <c r="T70" i="2"/>
  <c r="X227" i="45"/>
  <c r="X308" i="45" s="1"/>
  <c r="B168" i="56"/>
  <c r="K36" i="4"/>
  <c r="K35" i="4"/>
  <c r="K33" i="4"/>
  <c r="K31" i="4"/>
  <c r="K34" i="4"/>
  <c r="S166" i="45"/>
  <c r="D62" i="4"/>
  <c r="D63" i="4"/>
  <c r="D29" i="2"/>
  <c r="U186" i="45"/>
  <c r="U158" i="45"/>
  <c r="R185" i="45"/>
  <c r="Z203" i="45"/>
  <c r="P77" i="3" s="1"/>
  <c r="L55" i="12" s="1"/>
  <c r="P185" i="45"/>
  <c r="O185" i="45"/>
  <c r="R191" i="45"/>
  <c r="E36" i="4"/>
  <c r="E31" i="4"/>
  <c r="E35" i="4"/>
  <c r="E32" i="4"/>
  <c r="E34" i="4"/>
  <c r="T186" i="45"/>
  <c r="T184" i="45" s="1"/>
  <c r="T158" i="45"/>
  <c r="X191" i="45"/>
  <c r="Y191" i="45"/>
  <c r="R32" i="12"/>
  <c r="R39" i="12" s="1"/>
  <c r="H23" i="2"/>
  <c r="W158" i="45"/>
  <c r="X186" i="45"/>
  <c r="W186" i="45"/>
  <c r="T329" i="45"/>
  <c r="O116" i="2"/>
  <c r="Y328" i="45"/>
  <c r="O17" i="2"/>
  <c r="N110" i="1"/>
  <c r="N15" i="1"/>
  <c r="N142" i="2" s="1"/>
  <c r="AC328" i="45"/>
  <c r="S116" i="2"/>
  <c r="S17" i="2"/>
  <c r="D12" i="4"/>
  <c r="D128" i="4"/>
  <c r="D131" i="4" s="1"/>
  <c r="P40" i="45"/>
  <c r="P283" i="45"/>
  <c r="G125" i="28"/>
  <c r="N192" i="45"/>
  <c r="N88" i="45"/>
  <c r="K280" i="45"/>
  <c r="K281" i="45"/>
  <c r="K202" i="45"/>
  <c r="K279" i="45"/>
  <c r="K294" i="45"/>
  <c r="K253" i="45"/>
  <c r="K295" i="45"/>
  <c r="K196" i="45"/>
  <c r="K209" i="45"/>
  <c r="K212" i="45" s="1"/>
  <c r="K213" i="45" s="1"/>
  <c r="F83" i="45"/>
  <c r="G232" i="45"/>
  <c r="F248" i="45"/>
  <c r="C86" i="1"/>
  <c r="K131" i="4"/>
  <c r="I232" i="45"/>
  <c r="H248" i="45"/>
  <c r="H83" i="45"/>
  <c r="I281" i="45"/>
  <c r="I202" i="45"/>
  <c r="I280" i="45"/>
  <c r="I279" i="45"/>
  <c r="F280" i="45"/>
  <c r="F202" i="45"/>
  <c r="F281" i="45"/>
  <c r="F279" i="45"/>
  <c r="Z309" i="45"/>
  <c r="W42" i="45"/>
  <c r="W277" i="45" s="1"/>
  <c r="K103" i="45"/>
  <c r="K224" i="45" s="1"/>
  <c r="K306" i="45" s="1"/>
  <c r="K262" i="45"/>
  <c r="K98" i="45"/>
  <c r="K100" i="45" s="1"/>
  <c r="K222" i="45" s="1"/>
  <c r="K255" i="45" s="1"/>
  <c r="K101" i="45"/>
  <c r="K223" i="45" s="1"/>
  <c r="K304" i="45" s="1"/>
  <c r="K287" i="45"/>
  <c r="R44" i="45"/>
  <c r="R43" i="45" s="1"/>
  <c r="H45" i="2"/>
  <c r="H128" i="4"/>
  <c r="H130" i="4"/>
  <c r="H279" i="45"/>
  <c r="H202" i="45"/>
  <c r="H281" i="45"/>
  <c r="H280" i="45"/>
  <c r="H90" i="2"/>
  <c r="R25" i="12"/>
  <c r="E15" i="2"/>
  <c r="E143" i="4"/>
  <c r="F15" i="2"/>
  <c r="F143" i="4"/>
  <c r="Q153" i="45"/>
  <c r="Q195" i="45" s="1"/>
  <c r="I41" i="6"/>
  <c r="I35" i="6"/>
  <c r="I36" i="6"/>
  <c r="H86" i="2"/>
  <c r="I39" i="6"/>
  <c r="I38" i="6"/>
  <c r="I37" i="6"/>
  <c r="I40" i="6"/>
  <c r="I42" i="6"/>
  <c r="C11" i="6"/>
  <c r="G15" i="2"/>
  <c r="G143" i="4"/>
  <c r="F36" i="6"/>
  <c r="F41" i="6"/>
  <c r="E86" i="2"/>
  <c r="F38" i="6"/>
  <c r="F40" i="6"/>
  <c r="F42" i="6"/>
  <c r="F37" i="6"/>
  <c r="F39" i="6"/>
  <c r="F35" i="6"/>
  <c r="C35" i="6" s="1"/>
  <c r="K90" i="2"/>
  <c r="U25" i="12"/>
  <c r="D70" i="6"/>
  <c r="C88" i="2" s="1"/>
  <c r="C90" i="2" s="1"/>
  <c r="D37" i="6"/>
  <c r="C37" i="6" s="1"/>
  <c r="D40" i="6"/>
  <c r="D41" i="6"/>
  <c r="C41" i="6" s="1"/>
  <c r="D36" i="6"/>
  <c r="D42" i="6"/>
  <c r="C42" i="6" s="1"/>
  <c r="C86" i="2"/>
  <c r="D39" i="6"/>
  <c r="C39" i="6" s="1"/>
  <c r="D38" i="6"/>
  <c r="V153" i="45"/>
  <c r="W195" i="45" s="1"/>
  <c r="V332" i="45"/>
  <c r="N143" i="4"/>
  <c r="N15" i="2"/>
  <c r="I15" i="2"/>
  <c r="I143" i="4"/>
  <c r="R89" i="2"/>
  <c r="T71" i="6"/>
  <c r="J90" i="2"/>
  <c r="T25" i="12"/>
  <c r="T30" i="12" s="1"/>
  <c r="C18" i="6"/>
  <c r="U332" i="45"/>
  <c r="U153" i="45"/>
  <c r="S332" i="45"/>
  <c r="T333" i="45" s="1"/>
  <c r="S153" i="45"/>
  <c r="D21" i="2"/>
  <c r="D26" i="4" s="1"/>
  <c r="AB309" i="45"/>
  <c r="V283" i="45"/>
  <c r="Y205" i="45"/>
  <c r="X309" i="45"/>
  <c r="V275" i="45"/>
  <c r="AC207" i="45"/>
  <c r="AC201" i="45"/>
  <c r="S48" i="3"/>
  <c r="H18" i="4"/>
  <c r="H11" i="4"/>
  <c r="C256" i="46"/>
  <c r="H115" i="1"/>
  <c r="R35" i="45"/>
  <c r="R37" i="45" s="1"/>
  <c r="I51" i="4"/>
  <c r="H86" i="1"/>
  <c r="H15" i="4"/>
  <c r="H117" i="1"/>
  <c r="H165" i="4"/>
  <c r="H11" i="1"/>
  <c r="H68" i="4" s="1"/>
  <c r="H12" i="4"/>
  <c r="H129" i="4"/>
  <c r="H53" i="2"/>
  <c r="H123" i="4"/>
  <c r="H116" i="1"/>
  <c r="H14" i="4"/>
  <c r="H113" i="1"/>
  <c r="H114" i="1"/>
  <c r="H63" i="2"/>
  <c r="H17" i="4"/>
  <c r="D19" i="12"/>
  <c r="U96" i="45"/>
  <c r="U93" i="45" s="1"/>
  <c r="K38" i="1"/>
  <c r="G34" i="12" s="1"/>
  <c r="U275" i="45"/>
  <c r="E47" i="56"/>
  <c r="V41" i="45"/>
  <c r="S131" i="1"/>
  <c r="S27" i="1" s="1"/>
  <c r="T131" i="1"/>
  <c r="T27" i="1" s="1"/>
  <c r="B53" i="56"/>
  <c r="B49" i="56"/>
  <c r="E11" i="1"/>
  <c r="E68" i="4" s="1"/>
  <c r="E114" i="1"/>
  <c r="E16" i="4"/>
  <c r="E133" i="4"/>
  <c r="E165" i="4"/>
  <c r="E53" i="2"/>
  <c r="F51" i="4"/>
  <c r="O122" i="1"/>
  <c r="P122" i="1"/>
  <c r="I142" i="2"/>
  <c r="S65" i="45"/>
  <c r="S47" i="45" s="1"/>
  <c r="S42" i="45" s="1"/>
  <c r="S77" i="45" s="1"/>
  <c r="I13" i="4"/>
  <c r="G11" i="56"/>
  <c r="Q50" i="3"/>
  <c r="G5" i="56"/>
  <c r="Y403" i="45"/>
  <c r="Y309" i="45"/>
  <c r="Q24" i="2"/>
  <c r="M42" i="45"/>
  <c r="M277" i="45" s="1"/>
  <c r="P56" i="44"/>
  <c r="J56" i="44"/>
  <c r="K56" i="44"/>
  <c r="I51" i="51"/>
  <c r="I207" i="28"/>
  <c r="I102" i="28"/>
  <c r="I103" i="28" s="1"/>
  <c r="G48" i="26"/>
  <c r="I205" i="28"/>
  <c r="J58" i="28"/>
  <c r="J206" i="28" s="1"/>
  <c r="M48" i="44"/>
  <c r="L71" i="44"/>
  <c r="M47" i="44"/>
  <c r="L70" i="44"/>
  <c r="M49" i="44"/>
  <c r="L72" i="44"/>
  <c r="S277" i="45"/>
  <c r="W9" i="44"/>
  <c r="W16" i="44"/>
  <c r="Q30" i="44"/>
  <c r="AD500" i="45"/>
  <c r="BI310" i="45"/>
  <c r="AJ315" i="45"/>
  <c r="AJ310" i="45"/>
  <c r="AN310" i="45"/>
  <c r="AS310" i="45"/>
  <c r="S74" i="44"/>
  <c r="T74" i="44"/>
  <c r="X10" i="44"/>
  <c r="AM157" i="29"/>
  <c r="AM310" i="29" s="1"/>
  <c r="AS315" i="45"/>
  <c r="BJ316" i="45"/>
  <c r="AO310" i="45"/>
  <c r="AO315" i="45"/>
  <c r="AH77" i="45"/>
  <c r="X6" i="44"/>
  <c r="X13" i="44"/>
  <c r="X7" i="44"/>
  <c r="F263" i="46"/>
  <c r="D269" i="46"/>
  <c r="L44" i="4"/>
  <c r="H59" i="12"/>
  <c r="L43" i="4"/>
  <c r="M55" i="3"/>
  <c r="L58" i="3"/>
  <c r="L85" i="3"/>
  <c r="P309" i="45"/>
  <c r="P256" i="45"/>
  <c r="O83" i="3"/>
  <c r="K59" i="12" s="1"/>
  <c r="K74" i="12"/>
  <c r="E131" i="4"/>
  <c r="AA256" i="45"/>
  <c r="AA309" i="45"/>
  <c r="K58" i="28"/>
  <c r="K206" i="28" s="1"/>
  <c r="H23" i="26"/>
  <c r="H29" i="26" s="1"/>
  <c r="H31" i="26" s="1"/>
  <c r="F23" i="26"/>
  <c r="F29" i="26" s="1"/>
  <c r="F31" i="26" s="1"/>
  <c r="F35" i="26" s="1"/>
  <c r="J200" i="28"/>
  <c r="J50" i="28"/>
  <c r="J201" i="28" s="1"/>
  <c r="J51" i="28"/>
  <c r="J74" i="28"/>
  <c r="J205" i="28"/>
  <c r="J99" i="28"/>
  <c r="J100" i="28" s="1"/>
  <c r="I200" i="28"/>
  <c r="I50" i="28"/>
  <c r="I201" i="28" s="1"/>
  <c r="J88" i="28"/>
  <c r="J59" i="28"/>
  <c r="J207" i="28" s="1"/>
  <c r="H47" i="26"/>
  <c r="H48" i="26" s="1"/>
  <c r="L43" i="44"/>
  <c r="L34" i="44"/>
  <c r="L35" i="44"/>
  <c r="L36" i="44"/>
  <c r="L40" i="44"/>
  <c r="L41" i="44"/>
  <c r="L37" i="44"/>
  <c r="J41" i="44"/>
  <c r="J34" i="44"/>
  <c r="J40" i="44"/>
  <c r="J36" i="44"/>
  <c r="J35" i="44"/>
  <c r="J37" i="44"/>
  <c r="O1" i="1"/>
  <c r="K97" i="28"/>
  <c r="J57" i="44"/>
  <c r="J67" i="44" s="1"/>
  <c r="O56" i="44"/>
  <c r="N56" i="44"/>
  <c r="M35" i="44"/>
  <c r="M41" i="44"/>
  <c r="M34" i="44"/>
  <c r="M37" i="44"/>
  <c r="M43" i="44"/>
  <c r="M36" i="44"/>
  <c r="M40" i="44"/>
  <c r="O34" i="44"/>
  <c r="O35" i="44"/>
  <c r="O38" i="44"/>
  <c r="O41" i="44"/>
  <c r="O37" i="44"/>
  <c r="O36" i="44"/>
  <c r="O43" i="44"/>
  <c r="O42" i="44"/>
  <c r="O40" i="44"/>
  <c r="O39" i="44"/>
  <c r="K98" i="44"/>
  <c r="K31" i="44"/>
  <c r="K40" i="44"/>
  <c r="K57" i="44"/>
  <c r="K34" i="44"/>
  <c r="K35" i="44"/>
  <c r="K37" i="44"/>
  <c r="K41" i="44"/>
  <c r="K43" i="44"/>
  <c r="K36" i="44"/>
  <c r="K180" i="28"/>
  <c r="K102" i="28"/>
  <c r="M31" i="44"/>
  <c r="M98" i="44"/>
  <c r="N98" i="44"/>
  <c r="O99" i="44" s="1"/>
  <c r="N31" i="44"/>
  <c r="K105" i="28"/>
  <c r="F5" i="54"/>
  <c r="F7" i="54" s="1"/>
  <c r="I116" i="28"/>
  <c r="I114" i="28"/>
  <c r="J31" i="44"/>
  <c r="J98" i="44"/>
  <c r="K66" i="44"/>
  <c r="K65" i="44"/>
  <c r="N41" i="44"/>
  <c r="N40" i="44"/>
  <c r="N37" i="44"/>
  <c r="N35" i="44"/>
  <c r="N34" i="44"/>
  <c r="N43" i="44"/>
  <c r="N36" i="44"/>
  <c r="L56" i="44"/>
  <c r="E24" i="26"/>
  <c r="E29" i="26"/>
  <c r="E31" i="26" s="1"/>
  <c r="E35" i="26" s="1"/>
  <c r="E55" i="26"/>
  <c r="E61" i="26"/>
  <c r="E48" i="26"/>
  <c r="K48" i="26"/>
  <c r="K61" i="26"/>
  <c r="K55" i="26"/>
  <c r="I48" i="26"/>
  <c r="I54" i="26"/>
  <c r="J61" i="26"/>
  <c r="J55" i="26"/>
  <c r="Q73" i="44"/>
  <c r="L189" i="28"/>
  <c r="L205" i="28"/>
  <c r="J7" i="48"/>
  <c r="J11" i="48"/>
  <c r="J9" i="48"/>
  <c r="AQ148" i="29"/>
  <c r="AQ307" i="29" s="1"/>
  <c r="BK273" i="45"/>
  <c r="BK275" i="45"/>
  <c r="BK276" i="45"/>
  <c r="BK278" i="45"/>
  <c r="BK280" i="45"/>
  <c r="AH281" i="45"/>
  <c r="AH298" i="45"/>
  <c r="AH247" i="45"/>
  <c r="V61" i="58"/>
  <c r="AM315" i="29"/>
  <c r="Y100" i="29"/>
  <c r="Y315" i="29"/>
  <c r="S221" i="29"/>
  <c r="W214" i="29"/>
  <c r="S215" i="29"/>
  <c r="T215" i="29"/>
  <c r="AG142" i="29"/>
  <c r="AG150" i="29"/>
  <c r="AC449" i="45"/>
  <c r="AC448" i="45" s="1"/>
  <c r="AC447" i="45" s="1"/>
  <c r="AC482" i="45" s="1"/>
  <c r="BB44" i="45"/>
  <c r="BB43" i="45" s="1"/>
  <c r="BB42" i="45" s="1"/>
  <c r="BB277" i="45" s="1"/>
  <c r="C7" i="48"/>
  <c r="AK142" i="29"/>
  <c r="V131" i="29"/>
  <c r="U130" i="29"/>
  <c r="AI38" i="45"/>
  <c r="AO593" i="45"/>
  <c r="AD446" i="45"/>
  <c r="AV280" i="45"/>
  <c r="AL273" i="45"/>
  <c r="BA593" i="45"/>
  <c r="BA38" i="45"/>
  <c r="BA40" i="45"/>
  <c r="BA41" i="45" s="1"/>
  <c r="BI315" i="45"/>
  <c r="BD613" i="45"/>
  <c r="BD275" i="45"/>
  <c r="BD273" i="45"/>
  <c r="AZ280" i="45"/>
  <c r="AZ273" i="45"/>
  <c r="AZ276" i="45"/>
  <c r="AI273" i="45"/>
  <c r="AJ41" i="45"/>
  <c r="AJ613" i="45"/>
  <c r="AI275" i="45"/>
  <c r="AI278" i="45"/>
  <c r="BE613" i="45"/>
  <c r="BP38" i="45"/>
  <c r="BO38" i="45"/>
  <c r="AF77" i="45"/>
  <c r="AT77" i="45"/>
  <c r="AT281" i="45" s="1"/>
  <c r="AK310" i="45"/>
  <c r="S482" i="45"/>
  <c r="W595" i="45" s="1"/>
  <c r="BN593" i="45"/>
  <c r="BO612" i="45"/>
  <c r="AK128" i="29"/>
  <c r="U160" i="29"/>
  <c r="AA115" i="29"/>
  <c r="AH237" i="29"/>
  <c r="Y99" i="29"/>
  <c r="Y316" i="29" s="1"/>
  <c r="G99" i="29"/>
  <c r="G102" i="29"/>
  <c r="AE215" i="29"/>
  <c r="BL38" i="45"/>
  <c r="AM148" i="29"/>
  <c r="AM307" i="29" s="1"/>
  <c r="BJ310" i="45"/>
  <c r="AI130" i="29"/>
  <c r="AH139" i="29"/>
  <c r="AH143" i="29"/>
  <c r="AG213" i="29"/>
  <c r="AH215" i="29" s="1"/>
  <c r="G103" i="29"/>
  <c r="S214" i="29"/>
  <c r="S233" i="29" s="1"/>
  <c r="T201" i="29"/>
  <c r="T185" i="29"/>
  <c r="T206" i="29" s="1"/>
  <c r="AG143" i="29"/>
  <c r="AE156" i="29"/>
  <c r="AE309" i="29" s="1"/>
  <c r="AE147" i="29"/>
  <c r="AE306" i="29" s="1"/>
  <c r="AO99" i="29"/>
  <c r="AO316" i="29" s="1"/>
  <c r="AK315" i="29"/>
  <c r="K108" i="29"/>
  <c r="H109" i="29"/>
  <c r="BI275" i="45"/>
  <c r="BK593" i="45"/>
  <c r="BJ612" i="45"/>
  <c r="BA612" i="45"/>
  <c r="AQ273" i="45"/>
  <c r="BG38" i="45"/>
  <c r="AX612" i="45"/>
  <c r="AZ283" i="45"/>
  <c r="R594" i="45"/>
  <c r="AI309" i="45"/>
  <c r="AJ275" i="45"/>
  <c r="AH38" i="45"/>
  <c r="AY612" i="45"/>
  <c r="AG612" i="45"/>
  <c r="AK593" i="45"/>
  <c r="R613" i="45"/>
  <c r="AY40" i="45"/>
  <c r="BC38" i="45"/>
  <c r="AW593" i="45"/>
  <c r="AF278" i="45"/>
  <c r="AF276" i="45"/>
  <c r="AF275" i="45"/>
  <c r="AG40" i="45"/>
  <c r="BF283" i="45"/>
  <c r="BC593" i="45"/>
  <c r="AS612" i="45"/>
  <c r="AT612" i="45"/>
  <c r="AL310" i="45"/>
  <c r="AS280" i="45"/>
  <c r="AT41" i="45"/>
  <c r="AR593" i="45"/>
  <c r="AR283" i="45"/>
  <c r="BG593" i="45"/>
  <c r="AS278" i="45"/>
  <c r="AT276" i="45"/>
  <c r="AM283" i="45"/>
  <c r="AK283" i="45"/>
  <c r="AT274" i="45"/>
  <c r="BH38" i="45"/>
  <c r="AM140" i="29"/>
  <c r="U156" i="29"/>
  <c r="V158" i="29" s="1"/>
  <c r="BF38" i="45"/>
  <c r="AB99" i="29"/>
  <c r="AB316" i="29" s="1"/>
  <c r="X315" i="29"/>
  <c r="Y25" i="29"/>
  <c r="S225" i="29"/>
  <c r="AP142" i="29"/>
  <c r="AL143" i="29"/>
  <c r="AL150" i="29"/>
  <c r="AC150" i="29"/>
  <c r="AC143" i="29"/>
  <c r="AC142" i="29"/>
  <c r="AC213" i="29"/>
  <c r="Y130" i="29"/>
  <c r="F18" i="49"/>
  <c r="F17" i="49"/>
  <c r="H22" i="49"/>
  <c r="F15" i="49"/>
  <c r="F16" i="49"/>
  <c r="H39" i="49"/>
  <c r="Z325" i="45"/>
  <c r="AB325" i="45"/>
  <c r="P142" i="1"/>
  <c r="P41" i="3"/>
  <c r="Z177" i="45" s="1"/>
  <c r="L49" i="58"/>
  <c r="L47" i="58"/>
  <c r="L48" i="58"/>
  <c r="BK272" i="45"/>
  <c r="S17" i="58"/>
  <c r="T18" i="58" s="1"/>
  <c r="AL212" i="29"/>
  <c r="AL213" i="29" s="1"/>
  <c r="AP214" i="29" s="1"/>
  <c r="AL209" i="29"/>
  <c r="L46" i="58"/>
  <c r="L40" i="58"/>
  <c r="L44" i="58"/>
  <c r="L45" i="58"/>
  <c r="L42" i="58"/>
  <c r="L43" i="58"/>
  <c r="L39" i="58"/>
  <c r="L41" i="58"/>
  <c r="Z154" i="29"/>
  <c r="H102" i="29"/>
  <c r="W55" i="58"/>
  <c r="W46" i="58"/>
  <c r="BH44" i="45"/>
  <c r="BH43" i="45" s="1"/>
  <c r="BH42" i="45" s="1"/>
  <c r="BH277" i="45" s="1"/>
  <c r="AE25" i="29"/>
  <c r="AI449" i="45"/>
  <c r="AI448" i="45" s="1"/>
  <c r="AI447" i="45" s="1"/>
  <c r="AI482" i="45" s="1"/>
  <c r="AI485" i="45" s="1"/>
  <c r="AI487" i="45" s="1"/>
  <c r="AI491" i="45" s="1"/>
  <c r="AL140" i="29"/>
  <c r="AO139" i="29"/>
  <c r="AM309" i="29"/>
  <c r="X18" i="58"/>
  <c r="W18" i="58"/>
  <c r="AA153" i="29"/>
  <c r="AB155" i="29" s="1"/>
  <c r="AA146" i="29"/>
  <c r="S37" i="58"/>
  <c r="T38" i="58" s="1"/>
  <c r="S45" i="58"/>
  <c r="AN40" i="45"/>
  <c r="AN275" i="45" s="1"/>
  <c r="AT273" i="45"/>
  <c r="BO41" i="45"/>
  <c r="P30" i="44"/>
  <c r="P26" i="44"/>
  <c r="P17" i="44"/>
  <c r="P31" i="44" s="1"/>
  <c r="G5" i="48"/>
  <c r="AX40" i="45"/>
  <c r="AX280" i="45" s="1"/>
  <c r="BK594" i="45"/>
  <c r="BK230" i="45" s="1"/>
  <c r="BK416" i="45" s="1"/>
  <c r="AL38" i="45"/>
  <c r="BK271" i="45"/>
  <c r="BK411" i="45" s="1"/>
  <c r="AH311" i="45"/>
  <c r="AR310" i="45"/>
  <c r="BD316" i="45"/>
  <c r="BD310" i="45"/>
  <c r="H54" i="26"/>
  <c r="D5" i="54"/>
  <c r="D6" i="54" s="1"/>
  <c r="I60" i="28"/>
  <c r="I208" i="28" s="1"/>
  <c r="L39" i="49"/>
  <c r="I180" i="28"/>
  <c r="K88" i="28"/>
  <c r="O109" i="1"/>
  <c r="Q108" i="1"/>
  <c r="D126" i="56"/>
  <c r="M51" i="4"/>
  <c r="M12" i="4"/>
  <c r="D9" i="54"/>
  <c r="M117" i="1"/>
  <c r="W35" i="45"/>
  <c r="W37" i="45" s="1"/>
  <c r="H256" i="46"/>
  <c r="M113" i="1"/>
  <c r="M53" i="2"/>
  <c r="M15" i="4"/>
  <c r="M14" i="4"/>
  <c r="M133" i="4"/>
  <c r="M129" i="4"/>
  <c r="M123" i="4"/>
  <c r="W60" i="12" s="1"/>
  <c r="M116" i="1"/>
  <c r="M114" i="1"/>
  <c r="M115" i="1"/>
  <c r="M11" i="4"/>
  <c r="M11" i="1"/>
  <c r="M63" i="2"/>
  <c r="M16" i="4"/>
  <c r="M13" i="4"/>
  <c r="C34" i="56"/>
  <c r="M165" i="4"/>
  <c r="M110" i="1"/>
  <c r="M1" i="1"/>
  <c r="I19" i="12"/>
  <c r="M86" i="1"/>
  <c r="B31" i="56"/>
  <c r="N57" i="12"/>
  <c r="M64" i="3"/>
  <c r="W362" i="45"/>
  <c r="W206" i="45" s="1"/>
  <c r="M64" i="1"/>
  <c r="D15" i="1"/>
  <c r="D21" i="1" s="1"/>
  <c r="D110" i="1"/>
  <c r="Q226" i="45"/>
  <c r="J117" i="1"/>
  <c r="J114" i="1"/>
  <c r="J11" i="1"/>
  <c r="J86" i="1"/>
  <c r="J14" i="4"/>
  <c r="J15" i="4"/>
  <c r="J11" i="4"/>
  <c r="J12" i="4"/>
  <c r="J63" i="2"/>
  <c r="J129" i="4"/>
  <c r="T35" i="45"/>
  <c r="T37" i="45" s="1"/>
  <c r="J133" i="4"/>
  <c r="J113" i="1"/>
  <c r="J51" i="4"/>
  <c r="J13" i="4"/>
  <c r="F19" i="12"/>
  <c r="J165" i="4"/>
  <c r="E256" i="46"/>
  <c r="J116" i="1"/>
  <c r="J110" i="1"/>
  <c r="J18" i="4"/>
  <c r="K51" i="4"/>
  <c r="J115" i="1"/>
  <c r="J53" i="2"/>
  <c r="J123" i="4"/>
  <c r="T60" i="12" s="1"/>
  <c r="J16" i="4"/>
  <c r="T205" i="45"/>
  <c r="T182" i="45"/>
  <c r="U226" i="45"/>
  <c r="U403" i="45"/>
  <c r="Q205" i="45"/>
  <c r="Q182" i="45"/>
  <c r="D68" i="4"/>
  <c r="N51" i="4"/>
  <c r="N275" i="45"/>
  <c r="N276" i="45"/>
  <c r="X55" i="12"/>
  <c r="D16" i="56" s="1"/>
  <c r="D19" i="56" s="1"/>
  <c r="N131" i="4"/>
  <c r="M17" i="4"/>
  <c r="X275" i="45"/>
  <c r="X276" i="45"/>
  <c r="L22" i="1"/>
  <c r="L69" i="4"/>
  <c r="L25" i="1"/>
  <c r="B56" i="56"/>
  <c r="H117" i="28"/>
  <c r="L6" i="1"/>
  <c r="C11" i="54"/>
  <c r="C12" i="54" s="1"/>
  <c r="H21" i="12"/>
  <c r="M18" i="4"/>
  <c r="U88" i="45"/>
  <c r="U192" i="45"/>
  <c r="G110" i="1"/>
  <c r="G15" i="1"/>
  <c r="E15" i="1"/>
  <c r="E110" i="1"/>
  <c r="G129" i="4"/>
  <c r="G131" i="4" s="1"/>
  <c r="Q35" i="45"/>
  <c r="Q37" i="45" s="1"/>
  <c r="G14" i="4"/>
  <c r="G115" i="1"/>
  <c r="G116" i="1"/>
  <c r="G114" i="1"/>
  <c r="G113" i="1"/>
  <c r="G11" i="4"/>
  <c r="G123" i="4"/>
  <c r="G133" i="4"/>
  <c r="G165" i="4"/>
  <c r="G63" i="2"/>
  <c r="H51" i="4"/>
  <c r="G51" i="4"/>
  <c r="G53" i="2"/>
  <c r="G11" i="1"/>
  <c r="G15" i="4"/>
  <c r="G12" i="4"/>
  <c r="G117" i="1"/>
  <c r="G92" i="28"/>
  <c r="G91" i="28"/>
  <c r="E33" i="26"/>
  <c r="G105" i="28"/>
  <c r="F130" i="4"/>
  <c r="F142" i="2"/>
  <c r="F128" i="4"/>
  <c r="F12" i="4"/>
  <c r="F11" i="1"/>
  <c r="F45" i="2"/>
  <c r="P44" i="45"/>
  <c r="P43" i="45" s="1"/>
  <c r="P42" i="45" s="1"/>
  <c r="M88" i="45"/>
  <c r="M192" i="45"/>
  <c r="G124" i="28"/>
  <c r="R50" i="3"/>
  <c r="AB205" i="45"/>
  <c r="AB182" i="45"/>
  <c r="R67" i="3" s="1"/>
  <c r="N48" i="12" s="1"/>
  <c r="X65" i="45"/>
  <c r="X47" i="45" s="1"/>
  <c r="X42" i="45" s="1"/>
  <c r="N13" i="4"/>
  <c r="AA205" i="45"/>
  <c r="AA182" i="45"/>
  <c r="Q67" i="3" s="1"/>
  <c r="M48" i="12" s="1"/>
  <c r="Y283" i="45"/>
  <c r="Y38" i="45"/>
  <c r="Y40" i="45"/>
  <c r="E37" i="56"/>
  <c r="G36" i="56"/>
  <c r="E51" i="56"/>
  <c r="E45" i="56"/>
  <c r="E53" i="56"/>
  <c r="E41" i="56"/>
  <c r="G34" i="56"/>
  <c r="Y82" i="45"/>
  <c r="Y197" i="45" s="1"/>
  <c r="K27" i="12"/>
  <c r="O17" i="4"/>
  <c r="V82" i="45"/>
  <c r="V197" i="45" s="1"/>
  <c r="H27" i="12"/>
  <c r="L17" i="4"/>
  <c r="C49" i="56"/>
  <c r="J57" i="12"/>
  <c r="W226" i="45"/>
  <c r="V88" i="45"/>
  <c r="V192" i="45"/>
  <c r="H15" i="1"/>
  <c r="H110" i="1"/>
  <c r="S88" i="45"/>
  <c r="S192" i="45"/>
  <c r="U205" i="45"/>
  <c r="U182" i="45"/>
  <c r="G20" i="12"/>
  <c r="G75" i="12" s="1"/>
  <c r="G74" i="12"/>
  <c r="K163" i="4"/>
  <c r="K162" i="4"/>
  <c r="K161" i="4"/>
  <c r="J17" i="4"/>
  <c r="S205" i="45"/>
  <c r="S182" i="45"/>
  <c r="U65" i="45"/>
  <c r="U47" i="45" s="1"/>
  <c r="U42" i="45" s="1"/>
  <c r="K142" i="2"/>
  <c r="K21" i="1"/>
  <c r="T309" i="45"/>
  <c r="T256" i="45"/>
  <c r="N72" i="3"/>
  <c r="J53" i="12" s="1"/>
  <c r="N21" i="1"/>
  <c r="N68" i="4"/>
  <c r="N52" i="4"/>
  <c r="V403" i="45"/>
  <c r="V226" i="45"/>
  <c r="H20" i="12"/>
  <c r="H75" i="12" s="1"/>
  <c r="G96" i="28"/>
  <c r="G88" i="28"/>
  <c r="V81" i="45"/>
  <c r="V247" i="45"/>
  <c r="O283" i="45"/>
  <c r="O40" i="45"/>
  <c r="P38" i="45"/>
  <c r="S206" i="45"/>
  <c r="S226" i="45"/>
  <c r="I52" i="4"/>
  <c r="I21" i="1"/>
  <c r="I68" i="4"/>
  <c r="AA171" i="45"/>
  <c r="AA170" i="45" s="1"/>
  <c r="AA191" i="45" s="1"/>
  <c r="AA33" i="12"/>
  <c r="W88" i="45"/>
  <c r="W192" i="45"/>
  <c r="C11" i="4"/>
  <c r="C115" i="1"/>
  <c r="C165" i="4"/>
  <c r="C14" i="4"/>
  <c r="C116" i="1"/>
  <c r="C15" i="4"/>
  <c r="C16" i="4"/>
  <c r="C114" i="1"/>
  <c r="C13" i="4"/>
  <c r="C11" i="1"/>
  <c r="D52" i="4" s="1"/>
  <c r="C53" i="2"/>
  <c r="D51" i="4"/>
  <c r="M35" i="45"/>
  <c r="M37" i="45" s="1"/>
  <c r="C113" i="1"/>
  <c r="C17" i="4"/>
  <c r="C110" i="1"/>
  <c r="C117" i="1"/>
  <c r="C63" i="2"/>
  <c r="C133" i="4"/>
  <c r="F91" i="28"/>
  <c r="F105" i="28"/>
  <c r="F106" i="28" s="1"/>
  <c r="D33" i="26"/>
  <c r="F92" i="28"/>
  <c r="C18" i="4"/>
  <c r="E52" i="4"/>
  <c r="I131" i="4"/>
  <c r="Y55" i="12"/>
  <c r="E16" i="56" s="1"/>
  <c r="E19" i="56" s="1"/>
  <c r="O131" i="4"/>
  <c r="S247" i="45"/>
  <c r="S81" i="45"/>
  <c r="N31" i="28"/>
  <c r="R9" i="44"/>
  <c r="X9" i="44" s="1"/>
  <c r="F54" i="26"/>
  <c r="I91" i="28"/>
  <c r="I105" i="28"/>
  <c r="I106" i="28" s="1"/>
  <c r="I92" i="28"/>
  <c r="G33" i="26"/>
  <c r="J91" i="28"/>
  <c r="J105" i="28"/>
  <c r="J106" i="28" s="1"/>
  <c r="J92" i="28"/>
  <c r="G55" i="26"/>
  <c r="G61" i="26"/>
  <c r="J180" i="28"/>
  <c r="L180" i="28" s="1"/>
  <c r="E5" i="54"/>
  <c r="N1" i="1"/>
  <c r="K76" i="28"/>
  <c r="K114" i="28"/>
  <c r="K116" i="28"/>
  <c r="K52" i="28"/>
  <c r="K115" i="28"/>
  <c r="K91" i="28"/>
  <c r="V12" i="44"/>
  <c r="P5" i="44"/>
  <c r="P43" i="44" s="1"/>
  <c r="AK275" i="45"/>
  <c r="AK276" i="45"/>
  <c r="AL41" i="45"/>
  <c r="AK271" i="45"/>
  <c r="AK280" i="45"/>
  <c r="AK41" i="45"/>
  <c r="AK278" i="45"/>
  <c r="AK274" i="45"/>
  <c r="AK613" i="45"/>
  <c r="AK273" i="45"/>
  <c r="AJ283" i="45"/>
  <c r="AY593" i="45"/>
  <c r="BI278" i="45"/>
  <c r="AV593" i="45"/>
  <c r="BI274" i="45"/>
  <c r="BR65" i="45"/>
  <c r="L10" i="48"/>
  <c r="L8" i="48"/>
  <c r="BR50" i="45"/>
  <c r="BR40" i="45"/>
  <c r="BR612" i="45"/>
  <c r="BR593" i="45"/>
  <c r="BR38" i="45"/>
  <c r="L6" i="48"/>
  <c r="L3" i="48"/>
  <c r="AI310" i="45"/>
  <c r="AY316" i="45"/>
  <c r="AI316" i="45"/>
  <c r="AQ315" i="45"/>
  <c r="AQ316" i="45"/>
  <c r="AI311" i="45"/>
  <c r="AF310" i="45"/>
  <c r="J19" i="49"/>
  <c r="J16" i="49"/>
  <c r="AY310" i="45"/>
  <c r="Q56" i="6"/>
  <c r="W631" i="45"/>
  <c r="W485" i="45"/>
  <c r="W487" i="45" s="1"/>
  <c r="X614" i="45"/>
  <c r="AS593" i="45"/>
  <c r="BH283" i="45"/>
  <c r="BH40" i="45"/>
  <c r="BH77" i="45" s="1"/>
  <c r="AL612" i="45"/>
  <c r="AW38" i="45"/>
  <c r="BI271" i="45"/>
  <c r="BI288" i="45" s="1"/>
  <c r="BI593" i="45"/>
  <c r="AB593" i="45"/>
  <c r="BE316" i="45"/>
  <c r="BI272" i="45"/>
  <c r="AM38" i="45"/>
  <c r="AN612" i="45"/>
  <c r="AS38" i="45"/>
  <c r="AS275" i="45"/>
  <c r="AR316" i="45"/>
  <c r="BE256" i="45"/>
  <c r="BE309" i="45"/>
  <c r="AL256" i="45"/>
  <c r="AL309" i="45"/>
  <c r="AL276" i="45"/>
  <c r="BB593" i="45"/>
  <c r="BE310" i="45"/>
  <c r="BC273" i="45"/>
  <c r="BC280" i="45"/>
  <c r="BC278" i="45"/>
  <c r="BC271" i="45"/>
  <c r="BC274" i="45"/>
  <c r="BC272" i="45"/>
  <c r="BC275" i="45"/>
  <c r="BC276" i="45"/>
  <c r="AD292" i="29"/>
  <c r="AF215" i="29"/>
  <c r="AF214" i="29"/>
  <c r="AA155" i="29"/>
  <c r="L115" i="29"/>
  <c r="K115" i="29"/>
  <c r="AL593" i="45"/>
  <c r="AI150" i="29"/>
  <c r="AJ152" i="29" s="1"/>
  <c r="AI213" i="29"/>
  <c r="AM142" i="29"/>
  <c r="U201" i="29"/>
  <c r="U203" i="29"/>
  <c r="U230" i="29"/>
  <c r="U202" i="29"/>
  <c r="U185" i="29"/>
  <c r="U229" i="29"/>
  <c r="AN130" i="29"/>
  <c r="AJ131" i="29"/>
  <c r="AJ160" i="29"/>
  <c r="E25" i="29"/>
  <c r="AL160" i="29"/>
  <c r="AL130" i="29"/>
  <c r="AL156" i="29"/>
  <c r="AL147" i="29"/>
  <c r="AL131" i="29"/>
  <c r="AA131" i="29"/>
  <c r="Z147" i="29"/>
  <c r="Z160" i="29"/>
  <c r="Z130" i="29"/>
  <c r="Z156" i="29"/>
  <c r="Z309" i="29" s="1"/>
  <c r="Z131" i="29"/>
  <c r="AD198" i="29"/>
  <c r="AD197" i="29"/>
  <c r="AD196" i="29"/>
  <c r="U306" i="29"/>
  <c r="V149" i="29"/>
  <c r="T36" i="29"/>
  <c r="T86" i="29"/>
  <c r="AJ113" i="29"/>
  <c r="AK115" i="29" s="1"/>
  <c r="AJ101" i="29"/>
  <c r="AK103" i="29" s="1"/>
  <c r="AJ144" i="29"/>
  <c r="AJ104" i="29"/>
  <c r="AK106" i="29" s="1"/>
  <c r="L120" i="29"/>
  <c r="M121" i="29"/>
  <c r="AL95" i="29"/>
  <c r="AL197" i="29"/>
  <c r="AL196" i="29"/>
  <c r="AL198" i="29"/>
  <c r="AL191" i="29"/>
  <c r="AL208" i="29"/>
  <c r="AE148" i="29"/>
  <c r="AE307" i="29" s="1"/>
  <c r="BB40" i="45"/>
  <c r="BC41" i="45" s="1"/>
  <c r="R47" i="29"/>
  <c r="R87" i="29"/>
  <c r="R39" i="29" s="1"/>
  <c r="P229" i="29"/>
  <c r="P202" i="29"/>
  <c r="P185" i="29"/>
  <c r="P192" i="29" s="1"/>
  <c r="D25" i="29"/>
  <c r="AG44" i="45"/>
  <c r="AG43" i="45" s="1"/>
  <c r="AG42" i="45" s="1"/>
  <c r="AG191" i="29"/>
  <c r="AG208" i="29"/>
  <c r="AG197" i="29"/>
  <c r="AG196" i="29"/>
  <c r="AG198" i="29"/>
  <c r="AB109" i="29"/>
  <c r="AB108" i="29"/>
  <c r="AZ593" i="45"/>
  <c r="AC612" i="45"/>
  <c r="M109" i="29"/>
  <c r="L109" i="29"/>
  <c r="L108" i="29"/>
  <c r="L153" i="29"/>
  <c r="L138" i="29"/>
  <c r="AJ25" i="29"/>
  <c r="AJ36" i="29" s="1"/>
  <c r="N155" i="29"/>
  <c r="AJ594" i="45"/>
  <c r="AJ230" i="45" s="1"/>
  <c r="AJ416" i="45" s="1"/>
  <c r="AG41" i="45"/>
  <c r="AU40" i="45"/>
  <c r="AU41" i="45" s="1"/>
  <c r="AF316" i="45"/>
  <c r="AF140" i="29"/>
  <c r="AF139" i="29"/>
  <c r="AG140" i="29"/>
  <c r="AH156" i="29"/>
  <c r="AH147" i="29"/>
  <c r="AH160" i="29"/>
  <c r="AI131" i="29"/>
  <c r="V121" i="29"/>
  <c r="Z120" i="29"/>
  <c r="AJ44" i="45"/>
  <c r="AJ43" i="45" s="1"/>
  <c r="AJ42" i="45" s="1"/>
  <c r="K449" i="45"/>
  <c r="K448" i="45" s="1"/>
  <c r="K447" i="45" s="1"/>
  <c r="K482" i="45" s="1"/>
  <c r="BA315" i="45"/>
  <c r="BA316" i="45"/>
  <c r="T202" i="29"/>
  <c r="M106" i="29"/>
  <c r="L105" i="29"/>
  <c r="H120" i="29"/>
  <c r="AE151" i="29"/>
  <c r="AE313" i="29" s="1"/>
  <c r="AE312" i="29"/>
  <c r="AA25" i="29"/>
  <c r="AE449" i="45"/>
  <c r="AE448" i="45" s="1"/>
  <c r="AE447" i="45" s="1"/>
  <c r="AE482" i="45" s="1"/>
  <c r="BD44" i="45"/>
  <c r="BD43" i="45" s="1"/>
  <c r="BD42" i="45" s="1"/>
  <c r="BD277" i="45" s="1"/>
  <c r="AN38" i="45"/>
  <c r="AX283" i="45"/>
  <c r="AV38" i="45"/>
  <c r="AT613" i="45"/>
  <c r="AM40" i="45"/>
  <c r="AM275" i="45" s="1"/>
  <c r="AX593" i="45"/>
  <c r="BJ283" i="45"/>
  <c r="AW316" i="45"/>
  <c r="AW315" i="45"/>
  <c r="BJ41" i="45"/>
  <c r="BN594" i="45"/>
  <c r="BN230" i="45" s="1"/>
  <c r="BJ278" i="45"/>
  <c r="BJ77" i="45"/>
  <c r="BN595" i="45" s="1"/>
  <c r="BN231" i="45" s="1"/>
  <c r="BJ273" i="45"/>
  <c r="BJ280" i="45"/>
  <c r="BJ613" i="45"/>
  <c r="BN247" i="45"/>
  <c r="BN631" i="45"/>
  <c r="BN81" i="45"/>
  <c r="AW276" i="45"/>
  <c r="AH316" i="45"/>
  <c r="BK38" i="45"/>
  <c r="AK38" i="45"/>
  <c r="AZ38" i="45"/>
  <c r="AK612" i="45"/>
  <c r="AP283" i="45"/>
  <c r="S613" i="45"/>
  <c r="AQ593" i="45"/>
  <c r="AM593" i="45"/>
  <c r="AU283" i="45"/>
  <c r="AU38" i="45"/>
  <c r="AU612" i="45"/>
  <c r="AU593" i="45"/>
  <c r="BE280" i="45"/>
  <c r="BE271" i="45"/>
  <c r="L485" i="45"/>
  <c r="L631" i="45"/>
  <c r="L595" i="45"/>
  <c r="AW41" i="45"/>
  <c r="AX41" i="45"/>
  <c r="AP40" i="45"/>
  <c r="AP41" i="45" s="1"/>
  <c r="AP310" i="45"/>
  <c r="AT593" i="45"/>
  <c r="AQ38" i="45"/>
  <c r="AP593" i="45"/>
  <c r="AJ278" i="45"/>
  <c r="AJ273" i="45"/>
  <c r="AJ271" i="45"/>
  <c r="AJ276" i="45"/>
  <c r="BK612" i="45"/>
  <c r="BJ593" i="45"/>
  <c r="BL40" i="45"/>
  <c r="X631" i="45"/>
  <c r="AW274" i="45"/>
  <c r="AW278" i="45"/>
  <c r="AL275" i="45"/>
  <c r="AL594" i="45"/>
  <c r="AL230" i="45" s="1"/>
  <c r="AL416" i="45" s="1"/>
  <c r="AI274" i="45"/>
  <c r="O613" i="45"/>
  <c r="O594" i="45"/>
  <c r="AV273" i="45"/>
  <c r="AV271" i="45"/>
  <c r="BH227" i="45"/>
  <c r="BH308" i="45" s="1"/>
  <c r="BH403" i="45"/>
  <c r="BH404" i="45" s="1"/>
  <c r="BH226" i="45"/>
  <c r="AQ275" i="45"/>
  <c r="AQ280" i="45"/>
  <c r="AQ271" i="45"/>
  <c r="AH310" i="45"/>
  <c r="AG271" i="45"/>
  <c r="Z500" i="45"/>
  <c r="AM273" i="45"/>
  <c r="BK41" i="45"/>
  <c r="BJ594" i="45"/>
  <c r="BJ230" i="45" s="1"/>
  <c r="BJ416" i="45" s="1"/>
  <c r="BJ276" i="45"/>
  <c r="BK613" i="45"/>
  <c r="BJ275" i="45"/>
  <c r="BJ274" i="45"/>
  <c r="BJ272" i="45"/>
  <c r="BJ271" i="45"/>
  <c r="AS411" i="45"/>
  <c r="AS288" i="45"/>
  <c r="BC316" i="45"/>
  <c r="BC310" i="45"/>
  <c r="BC315" i="45"/>
  <c r="S594" i="45"/>
  <c r="W594" i="45"/>
  <c r="AV310" i="45"/>
  <c r="AV315" i="45"/>
  <c r="AV316" i="45"/>
  <c r="AH275" i="45"/>
  <c r="AH278" i="45"/>
  <c r="AH273" i="45"/>
  <c r="AH274" i="45"/>
  <c r="AH271" i="45"/>
  <c r="AH276" i="45"/>
  <c r="BF275" i="45"/>
  <c r="BF273" i="45"/>
  <c r="BF278" i="45"/>
  <c r="BF271" i="45"/>
  <c r="BF272" i="45"/>
  <c r="BF276" i="45"/>
  <c r="BF274" i="45"/>
  <c r="BG41" i="45"/>
  <c r="BF77" i="45"/>
  <c r="BF280" i="45"/>
  <c r="AL278" i="45"/>
  <c r="AL613" i="45"/>
  <c r="AL271" i="45"/>
  <c r="BH316" i="45"/>
  <c r="BH310" i="45"/>
  <c r="BH315" i="45"/>
  <c r="AX275" i="45"/>
  <c r="AX278" i="45"/>
  <c r="AX271" i="45"/>
  <c r="AX273" i="45"/>
  <c r="BD276" i="45"/>
  <c r="BD41" i="45"/>
  <c r="BD271" i="45"/>
  <c r="BG613" i="45"/>
  <c r="BL612" i="45"/>
  <c r="AW77" i="45"/>
  <c r="AW281" i="45" s="1"/>
  <c r="AA613" i="45"/>
  <c r="AA594" i="45"/>
  <c r="AE594" i="45"/>
  <c r="AK411" i="45"/>
  <c r="AK288" i="45"/>
  <c r="AU310" i="45"/>
  <c r="AU315" i="45"/>
  <c r="AW275" i="45"/>
  <c r="AW613" i="45"/>
  <c r="AW272" i="45"/>
  <c r="AW280" i="45"/>
  <c r="AX613" i="45"/>
  <c r="AW273" i="45"/>
  <c r="AW271" i="45"/>
  <c r="AY273" i="45"/>
  <c r="AY613" i="45"/>
  <c r="AY272" i="45"/>
  <c r="AY274" i="45"/>
  <c r="AY41" i="45"/>
  <c r="AM316" i="45"/>
  <c r="AM315" i="45"/>
  <c r="AM310" i="45"/>
  <c r="AU277" i="45"/>
  <c r="Q594" i="45"/>
  <c r="N613" i="45"/>
  <c r="M613" i="45"/>
  <c r="M594" i="45"/>
  <c r="AI47" i="29"/>
  <c r="AI87" i="29"/>
  <c r="AI39" i="29" s="1"/>
  <c r="AJ237" i="29"/>
  <c r="AF237" i="29"/>
  <c r="Z229" i="29"/>
  <c r="Z202" i="29"/>
  <c r="Z228" i="29"/>
  <c r="Z203" i="29"/>
  <c r="Z201" i="29"/>
  <c r="Z185" i="29"/>
  <c r="N109" i="29"/>
  <c r="N108" i="29"/>
  <c r="X25" i="29"/>
  <c r="BA44" i="45"/>
  <c r="BA43" i="45" s="1"/>
  <c r="BA42" i="45" s="1"/>
  <c r="BA277" i="45" s="1"/>
  <c r="AB449" i="45"/>
  <c r="AB448" i="45" s="1"/>
  <c r="AB447" i="45" s="1"/>
  <c r="AB482" i="45" s="1"/>
  <c r="L25" i="29"/>
  <c r="AO44" i="45"/>
  <c r="AO43" i="45" s="1"/>
  <c r="AO42" i="45" s="1"/>
  <c r="AO277" i="45" s="1"/>
  <c r="P449" i="45"/>
  <c r="P448" i="45" s="1"/>
  <c r="P447" i="45" s="1"/>
  <c r="P482" i="45" s="1"/>
  <c r="AB25" i="29"/>
  <c r="BE44" i="45"/>
  <c r="BE43" i="45" s="1"/>
  <c r="BE42" i="45" s="1"/>
  <c r="AF449" i="45"/>
  <c r="AF448" i="45" s="1"/>
  <c r="AF447" i="45" s="1"/>
  <c r="AF482" i="45" s="1"/>
  <c r="AF485" i="45" s="1"/>
  <c r="AF487" i="45" s="1"/>
  <c r="AF491" i="45" s="1"/>
  <c r="AG214" i="29"/>
  <c r="N114" i="29"/>
  <c r="N115" i="29"/>
  <c r="F36" i="29"/>
  <c r="F86" i="29"/>
  <c r="AF156" i="29"/>
  <c r="AF309" i="29" s="1"/>
  <c r="AF130" i="29"/>
  <c r="AJ130" i="29"/>
  <c r="AF160" i="29"/>
  <c r="AF131" i="29"/>
  <c r="AF147" i="29"/>
  <c r="Q449" i="45"/>
  <c r="Q448" i="45" s="1"/>
  <c r="Q447" i="45" s="1"/>
  <c r="Q482" i="45" s="1"/>
  <c r="U595" i="45" s="1"/>
  <c r="AP44" i="45"/>
  <c r="AP43" i="45" s="1"/>
  <c r="AP42" i="45" s="1"/>
  <c r="G86" i="29"/>
  <c r="G36" i="29"/>
  <c r="M105" i="29"/>
  <c r="I105" i="29"/>
  <c r="I106" i="29"/>
  <c r="I121" i="29"/>
  <c r="I120" i="29"/>
  <c r="M120" i="29"/>
  <c r="AE1" i="29"/>
  <c r="AE119" i="29"/>
  <c r="AE101" i="29"/>
  <c r="AE144" i="29"/>
  <c r="AE96" i="29"/>
  <c r="AE104" i="29"/>
  <c r="AE105" i="29" s="1"/>
  <c r="AE98" i="29"/>
  <c r="AE113" i="29"/>
  <c r="AE114" i="29" s="1"/>
  <c r="AE107" i="29"/>
  <c r="AE94" i="29"/>
  <c r="AE97" i="29"/>
  <c r="AK109" i="29"/>
  <c r="AN214" i="29"/>
  <c r="AK215" i="29"/>
  <c r="AJ214" i="29"/>
  <c r="AJ215" i="29"/>
  <c r="Q99" i="29"/>
  <c r="U99" i="29"/>
  <c r="AN158" i="29"/>
  <c r="AN239" i="29" s="1"/>
  <c r="AN149" i="29"/>
  <c r="AM306" i="29"/>
  <c r="AD98" i="29"/>
  <c r="AD315" i="29" s="1"/>
  <c r="K86" i="29"/>
  <c r="K36" i="29"/>
  <c r="V230" i="29"/>
  <c r="V229" i="29"/>
  <c r="V201" i="29"/>
  <c r="V203" i="29"/>
  <c r="V185" i="29"/>
  <c r="AB102" i="29"/>
  <c r="AB103" i="29"/>
  <c r="J105" i="29"/>
  <c r="J106" i="29"/>
  <c r="M86" i="29"/>
  <c r="M36" i="29"/>
  <c r="Q37" i="29" s="1"/>
  <c r="T160" i="29"/>
  <c r="T131" i="29"/>
  <c r="AG1" i="29"/>
  <c r="AG119" i="29"/>
  <c r="AH121" i="29" s="1"/>
  <c r="AG101" i="29"/>
  <c r="AG144" i="29"/>
  <c r="AK145" i="29" s="1"/>
  <c r="AG98" i="29"/>
  <c r="AH97" i="29"/>
  <c r="AG113" i="29"/>
  <c r="AG107" i="29"/>
  <c r="AH109" i="29" s="1"/>
  <c r="AG104" i="29"/>
  <c r="AK105" i="29" s="1"/>
  <c r="AG94" i="29"/>
  <c r="J109" i="29"/>
  <c r="M108" i="29"/>
  <c r="I109" i="29"/>
  <c r="I108" i="29"/>
  <c r="AF151" i="29"/>
  <c r="AF313" i="29" s="1"/>
  <c r="AF152" i="29"/>
  <c r="AG152" i="29"/>
  <c r="AF312" i="29"/>
  <c r="W306" i="29"/>
  <c r="W149" i="29"/>
  <c r="N160" i="29"/>
  <c r="R130" i="29"/>
  <c r="N131" i="29"/>
  <c r="AK146" i="29"/>
  <c r="AK153" i="29"/>
  <c r="AO154" i="29" s="1"/>
  <c r="AK96" i="29"/>
  <c r="Q108" i="29"/>
  <c r="Q105" i="29"/>
  <c r="U105" i="29"/>
  <c r="AR275" i="45"/>
  <c r="AR274" i="45"/>
  <c r="AR273" i="45"/>
  <c r="AR594" i="45"/>
  <c r="AR230" i="45" s="1"/>
  <c r="AR416" i="45" s="1"/>
  <c r="AR613" i="45"/>
  <c r="AR271" i="45"/>
  <c r="AR276" i="45"/>
  <c r="AV594" i="45"/>
  <c r="AV230" i="45" s="1"/>
  <c r="AV416" i="45" s="1"/>
  <c r="AS613" i="45"/>
  <c r="AS41" i="45"/>
  <c r="AR280" i="45"/>
  <c r="AR278" i="45"/>
  <c r="BP44" i="45"/>
  <c r="BP43" i="45" s="1"/>
  <c r="BP42" i="45" s="1"/>
  <c r="BP77" i="45" s="1"/>
  <c r="AM25" i="29"/>
  <c r="BF256" i="45"/>
  <c r="BF309" i="45"/>
  <c r="AF208" i="29"/>
  <c r="AF198" i="29"/>
  <c r="AF197" i="29"/>
  <c r="S229" i="29"/>
  <c r="S202" i="29"/>
  <c r="S230" i="29"/>
  <c r="S201" i="29"/>
  <c r="S185" i="29"/>
  <c r="X185" i="29"/>
  <c r="X224" i="29" s="1"/>
  <c r="X202" i="29"/>
  <c r="X229" i="29"/>
  <c r="X228" i="29"/>
  <c r="X203" i="29"/>
  <c r="X201" i="29"/>
  <c r="AG110" i="29"/>
  <c r="AG87" i="29"/>
  <c r="AG39" i="29" s="1"/>
  <c r="AG47" i="29"/>
  <c r="M99" i="29"/>
  <c r="M100" i="29"/>
  <c r="AK214" i="29"/>
  <c r="T192" i="29"/>
  <c r="AE157" i="29"/>
  <c r="AE310" i="29" s="1"/>
  <c r="AA157" i="29"/>
  <c r="AA310" i="29" s="1"/>
  <c r="W158" i="29"/>
  <c r="R151" i="29"/>
  <c r="R313" i="29" s="1"/>
  <c r="N152" i="29"/>
  <c r="O152" i="29"/>
  <c r="AK120" i="29"/>
  <c r="AF25" i="29"/>
  <c r="BI44" i="45"/>
  <c r="BI43" i="45" s="1"/>
  <c r="BI42" i="45" s="1"/>
  <c r="AJ449" i="45"/>
  <c r="AJ448" i="45" s="1"/>
  <c r="AJ447" i="45" s="1"/>
  <c r="AJ482" i="45" s="1"/>
  <c r="AJ485" i="45" s="1"/>
  <c r="AJ487" i="45" s="1"/>
  <c r="AJ491" i="45" s="1"/>
  <c r="AJ496" i="45" s="1"/>
  <c r="AJ499" i="45" s="1"/>
  <c r="M103" i="29"/>
  <c r="K146" i="29"/>
  <c r="K145" i="29"/>
  <c r="Q114" i="29"/>
  <c r="U114" i="29"/>
  <c r="Q153" i="29"/>
  <c r="Q145" i="29"/>
  <c r="Q138" i="29"/>
  <c r="U145" i="29"/>
  <c r="AZ594" i="45"/>
  <c r="AZ230" i="45" s="1"/>
  <c r="AZ416" i="45" s="1"/>
  <c r="BD594" i="45"/>
  <c r="BD230" i="45" s="1"/>
  <c r="BD416" i="45" s="1"/>
  <c r="AZ272" i="45"/>
  <c r="AZ278" i="45"/>
  <c r="AH99" i="29"/>
  <c r="AH316" i="29" s="1"/>
  <c r="AH100" i="29"/>
  <c r="S86" i="29"/>
  <c r="S36" i="29"/>
  <c r="AI237" i="29"/>
  <c r="O230" i="29"/>
  <c r="O229" i="29"/>
  <c r="O202" i="29"/>
  <c r="O185" i="29"/>
  <c r="O192" i="29" s="1"/>
  <c r="O201" i="29"/>
  <c r="O203" i="29"/>
  <c r="N105" i="29"/>
  <c r="N106" i="29"/>
  <c r="M160" i="29"/>
  <c r="M147" i="29"/>
  <c r="Q130" i="29"/>
  <c r="M156" i="29"/>
  <c r="N158" i="29" s="1"/>
  <c r="U108" i="29"/>
  <c r="O86" i="29"/>
  <c r="O36" i="29"/>
  <c r="AJ86" i="29"/>
  <c r="AB156" i="29"/>
  <c r="AB160" i="29"/>
  <c r="AB147" i="29"/>
  <c r="AB131" i="29"/>
  <c r="AD86" i="29"/>
  <c r="AD36" i="29"/>
  <c r="AD38" i="29" s="1"/>
  <c r="AH106" i="29"/>
  <c r="AD144" i="29"/>
  <c r="AD96" i="29"/>
  <c r="AD107" i="29"/>
  <c r="AD104" i="29"/>
  <c r="AD113" i="29"/>
  <c r="AD114" i="29" s="1"/>
  <c r="AD119" i="29"/>
  <c r="AD101" i="29"/>
  <c r="AH102" i="29" s="1"/>
  <c r="AN151" i="29"/>
  <c r="AN313" i="29" s="1"/>
  <c r="AK152" i="29"/>
  <c r="AJ151" i="29"/>
  <c r="AJ313" i="29" s="1"/>
  <c r="AJ312" i="29"/>
  <c r="Q120" i="29"/>
  <c r="U120" i="29"/>
  <c r="AK590" i="45"/>
  <c r="AW311" i="45"/>
  <c r="U500" i="45"/>
  <c r="AG37" i="29"/>
  <c r="AC87" i="29"/>
  <c r="AC39" i="29" s="1"/>
  <c r="AC47" i="29"/>
  <c r="BE594" i="45"/>
  <c r="BE230" i="45" s="1"/>
  <c r="BE416" i="45" s="1"/>
  <c r="AH590" i="45"/>
  <c r="AA196" i="29"/>
  <c r="AA198" i="29"/>
  <c r="AA208" i="29"/>
  <c r="AA197" i="29"/>
  <c r="X156" i="29"/>
  <c r="X131" i="29"/>
  <c r="X160" i="29"/>
  <c r="X130" i="29"/>
  <c r="AB130" i="29"/>
  <c r="X147" i="29"/>
  <c r="Y149" i="29" s="1"/>
  <c r="AB197" i="29"/>
  <c r="AB196" i="29"/>
  <c r="AB208" i="29"/>
  <c r="AB198" i="29"/>
  <c r="X121" i="29"/>
  <c r="AB120" i="29"/>
  <c r="Y121" i="29"/>
  <c r="I103" i="29"/>
  <c r="I102" i="29"/>
  <c r="M102" i="29"/>
  <c r="V100" i="29"/>
  <c r="K99" i="29"/>
  <c r="L100" i="29"/>
  <c r="K100" i="29"/>
  <c r="U25" i="29"/>
  <c r="Y449" i="45"/>
  <c r="Y448" i="45" s="1"/>
  <c r="Y447" i="45" s="1"/>
  <c r="Y482" i="45" s="1"/>
  <c r="AX44" i="45"/>
  <c r="AX43" i="45" s="1"/>
  <c r="AX42" i="45" s="1"/>
  <c r="J100" i="29"/>
  <c r="J99" i="29"/>
  <c r="K106" i="29"/>
  <c r="K105" i="29"/>
  <c r="L106" i="29"/>
  <c r="X109" i="29"/>
  <c r="W109" i="29"/>
  <c r="AA108" i="29"/>
  <c r="AK237" i="29"/>
  <c r="K103" i="29"/>
  <c r="J102" i="29"/>
  <c r="J103" i="29"/>
  <c r="I100" i="29"/>
  <c r="H99" i="29"/>
  <c r="L99" i="29"/>
  <c r="H100" i="29"/>
  <c r="N149" i="29"/>
  <c r="N148" i="29"/>
  <c r="N151" i="29" s="1"/>
  <c r="N154" i="29" s="1"/>
  <c r="N157" i="29" s="1"/>
  <c r="AE131" i="29"/>
  <c r="AD130" i="29"/>
  <c r="AD156" i="29"/>
  <c r="AD309" i="29" s="1"/>
  <c r="AH130" i="29"/>
  <c r="AD147" i="29"/>
  <c r="AD160" i="29"/>
  <c r="AD131" i="29"/>
  <c r="Y131" i="29"/>
  <c r="AA449" i="45"/>
  <c r="AA448" i="45" s="1"/>
  <c r="AA447" i="45" s="1"/>
  <c r="AA482" i="45" s="1"/>
  <c r="AE595" i="45" s="1"/>
  <c r="AZ44" i="45"/>
  <c r="AZ43" i="45" s="1"/>
  <c r="AZ42" i="45" s="1"/>
  <c r="AL237" i="29"/>
  <c r="W115" i="29"/>
  <c r="AA114" i="29"/>
  <c r="X115" i="29"/>
  <c r="AL25" i="29"/>
  <c r="AN449" i="45"/>
  <c r="AN448" i="45" s="1"/>
  <c r="AN447" i="45" s="1"/>
  <c r="AN482" i="45" s="1"/>
  <c r="AN485" i="45" s="1"/>
  <c r="AN487" i="45" s="1"/>
  <c r="AN491" i="45" s="1"/>
  <c r="BO44" i="45"/>
  <c r="BO43" i="45" s="1"/>
  <c r="BO42" i="45" s="1"/>
  <c r="BO77" i="45" s="1"/>
  <c r="AD449" i="45"/>
  <c r="AD448" i="45" s="1"/>
  <c r="AD447" i="45" s="1"/>
  <c r="BC44" i="45"/>
  <c r="BC43" i="45" s="1"/>
  <c r="BC42" i="45" s="1"/>
  <c r="V25" i="29"/>
  <c r="Z449" i="45"/>
  <c r="Z448" i="45" s="1"/>
  <c r="Z447" i="45" s="1"/>
  <c r="Z482" i="45" s="1"/>
  <c r="Z595" i="45" s="1"/>
  <c r="AY44" i="45"/>
  <c r="AY43" i="45" s="1"/>
  <c r="AY42" i="45" s="1"/>
  <c r="AG237" i="29"/>
  <c r="AK100" i="29"/>
  <c r="AK77" i="45"/>
  <c r="AI197" i="29"/>
  <c r="AI198" i="29"/>
  <c r="AI95" i="29"/>
  <c r="AI208" i="29"/>
  <c r="AI196" i="29"/>
  <c r="AI191" i="29"/>
  <c r="AK139" i="29"/>
  <c r="AK156" i="29"/>
  <c r="AK147" i="29"/>
  <c r="AO148" i="29" s="1"/>
  <c r="AK140" i="29"/>
  <c r="R229" i="29"/>
  <c r="R185" i="29"/>
  <c r="R192" i="29" s="1"/>
  <c r="R196" i="29" s="1"/>
  <c r="R230" i="29"/>
  <c r="R201" i="29"/>
  <c r="L136" i="29"/>
  <c r="M137" i="29"/>
  <c r="L137" i="29"/>
  <c r="J120" i="29"/>
  <c r="J121" i="29"/>
  <c r="N120" i="29"/>
  <c r="G115" i="29"/>
  <c r="G114" i="29"/>
  <c r="H115" i="29"/>
  <c r="K114" i="29"/>
  <c r="Y102" i="29"/>
  <c r="U102" i="29"/>
  <c r="AF1" i="29"/>
  <c r="AF96" i="29"/>
  <c r="AF94" i="29"/>
  <c r="AF113" i="29"/>
  <c r="AF104" i="29"/>
  <c r="AF119" i="29"/>
  <c r="AF144" i="29"/>
  <c r="AF97" i="29"/>
  <c r="AF98" i="29"/>
  <c r="AF315" i="29" s="1"/>
  <c r="AJ96" i="29"/>
  <c r="AG97" i="29"/>
  <c r="K121" i="29"/>
  <c r="L121" i="29"/>
  <c r="K120" i="29"/>
  <c r="C86" i="29"/>
  <c r="C36" i="29"/>
  <c r="K148" i="29"/>
  <c r="K149" i="29"/>
  <c r="Z100" i="29"/>
  <c r="Z99" i="29"/>
  <c r="Z316" i="29" s="1"/>
  <c r="AD99" i="29"/>
  <c r="AD316" i="29" s="1"/>
  <c r="W36" i="29"/>
  <c r="W86" i="29"/>
  <c r="W100" i="29"/>
  <c r="X100" i="29"/>
  <c r="Y157" i="29"/>
  <c r="Y310" i="29" s="1"/>
  <c r="W103" i="29"/>
  <c r="AA102" i="29"/>
  <c r="X103" i="29"/>
  <c r="AK36" i="29"/>
  <c r="AO37" i="29" s="1"/>
  <c r="AK86" i="29"/>
  <c r="Z103" i="29"/>
  <c r="Z102" i="29"/>
  <c r="V103" i="29"/>
  <c r="Z36" i="29"/>
  <c r="Z86" i="29"/>
  <c r="AU394" i="45"/>
  <c r="AU279" i="45"/>
  <c r="AN104" i="29"/>
  <c r="AN144" i="29"/>
  <c r="AN97" i="29"/>
  <c r="AN98" i="29"/>
  <c r="AR99" i="29" s="1"/>
  <c r="AR316" i="29" s="1"/>
  <c r="AN107" i="29"/>
  <c r="AN101" i="29"/>
  <c r="AN119" i="29"/>
  <c r="AN113" i="29"/>
  <c r="AN96" i="29"/>
  <c r="AN94" i="29"/>
  <c r="AB154" i="29"/>
  <c r="V155" i="29"/>
  <c r="Y154" i="29"/>
  <c r="U154" i="29"/>
  <c r="V106" i="29"/>
  <c r="G106" i="29"/>
  <c r="G105" i="29"/>
  <c r="H106" i="29"/>
  <c r="AF107" i="29"/>
  <c r="P25" i="29"/>
  <c r="T449" i="45"/>
  <c r="T448" i="45" s="1"/>
  <c r="T447" i="45" s="1"/>
  <c r="T482" i="45" s="1"/>
  <c r="AS44" i="45"/>
  <c r="AS43" i="45" s="1"/>
  <c r="AS42" i="45" s="1"/>
  <c r="AF101" i="29"/>
  <c r="J25" i="29"/>
  <c r="AM44" i="45"/>
  <c r="AM43" i="45" s="1"/>
  <c r="AM42" i="45" s="1"/>
  <c r="N449" i="45"/>
  <c r="N448" i="45" s="1"/>
  <c r="N447" i="45" s="1"/>
  <c r="N482" i="45" s="1"/>
  <c r="H47" i="29"/>
  <c r="H38" i="29"/>
  <c r="H87" i="29"/>
  <c r="H39" i="29" s="1"/>
  <c r="H110" i="29"/>
  <c r="AC192" i="29"/>
  <c r="AC138" i="29"/>
  <c r="AC225" i="29"/>
  <c r="AC236" i="29" s="1"/>
  <c r="AC320" i="29"/>
  <c r="AC206" i="29"/>
  <c r="AG321" i="29"/>
  <c r="AC321" i="29"/>
  <c r="AA145" i="29"/>
  <c r="W146" i="29"/>
  <c r="X146" i="29"/>
  <c r="W153" i="29"/>
  <c r="W106" i="29"/>
  <c r="X106" i="29"/>
  <c r="N25" i="29"/>
  <c r="R449" i="45"/>
  <c r="R448" i="45" s="1"/>
  <c r="R447" i="45" s="1"/>
  <c r="R482" i="45" s="1"/>
  <c r="R614" i="45" s="1"/>
  <c r="AQ44" i="45"/>
  <c r="AQ43" i="45" s="1"/>
  <c r="AQ42" i="45" s="1"/>
  <c r="AQ77" i="45" s="1"/>
  <c r="U487" i="45"/>
  <c r="U632" i="45"/>
  <c r="X632" i="45"/>
  <c r="X487" i="45"/>
  <c r="AG156" i="29"/>
  <c r="AG309" i="29" s="1"/>
  <c r="AG160" i="29"/>
  <c r="AG131" i="29"/>
  <c r="AG130" i="29"/>
  <c r="AK130" i="29"/>
  <c r="AG147" i="29"/>
  <c r="AH131" i="29"/>
  <c r="R202" i="29"/>
  <c r="P131" i="29"/>
  <c r="P130" i="29"/>
  <c r="Q131" i="29"/>
  <c r="P160" i="29"/>
  <c r="T130" i="29"/>
  <c r="Z115" i="29"/>
  <c r="Z114" i="29"/>
  <c r="Z105" i="29"/>
  <c r="G120" i="29"/>
  <c r="G121" i="29"/>
  <c r="H121" i="29"/>
  <c r="Y108" i="29"/>
  <c r="Y109" i="29"/>
  <c r="I25" i="29"/>
  <c r="M449" i="45"/>
  <c r="M448" i="45" s="1"/>
  <c r="M447" i="45" s="1"/>
  <c r="M482" i="45" s="1"/>
  <c r="AL44" i="45"/>
  <c r="AL43" i="45" s="1"/>
  <c r="AL42" i="45" s="1"/>
  <c r="N99" i="29"/>
  <c r="N100" i="29"/>
  <c r="Q110" i="29"/>
  <c r="Q47" i="29"/>
  <c r="R38" i="29"/>
  <c r="Q87" i="29"/>
  <c r="Q39" i="29" s="1"/>
  <c r="AA99" i="29"/>
  <c r="AA316" i="29" s="1"/>
  <c r="AA100" i="29"/>
  <c r="AB100" i="29"/>
  <c r="AN139" i="29"/>
  <c r="AJ140" i="29"/>
  <c r="AJ139" i="29"/>
  <c r="AJ147" i="29"/>
  <c r="AJ156" i="29"/>
  <c r="AJ309" i="29" s="1"/>
  <c r="W224" i="29"/>
  <c r="W320" i="29"/>
  <c r="W192" i="29"/>
  <c r="W321" i="29"/>
  <c r="W206" i="29"/>
  <c r="W225" i="29"/>
  <c r="AA321" i="29"/>
  <c r="Y306" i="29"/>
  <c r="Y148" i="29"/>
  <c r="Y307" i="29" s="1"/>
  <c r="AA120" i="29"/>
  <c r="W121" i="29"/>
  <c r="AH25" i="29"/>
  <c r="AL449" i="45"/>
  <c r="AL448" i="45" s="1"/>
  <c r="AL447" i="45" s="1"/>
  <c r="AL482" i="45" s="1"/>
  <c r="AL485" i="45" s="1"/>
  <c r="AL487" i="45" s="1"/>
  <c r="AL491" i="45" s="1"/>
  <c r="BK44" i="45"/>
  <c r="BK43" i="45" s="1"/>
  <c r="BK42" i="45" s="1"/>
  <c r="AA103" i="29"/>
  <c r="AJ120" i="29"/>
  <c r="AK121" i="29"/>
  <c r="AR277" i="45"/>
  <c r="AR77" i="45"/>
  <c r="AU202" i="45"/>
  <c r="AK256" i="45"/>
  <c r="AK309" i="45"/>
  <c r="BD256" i="45"/>
  <c r="BD309" i="45"/>
  <c r="AH631" i="45"/>
  <c r="AH81" i="45"/>
  <c r="E12" i="48"/>
  <c r="E14" i="48" s="1"/>
  <c r="D5" i="48"/>
  <c r="Y509" i="45"/>
  <c r="AQ277" i="45"/>
  <c r="BG256" i="45"/>
  <c r="BG309" i="45"/>
  <c r="AO256" i="45"/>
  <c r="AO309" i="45"/>
  <c r="X500" i="45"/>
  <c r="M500" i="45"/>
  <c r="P509" i="45"/>
  <c r="AN256" i="45"/>
  <c r="AN309" i="45"/>
  <c r="BM612" i="45"/>
  <c r="BM593" i="45"/>
  <c r="BN612" i="45"/>
  <c r="BN38" i="45"/>
  <c r="AV277" i="45"/>
  <c r="AV77" i="45"/>
  <c r="BL613" i="45"/>
  <c r="BL41" i="45"/>
  <c r="BM38" i="45"/>
  <c r="AR256" i="45"/>
  <c r="AR309" i="45"/>
  <c r="AP256" i="45"/>
  <c r="AP309" i="45"/>
  <c r="AK505" i="45"/>
  <c r="S485" i="45"/>
  <c r="M41" i="28"/>
  <c r="M195" i="28" s="1"/>
  <c r="V16" i="44"/>
  <c r="M32" i="28"/>
  <c r="M194" i="28" s="1"/>
  <c r="L58" i="28"/>
  <c r="L206" i="28" s="1"/>
  <c r="L74" i="28"/>
  <c r="L50" i="28"/>
  <c r="L201" i="28" s="1"/>
  <c r="R73" i="44"/>
  <c r="N22" i="28"/>
  <c r="N191" i="28" s="1"/>
  <c r="Q12" i="44"/>
  <c r="R23" i="44"/>
  <c r="L55" i="28"/>
  <c r="L45" i="28"/>
  <c r="L198" i="28" s="1"/>
  <c r="L13" i="28"/>
  <c r="L190" i="28" s="1"/>
  <c r="AN237" i="29"/>
  <c r="AO237" i="29"/>
  <c r="V631" i="45"/>
  <c r="V485" i="45"/>
  <c r="V595" i="45"/>
  <c r="V614" i="45"/>
  <c r="W614" i="45"/>
  <c r="AF256" i="45"/>
  <c r="AF309" i="45"/>
  <c r="T509" i="45"/>
  <c r="AH256" i="45"/>
  <c r="AH309" i="45"/>
  <c r="H12" i="48"/>
  <c r="BQ613" i="45"/>
  <c r="BP249" i="45"/>
  <c r="BQ41" i="45"/>
  <c r="BP254" i="45"/>
  <c r="BP253" i="45"/>
  <c r="BP613" i="45"/>
  <c r="BM41" i="45"/>
  <c r="X509" i="45"/>
  <c r="AB509" i="45"/>
  <c r="AW309" i="45"/>
  <c r="AW256" i="45"/>
  <c r="AC509" i="45"/>
  <c r="AG496" i="45"/>
  <c r="AG499" i="45" s="1"/>
  <c r="AG590" i="45"/>
  <c r="U509" i="45"/>
  <c r="AQ256" i="45"/>
  <c r="AQ309" i="45"/>
  <c r="BA276" i="45"/>
  <c r="BA77" i="45"/>
  <c r="BA275" i="45"/>
  <c r="BA272" i="45"/>
  <c r="BA271" i="45"/>
  <c r="BB613" i="45"/>
  <c r="BA278" i="45"/>
  <c r="BA273" i="45"/>
  <c r="BA594" i="45"/>
  <c r="BA230" i="45" s="1"/>
  <c r="BA416" i="45" s="1"/>
  <c r="BA613" i="45"/>
  <c r="BA280" i="45"/>
  <c r="BA274" i="45"/>
  <c r="L603" i="45"/>
  <c r="Z509" i="45"/>
  <c r="AY256" i="45"/>
  <c r="AY309" i="45"/>
  <c r="AU256" i="45"/>
  <c r="AU309" i="45"/>
  <c r="AZ288" i="45"/>
  <c r="AZ411" i="45"/>
  <c r="O487" i="45"/>
  <c r="O632" i="45"/>
  <c r="AI631" i="45"/>
  <c r="AI81" i="45"/>
  <c r="AI281" i="45"/>
  <c r="AI298" i="45"/>
  <c r="AI614" i="45"/>
  <c r="AI247" i="45"/>
  <c r="K509" i="45"/>
  <c r="AH505" i="45"/>
  <c r="AT298" i="45"/>
  <c r="AT631" i="45"/>
  <c r="AT81" i="45"/>
  <c r="BN248" i="45"/>
  <c r="BN83" i="45"/>
  <c r="BN632" i="45"/>
  <c r="AA509" i="45"/>
  <c r="AX309" i="45"/>
  <c r="AX256" i="45"/>
  <c r="AV256" i="45"/>
  <c r="AV309" i="45"/>
  <c r="AS256" i="45"/>
  <c r="AS309" i="45"/>
  <c r="AO276" i="45"/>
  <c r="AO280" i="45"/>
  <c r="AO274" i="45"/>
  <c r="AO77" i="45"/>
  <c r="AO594" i="45"/>
  <c r="AO230" i="45" s="1"/>
  <c r="AO416" i="45" s="1"/>
  <c r="AO278" i="45"/>
  <c r="AO613" i="45"/>
  <c r="AO275" i="45"/>
  <c r="AO273" i="45"/>
  <c r="AO41" i="45"/>
  <c r="AS594" i="45"/>
  <c r="AS230" i="45" s="1"/>
  <c r="AS416" i="45" s="1"/>
  <c r="AO271" i="45"/>
  <c r="AD594" i="45"/>
  <c r="AE613" i="45"/>
  <c r="BG277" i="45"/>
  <c r="BG77" i="45"/>
  <c r="Q485" i="45"/>
  <c r="AM505" i="45"/>
  <c r="AB631" i="45"/>
  <c r="AB485" i="45"/>
  <c r="AB595" i="45"/>
  <c r="W509" i="45"/>
  <c r="BM77" i="45"/>
  <c r="BQ594" i="45"/>
  <c r="BQ230" i="45" s="1"/>
  <c r="BM594" i="45"/>
  <c r="BM230" i="45" s="1"/>
  <c r="BM254" i="45"/>
  <c r="BM253" i="45"/>
  <c r="BM249" i="45"/>
  <c r="BM613" i="45"/>
  <c r="BN41" i="45"/>
  <c r="BK256" i="45"/>
  <c r="BK309" i="45"/>
  <c r="BJ256" i="45"/>
  <c r="BJ309" i="45"/>
  <c r="BJ81" i="45"/>
  <c r="BN596" i="45" s="1"/>
  <c r="BN232" i="45" s="1"/>
  <c r="BJ595" i="45"/>
  <c r="BJ231" i="45" s="1"/>
  <c r="BJ281" i="45"/>
  <c r="BJ298" i="45"/>
  <c r="BJ311" i="45"/>
  <c r="BJ247" i="45"/>
  <c r="BJ631" i="45"/>
  <c r="BP41" i="45"/>
  <c r="BO253" i="45"/>
  <c r="BO249" i="45"/>
  <c r="BO613" i="45"/>
  <c r="BO594" i="45"/>
  <c r="BO230" i="45" s="1"/>
  <c r="BO254" i="45"/>
  <c r="O509" i="45"/>
  <c r="M509" i="45"/>
  <c r="AF298" i="45"/>
  <c r="AF614" i="45"/>
  <c r="AF311" i="45"/>
  <c r="AF281" i="45"/>
  <c r="AF631" i="45"/>
  <c r="AF81" i="45"/>
  <c r="AF247" i="45"/>
  <c r="F25" i="48"/>
  <c r="F14" i="48"/>
  <c r="Q36" i="48"/>
  <c r="I5" i="48"/>
  <c r="I12" i="48"/>
  <c r="D14" i="48"/>
  <c r="D25" i="48"/>
  <c r="Q34" i="48"/>
  <c r="G25" i="48"/>
  <c r="G14" i="48"/>
  <c r="C12" i="48"/>
  <c r="C5" i="48"/>
  <c r="B12" i="48"/>
  <c r="J5" i="48"/>
  <c r="J12" i="48"/>
  <c r="AN1" i="29"/>
  <c r="AR3" i="29" s="1"/>
  <c r="AN312" i="29"/>
  <c r="V17" i="44" l="1"/>
  <c r="T116" i="2"/>
  <c r="T117" i="2" s="1"/>
  <c r="H621" i="45"/>
  <c r="G602" i="45"/>
  <c r="G601" i="45"/>
  <c r="G637" i="45"/>
  <c r="G586" i="45"/>
  <c r="H620" i="45"/>
  <c r="AL336" i="45"/>
  <c r="AK336" i="45"/>
  <c r="AK272" i="45" s="1"/>
  <c r="AF336" i="45"/>
  <c r="AF272" i="45" s="1"/>
  <c r="AG336" i="45"/>
  <c r="AI336" i="45"/>
  <c r="AI272" i="45" s="1"/>
  <c r="AH336" i="45"/>
  <c r="AH272" i="45" s="1"/>
  <c r="AP342" i="45"/>
  <c r="AQ342" i="45"/>
  <c r="AP316" i="45"/>
  <c r="G310" i="45"/>
  <c r="G315" i="45"/>
  <c r="G311" i="45"/>
  <c r="G312" i="45"/>
  <c r="G248" i="45"/>
  <c r="G83" i="45"/>
  <c r="G55" i="3"/>
  <c r="F85" i="3"/>
  <c r="F87" i="3" s="1"/>
  <c r="F58" i="3"/>
  <c r="Q120" i="45"/>
  <c r="Q337" i="45"/>
  <c r="Q227" i="45" s="1"/>
  <c r="Q308" i="45" s="1"/>
  <c r="D222" i="46"/>
  <c r="D205" i="46"/>
  <c r="AV383" i="45"/>
  <c r="AV384" i="45"/>
  <c r="AV266" i="45" s="1"/>
  <c r="AV415" i="45" s="1"/>
  <c r="BK334" i="45"/>
  <c r="BK175" i="45"/>
  <c r="BK176" i="45" s="1"/>
  <c r="AQ336" i="45"/>
  <c r="AQ272" i="45" s="1"/>
  <c r="AR336" i="45"/>
  <c r="AR272" i="45" s="1"/>
  <c r="BC342" i="45"/>
  <c r="BB342" i="45"/>
  <c r="BB316" i="45"/>
  <c r="AV176" i="45"/>
  <c r="H116" i="28"/>
  <c r="H125" i="28" s="1"/>
  <c r="H114" i="28"/>
  <c r="H123" i="28" s="1"/>
  <c r="H115" i="28"/>
  <c r="H124" i="28" s="1"/>
  <c r="H76" i="28"/>
  <c r="H52" i="28"/>
  <c r="W25" i="12"/>
  <c r="W30" i="12" s="1"/>
  <c r="M90" i="2"/>
  <c r="AU336" i="45"/>
  <c r="AV336" i="45"/>
  <c r="AV272" i="45" s="1"/>
  <c r="AQ237" i="29"/>
  <c r="AP237" i="29"/>
  <c r="AP95" i="29"/>
  <c r="AP191" i="29"/>
  <c r="AP198" i="29"/>
  <c r="AP196" i="29"/>
  <c r="AP208" i="29"/>
  <c r="AP197" i="29"/>
  <c r="AQ140" i="29"/>
  <c r="AT139" i="29"/>
  <c r="AP156" i="29"/>
  <c r="AP147" i="29"/>
  <c r="AP140" i="29"/>
  <c r="O90" i="2"/>
  <c r="Y25" i="12"/>
  <c r="I115" i="28"/>
  <c r="I124" i="28" s="1"/>
  <c r="I76" i="28"/>
  <c r="I52" i="28"/>
  <c r="AT278" i="45"/>
  <c r="AT271" i="45"/>
  <c r="AT275" i="45"/>
  <c r="AT280" i="45"/>
  <c r="I43" i="4"/>
  <c r="E59" i="12"/>
  <c r="I44" i="4"/>
  <c r="AO115" i="29"/>
  <c r="AR114" i="29"/>
  <c r="AO146" i="29"/>
  <c r="AR145" i="29"/>
  <c r="AP157" i="29"/>
  <c r="U184" i="45"/>
  <c r="N296" i="45"/>
  <c r="Q333" i="45"/>
  <c r="H627" i="45"/>
  <c r="G608" i="45"/>
  <c r="BG289" i="45"/>
  <c r="BG271" i="45"/>
  <c r="BG336" i="45"/>
  <c r="BG272" i="45" s="1"/>
  <c r="BH336" i="45"/>
  <c r="BE336" i="45"/>
  <c r="BE272" i="45" s="1"/>
  <c r="BD336" i="45"/>
  <c r="BD272" i="45" s="1"/>
  <c r="AS342" i="45"/>
  <c r="AR342" i="45"/>
  <c r="AT336" i="45"/>
  <c r="AT272" i="45" s="1"/>
  <c r="AS336" i="45"/>
  <c r="AS272" i="45" s="1"/>
  <c r="G44" i="4"/>
  <c r="G43" i="4"/>
  <c r="J83" i="45"/>
  <c r="K232" i="45"/>
  <c r="J248" i="45"/>
  <c r="J312" i="45"/>
  <c r="F44" i="4"/>
  <c r="F43" i="4"/>
  <c r="L90" i="2"/>
  <c r="V25" i="12"/>
  <c r="AN336" i="45"/>
  <c r="AN272" i="45" s="1"/>
  <c r="AO336" i="45"/>
  <c r="AO272" i="45" s="1"/>
  <c r="AY342" i="45"/>
  <c r="AZ342" i="45"/>
  <c r="BI342" i="45"/>
  <c r="BH342" i="45"/>
  <c r="F624" i="45"/>
  <c r="J605" i="45"/>
  <c r="F634" i="45"/>
  <c r="F510" i="45"/>
  <c r="F511" i="45" s="1"/>
  <c r="F496" i="45"/>
  <c r="J598" i="45"/>
  <c r="F617" i="45"/>
  <c r="G617" i="45"/>
  <c r="I83" i="45"/>
  <c r="J232" i="45"/>
  <c r="I248" i="45"/>
  <c r="C76" i="28"/>
  <c r="D52" i="28"/>
  <c r="C114" i="28"/>
  <c r="C52" i="28"/>
  <c r="C115" i="28"/>
  <c r="C116" i="28"/>
  <c r="C222" i="46"/>
  <c r="C205" i="46"/>
  <c r="AU334" i="45"/>
  <c r="AU341" i="45" s="1"/>
  <c r="AU175" i="45"/>
  <c r="AU176" i="45" s="1"/>
  <c r="BI383" i="45"/>
  <c r="BI384" i="45"/>
  <c r="BI266" i="45" s="1"/>
  <c r="BI415" i="45" s="1"/>
  <c r="AL272" i="45"/>
  <c r="AL274" i="45"/>
  <c r="AL280" i="45"/>
  <c r="AF271" i="45"/>
  <c r="AI271" i="45"/>
  <c r="H232" i="45"/>
  <c r="AP139" i="29"/>
  <c r="J55" i="3"/>
  <c r="I85" i="3"/>
  <c r="I58" i="3"/>
  <c r="S33" i="3"/>
  <c r="AB328" i="45"/>
  <c r="W43" i="12"/>
  <c r="N32" i="4"/>
  <c r="N37" i="4"/>
  <c r="N36" i="4"/>
  <c r="R155" i="45"/>
  <c r="R199" i="45"/>
  <c r="R198" i="45" s="1"/>
  <c r="T17" i="2"/>
  <c r="AD156" i="45" s="1"/>
  <c r="Q204" i="45"/>
  <c r="Q208" i="45" s="1"/>
  <c r="G91" i="3" s="1"/>
  <c r="S25" i="3"/>
  <c r="U30" i="12"/>
  <c r="U43" i="12" s="1"/>
  <c r="P184" i="45"/>
  <c r="N103" i="4"/>
  <c r="V23" i="12"/>
  <c r="V30" i="12" s="1"/>
  <c r="V156" i="45"/>
  <c r="C19" i="54"/>
  <c r="M337" i="45"/>
  <c r="M141" i="45"/>
  <c r="M120" i="45"/>
  <c r="V339" i="45"/>
  <c r="R24" i="2"/>
  <c r="R33" i="3"/>
  <c r="T43" i="12"/>
  <c r="S186" i="45"/>
  <c r="C29" i="2"/>
  <c r="C63" i="4"/>
  <c r="C62" i="4"/>
  <c r="Z191" i="45"/>
  <c r="Y166" i="45"/>
  <c r="Q297" i="45"/>
  <c r="Q346" i="45"/>
  <c r="Y190" i="45"/>
  <c r="Y184" i="45" s="1"/>
  <c r="O66" i="3" s="1"/>
  <c r="K49" i="12" s="1"/>
  <c r="X190" i="45"/>
  <c r="H30" i="54"/>
  <c r="X166" i="45"/>
  <c r="X299" i="45" s="1"/>
  <c r="N35" i="4"/>
  <c r="E168" i="56"/>
  <c r="Q338" i="45"/>
  <c r="P227" i="45"/>
  <c r="P308" i="45" s="1"/>
  <c r="P339" i="45"/>
  <c r="R204" i="45"/>
  <c r="R208" i="45" s="1"/>
  <c r="H91" i="3" s="1"/>
  <c r="X156" i="45"/>
  <c r="E19" i="54"/>
  <c r="X23" i="12"/>
  <c r="X30" i="12" s="1"/>
  <c r="P100" i="2"/>
  <c r="Q96" i="2"/>
  <c r="H271" i="45"/>
  <c r="H288" i="45" s="1"/>
  <c r="H289" i="45"/>
  <c r="AA328" i="45"/>
  <c r="Q116" i="2"/>
  <c r="Q17" i="2"/>
  <c r="N31" i="4"/>
  <c r="N34" i="4"/>
  <c r="R116" i="2"/>
  <c r="R117" i="2" s="1"/>
  <c r="R17" i="2"/>
  <c r="M63" i="4"/>
  <c r="M29" i="2"/>
  <c r="M62" i="4"/>
  <c r="W40" i="12" s="1"/>
  <c r="W68" i="12" s="1"/>
  <c r="P210" i="45"/>
  <c r="O327" i="45"/>
  <c r="O329" i="45" s="1"/>
  <c r="S155" i="45"/>
  <c r="S199" i="45"/>
  <c r="S198" i="45" s="1"/>
  <c r="T199" i="45"/>
  <c r="T198" i="45" s="1"/>
  <c r="P164" i="2"/>
  <c r="O168" i="2"/>
  <c r="O26" i="2" s="1"/>
  <c r="E169" i="56"/>
  <c r="N145" i="1"/>
  <c r="N117" i="2"/>
  <c r="G289" i="45"/>
  <c r="G271" i="45"/>
  <c r="G288" i="45" s="1"/>
  <c r="AG515" i="45"/>
  <c r="AF517" i="45"/>
  <c r="V39" i="12"/>
  <c r="V43" i="12" s="1"/>
  <c r="G278" i="45"/>
  <c r="G334" i="45"/>
  <c r="G175" i="45"/>
  <c r="G176" i="45" s="1"/>
  <c r="L134" i="4"/>
  <c r="V168" i="45"/>
  <c r="V167" i="45" s="1"/>
  <c r="L118" i="4"/>
  <c r="C170" i="56"/>
  <c r="L116" i="4"/>
  <c r="V57" i="12" s="1"/>
  <c r="L117" i="4"/>
  <c r="V58" i="12" s="1"/>
  <c r="C175" i="56"/>
  <c r="L133" i="4"/>
  <c r="W324" i="45"/>
  <c r="W326" i="45" s="1"/>
  <c r="W329" i="45" s="1"/>
  <c r="W401" i="45" s="1"/>
  <c r="W402" i="45" s="1"/>
  <c r="W404" i="45" s="1"/>
  <c r="W137" i="45"/>
  <c r="X277" i="45"/>
  <c r="G30" i="54"/>
  <c r="G20" i="54" s="1"/>
  <c r="X184" i="45"/>
  <c r="N66" i="3" s="1"/>
  <c r="J49" i="12" s="1"/>
  <c r="Q184" i="45"/>
  <c r="N33" i="4"/>
  <c r="Q296" i="45"/>
  <c r="Q339" i="45"/>
  <c r="Q335" i="45" s="1"/>
  <c r="N36" i="2"/>
  <c r="X34" i="12"/>
  <c r="N107" i="4"/>
  <c r="X63" i="12" s="1"/>
  <c r="N100" i="4"/>
  <c r="N108" i="4"/>
  <c r="X123" i="45"/>
  <c r="X122" i="45" s="1"/>
  <c r="N134" i="4"/>
  <c r="Y150" i="45"/>
  <c r="Y151" i="45" s="1"/>
  <c r="Y143" i="45" s="1"/>
  <c r="O16" i="2"/>
  <c r="Y27" i="12" s="1"/>
  <c r="K340" i="45"/>
  <c r="J335" i="45"/>
  <c r="J340" i="45"/>
  <c r="W337" i="45"/>
  <c r="W141" i="45"/>
  <c r="W382" i="45"/>
  <c r="W120" i="45"/>
  <c r="U173" i="45"/>
  <c r="U299" i="45"/>
  <c r="N297" i="45"/>
  <c r="N346" i="45"/>
  <c r="H134" i="4"/>
  <c r="H116" i="4"/>
  <c r="R57" i="12" s="1"/>
  <c r="K274" i="45"/>
  <c r="K341" i="45"/>
  <c r="T120" i="2"/>
  <c r="T122" i="2" s="1"/>
  <c r="T18" i="2" s="1"/>
  <c r="S122" i="2"/>
  <c r="S18" i="2" s="1"/>
  <c r="F341" i="45"/>
  <c r="F274" i="45"/>
  <c r="S338" i="45"/>
  <c r="R339" i="45"/>
  <c r="R338" i="45"/>
  <c r="R227" i="45"/>
  <c r="R308" i="45" s="1"/>
  <c r="R296" i="45"/>
  <c r="U329" i="45"/>
  <c r="U296" i="45"/>
  <c r="T401" i="45"/>
  <c r="N173" i="45"/>
  <c r="N175" i="45" s="1"/>
  <c r="N176" i="45" s="1"/>
  <c r="N299" i="45"/>
  <c r="X173" i="45"/>
  <c r="F145" i="1"/>
  <c r="Z517" i="45"/>
  <c r="Y515" i="45"/>
  <c r="H133" i="4"/>
  <c r="E30" i="54"/>
  <c r="T33" i="3"/>
  <c r="R168" i="45"/>
  <c r="R167" i="45" s="1"/>
  <c r="H30" i="2"/>
  <c r="H117" i="4"/>
  <c r="R58" i="12" s="1"/>
  <c r="H118" i="4"/>
  <c r="D100" i="4"/>
  <c r="D107" i="4"/>
  <c r="D103" i="4"/>
  <c r="D104" i="4"/>
  <c r="D108" i="4"/>
  <c r="D101" i="4"/>
  <c r="D30" i="2"/>
  <c r="D32" i="2" s="1"/>
  <c r="P297" i="45"/>
  <c r="P346" i="45"/>
  <c r="V296" i="45"/>
  <c r="V329" i="45"/>
  <c r="F116" i="4"/>
  <c r="F134" i="4"/>
  <c r="F133" i="4"/>
  <c r="S329" i="45"/>
  <c r="S296" i="45"/>
  <c r="R327" i="45"/>
  <c r="R329" i="45" s="1"/>
  <c r="S210" i="45"/>
  <c r="R158" i="45"/>
  <c r="W191" i="45"/>
  <c r="W166" i="45"/>
  <c r="W173" i="45" s="1"/>
  <c r="P299" i="45"/>
  <c r="P173" i="45"/>
  <c r="P334" i="45" s="1"/>
  <c r="P341" i="45" s="1"/>
  <c r="J63" i="4"/>
  <c r="J62" i="4"/>
  <c r="T40" i="12" s="1"/>
  <c r="T68" i="12" s="1"/>
  <c r="J29" i="2"/>
  <c r="P116" i="2"/>
  <c r="Z328" i="45"/>
  <c r="P17" i="2"/>
  <c r="S339" i="45"/>
  <c r="S227" i="45"/>
  <c r="S308" i="45" s="1"/>
  <c r="AD171" i="45"/>
  <c r="AD170" i="45" s="1"/>
  <c r="AD191" i="45" s="1"/>
  <c r="AD33" i="12"/>
  <c r="S12" i="2"/>
  <c r="AC165" i="45" s="1"/>
  <c r="AC188" i="45" s="1"/>
  <c r="S23" i="3"/>
  <c r="N49" i="54"/>
  <c r="L103" i="4"/>
  <c r="C22" i="54"/>
  <c r="L108" i="4"/>
  <c r="L101" i="4"/>
  <c r="L104" i="4"/>
  <c r="L100" i="4"/>
  <c r="L107" i="4"/>
  <c r="V63" i="12" s="1"/>
  <c r="L30" i="2"/>
  <c r="L37" i="4" s="1"/>
  <c r="H334" i="45"/>
  <c r="H278" i="45"/>
  <c r="H175" i="45"/>
  <c r="H176" i="45" s="1"/>
  <c r="O335" i="45"/>
  <c r="S299" i="45"/>
  <c r="S173" i="45"/>
  <c r="P199" i="45"/>
  <c r="P198" i="45" s="1"/>
  <c r="P155" i="45"/>
  <c r="Q199" i="45"/>
  <c r="Q198" i="45" s="1"/>
  <c r="U339" i="45"/>
  <c r="V338" i="45"/>
  <c r="X333" i="45"/>
  <c r="X273" i="45" s="1"/>
  <c r="O62" i="4"/>
  <c r="Y40" i="12" s="1"/>
  <c r="Y68" i="12" s="1"/>
  <c r="O29" i="2"/>
  <c r="W333" i="45"/>
  <c r="D30" i="54"/>
  <c r="Y23" i="12"/>
  <c r="Y156" i="45"/>
  <c r="F19" i="54"/>
  <c r="W299" i="45"/>
  <c r="W204" i="45"/>
  <c r="M78" i="3" s="1"/>
  <c r="I56" i="12" s="1"/>
  <c r="V204" i="45"/>
  <c r="V208" i="45" s="1"/>
  <c r="L91" i="3" s="1"/>
  <c r="V382" i="45"/>
  <c r="V141" i="45"/>
  <c r="M297" i="45"/>
  <c r="M346" i="45"/>
  <c r="I103" i="4"/>
  <c r="I100" i="4"/>
  <c r="I108" i="4"/>
  <c r="I30" i="2"/>
  <c r="I104" i="4"/>
  <c r="I101" i="4"/>
  <c r="I107" i="4"/>
  <c r="S63" i="12" s="1"/>
  <c r="U227" i="45"/>
  <c r="U308" i="45" s="1"/>
  <c r="H131" i="4"/>
  <c r="F30" i="54"/>
  <c r="G169" i="56"/>
  <c r="O117" i="2"/>
  <c r="T299" i="45"/>
  <c r="T173" i="45"/>
  <c r="O184" i="45"/>
  <c r="T12" i="2"/>
  <c r="AD165" i="45" s="1"/>
  <c r="T23" i="3"/>
  <c r="X195" i="45"/>
  <c r="I316" i="45"/>
  <c r="Q299" i="45"/>
  <c r="Q173" i="45"/>
  <c r="Q334" i="45" s="1"/>
  <c r="Q341" i="45" s="1"/>
  <c r="Q243" i="45" s="1"/>
  <c r="J274" i="45"/>
  <c r="J341" i="45"/>
  <c r="J342" i="45" s="1"/>
  <c r="J263" i="45" s="1"/>
  <c r="I336" i="45"/>
  <c r="I272" i="45" s="1"/>
  <c r="H336" i="45"/>
  <c r="H272" i="45" s="1"/>
  <c r="N227" i="45"/>
  <c r="N308" i="45" s="1"/>
  <c r="N339" i="45"/>
  <c r="O338" i="45"/>
  <c r="T382" i="45"/>
  <c r="T337" i="45"/>
  <c r="T297" i="45" s="1"/>
  <c r="T141" i="45"/>
  <c r="T120" i="45"/>
  <c r="AB139" i="45"/>
  <c r="AB138" i="45" s="1"/>
  <c r="AB189" i="45" s="1"/>
  <c r="AB28" i="12"/>
  <c r="S141" i="45"/>
  <c r="O173" i="45"/>
  <c r="O334" i="45" s="1"/>
  <c r="O274" i="45" s="1"/>
  <c r="O299" i="45"/>
  <c r="T204" i="45"/>
  <c r="T208" i="45" s="1"/>
  <c r="J91" i="3" s="1"/>
  <c r="U155" i="45"/>
  <c r="U175" i="45" s="1"/>
  <c r="U199" i="45"/>
  <c r="U198" i="45" s="1"/>
  <c r="U141" i="45"/>
  <c r="U204" i="45"/>
  <c r="U208" i="45" s="1"/>
  <c r="K91" i="3" s="1"/>
  <c r="U382" i="45"/>
  <c r="T346" i="45"/>
  <c r="T310" i="45" s="1"/>
  <c r="Y337" i="45"/>
  <c r="Y120" i="45"/>
  <c r="AD23" i="12"/>
  <c r="T13" i="3"/>
  <c r="T38" i="3" s="1"/>
  <c r="S117" i="2"/>
  <c r="P276" i="45"/>
  <c r="P275" i="45"/>
  <c r="AC23" i="12"/>
  <c r="AC156" i="45"/>
  <c r="H261" i="45"/>
  <c r="H267" i="45" s="1"/>
  <c r="H300" i="45"/>
  <c r="H87" i="45"/>
  <c r="F300" i="45"/>
  <c r="F87" i="45"/>
  <c r="F261" i="45"/>
  <c r="F267" i="45" s="1"/>
  <c r="K254" i="45"/>
  <c r="K225" i="45"/>
  <c r="K307" i="45" s="1"/>
  <c r="Q279" i="45"/>
  <c r="Q202" i="45"/>
  <c r="G90" i="3" s="1"/>
  <c r="I21" i="2"/>
  <c r="E171" i="56"/>
  <c r="N21" i="2"/>
  <c r="N26" i="4" s="1"/>
  <c r="C38" i="6"/>
  <c r="C36" i="6"/>
  <c r="C15" i="2"/>
  <c r="C143" i="4"/>
  <c r="F21" i="2"/>
  <c r="F26" i="4" s="1"/>
  <c r="T195" i="45"/>
  <c r="G124" i="4"/>
  <c r="D98" i="4"/>
  <c r="D25" i="4"/>
  <c r="D27" i="4"/>
  <c r="D97" i="4"/>
  <c r="D88" i="4"/>
  <c r="D29" i="4"/>
  <c r="D23" i="4"/>
  <c r="D28" i="4"/>
  <c r="D24" i="4"/>
  <c r="V195" i="45"/>
  <c r="U195" i="45"/>
  <c r="J15" i="2"/>
  <c r="J143" i="4"/>
  <c r="O146" i="45"/>
  <c r="O147" i="45" s="1"/>
  <c r="O143" i="45" s="1"/>
  <c r="F123" i="4"/>
  <c r="E123" i="4"/>
  <c r="I123" i="4"/>
  <c r="S60" i="12" s="1"/>
  <c r="R24" i="12"/>
  <c r="R30" i="12" s="1"/>
  <c r="R43" i="12" s="1"/>
  <c r="R146" i="45"/>
  <c r="R147" i="45" s="1"/>
  <c r="R143" i="45" s="1"/>
  <c r="AB26" i="12"/>
  <c r="AB154" i="45"/>
  <c r="G21" i="2"/>
  <c r="G26" i="4" s="1"/>
  <c r="V333" i="45"/>
  <c r="V273" i="45" s="1"/>
  <c r="U333" i="45"/>
  <c r="U273" i="45" s="1"/>
  <c r="U71" i="6"/>
  <c r="T89" i="2" s="1"/>
  <c r="S89" i="2"/>
  <c r="D123" i="4"/>
  <c r="M146" i="45"/>
  <c r="M147" i="45" s="1"/>
  <c r="M143" i="45" s="1"/>
  <c r="C40" i="6"/>
  <c r="K143" i="4"/>
  <c r="K15" i="2"/>
  <c r="F124" i="4"/>
  <c r="E21" i="2"/>
  <c r="E26" i="4" s="1"/>
  <c r="E124" i="4"/>
  <c r="H15" i="2"/>
  <c r="H143" i="4"/>
  <c r="H161" i="4"/>
  <c r="H163" i="4"/>
  <c r="H162" i="4"/>
  <c r="AD86" i="45"/>
  <c r="AD84" i="45" s="1"/>
  <c r="P26" i="12"/>
  <c r="T12" i="3"/>
  <c r="T47" i="3" s="1"/>
  <c r="T50" i="3" s="1"/>
  <c r="E20" i="12"/>
  <c r="E75" i="12" s="1"/>
  <c r="D74" i="12"/>
  <c r="O80" i="3"/>
  <c r="E161" i="4"/>
  <c r="E163" i="4"/>
  <c r="E162" i="4"/>
  <c r="O26" i="12"/>
  <c r="S12" i="3"/>
  <c r="S47" i="3" s="1"/>
  <c r="S50" i="3" s="1"/>
  <c r="AC86" i="45"/>
  <c r="AC84" i="45" s="1"/>
  <c r="R283" i="45"/>
  <c r="S38" i="45"/>
  <c r="R40" i="45"/>
  <c r="F131" i="4"/>
  <c r="H35" i="26"/>
  <c r="H33" i="26"/>
  <c r="J102" i="28"/>
  <c r="L40" i="49"/>
  <c r="F33" i="26"/>
  <c r="K60" i="28"/>
  <c r="K208" i="28" s="1"/>
  <c r="J60" i="28"/>
  <c r="J208" i="28" s="1"/>
  <c r="M72" i="44"/>
  <c r="N49" i="44"/>
  <c r="K106" i="28"/>
  <c r="O2" i="1"/>
  <c r="L50" i="44"/>
  <c r="L62" i="44" s="1"/>
  <c r="L69" i="44"/>
  <c r="L57" i="44" s="1"/>
  <c r="L53" i="44"/>
  <c r="L65" i="44" s="1"/>
  <c r="N48" i="44"/>
  <c r="M71" i="44"/>
  <c r="N47" i="44"/>
  <c r="M70" i="44"/>
  <c r="W12" i="44"/>
  <c r="Q26" i="44"/>
  <c r="L203" i="28"/>
  <c r="O22" i="28"/>
  <c r="S73" i="44"/>
  <c r="AD482" i="45"/>
  <c r="S16" i="44"/>
  <c r="S75" i="44" s="1"/>
  <c r="X14" i="44"/>
  <c r="O31" i="28"/>
  <c r="R31" i="28" s="1"/>
  <c r="S23" i="44"/>
  <c r="S9" i="44"/>
  <c r="L87" i="3"/>
  <c r="H60" i="12"/>
  <c r="V42" i="12" s="1"/>
  <c r="M56" i="3"/>
  <c r="M84" i="3"/>
  <c r="D271" i="46"/>
  <c r="F271" i="46" s="1"/>
  <c r="F269" i="46"/>
  <c r="F48" i="26"/>
  <c r="J116" i="28"/>
  <c r="K125" i="28" s="1"/>
  <c r="J52" i="28"/>
  <c r="J114" i="28"/>
  <c r="K123" i="28" s="1"/>
  <c r="J76" i="28"/>
  <c r="J115" i="28"/>
  <c r="J124" i="28" s="1"/>
  <c r="K100" i="28"/>
  <c r="L67" i="44"/>
  <c r="K67" i="44"/>
  <c r="I125" i="28"/>
  <c r="N99" i="44"/>
  <c r="AO106" i="29"/>
  <c r="AR105" i="29"/>
  <c r="AO121" i="29"/>
  <c r="AR120" i="29"/>
  <c r="AO109" i="29"/>
  <c r="AR108" i="29"/>
  <c r="AO103" i="29"/>
  <c r="AR102" i="29"/>
  <c r="I61" i="26"/>
  <c r="I55" i="26"/>
  <c r="N32" i="28"/>
  <c r="N194" i="28" s="1"/>
  <c r="N193" i="28"/>
  <c r="M13" i="28"/>
  <c r="M190" i="28" s="1"/>
  <c r="M189" i="28"/>
  <c r="P39" i="44"/>
  <c r="AC485" i="45"/>
  <c r="AC487" i="45" s="1"/>
  <c r="AC631" i="45"/>
  <c r="AP148" i="29"/>
  <c r="AP307" i="29" s="1"/>
  <c r="AC312" i="29"/>
  <c r="AC151" i="29"/>
  <c r="AC313" i="29" s="1"/>
  <c r="AC152" i="29"/>
  <c r="AD152" i="29"/>
  <c r="AG274" i="45"/>
  <c r="AG275" i="45"/>
  <c r="AG273" i="45"/>
  <c r="AG276" i="45"/>
  <c r="AH41" i="45"/>
  <c r="AH613" i="45"/>
  <c r="AG278" i="45"/>
  <c r="AG272" i="45"/>
  <c r="AG280" i="45"/>
  <c r="AY280" i="45"/>
  <c r="AZ41" i="45"/>
  <c r="AD613" i="45"/>
  <c r="AT247" i="45"/>
  <c r="AT311" i="45"/>
  <c r="S631" i="45"/>
  <c r="S603" i="45" s="1"/>
  <c r="W61" i="58"/>
  <c r="AN315" i="29"/>
  <c r="Z158" i="29"/>
  <c r="Z239" i="29" s="1"/>
  <c r="AI157" i="29"/>
  <c r="AI310" i="29" s="1"/>
  <c r="AG215" i="29"/>
  <c r="AK99" i="29"/>
  <c r="AK316" i="29" s="1"/>
  <c r="AG315" i="29"/>
  <c r="AM149" i="29"/>
  <c r="AE99" i="29"/>
  <c r="AE316" i="29" s="1"/>
  <c r="AE315" i="29"/>
  <c r="AC614" i="45"/>
  <c r="AY276" i="45"/>
  <c r="AY271" i="45"/>
  <c r="AY411" i="45" s="1"/>
  <c r="BC594" i="45"/>
  <c r="BC230" i="45" s="1"/>
  <c r="BC416" i="45" s="1"/>
  <c r="AY278" i="45"/>
  <c r="AY275" i="45"/>
  <c r="AX594" i="45"/>
  <c r="AX230" i="45" s="1"/>
  <c r="AX416" i="45" s="1"/>
  <c r="AX272" i="45"/>
  <c r="AX274" i="45"/>
  <c r="AX276" i="45"/>
  <c r="AK594" i="45"/>
  <c r="AK230" i="45" s="1"/>
  <c r="AK416" i="45" s="1"/>
  <c r="AG613" i="45"/>
  <c r="S595" i="45"/>
  <c r="AC214" i="29"/>
  <c r="AC215" i="29"/>
  <c r="AD215" i="29"/>
  <c r="AL312" i="29"/>
  <c r="AP151" i="29"/>
  <c r="AL151" i="29"/>
  <c r="AL313" i="29" s="1"/>
  <c r="AL152" i="29"/>
  <c r="AM152" i="29"/>
  <c r="Y86" i="29"/>
  <c r="Y36" i="29"/>
  <c r="AI148" i="29"/>
  <c r="AI307" i="29" s="1"/>
  <c r="AG151" i="29"/>
  <c r="AG313" i="29" s="1"/>
  <c r="AG312" i="29"/>
  <c r="AH152" i="29"/>
  <c r="AK151" i="29"/>
  <c r="AK313" i="29" s="1"/>
  <c r="AZ613" i="45"/>
  <c r="P143" i="1"/>
  <c r="L51" i="58"/>
  <c r="W56" i="58"/>
  <c r="W57" i="58" s="1"/>
  <c r="W66" i="58"/>
  <c r="X615" i="45"/>
  <c r="BB41" i="45"/>
  <c r="W615" i="45"/>
  <c r="W596" i="45"/>
  <c r="AM272" i="45"/>
  <c r="BB278" i="45"/>
  <c r="AL157" i="29"/>
  <c r="AL310" i="29" s="1"/>
  <c r="AL309" i="29"/>
  <c r="AP310" i="29"/>
  <c r="AI496" i="45"/>
  <c r="AI499" i="45" s="1"/>
  <c r="AI590" i="45"/>
  <c r="Q631" i="45"/>
  <c r="U603" i="45" s="1"/>
  <c r="W632" i="45"/>
  <c r="AN99" i="29"/>
  <c r="AN316" i="29" s="1"/>
  <c r="AO100" i="29"/>
  <c r="AM41" i="45"/>
  <c r="BL594" i="45"/>
  <c r="BL230" i="45" s="1"/>
  <c r="BK288" i="45"/>
  <c r="S46" i="58"/>
  <c r="T49" i="58" s="1"/>
  <c r="S55" i="58"/>
  <c r="AE86" i="29"/>
  <c r="AE36" i="29"/>
  <c r="AL214" i="29"/>
  <c r="AL215" i="29"/>
  <c r="AM215" i="29"/>
  <c r="Y158" i="29"/>
  <c r="Y239" i="29" s="1"/>
  <c r="X309" i="29"/>
  <c r="AI158" i="29"/>
  <c r="AI239" i="29" s="1"/>
  <c r="AH309" i="29"/>
  <c r="W49" i="58"/>
  <c r="X49" i="58"/>
  <c r="AK309" i="29"/>
  <c r="AO157" i="29"/>
  <c r="AO310" i="29" s="1"/>
  <c r="AB158" i="29"/>
  <c r="AB239" i="29" s="1"/>
  <c r="AB309" i="29"/>
  <c r="BB273" i="45"/>
  <c r="AN77" i="45"/>
  <c r="AN273" i="45"/>
  <c r="AN274" i="45"/>
  <c r="AN280" i="45"/>
  <c r="AN271" i="45"/>
  <c r="AN278" i="45"/>
  <c r="AN276" i="45"/>
  <c r="AN594" i="45"/>
  <c r="AN230" i="45" s="1"/>
  <c r="AN416" i="45" s="1"/>
  <c r="AW631" i="45"/>
  <c r="AW247" i="45"/>
  <c r="AU271" i="45"/>
  <c r="BP594" i="45"/>
  <c r="BP230" i="45" s="1"/>
  <c r="W603" i="45"/>
  <c r="BL77" i="45"/>
  <c r="BL81" i="45" s="1"/>
  <c r="AW81" i="45"/>
  <c r="AB614" i="45"/>
  <c r="AW298" i="45"/>
  <c r="BI411" i="45"/>
  <c r="E25" i="48"/>
  <c r="P35" i="44"/>
  <c r="P42" i="44"/>
  <c r="P38" i="44"/>
  <c r="P34" i="44"/>
  <c r="P36" i="44"/>
  <c r="P41" i="44"/>
  <c r="P37" i="44"/>
  <c r="P40" i="44"/>
  <c r="N12" i="28"/>
  <c r="N45" i="28" s="1"/>
  <c r="N198" i="28" s="1"/>
  <c r="H61" i="26"/>
  <c r="H55" i="26"/>
  <c r="M38" i="45"/>
  <c r="M40" i="45"/>
  <c r="N38" i="45"/>
  <c r="M310" i="45"/>
  <c r="M283" i="45"/>
  <c r="C162" i="4"/>
  <c r="C161" i="4"/>
  <c r="C163" i="4"/>
  <c r="I22" i="1"/>
  <c r="E21" i="12"/>
  <c r="E117" i="28"/>
  <c r="I25" i="1"/>
  <c r="I6" i="1"/>
  <c r="I69" i="4"/>
  <c r="S309" i="45"/>
  <c r="S256" i="45"/>
  <c r="O275" i="45"/>
  <c r="P230" i="45"/>
  <c r="O276" i="45"/>
  <c r="P41" i="45"/>
  <c r="G97" i="28"/>
  <c r="H97" i="28"/>
  <c r="V309" i="45"/>
  <c r="V256" i="45"/>
  <c r="N6" i="1"/>
  <c r="N25" i="1"/>
  <c r="N22" i="1"/>
  <c r="J21" i="12"/>
  <c r="N69" i="4"/>
  <c r="D56" i="56"/>
  <c r="E11" i="54"/>
  <c r="E12" i="54" s="1"/>
  <c r="J117" i="28"/>
  <c r="K25" i="1"/>
  <c r="K69" i="4"/>
  <c r="K22" i="1"/>
  <c r="K6" i="1"/>
  <c r="G21" i="12"/>
  <c r="G117" i="28"/>
  <c r="H126" i="28" s="1"/>
  <c r="U277" i="45"/>
  <c r="U77" i="45"/>
  <c r="R65" i="45"/>
  <c r="R47" i="45" s="1"/>
  <c r="R42" i="45" s="1"/>
  <c r="H142" i="2"/>
  <c r="H13" i="4"/>
  <c r="H21" i="1"/>
  <c r="W256" i="45"/>
  <c r="W309" i="45"/>
  <c r="AB171" i="45"/>
  <c r="AB170" i="45" s="1"/>
  <c r="AB33" i="12"/>
  <c r="Y275" i="45"/>
  <c r="Y276" i="45"/>
  <c r="P277" i="45"/>
  <c r="P77" i="45"/>
  <c r="F21" i="1"/>
  <c r="F52" i="4"/>
  <c r="F68" i="4"/>
  <c r="G21" i="1"/>
  <c r="G68" i="4"/>
  <c r="G52" i="4"/>
  <c r="H52" i="4"/>
  <c r="Q40" i="45"/>
  <c r="R38" i="45"/>
  <c r="Q283" i="45"/>
  <c r="Q38" i="45"/>
  <c r="Q65" i="45"/>
  <c r="Q47" i="45" s="1"/>
  <c r="Q42" i="45" s="1"/>
  <c r="Q277" i="45" s="1"/>
  <c r="G142" i="2"/>
  <c r="L110" i="4"/>
  <c r="V62" i="12" s="1"/>
  <c r="L151" i="4"/>
  <c r="H86" i="12" s="1"/>
  <c r="L70" i="4"/>
  <c r="V49" i="12" s="1"/>
  <c r="V75" i="12" s="1"/>
  <c r="L111" i="4"/>
  <c r="H24" i="12"/>
  <c r="L30" i="1"/>
  <c r="C16" i="54"/>
  <c r="L54" i="4"/>
  <c r="Y230" i="45"/>
  <c r="Y416" i="45" s="1"/>
  <c r="X77" i="45"/>
  <c r="U256" i="45"/>
  <c r="U309" i="45"/>
  <c r="J163" i="4"/>
  <c r="J162" i="4"/>
  <c r="J161" i="4"/>
  <c r="T54" i="12"/>
  <c r="J131" i="4"/>
  <c r="Q309" i="45"/>
  <c r="Q256" i="45"/>
  <c r="W394" i="45"/>
  <c r="W279" i="45"/>
  <c r="M70" i="3"/>
  <c r="M161" i="4"/>
  <c r="M163" i="4"/>
  <c r="M162" i="4"/>
  <c r="W38" i="45"/>
  <c r="W40" i="45"/>
  <c r="W280" i="45" s="1"/>
  <c r="W283" i="45"/>
  <c r="X38" i="45"/>
  <c r="D10" i="54"/>
  <c r="D7" i="54"/>
  <c r="D8" i="54" s="1"/>
  <c r="E10" i="54"/>
  <c r="S248" i="45"/>
  <c r="S83" i="45"/>
  <c r="C21" i="1"/>
  <c r="C68" i="4"/>
  <c r="V248" i="45"/>
  <c r="V83" i="45"/>
  <c r="S208" i="45"/>
  <c r="I91" i="3" s="1"/>
  <c r="M79" i="3"/>
  <c r="O72" i="3"/>
  <c r="K53" i="12" s="1"/>
  <c r="Q80" i="3"/>
  <c r="R80" i="3"/>
  <c r="G106" i="28"/>
  <c r="G13" i="4"/>
  <c r="G161" i="4"/>
  <c r="G163" i="4"/>
  <c r="G162" i="4"/>
  <c r="O65" i="45"/>
  <c r="O47" i="45" s="1"/>
  <c r="O42" i="45" s="1"/>
  <c r="O277" i="45" s="1"/>
  <c r="E13" i="4"/>
  <c r="E21" i="1"/>
  <c r="E142" i="2"/>
  <c r="H106" i="28"/>
  <c r="H22" i="12"/>
  <c r="B54" i="56"/>
  <c r="B55" i="56" s="1"/>
  <c r="B57" i="56"/>
  <c r="V48" i="12"/>
  <c r="V74" i="12" s="1"/>
  <c r="L160" i="4"/>
  <c r="L53" i="4"/>
  <c r="Y41" i="45"/>
  <c r="O41" i="45"/>
  <c r="O230" i="45"/>
  <c r="D25" i="1"/>
  <c r="D6" i="1"/>
  <c r="D69" i="4"/>
  <c r="D160" i="4" s="1"/>
  <c r="F74" i="12"/>
  <c r="F20" i="12"/>
  <c r="F75" i="12" s="1"/>
  <c r="T40" i="45"/>
  <c r="T283" i="45"/>
  <c r="U38" i="45"/>
  <c r="T38" i="45"/>
  <c r="J21" i="1"/>
  <c r="K52" i="4"/>
  <c r="J52" i="4"/>
  <c r="J68" i="4"/>
  <c r="N65" i="45"/>
  <c r="N47" i="45" s="1"/>
  <c r="N42" i="45" s="1"/>
  <c r="D142" i="2"/>
  <c r="D13" i="4"/>
  <c r="I20" i="12"/>
  <c r="I75" i="12" s="1"/>
  <c r="I74" i="12"/>
  <c r="J20" i="12"/>
  <c r="J75" i="12" s="1"/>
  <c r="C53" i="56"/>
  <c r="C41" i="56"/>
  <c r="C39" i="56"/>
  <c r="C51" i="56"/>
  <c r="C43" i="56"/>
  <c r="C47" i="56"/>
  <c r="C45" i="56"/>
  <c r="C37" i="56"/>
  <c r="M21" i="1"/>
  <c r="N53" i="4" s="1"/>
  <c r="M52" i="4"/>
  <c r="M68" i="4"/>
  <c r="M131" i="4"/>
  <c r="W54" i="12"/>
  <c r="C17" i="56" s="1"/>
  <c r="C19" i="56" s="1"/>
  <c r="O15" i="1"/>
  <c r="O110" i="1"/>
  <c r="N41" i="28"/>
  <c r="R12" i="44"/>
  <c r="X12" i="44" s="1"/>
  <c r="J103" i="28"/>
  <c r="K103" i="28"/>
  <c r="E7" i="54"/>
  <c r="E6" i="54"/>
  <c r="F6" i="54"/>
  <c r="F61" i="26"/>
  <c r="F55" i="26"/>
  <c r="AM271" i="45"/>
  <c r="AM288" i="45" s="1"/>
  <c r="BB271" i="45"/>
  <c r="BB275" i="45"/>
  <c r="BB594" i="45"/>
  <c r="BB230" i="45" s="1"/>
  <c r="BB416" i="45" s="1"/>
  <c r="BF594" i="45"/>
  <c r="BF230" i="45" s="1"/>
  <c r="BF416" i="45" s="1"/>
  <c r="H14" i="48"/>
  <c r="AM276" i="45"/>
  <c r="AM274" i="45"/>
  <c r="BB272" i="45"/>
  <c r="AM278" i="45"/>
  <c r="AQ594" i="45"/>
  <c r="AQ230" i="45" s="1"/>
  <c r="AQ416" i="45" s="1"/>
  <c r="BB274" i="45"/>
  <c r="BR47" i="45"/>
  <c r="L4" i="48"/>
  <c r="L7" i="48"/>
  <c r="BR44" i="45"/>
  <c r="BR43" i="45" s="1"/>
  <c r="BR41" i="45"/>
  <c r="BR249" i="45"/>
  <c r="BR594" i="45"/>
  <c r="BR230" i="45" s="1"/>
  <c r="BR254" i="45"/>
  <c r="BR613" i="45"/>
  <c r="BR253" i="45"/>
  <c r="L11" i="48"/>
  <c r="L9" i="48"/>
  <c r="P87" i="2"/>
  <c r="Z152" i="45" s="1"/>
  <c r="AU77" i="45"/>
  <c r="AU311" i="45" s="1"/>
  <c r="AY594" i="45"/>
  <c r="AY230" i="45" s="1"/>
  <c r="AY416" i="45" s="1"/>
  <c r="AU276" i="45"/>
  <c r="X622" i="45"/>
  <c r="AU273" i="45"/>
  <c r="BI613" i="45"/>
  <c r="BH594" i="45"/>
  <c r="BH230" i="45" s="1"/>
  <c r="BH416" i="45" s="1"/>
  <c r="BI41" i="45"/>
  <c r="BH272" i="45"/>
  <c r="BH273" i="45"/>
  <c r="BH41" i="45"/>
  <c r="BH276" i="45"/>
  <c r="BH280" i="45"/>
  <c r="BH613" i="45"/>
  <c r="BH274" i="45"/>
  <c r="BH278" i="45"/>
  <c r="BH275" i="45"/>
  <c r="BH271" i="45"/>
  <c r="BC411" i="45"/>
  <c r="BC288" i="45"/>
  <c r="Q614" i="45"/>
  <c r="Z306" i="29"/>
  <c r="AA149" i="29"/>
  <c r="Z148" i="29"/>
  <c r="Z307" i="29" s="1"/>
  <c r="Y321" i="29"/>
  <c r="U206" i="29"/>
  <c r="U192" i="29"/>
  <c r="AP613" i="45"/>
  <c r="AU614" i="45"/>
  <c r="AJ590" i="45"/>
  <c r="AU280" i="45"/>
  <c r="AM158" i="29"/>
  <c r="AM239" i="29" s="1"/>
  <c r="AU613" i="45"/>
  <c r="AU278" i="45"/>
  <c r="AN41" i="45"/>
  <c r="AV613" i="45"/>
  <c r="BB77" i="45"/>
  <c r="BB298" i="45" s="1"/>
  <c r="AE631" i="45"/>
  <c r="AF622" i="45" s="1"/>
  <c r="AE485" i="45"/>
  <c r="AJ277" i="45"/>
  <c r="AJ77" i="45"/>
  <c r="D36" i="29"/>
  <c r="D86" i="29"/>
  <c r="Z157" i="29"/>
  <c r="Z310" i="29" s="1"/>
  <c r="AA158" i="29"/>
  <c r="AA239" i="29" s="1"/>
  <c r="K614" i="45"/>
  <c r="K485" i="45"/>
  <c r="L615" i="45" s="1"/>
  <c r="K595" i="45"/>
  <c r="K631" i="45"/>
  <c r="AG77" i="45"/>
  <c r="AK595" i="45" s="1"/>
  <c r="AK231" i="45" s="1"/>
  <c r="AG277" i="45"/>
  <c r="BD77" i="45"/>
  <c r="BD298" i="45" s="1"/>
  <c r="AC632" i="45"/>
  <c r="AU274" i="45"/>
  <c r="AV41" i="45"/>
  <c r="AA86" i="29"/>
  <c r="AA36" i="29"/>
  <c r="AH306" i="29"/>
  <c r="AI149" i="29"/>
  <c r="L147" i="29"/>
  <c r="L156" i="29"/>
  <c r="P197" i="29"/>
  <c r="P228" i="29"/>
  <c r="P198" i="29"/>
  <c r="P196" i="29"/>
  <c r="P95" i="29"/>
  <c r="R88" i="29"/>
  <c r="R55" i="29"/>
  <c r="AL113" i="29"/>
  <c r="AL107" i="29"/>
  <c r="AL97" i="29"/>
  <c r="AM97" i="29"/>
  <c r="AL144" i="29"/>
  <c r="AL94" i="29"/>
  <c r="AL101" i="29"/>
  <c r="AL119" i="29"/>
  <c r="AL96" i="29"/>
  <c r="AL104" i="29"/>
  <c r="AL98" i="29"/>
  <c r="AL1" i="29"/>
  <c r="AJ153" i="29"/>
  <c r="AJ128" i="29"/>
  <c r="T87" i="29"/>
  <c r="T39" i="29" s="1"/>
  <c r="T47" i="29"/>
  <c r="AI214" i="29"/>
  <c r="AI215" i="29"/>
  <c r="AM214" i="29"/>
  <c r="BN603" i="45"/>
  <c r="Z149" i="29"/>
  <c r="AU594" i="45"/>
  <c r="AU230" i="45" s="1"/>
  <c r="AU416" i="45" s="1"/>
  <c r="AU272" i="45"/>
  <c r="AU275" i="45"/>
  <c r="L614" i="45"/>
  <c r="O595" i="45"/>
  <c r="BC613" i="45"/>
  <c r="BB276" i="45"/>
  <c r="BB280" i="45"/>
  <c r="AL148" i="29"/>
  <c r="AL307" i="29" s="1"/>
  <c r="AL306" i="29"/>
  <c r="E36" i="29"/>
  <c r="E86" i="29"/>
  <c r="AI312" i="29"/>
  <c r="AI151" i="29"/>
  <c r="AI313" i="29" s="1"/>
  <c r="AI152" i="29"/>
  <c r="AM151" i="29"/>
  <c r="AM313" i="29" s="1"/>
  <c r="AN613" i="45"/>
  <c r="AM613" i="45"/>
  <c r="AM280" i="45"/>
  <c r="AM594" i="45"/>
  <c r="AM230" i="45" s="1"/>
  <c r="AM416" i="45" s="1"/>
  <c r="AU281" i="45"/>
  <c r="BE411" i="45"/>
  <c r="BE288" i="45"/>
  <c r="Q595" i="45"/>
  <c r="AJ411" i="45"/>
  <c r="AJ288" i="45"/>
  <c r="AQ613" i="45"/>
  <c r="AP594" i="45"/>
  <c r="AP230" i="45" s="1"/>
  <c r="AP416" i="45" s="1"/>
  <c r="AP276" i="45"/>
  <c r="AP272" i="45"/>
  <c r="AQ41" i="45"/>
  <c r="AP278" i="45"/>
  <c r="AP271" i="45"/>
  <c r="AP280" i="45"/>
  <c r="AT594" i="45"/>
  <c r="AT230" i="45" s="1"/>
  <c r="AT416" i="45" s="1"/>
  <c r="AP273" i="45"/>
  <c r="AP275" i="45"/>
  <c r="AP274" i="45"/>
  <c r="L632" i="45"/>
  <c r="L596" i="45"/>
  <c r="L487" i="45"/>
  <c r="BF411" i="45"/>
  <c r="BF288" i="45"/>
  <c r="BL253" i="45"/>
  <c r="BL254" i="45"/>
  <c r="BL249" i="45"/>
  <c r="BD288" i="45"/>
  <c r="BD411" i="45"/>
  <c r="AX411" i="45"/>
  <c r="AX288" i="45"/>
  <c r="AH411" i="45"/>
  <c r="AH288" i="45"/>
  <c r="BJ411" i="45"/>
  <c r="BJ288" i="45"/>
  <c r="AQ288" i="45"/>
  <c r="AQ411" i="45"/>
  <c r="AU411" i="45"/>
  <c r="AU288" i="45"/>
  <c r="AL411" i="45"/>
  <c r="AL288" i="45"/>
  <c r="BF311" i="45"/>
  <c r="BF247" i="45"/>
  <c r="BF298" i="45"/>
  <c r="BF281" i="45"/>
  <c r="BF631" i="45"/>
  <c r="BJ603" i="45" s="1"/>
  <c r="BF81" i="45"/>
  <c r="AG411" i="45"/>
  <c r="AG288" i="45"/>
  <c r="BH256" i="45"/>
  <c r="BH309" i="45"/>
  <c r="AV288" i="45"/>
  <c r="AV411" i="45"/>
  <c r="AU631" i="45"/>
  <c r="AU622" i="45" s="1"/>
  <c r="AU247" i="45"/>
  <c r="AU298" i="45"/>
  <c r="AU81" i="45"/>
  <c r="AY288" i="45"/>
  <c r="AW411" i="45"/>
  <c r="AW288" i="45"/>
  <c r="AN100" i="29"/>
  <c r="AD102" i="29"/>
  <c r="AD120" i="29"/>
  <c r="AH120" i="29"/>
  <c r="M148" i="29"/>
  <c r="M151" i="29" s="1"/>
  <c r="S37" i="29"/>
  <c r="S38" i="29"/>
  <c r="T38" i="29"/>
  <c r="S87" i="29"/>
  <c r="S39" i="29" s="1"/>
  <c r="S47" i="29"/>
  <c r="K87" i="29"/>
  <c r="K39" i="29" s="1"/>
  <c r="K110" i="29"/>
  <c r="K47" i="29"/>
  <c r="K37" i="29"/>
  <c r="AE120" i="29"/>
  <c r="AE121" i="29"/>
  <c r="F110" i="29"/>
  <c r="F87" i="29"/>
  <c r="F39" i="29" s="1"/>
  <c r="F47" i="29"/>
  <c r="AF590" i="45"/>
  <c r="AF496" i="45"/>
  <c r="AF499" i="45" s="1"/>
  <c r="X36" i="29"/>
  <c r="X86" i="29"/>
  <c r="AE115" i="29"/>
  <c r="AH114" i="29"/>
  <c r="AD145" i="29"/>
  <c r="AD153" i="29"/>
  <c r="AH145" i="29"/>
  <c r="AB149" i="29"/>
  <c r="AB306" i="29"/>
  <c r="AJ47" i="29"/>
  <c r="AJ87" i="29"/>
  <c r="AJ39" i="29" s="1"/>
  <c r="AJ38" i="29"/>
  <c r="AJ110" i="29"/>
  <c r="Q154" i="29"/>
  <c r="BI277" i="45"/>
  <c r="BI77" i="45"/>
  <c r="T198" i="29"/>
  <c r="T197" i="29"/>
  <c r="T95" i="29"/>
  <c r="T196" i="29"/>
  <c r="T228" i="29"/>
  <c r="AM36" i="29"/>
  <c r="AQ37" i="29" s="1"/>
  <c r="AM86" i="29"/>
  <c r="AE108" i="29"/>
  <c r="AE109" i="29"/>
  <c r="G47" i="29"/>
  <c r="H49" i="29" s="1"/>
  <c r="G87" i="29"/>
  <c r="G39" i="29" s="1"/>
  <c r="G38" i="29"/>
  <c r="G110" i="29"/>
  <c r="AF148" i="29"/>
  <c r="AF307" i="29" s="1"/>
  <c r="AF306" i="29"/>
  <c r="AF149" i="29"/>
  <c r="BE277" i="45"/>
  <c r="BE77" i="45"/>
  <c r="BE595" i="45" s="1"/>
  <c r="BE231" i="45" s="1"/>
  <c r="L86" i="29"/>
  <c r="L36" i="29"/>
  <c r="M38" i="29" s="1"/>
  <c r="AE106" i="29"/>
  <c r="AD105" i="29"/>
  <c r="AD87" i="29"/>
  <c r="AD39" i="29" s="1"/>
  <c r="AD110" i="29"/>
  <c r="AD47" i="29"/>
  <c r="AD49" i="29" s="1"/>
  <c r="AE38" i="29"/>
  <c r="O37" i="29"/>
  <c r="O47" i="29"/>
  <c r="O87" i="29"/>
  <c r="O39" i="29" s="1"/>
  <c r="O196" i="29"/>
  <c r="O95" i="29"/>
  <c r="O197" i="29"/>
  <c r="O198" i="29"/>
  <c r="O228" i="29"/>
  <c r="AF36" i="29"/>
  <c r="AF86" i="29"/>
  <c r="AB321" i="29"/>
  <c r="X192" i="29"/>
  <c r="X206" i="29"/>
  <c r="X321" i="29"/>
  <c r="X320" i="29"/>
  <c r="X225" i="29"/>
  <c r="X236" i="29" s="1"/>
  <c r="Y237" i="29" s="1"/>
  <c r="AR288" i="45"/>
  <c r="AR411" i="45"/>
  <c r="AK155" i="29"/>
  <c r="AG153" i="29"/>
  <c r="AH155" i="29" s="1"/>
  <c r="AH146" i="29"/>
  <c r="M47" i="29"/>
  <c r="Q48" i="29" s="1"/>
  <c r="M87" i="29"/>
  <c r="M39" i="29" s="1"/>
  <c r="M110" i="29"/>
  <c r="V206" i="29"/>
  <c r="V192" i="29"/>
  <c r="AK108" i="29"/>
  <c r="AE153" i="29"/>
  <c r="AE146" i="29"/>
  <c r="AE145" i="29"/>
  <c r="AF158" i="29"/>
  <c r="AF239" i="29" s="1"/>
  <c r="AF157" i="29"/>
  <c r="AF310" i="29" s="1"/>
  <c r="AB36" i="29"/>
  <c r="AB86" i="29"/>
  <c r="W236" i="29"/>
  <c r="AD108" i="29"/>
  <c r="AH108" i="29"/>
  <c r="AH105" i="29"/>
  <c r="BH247" i="45"/>
  <c r="BH281" i="45"/>
  <c r="BH631" i="45"/>
  <c r="BH81" i="45"/>
  <c r="BH298" i="45"/>
  <c r="BH311" i="45"/>
  <c r="Q147" i="29"/>
  <c r="Q139" i="29"/>
  <c r="Q156" i="29"/>
  <c r="U139" i="29"/>
  <c r="AG55" i="29"/>
  <c r="AG88" i="29"/>
  <c r="S192" i="29"/>
  <c r="S206" i="29"/>
  <c r="AH115" i="29"/>
  <c r="AK114" i="29"/>
  <c r="AH103" i="29"/>
  <c r="AK102" i="29"/>
  <c r="AE100" i="29"/>
  <c r="AE103" i="29"/>
  <c r="AE102" i="29"/>
  <c r="AP77" i="45"/>
  <c r="AQ614" i="45" s="1"/>
  <c r="AP277" i="45"/>
  <c r="P614" i="45"/>
  <c r="P595" i="45"/>
  <c r="P485" i="45"/>
  <c r="Q615" i="45" s="1"/>
  <c r="P631" i="45"/>
  <c r="Z224" i="29"/>
  <c r="AD321" i="29"/>
  <c r="Z225" i="29"/>
  <c r="Z192" i="29"/>
  <c r="Z320" i="29"/>
  <c r="Z321" i="29"/>
  <c r="Z206" i="29"/>
  <c r="AI55" i="29"/>
  <c r="AI88" i="29"/>
  <c r="H25" i="48"/>
  <c r="AW83" i="45"/>
  <c r="AW632" i="45"/>
  <c r="AW263" i="45"/>
  <c r="AW248" i="45"/>
  <c r="AW312" i="45"/>
  <c r="AC237" i="29"/>
  <c r="AD237" i="29"/>
  <c r="S596" i="45"/>
  <c r="AR311" i="45"/>
  <c r="AR281" i="45"/>
  <c r="AR81" i="45"/>
  <c r="AR247" i="45"/>
  <c r="AR298" i="45"/>
  <c r="AR595" i="45"/>
  <c r="AR231" i="45" s="1"/>
  <c r="AR631" i="45"/>
  <c r="AL77" i="45"/>
  <c r="AL277" i="45"/>
  <c r="R595" i="45"/>
  <c r="R631" i="45"/>
  <c r="S614" i="45"/>
  <c r="R485" i="45"/>
  <c r="V596" i="45" s="1"/>
  <c r="AC208" i="29"/>
  <c r="AC197" i="29"/>
  <c r="AC191" i="29"/>
  <c r="AC95" i="29"/>
  <c r="AC196" i="29"/>
  <c r="AC198" i="29"/>
  <c r="N631" i="45"/>
  <c r="N595" i="45"/>
  <c r="O614" i="45"/>
  <c r="N485" i="45"/>
  <c r="N614" i="45"/>
  <c r="AS277" i="45"/>
  <c r="AS77" i="45"/>
  <c r="AS595" i="45" s="1"/>
  <c r="AS231" i="45" s="1"/>
  <c r="AN115" i="29"/>
  <c r="AN114" i="29"/>
  <c r="AK87" i="29"/>
  <c r="AK39" i="29" s="1"/>
  <c r="AK110" i="29"/>
  <c r="AO111" i="29" s="1"/>
  <c r="AK47" i="29"/>
  <c r="AO48" i="29" s="1"/>
  <c r="AK38" i="29"/>
  <c r="AK37" i="29"/>
  <c r="W110" i="29"/>
  <c r="W87" i="29"/>
  <c r="W39" i="29" s="1"/>
  <c r="W37" i="29"/>
  <c r="W47" i="29"/>
  <c r="AA37" i="29"/>
  <c r="C87" i="29"/>
  <c r="C39" i="29" s="1"/>
  <c r="C110" i="29"/>
  <c r="G111" i="29" s="1"/>
  <c r="C47" i="29"/>
  <c r="G37" i="29"/>
  <c r="D38" i="29"/>
  <c r="AF114" i="29"/>
  <c r="AF115" i="29"/>
  <c r="AG115" i="29"/>
  <c r="AJ114" i="29"/>
  <c r="L140" i="29"/>
  <c r="L139" i="29"/>
  <c r="M140" i="29"/>
  <c r="AK157" i="29"/>
  <c r="AK310" i="29" s="1"/>
  <c r="AK158" i="29"/>
  <c r="AK239" i="29" s="1"/>
  <c r="AL158" i="29"/>
  <c r="AL239" i="29" s="1"/>
  <c r="Z631" i="45"/>
  <c r="Z603" i="45" s="1"/>
  <c r="Z614" i="45"/>
  <c r="Z485" i="45"/>
  <c r="AZ277" i="45"/>
  <c r="AZ77" i="45"/>
  <c r="BA614" i="45" s="1"/>
  <c r="Y485" i="45"/>
  <c r="Y631" i="45"/>
  <c r="Y595" i="45"/>
  <c r="Y614" i="45"/>
  <c r="AC595" i="45"/>
  <c r="X158" i="29"/>
  <c r="X239" i="29" s="1"/>
  <c r="AB157" i="29"/>
  <c r="AB310" i="29" s="1"/>
  <c r="AH263" i="45"/>
  <c r="AH312" i="45"/>
  <c r="AH632" i="45"/>
  <c r="AH248" i="45"/>
  <c r="AH83" i="45"/>
  <c r="BK277" i="45"/>
  <c r="BK77" i="45"/>
  <c r="Q88" i="29"/>
  <c r="R49" i="29"/>
  <c r="Q55" i="29"/>
  <c r="M631" i="45"/>
  <c r="M595" i="45"/>
  <c r="M485" i="45"/>
  <c r="Q596" i="45" s="1"/>
  <c r="M614" i="45"/>
  <c r="AG149" i="29"/>
  <c r="AG306" i="29"/>
  <c r="AH149" i="29"/>
  <c r="U633" i="45"/>
  <c r="U491" i="45"/>
  <c r="N36" i="29"/>
  <c r="N86" i="29"/>
  <c r="AM277" i="45"/>
  <c r="AM77" i="45"/>
  <c r="AQ595" i="45" s="1"/>
  <c r="AQ231" i="45" s="1"/>
  <c r="T485" i="45"/>
  <c r="X595" i="45"/>
  <c r="T631" i="45"/>
  <c r="U614" i="45"/>
  <c r="T595" i="45"/>
  <c r="T614" i="45"/>
  <c r="AN120" i="29"/>
  <c r="AN121" i="29"/>
  <c r="Z87" i="29"/>
  <c r="Z39" i="29" s="1"/>
  <c r="Z110" i="29"/>
  <c r="AA38" i="29"/>
  <c r="Z47" i="29"/>
  <c r="AD37" i="29"/>
  <c r="AF146" i="29"/>
  <c r="AF145" i="29"/>
  <c r="AF153" i="29"/>
  <c r="AG146" i="29"/>
  <c r="AJ145" i="29"/>
  <c r="V36" i="29"/>
  <c r="W38" i="29" s="1"/>
  <c r="V86" i="29"/>
  <c r="AN590" i="45"/>
  <c r="AN496" i="45"/>
  <c r="AN499" i="45" s="1"/>
  <c r="AA595" i="45"/>
  <c r="AA614" i="45"/>
  <c r="AA485" i="45"/>
  <c r="AB615" i="45" s="1"/>
  <c r="AA631" i="45"/>
  <c r="AB622" i="45" s="1"/>
  <c r="AH148" i="29"/>
  <c r="AH307" i="29" s="1"/>
  <c r="AE149" i="29"/>
  <c r="AD306" i="29"/>
  <c r="AD148" i="29"/>
  <c r="AD307" i="29" s="1"/>
  <c r="U36" i="29"/>
  <c r="U86" i="29"/>
  <c r="AG48" i="29"/>
  <c r="AC55" i="29"/>
  <c r="AC88" i="29"/>
  <c r="AL590" i="45"/>
  <c r="AL496" i="45"/>
  <c r="AL499" i="45" s="1"/>
  <c r="AN157" i="29"/>
  <c r="AN310" i="29" s="1"/>
  <c r="AJ158" i="29"/>
  <c r="AJ239" i="29" s="1"/>
  <c r="AJ157" i="29"/>
  <c r="AJ310" i="29" s="1"/>
  <c r="Q111" i="29"/>
  <c r="I86" i="29"/>
  <c r="I36" i="29"/>
  <c r="AG158" i="29"/>
  <c r="AG239" i="29" s="1"/>
  <c r="AH158" i="29"/>
  <c r="AH239" i="29" s="1"/>
  <c r="X491" i="45"/>
  <c r="X633" i="45"/>
  <c r="AA154" i="29"/>
  <c r="W155" i="29"/>
  <c r="X155" i="29"/>
  <c r="H112" i="29"/>
  <c r="J86" i="29"/>
  <c r="J36" i="29"/>
  <c r="P86" i="29"/>
  <c r="P36" i="29"/>
  <c r="AN103" i="29"/>
  <c r="AN102" i="29"/>
  <c r="AN145" i="29"/>
  <c r="AN146" i="29"/>
  <c r="AN128" i="29"/>
  <c r="AN153" i="29"/>
  <c r="AF120" i="29"/>
  <c r="AF121" i="29"/>
  <c r="AG121" i="29"/>
  <c r="AI119" i="29"/>
  <c r="AI1" i="29"/>
  <c r="AI104" i="29"/>
  <c r="AI144" i="29"/>
  <c r="AI113" i="29"/>
  <c r="AM96" i="29"/>
  <c r="AI98" i="29"/>
  <c r="AI315" i="29" s="1"/>
  <c r="AI107" i="29"/>
  <c r="AI94" i="29"/>
  <c r="AI96" i="29"/>
  <c r="AI110" i="29"/>
  <c r="AJ97" i="29"/>
  <c r="AI97" i="29"/>
  <c r="AI116" i="29"/>
  <c r="AI101" i="29"/>
  <c r="AK81" i="45"/>
  <c r="AK281" i="45"/>
  <c r="AK311" i="45"/>
  <c r="AK247" i="45"/>
  <c r="AK631" i="45"/>
  <c r="AK298" i="45"/>
  <c r="BC277" i="45"/>
  <c r="BC77" i="45"/>
  <c r="BG595" i="45" s="1"/>
  <c r="BG231" i="45" s="1"/>
  <c r="AL86" i="29"/>
  <c r="AL36" i="29"/>
  <c r="AP37" i="29" s="1"/>
  <c r="AH86" i="29"/>
  <c r="AH36" i="29"/>
  <c r="W196" i="29"/>
  <c r="W197" i="29"/>
  <c r="W198" i="29"/>
  <c r="AN148" i="29"/>
  <c r="AN307" i="29" s="1"/>
  <c r="AJ149" i="29"/>
  <c r="AJ148" i="29"/>
  <c r="AJ307" i="29" s="1"/>
  <c r="AJ306" i="29"/>
  <c r="AC140" i="29"/>
  <c r="AC147" i="29"/>
  <c r="AC139" i="29"/>
  <c r="AD140" i="29"/>
  <c r="AG139" i="29"/>
  <c r="AC156" i="29"/>
  <c r="H88" i="29"/>
  <c r="H55" i="29"/>
  <c r="AF103" i="29"/>
  <c r="AF102" i="29"/>
  <c r="AG103" i="29"/>
  <c r="AJ102" i="29"/>
  <c r="AF109" i="29"/>
  <c r="AF108" i="29"/>
  <c r="AG109" i="29"/>
  <c r="AJ108" i="29"/>
  <c r="AN109" i="29"/>
  <c r="AN108" i="29"/>
  <c r="AN105" i="29"/>
  <c r="AN106" i="29"/>
  <c r="K151" i="29"/>
  <c r="K152" i="29"/>
  <c r="AF99" i="29"/>
  <c r="AF316" i="29" s="1"/>
  <c r="AF100" i="29"/>
  <c r="AG100" i="29"/>
  <c r="AF105" i="29"/>
  <c r="AF106" i="29"/>
  <c r="AG106" i="29"/>
  <c r="AJ105" i="29"/>
  <c r="R228" i="29"/>
  <c r="R197" i="29"/>
  <c r="R95" i="29"/>
  <c r="R198" i="29"/>
  <c r="AO307" i="29"/>
  <c r="AK306" i="29"/>
  <c r="AK148" i="29"/>
  <c r="AK307" i="29" s="1"/>
  <c r="AL149" i="29"/>
  <c r="AK149" i="29"/>
  <c r="AJ99" i="29"/>
  <c r="AJ316" i="29" s="1"/>
  <c r="AY277" i="45"/>
  <c r="AY77" i="45"/>
  <c r="AE158" i="29"/>
  <c r="AE239" i="29" s="1"/>
  <c r="AH157" i="29"/>
  <c r="AH310" i="29" s="1"/>
  <c r="AD157" i="29"/>
  <c r="AD310" i="29" s="1"/>
  <c r="AX277" i="45"/>
  <c r="AX77" i="45"/>
  <c r="X306" i="29"/>
  <c r="X149" i="29"/>
  <c r="AB148" i="29"/>
  <c r="AB307" i="29" s="1"/>
  <c r="AJ505" i="45"/>
  <c r="S632" i="45"/>
  <c r="S604" i="45" s="1"/>
  <c r="S487" i="45"/>
  <c r="S597" i="45" s="1"/>
  <c r="AC633" i="45"/>
  <c r="AC491" i="45"/>
  <c r="BL631" i="45"/>
  <c r="AV595" i="45"/>
  <c r="AV231" i="45" s="1"/>
  <c r="AV281" i="45"/>
  <c r="AV614" i="45"/>
  <c r="AV298" i="45"/>
  <c r="AV81" i="45"/>
  <c r="AV311" i="45"/>
  <c r="AW614" i="45"/>
  <c r="AV247" i="45"/>
  <c r="AV631" i="45"/>
  <c r="AR614" i="45"/>
  <c r="AQ81" i="45"/>
  <c r="AQ298" i="45"/>
  <c r="AQ247" i="45"/>
  <c r="AU595" i="45"/>
  <c r="AU231" i="45" s="1"/>
  <c r="AQ281" i="45"/>
  <c r="AQ631" i="45"/>
  <c r="AQ311" i="45"/>
  <c r="M42" i="28"/>
  <c r="M196" i="28" s="1"/>
  <c r="M49" i="28"/>
  <c r="M200" i="28" s="1"/>
  <c r="M57" i="28"/>
  <c r="L83" i="28"/>
  <c r="P54" i="44"/>
  <c r="P66" i="44" s="1"/>
  <c r="R16" i="44"/>
  <c r="R75" i="44" s="1"/>
  <c r="R93" i="44" s="1"/>
  <c r="N23" i="28"/>
  <c r="N192" i="28" s="1"/>
  <c r="M45" i="28"/>
  <c r="M198" i="28" s="1"/>
  <c r="M55" i="28"/>
  <c r="Q5" i="44"/>
  <c r="Q39" i="44" s="1"/>
  <c r="Q17" i="44"/>
  <c r="Q31" i="44" s="1"/>
  <c r="L68" i="28"/>
  <c r="L46" i="28"/>
  <c r="L199" i="28" s="1"/>
  <c r="L51" i="28"/>
  <c r="L59" i="28"/>
  <c r="L207" i="28" s="1"/>
  <c r="L56" i="28"/>
  <c r="L204" i="28" s="1"/>
  <c r="K3" i="48"/>
  <c r="BD81" i="45"/>
  <c r="BD631" i="45"/>
  <c r="BD311" i="45"/>
  <c r="BM81" i="45"/>
  <c r="BM247" i="45"/>
  <c r="BM595" i="45"/>
  <c r="BM231" i="45" s="1"/>
  <c r="BM631" i="45"/>
  <c r="BN614" i="45"/>
  <c r="AF615" i="45"/>
  <c r="AF248" i="45"/>
  <c r="AF632" i="45"/>
  <c r="AF263" i="45"/>
  <c r="AF312" i="45"/>
  <c r="AF83" i="45"/>
  <c r="AC622" i="45"/>
  <c r="AB603" i="45"/>
  <c r="AD485" i="45"/>
  <c r="AD631" i="45"/>
  <c r="AD614" i="45"/>
  <c r="AD595" i="45"/>
  <c r="AE614" i="45"/>
  <c r="BN633" i="45"/>
  <c r="BN87" i="45"/>
  <c r="BP631" i="45"/>
  <c r="BP247" i="45"/>
  <c r="BP614" i="45"/>
  <c r="BP81" i="45"/>
  <c r="Q487" i="45"/>
  <c r="Q632" i="45"/>
  <c r="U596" i="45"/>
  <c r="AO288" i="45"/>
  <c r="AO411" i="45"/>
  <c r="X623" i="45"/>
  <c r="BO631" i="45"/>
  <c r="BO614" i="45"/>
  <c r="BO247" i="45"/>
  <c r="BO81" i="45"/>
  <c r="BJ248" i="45"/>
  <c r="BJ312" i="45"/>
  <c r="BJ632" i="45"/>
  <c r="BN604" i="45" s="1"/>
  <c r="BJ596" i="45"/>
  <c r="BJ232" i="45" s="1"/>
  <c r="BJ83" i="45"/>
  <c r="BJ263" i="45"/>
  <c r="AB487" i="45"/>
  <c r="AB632" i="45"/>
  <c r="AB596" i="45"/>
  <c r="AC615" i="45"/>
  <c r="AO81" i="45"/>
  <c r="AO631" i="45"/>
  <c r="AP614" i="45"/>
  <c r="AO595" i="45"/>
  <c r="AO231" i="45" s="1"/>
  <c r="AO614" i="45"/>
  <c r="AO281" i="45"/>
  <c r="AO247" i="45"/>
  <c r="AO298" i="45"/>
  <c r="AO311" i="45"/>
  <c r="AI312" i="45"/>
  <c r="AI83" i="45"/>
  <c r="AI632" i="45"/>
  <c r="AI248" i="45"/>
  <c r="AI263" i="45"/>
  <c r="AI615" i="45"/>
  <c r="O491" i="45"/>
  <c r="O633" i="45"/>
  <c r="W491" i="45"/>
  <c r="W633" i="45"/>
  <c r="X616" i="45"/>
  <c r="BA281" i="45"/>
  <c r="BA81" i="45"/>
  <c r="BA311" i="45"/>
  <c r="BA631" i="45"/>
  <c r="BA247" i="45"/>
  <c r="BA595" i="45"/>
  <c r="BA231" i="45" s="1"/>
  <c r="BA298" i="45"/>
  <c r="V632" i="45"/>
  <c r="V615" i="45"/>
  <c r="V487" i="45"/>
  <c r="Z596" i="45"/>
  <c r="Q603" i="45"/>
  <c r="BG614" i="45"/>
  <c r="BH614" i="45"/>
  <c r="BG81" i="45"/>
  <c r="BG298" i="45"/>
  <c r="BK595" i="45"/>
  <c r="BK231" i="45" s="1"/>
  <c r="BG281" i="45"/>
  <c r="BG247" i="45"/>
  <c r="BG631" i="45"/>
  <c r="BG311" i="45"/>
  <c r="AT263" i="45"/>
  <c r="AT312" i="45"/>
  <c r="AT632" i="45"/>
  <c r="AU615" i="45"/>
  <c r="AT83" i="45"/>
  <c r="AT248" i="45"/>
  <c r="AI622" i="45"/>
  <c r="R615" i="45"/>
  <c r="BA288" i="45"/>
  <c r="BA411" i="45"/>
  <c r="AG505" i="45"/>
  <c r="V622" i="45"/>
  <c r="V603" i="45"/>
  <c r="W622" i="45"/>
  <c r="C14" i="48"/>
  <c r="C25" i="48"/>
  <c r="E26" i="48"/>
  <c r="E17" i="48"/>
  <c r="D17" i="48"/>
  <c r="D26" i="48"/>
  <c r="J25" i="48"/>
  <c r="J14" i="48"/>
  <c r="B25" i="48"/>
  <c r="B14" i="48"/>
  <c r="H17" i="48"/>
  <c r="H26" i="48"/>
  <c r="I14" i="48"/>
  <c r="I25" i="48"/>
  <c r="G17" i="48"/>
  <c r="G26" i="48"/>
  <c r="F17" i="48"/>
  <c r="F26" i="48"/>
  <c r="AN16" i="29"/>
  <c r="AN15" i="29"/>
  <c r="K6" i="48"/>
  <c r="J84" i="3" l="1"/>
  <c r="J56" i="3"/>
  <c r="AF411" i="45"/>
  <c r="AF288" i="45"/>
  <c r="C125" i="28"/>
  <c r="D125" i="28"/>
  <c r="I300" i="45"/>
  <c r="I87" i="45"/>
  <c r="I261" i="45"/>
  <c r="I267" i="45" s="1"/>
  <c r="F499" i="45"/>
  <c r="J599" i="45"/>
  <c r="F618" i="45"/>
  <c r="F587" i="45"/>
  <c r="F635" i="45"/>
  <c r="G618" i="45"/>
  <c r="F625" i="45"/>
  <c r="J606" i="45"/>
  <c r="G625" i="45"/>
  <c r="L15" i="2"/>
  <c r="L143" i="4"/>
  <c r="J87" i="45"/>
  <c r="J300" i="45"/>
  <c r="AQ158" i="29"/>
  <c r="AQ239" i="29" s="1"/>
  <c r="AT157" i="29"/>
  <c r="AT310" i="29" s="1"/>
  <c r="AP158" i="29"/>
  <c r="AP239" i="29" s="1"/>
  <c r="AP309" i="29"/>
  <c r="AQ97" i="29"/>
  <c r="AT96" i="29"/>
  <c r="AP104" i="29"/>
  <c r="AP107" i="29"/>
  <c r="AP98" i="29"/>
  <c r="AP101" i="29"/>
  <c r="AP116" i="29"/>
  <c r="AP119" i="29"/>
  <c r="AP113" i="29"/>
  <c r="AP94" i="29"/>
  <c r="AP144" i="29"/>
  <c r="AP110" i="29"/>
  <c r="AP122" i="29"/>
  <c r="AP1" i="29"/>
  <c r="AT3" i="29" s="1"/>
  <c r="AP97" i="29"/>
  <c r="G84" i="3"/>
  <c r="G56" i="3"/>
  <c r="AP105" i="29"/>
  <c r="AP120" i="29"/>
  <c r="AP108" i="29"/>
  <c r="P316" i="45"/>
  <c r="E60" i="12"/>
  <c r="S42" i="12" s="1"/>
  <c r="I87" i="3"/>
  <c r="AI288" i="45"/>
  <c r="AI411" i="45"/>
  <c r="AV342" i="45"/>
  <c r="AU316" i="45"/>
  <c r="AU342" i="45"/>
  <c r="C124" i="28"/>
  <c r="D124" i="28"/>
  <c r="C123" i="28"/>
  <c r="D123" i="28"/>
  <c r="BG411" i="45"/>
  <c r="BG288" i="45"/>
  <c r="AP96" i="29"/>
  <c r="AT411" i="45"/>
  <c r="AT288" i="45"/>
  <c r="O143" i="4"/>
  <c r="O15" i="2"/>
  <c r="AQ149" i="29"/>
  <c r="AT148" i="29"/>
  <c r="AT307" i="29" s="1"/>
  <c r="AP149" i="29"/>
  <c r="AP306" i="29"/>
  <c r="M15" i="2"/>
  <c r="M143" i="4"/>
  <c r="BK341" i="45"/>
  <c r="BK274" i="45"/>
  <c r="G261" i="45"/>
  <c r="G267" i="45" s="1"/>
  <c r="G300" i="45"/>
  <c r="G87" i="45"/>
  <c r="H628" i="45"/>
  <c r="G609" i="45"/>
  <c r="I123" i="28"/>
  <c r="Q315" i="45"/>
  <c r="V199" i="45"/>
  <c r="V198" i="45" s="1"/>
  <c r="W199" i="45"/>
  <c r="W198" i="45" s="1"/>
  <c r="V155" i="45"/>
  <c r="Q310" i="45"/>
  <c r="Y173" i="45"/>
  <c r="Y299" i="45"/>
  <c r="C100" i="4"/>
  <c r="C103" i="4"/>
  <c r="C30" i="2"/>
  <c r="C107" i="4"/>
  <c r="C101" i="4"/>
  <c r="C104" i="4"/>
  <c r="C108" i="4"/>
  <c r="M339" i="45"/>
  <c r="N338" i="45"/>
  <c r="M227" i="45"/>
  <c r="M308" i="45" s="1"/>
  <c r="M338" i="45"/>
  <c r="M296" i="45"/>
  <c r="W346" i="45"/>
  <c r="W310" i="45" s="1"/>
  <c r="X324" i="45"/>
  <c r="X326" i="45" s="1"/>
  <c r="X137" i="45"/>
  <c r="M100" i="4"/>
  <c r="M107" i="4"/>
  <c r="W63" i="12" s="1"/>
  <c r="M30" i="2"/>
  <c r="M104" i="4"/>
  <c r="M103" i="4"/>
  <c r="M101" i="4"/>
  <c r="M108" i="4"/>
  <c r="D22" i="54"/>
  <c r="P16" i="2"/>
  <c r="Z27" i="12" s="1"/>
  <c r="Z150" i="45"/>
  <c r="Z151" i="45" s="1"/>
  <c r="Q164" i="2"/>
  <c r="P168" i="2"/>
  <c r="P26" i="2" s="1"/>
  <c r="O278" i="45"/>
  <c r="Y30" i="12"/>
  <c r="M37" i="4"/>
  <c r="K336" i="45"/>
  <c r="K272" i="45" s="1"/>
  <c r="J336" i="45"/>
  <c r="J272" i="45" s="1"/>
  <c r="Q117" i="2"/>
  <c r="R96" i="2"/>
  <c r="Q100" i="2"/>
  <c r="X199" i="45"/>
  <c r="X198" i="45" s="1"/>
  <c r="N71" i="3" s="1"/>
  <c r="J52" i="12" s="1"/>
  <c r="X155" i="45"/>
  <c r="X175" i="45" s="1"/>
  <c r="K260" i="45"/>
  <c r="K261" i="45"/>
  <c r="K267" i="45" s="1"/>
  <c r="K271" i="45"/>
  <c r="K288" i="45" s="1"/>
  <c r="K290" i="45" s="1"/>
  <c r="K291" i="45" s="1"/>
  <c r="K289" i="45"/>
  <c r="J42" i="12"/>
  <c r="X39" i="12"/>
  <c r="X43" i="12" s="1"/>
  <c r="Y123" i="45"/>
  <c r="Y122" i="45" s="1"/>
  <c r="O134" i="4"/>
  <c r="O36" i="2"/>
  <c r="B12" i="18" s="1"/>
  <c r="Y34" i="12"/>
  <c r="G341" i="45"/>
  <c r="G316" i="45" s="1"/>
  <c r="G274" i="45"/>
  <c r="O297" i="45"/>
  <c r="O346" i="45"/>
  <c r="P335" i="45"/>
  <c r="Q336" i="45" s="1"/>
  <c r="Q272" i="45" s="1"/>
  <c r="Q340" i="45"/>
  <c r="Q289" i="45" s="1"/>
  <c r="Q175" i="45"/>
  <c r="Q176" i="45" s="1"/>
  <c r="U176" i="45"/>
  <c r="AD188" i="45"/>
  <c r="O145" i="1"/>
  <c r="O63" i="4"/>
  <c r="P340" i="45"/>
  <c r="T338" i="45"/>
  <c r="Q342" i="45"/>
  <c r="J271" i="45"/>
  <c r="J288" i="45" s="1"/>
  <c r="J289" i="45"/>
  <c r="J261" i="45"/>
  <c r="J267" i="45" s="1"/>
  <c r="Y332" i="45"/>
  <c r="Y333" i="45" s="1"/>
  <c r="Y273" i="45" s="1"/>
  <c r="Y153" i="45"/>
  <c r="W190" i="45"/>
  <c r="W184" i="45" s="1"/>
  <c r="M66" i="3" s="1"/>
  <c r="I49" i="12" s="1"/>
  <c r="V277" i="45"/>
  <c r="V190" i="45"/>
  <c r="V184" i="45" s="1"/>
  <c r="V166" i="45"/>
  <c r="AH515" i="45"/>
  <c r="AG517" i="45"/>
  <c r="AG587" i="45" s="1"/>
  <c r="AB156" i="45"/>
  <c r="AB155" i="45" s="1"/>
  <c r="AB23" i="12"/>
  <c r="AA156" i="45"/>
  <c r="AA23" i="12"/>
  <c r="W334" i="45"/>
  <c r="W341" i="45" s="1"/>
  <c r="W316" i="45" s="1"/>
  <c r="W175" i="45"/>
  <c r="W176" i="45" s="1"/>
  <c r="U383" i="45"/>
  <c r="U384" i="45" s="1"/>
  <c r="U266" i="45" s="1"/>
  <c r="U415" i="45" s="1"/>
  <c r="T383" i="45"/>
  <c r="T384" i="45" s="1"/>
  <c r="I31" i="4"/>
  <c r="I36" i="4"/>
  <c r="I32" i="4"/>
  <c r="I35" i="4"/>
  <c r="I34" i="4"/>
  <c r="I33" i="4"/>
  <c r="I37" i="4"/>
  <c r="Y199" i="45"/>
  <c r="Y198" i="45" s="1"/>
  <c r="O71" i="3" s="1"/>
  <c r="K52" i="12" s="1"/>
  <c r="Y155" i="45"/>
  <c r="O101" i="4"/>
  <c r="F22" i="54"/>
  <c r="O104" i="4"/>
  <c r="O108" i="4"/>
  <c r="O103" i="4"/>
  <c r="O100" i="4"/>
  <c r="O107" i="4"/>
  <c r="Y63" i="12" s="1"/>
  <c r="O30" i="2"/>
  <c r="S334" i="45"/>
  <c r="S278" i="45"/>
  <c r="Z156" i="45"/>
  <c r="Z23" i="12"/>
  <c r="S297" i="45"/>
  <c r="S346" i="45"/>
  <c r="S298" i="45"/>
  <c r="P315" i="45"/>
  <c r="P310" i="45"/>
  <c r="H31" i="4"/>
  <c r="H34" i="4"/>
  <c r="H35" i="4"/>
  <c r="H36" i="4"/>
  <c r="H33" i="4"/>
  <c r="H37" i="4"/>
  <c r="U401" i="45"/>
  <c r="U402" i="45" s="1"/>
  <c r="U404" i="45" s="1"/>
  <c r="U297" i="45"/>
  <c r="U346" i="45"/>
  <c r="S340" i="45"/>
  <c r="S261" i="45" s="1"/>
  <c r="S267" i="45" s="1"/>
  <c r="R340" i="45"/>
  <c r="R289" i="45" s="1"/>
  <c r="AC139" i="45"/>
  <c r="AC138" i="45" s="1"/>
  <c r="AC189" i="45" s="1"/>
  <c r="AC28" i="12"/>
  <c r="X338" i="45"/>
  <c r="W339" i="45"/>
  <c r="W315" i="45" s="1"/>
  <c r="W227" i="45"/>
  <c r="W308" i="45" s="1"/>
  <c r="W338" i="45"/>
  <c r="W296" i="45"/>
  <c r="S175" i="45"/>
  <c r="S176" i="45" s="1"/>
  <c r="P274" i="45"/>
  <c r="P278" i="45"/>
  <c r="Y227" i="45"/>
  <c r="Y308" i="45" s="1"/>
  <c r="Y338" i="45"/>
  <c r="N70" i="3"/>
  <c r="X394" i="45"/>
  <c r="X280" i="45"/>
  <c r="X202" i="45"/>
  <c r="N90" i="3" s="1"/>
  <c r="X279" i="45"/>
  <c r="U335" i="45"/>
  <c r="V340" i="45"/>
  <c r="S335" i="45"/>
  <c r="D35" i="4"/>
  <c r="D36" i="4"/>
  <c r="D34" i="4"/>
  <c r="D31" i="4"/>
  <c r="D33" i="4"/>
  <c r="D32" i="4"/>
  <c r="D37" i="4"/>
  <c r="R190" i="45"/>
  <c r="R184" i="45" s="1"/>
  <c r="R166" i="45"/>
  <c r="R335" i="45" s="1"/>
  <c r="S190" i="45"/>
  <c r="S184" i="45" s="1"/>
  <c r="AD28" i="12"/>
  <c r="AD139" i="45"/>
  <c r="AD138" i="45" s="1"/>
  <c r="U334" i="45"/>
  <c r="U278" i="45"/>
  <c r="W383" i="45"/>
  <c r="W384" i="45" s="1"/>
  <c r="W266" i="45" s="1"/>
  <c r="W415" i="45" s="1"/>
  <c r="N335" i="45"/>
  <c r="O336" i="45" s="1"/>
  <c r="O272" i="45" s="1"/>
  <c r="O340" i="45"/>
  <c r="J265" i="45"/>
  <c r="J264" i="45"/>
  <c r="V383" i="45"/>
  <c r="V384" i="45" s="1"/>
  <c r="V266" i="45" s="1"/>
  <c r="V415" i="45" s="1"/>
  <c r="W297" i="45"/>
  <c r="H274" i="45"/>
  <c r="H341" i="45"/>
  <c r="P117" i="2"/>
  <c r="Q137" i="1"/>
  <c r="R297" i="45"/>
  <c r="R346" i="45"/>
  <c r="V401" i="45"/>
  <c r="V402" i="45" s="1"/>
  <c r="V404" i="45" s="1"/>
  <c r="V297" i="45"/>
  <c r="V346" i="45"/>
  <c r="V298" i="45"/>
  <c r="X334" i="45"/>
  <c r="X278" i="45"/>
  <c r="N334" i="45"/>
  <c r="N278" i="45"/>
  <c r="W208" i="45"/>
  <c r="M91" i="3" s="1"/>
  <c r="T339" i="45"/>
  <c r="U338" i="45"/>
  <c r="T227" i="45"/>
  <c r="T308" i="45" s="1"/>
  <c r="T296" i="45"/>
  <c r="K342" i="45"/>
  <c r="K263" i="45" s="1"/>
  <c r="K243" i="45"/>
  <c r="J316" i="45"/>
  <c r="J243" i="45"/>
  <c r="T175" i="45"/>
  <c r="T176" i="45" s="1"/>
  <c r="T334" i="45"/>
  <c r="T341" i="45" s="1"/>
  <c r="T316" i="45" s="1"/>
  <c r="P175" i="45"/>
  <c r="P176" i="45" s="1"/>
  <c r="C168" i="56"/>
  <c r="L31" i="4"/>
  <c r="L35" i="4"/>
  <c r="L36" i="4"/>
  <c r="L34" i="4"/>
  <c r="L33" i="4"/>
  <c r="L32" i="4"/>
  <c r="J101" i="4"/>
  <c r="J104" i="4"/>
  <c r="J107" i="4"/>
  <c r="T63" i="12" s="1"/>
  <c r="J103" i="4"/>
  <c r="J108" i="4"/>
  <c r="J100" i="4"/>
  <c r="J30" i="2"/>
  <c r="J37" i="4" s="1"/>
  <c r="H32" i="4"/>
  <c r="X515" i="45"/>
  <c r="Y517" i="45"/>
  <c r="F343" i="45"/>
  <c r="F342" i="45"/>
  <c r="F263" i="45" s="1"/>
  <c r="F316" i="45"/>
  <c r="L342" i="45"/>
  <c r="K316" i="45"/>
  <c r="N315" i="45"/>
  <c r="N310" i="45"/>
  <c r="AD199" i="45"/>
  <c r="AD198" i="45" s="1"/>
  <c r="T71" i="3" s="1"/>
  <c r="P52" i="12" s="1"/>
  <c r="AD155" i="45"/>
  <c r="AC155" i="45"/>
  <c r="T143" i="1"/>
  <c r="T28" i="1" s="1"/>
  <c r="F180" i="45"/>
  <c r="F194" i="45" s="1"/>
  <c r="G234" i="45"/>
  <c r="F89" i="45"/>
  <c r="F252" i="45"/>
  <c r="F348" i="45" s="1"/>
  <c r="F250" i="45"/>
  <c r="H250" i="45"/>
  <c r="H89" i="45"/>
  <c r="I234" i="45"/>
  <c r="H252" i="45"/>
  <c r="H348" i="45" s="1"/>
  <c r="H180" i="45"/>
  <c r="H194" i="45" s="1"/>
  <c r="AD154" i="45"/>
  <c r="AD26" i="12"/>
  <c r="J21" i="2"/>
  <c r="J125" i="4" s="1"/>
  <c r="K124" i="4"/>
  <c r="I88" i="4"/>
  <c r="I32" i="2"/>
  <c r="I98" i="4"/>
  <c r="I25" i="4"/>
  <c r="I28" i="4"/>
  <c r="I29" i="4"/>
  <c r="I27" i="4"/>
  <c r="I24" i="4"/>
  <c r="I23" i="4"/>
  <c r="I97" i="4"/>
  <c r="I124" i="4"/>
  <c r="H21" i="2"/>
  <c r="I105" i="4" s="1"/>
  <c r="I153" i="4" s="1"/>
  <c r="E88" i="12" s="1"/>
  <c r="B171" i="56"/>
  <c r="K21" i="2"/>
  <c r="L124" i="4"/>
  <c r="V279" i="45"/>
  <c r="V394" i="45"/>
  <c r="V280" i="45"/>
  <c r="V281" i="45"/>
  <c r="E25" i="4"/>
  <c r="E88" i="4"/>
  <c r="E126" i="4" s="1"/>
  <c r="E29" i="4"/>
  <c r="E24" i="4"/>
  <c r="E32" i="2"/>
  <c r="E98" i="4"/>
  <c r="E27" i="4"/>
  <c r="E97" i="4"/>
  <c r="E23" i="4"/>
  <c r="F125" i="4"/>
  <c r="F152" i="4" s="1"/>
  <c r="B87" i="12" s="1"/>
  <c r="E105" i="4"/>
  <c r="E153" i="4" s="1"/>
  <c r="E28" i="4"/>
  <c r="E125" i="4"/>
  <c r="E152" i="4" s="1"/>
  <c r="M332" i="45"/>
  <c r="M153" i="45"/>
  <c r="G97" i="4"/>
  <c r="G88" i="4"/>
  <c r="G28" i="4"/>
  <c r="G32" i="2"/>
  <c r="G29" i="4"/>
  <c r="G23" i="4"/>
  <c r="G105" i="4"/>
  <c r="G153" i="4" s="1"/>
  <c r="C88" i="12" s="1"/>
  <c r="G24" i="4"/>
  <c r="G25" i="4"/>
  <c r="G98" i="4"/>
  <c r="G27" i="4"/>
  <c r="R332" i="45"/>
  <c r="R153" i="45"/>
  <c r="U279" i="45"/>
  <c r="U280" i="45"/>
  <c r="U394" i="45"/>
  <c r="U202" i="45"/>
  <c r="K90" i="3" s="1"/>
  <c r="V202" i="45"/>
  <c r="L90" i="3" s="1"/>
  <c r="F27" i="4"/>
  <c r="F23" i="4"/>
  <c r="F97" i="4"/>
  <c r="F105" i="4"/>
  <c r="F153" i="4" s="1"/>
  <c r="B88" i="12" s="1"/>
  <c r="F28" i="4"/>
  <c r="F24" i="4"/>
  <c r="F32" i="2"/>
  <c r="F29" i="4"/>
  <c r="F88" i="4"/>
  <c r="F98" i="4"/>
  <c r="F25" i="4"/>
  <c r="G125" i="4"/>
  <c r="G152" i="4" s="1"/>
  <c r="C87" i="12" s="1"/>
  <c r="D124" i="4"/>
  <c r="C21" i="2"/>
  <c r="C26" i="4"/>
  <c r="E174" i="56"/>
  <c r="E176" i="56" s="1"/>
  <c r="N25" i="4"/>
  <c r="N23" i="4"/>
  <c r="N24" i="4"/>
  <c r="N27" i="4"/>
  <c r="N98" i="4"/>
  <c r="N32" i="2"/>
  <c r="N6" i="3" s="1"/>
  <c r="N29" i="4"/>
  <c r="N88" i="4"/>
  <c r="N28" i="4"/>
  <c r="N97" i="4"/>
  <c r="H124" i="4"/>
  <c r="O332" i="45"/>
  <c r="O153" i="45"/>
  <c r="T279" i="45"/>
  <c r="T394" i="45"/>
  <c r="T202" i="45"/>
  <c r="J90" i="3" s="1"/>
  <c r="AC154" i="45"/>
  <c r="AC26" i="12"/>
  <c r="J124" i="4"/>
  <c r="Q316" i="45"/>
  <c r="I26" i="4"/>
  <c r="S41" i="45"/>
  <c r="R275" i="45"/>
  <c r="S230" i="45"/>
  <c r="S416" i="45" s="1"/>
  <c r="R276" i="45"/>
  <c r="AD182" i="45"/>
  <c r="T67" i="3" s="1"/>
  <c r="P48" i="12" s="1"/>
  <c r="AD205" i="45"/>
  <c r="AC205" i="45"/>
  <c r="AC182" i="45"/>
  <c r="S67" i="3" s="1"/>
  <c r="O48" i="12" s="1"/>
  <c r="K58" i="12"/>
  <c r="AB191" i="45"/>
  <c r="AC191" i="45"/>
  <c r="M50" i="44"/>
  <c r="M62" i="44" s="1"/>
  <c r="M53" i="44"/>
  <c r="M65" i="44" s="1"/>
  <c r="M69" i="44"/>
  <c r="M57" i="44" s="1"/>
  <c r="M67" i="44" s="1"/>
  <c r="O47" i="44"/>
  <c r="N70" i="44"/>
  <c r="X16" i="44"/>
  <c r="O49" i="44"/>
  <c r="N72" i="44"/>
  <c r="N71" i="44"/>
  <c r="O48" i="44"/>
  <c r="Q35" i="44"/>
  <c r="Q41" i="44"/>
  <c r="Q34" i="44"/>
  <c r="Q42" i="44"/>
  <c r="Q36" i="44"/>
  <c r="Q40" i="44"/>
  <c r="Q37" i="44"/>
  <c r="Q38" i="44"/>
  <c r="Q43" i="44"/>
  <c r="R55" i="28"/>
  <c r="R57" i="28" s="1"/>
  <c r="M27" i="12"/>
  <c r="AC28" i="1"/>
  <c r="P22" i="28"/>
  <c r="T73" i="44"/>
  <c r="O23" i="28"/>
  <c r="O192" i="28" s="1"/>
  <c r="O191" i="28"/>
  <c r="M203" i="28"/>
  <c r="P41" i="28"/>
  <c r="O41" i="28"/>
  <c r="O57" i="28" s="1"/>
  <c r="O32" i="28"/>
  <c r="O194" i="28" s="1"/>
  <c r="O193" i="28"/>
  <c r="P31" i="28"/>
  <c r="S30" i="44"/>
  <c r="S12" i="44"/>
  <c r="O12" i="28"/>
  <c r="T23" i="44"/>
  <c r="T9" i="44"/>
  <c r="M85" i="3"/>
  <c r="N55" i="3"/>
  <c r="M58" i="3"/>
  <c r="J125" i="28"/>
  <c r="J123" i="28"/>
  <c r="K124" i="28"/>
  <c r="W17" i="44"/>
  <c r="AO155" i="29"/>
  <c r="AR154" i="29"/>
  <c r="K32" i="48"/>
  <c r="L32" i="48" s="1"/>
  <c r="M58" i="28"/>
  <c r="M206" i="28" s="1"/>
  <c r="M205" i="28"/>
  <c r="N57" i="28"/>
  <c r="N205" i="28" s="1"/>
  <c r="N195" i="28"/>
  <c r="N55" i="28"/>
  <c r="N189" i="28"/>
  <c r="Y110" i="29"/>
  <c r="Y87" i="29"/>
  <c r="Y39" i="29" s="1"/>
  <c r="Y47" i="29"/>
  <c r="AC37" i="29"/>
  <c r="W62" i="58"/>
  <c r="X62" i="58"/>
  <c r="BH595" i="45"/>
  <c r="BH231" i="45" s="1"/>
  <c r="BD281" i="45"/>
  <c r="BD247" i="45"/>
  <c r="Z38" i="29"/>
  <c r="Q622" i="45"/>
  <c r="U61" i="58"/>
  <c r="V62" i="58" s="1"/>
  <c r="AL315" i="29"/>
  <c r="AP99" i="29"/>
  <c r="AA82" i="45"/>
  <c r="AA197" i="45" s="1"/>
  <c r="Q72" i="3" s="1"/>
  <c r="M53" i="12" s="1"/>
  <c r="V28" i="1"/>
  <c r="L27" i="12"/>
  <c r="Z82" i="45"/>
  <c r="Z197" i="45" s="1"/>
  <c r="P72" i="3" s="1"/>
  <c r="L53" i="12" s="1"/>
  <c r="W28" i="1"/>
  <c r="X57" i="58"/>
  <c r="BL247" i="45"/>
  <c r="AI505" i="45"/>
  <c r="BM614" i="45"/>
  <c r="BL595" i="45"/>
  <c r="BL231" i="45" s="1"/>
  <c r="BL614" i="45"/>
  <c r="G112" i="29"/>
  <c r="AM411" i="45"/>
  <c r="AE47" i="29"/>
  <c r="AE87" i="29"/>
  <c r="AE39" i="29" s="1"/>
  <c r="AE110" i="29"/>
  <c r="AE112" i="29" s="1"/>
  <c r="AI37" i="29"/>
  <c r="BP595" i="45"/>
  <c r="BP231" i="45" s="1"/>
  <c r="AD158" i="29"/>
  <c r="AD239" i="29" s="1"/>
  <c r="AC309" i="29"/>
  <c r="AN411" i="45"/>
  <c r="AN288" i="45"/>
  <c r="AN298" i="45"/>
  <c r="AN281" i="45"/>
  <c r="AN631" i="45"/>
  <c r="AR603" i="45" s="1"/>
  <c r="AN311" i="45"/>
  <c r="AN247" i="45"/>
  <c r="AN81" i="45"/>
  <c r="AR596" i="45" s="1"/>
  <c r="AR232" i="45" s="1"/>
  <c r="BF595" i="45"/>
  <c r="BF231" i="45" s="1"/>
  <c r="L12" i="48"/>
  <c r="L25" i="48" s="1"/>
  <c r="N13" i="28"/>
  <c r="N190" i="28" s="1"/>
  <c r="N49" i="28"/>
  <c r="R26" i="44"/>
  <c r="N277" i="45"/>
  <c r="N77" i="45"/>
  <c r="F117" i="28"/>
  <c r="F126" i="28" s="1"/>
  <c r="F21" i="12"/>
  <c r="F22" i="12" s="1"/>
  <c r="J22" i="1"/>
  <c r="J6" i="1"/>
  <c r="J69" i="4"/>
  <c r="J25" i="1"/>
  <c r="K54" i="4" s="1"/>
  <c r="J53" i="4"/>
  <c r="E168" i="4"/>
  <c r="E53" i="4"/>
  <c r="E69" i="4"/>
  <c r="E160" i="4" s="1"/>
  <c r="E25" i="1"/>
  <c r="E6" i="1"/>
  <c r="M58" i="12"/>
  <c r="Y65" i="45"/>
  <c r="Y47" i="45" s="1"/>
  <c r="Y42" i="45" s="1"/>
  <c r="O142" i="2"/>
  <c r="O21" i="1"/>
  <c r="O13" i="4"/>
  <c r="N58" i="12"/>
  <c r="I57" i="12"/>
  <c r="M81" i="3"/>
  <c r="M44" i="4" s="1"/>
  <c r="C25" i="1"/>
  <c r="D54" i="4" s="1"/>
  <c r="C6" i="1"/>
  <c r="C69" i="4"/>
  <c r="C160" i="4" s="1"/>
  <c r="D168" i="4" s="1"/>
  <c r="M168" i="4"/>
  <c r="I51" i="12"/>
  <c r="L36" i="1"/>
  <c r="L176" i="1"/>
  <c r="L87" i="4" s="1"/>
  <c r="F60" i="26"/>
  <c r="F62" i="26" s="1"/>
  <c r="F63" i="26" s="1"/>
  <c r="F65" i="26" s="1"/>
  <c r="H28" i="12"/>
  <c r="H30" i="12" s="1"/>
  <c r="L71" i="4"/>
  <c r="L175" i="1"/>
  <c r="L150" i="4"/>
  <c r="H85" i="12" s="1"/>
  <c r="L139" i="4"/>
  <c r="F69" i="4"/>
  <c r="F160" i="4" s="1"/>
  <c r="F25" i="1"/>
  <c r="B117" i="28"/>
  <c r="F6" i="1"/>
  <c r="F53" i="4"/>
  <c r="R277" i="45"/>
  <c r="R77" i="45"/>
  <c r="U298" i="45"/>
  <c r="U247" i="45"/>
  <c r="U81" i="45"/>
  <c r="U281" i="45"/>
  <c r="V231" i="45"/>
  <c r="K53" i="4"/>
  <c r="K30" i="1"/>
  <c r="K111" i="4"/>
  <c r="K151" i="4"/>
  <c r="G86" i="12" s="1"/>
  <c r="G24" i="12"/>
  <c r="K110" i="4"/>
  <c r="U62" i="12" s="1"/>
  <c r="K70" i="4"/>
  <c r="U49" i="12" s="1"/>
  <c r="U75" i="12" s="1"/>
  <c r="D54" i="56"/>
  <c r="D57" i="56"/>
  <c r="N110" i="4"/>
  <c r="X62" i="12" s="1"/>
  <c r="N70" i="4"/>
  <c r="X49" i="12" s="1"/>
  <c r="X75" i="12" s="1"/>
  <c r="N30" i="1"/>
  <c r="E16" i="54"/>
  <c r="J24" i="12"/>
  <c r="N111" i="4"/>
  <c r="N151" i="4"/>
  <c r="J86" i="12" s="1"/>
  <c r="O77" i="45"/>
  <c r="M278" i="45"/>
  <c r="M41" i="45"/>
  <c r="M275" i="45"/>
  <c r="N41" i="45"/>
  <c r="M77" i="45"/>
  <c r="M274" i="45"/>
  <c r="M230" i="45"/>
  <c r="N230" i="45"/>
  <c r="M276" i="45"/>
  <c r="I21" i="12"/>
  <c r="I22" i="12" s="1"/>
  <c r="D11" i="54"/>
  <c r="D12" i="54" s="1"/>
  <c r="M25" i="1"/>
  <c r="M22" i="1"/>
  <c r="M69" i="4"/>
  <c r="C56" i="56"/>
  <c r="M6" i="1"/>
  <c r="M53" i="4"/>
  <c r="I117" i="28"/>
  <c r="I126" i="28" s="1"/>
  <c r="T276" i="45"/>
  <c r="T41" i="45"/>
  <c r="T274" i="45"/>
  <c r="U41" i="45"/>
  <c r="T275" i="45"/>
  <c r="T230" i="45"/>
  <c r="T416" i="45" s="1"/>
  <c r="T273" i="45"/>
  <c r="T280" i="45"/>
  <c r="U230" i="45"/>
  <c r="U416" i="45" s="1"/>
  <c r="T77" i="45"/>
  <c r="T278" i="45"/>
  <c r="D53" i="4"/>
  <c r="D151" i="4"/>
  <c r="D110" i="4"/>
  <c r="D111" i="4"/>
  <c r="D30" i="1"/>
  <c r="D70" i="4"/>
  <c r="V87" i="45"/>
  <c r="V300" i="45"/>
  <c r="S87" i="45"/>
  <c r="S300" i="45"/>
  <c r="W276" i="45"/>
  <c r="W230" i="45"/>
  <c r="W416" i="45" s="1"/>
  <c r="W41" i="45"/>
  <c r="W77" i="45"/>
  <c r="W275" i="45"/>
  <c r="W278" i="45"/>
  <c r="X41" i="45"/>
  <c r="W273" i="45"/>
  <c r="X230" i="45"/>
  <c r="X416" i="45" s="1"/>
  <c r="X81" i="45"/>
  <c r="X247" i="45"/>
  <c r="X281" i="45"/>
  <c r="C17" i="54"/>
  <c r="C25" i="54"/>
  <c r="C29" i="54" s="1"/>
  <c r="Q273" i="45"/>
  <c r="R230" i="45"/>
  <c r="Q276" i="45"/>
  <c r="Q278" i="45"/>
  <c r="Q77" i="45"/>
  <c r="Q274" i="45"/>
  <c r="Q275" i="45"/>
  <c r="Q230" i="45"/>
  <c r="Q41" i="45"/>
  <c r="R41" i="45"/>
  <c r="Q280" i="45"/>
  <c r="G25" i="1"/>
  <c r="G6" i="1"/>
  <c r="C117" i="28"/>
  <c r="G53" i="4"/>
  <c r="G69" i="4"/>
  <c r="G160" i="4" s="1"/>
  <c r="P81" i="45"/>
  <c r="P298" i="45"/>
  <c r="Q231" i="45"/>
  <c r="P247" i="45"/>
  <c r="P311" i="45"/>
  <c r="D21" i="12"/>
  <c r="E22" i="12" s="1"/>
  <c r="D117" i="28"/>
  <c r="H25" i="1"/>
  <c r="I54" i="4" s="1"/>
  <c r="H53" i="4"/>
  <c r="H69" i="4"/>
  <c r="U48" i="12"/>
  <c r="U74" i="12" s="1"/>
  <c r="K160" i="4"/>
  <c r="X48" i="12"/>
  <c r="X74" i="12" s="1"/>
  <c r="N160" i="4"/>
  <c r="S48" i="12"/>
  <c r="S74" i="12" s="1"/>
  <c r="I160" i="4"/>
  <c r="I70" i="4"/>
  <c r="S49" i="12" s="1"/>
  <c r="S75" i="12" s="1"/>
  <c r="I151" i="4"/>
  <c r="E86" i="12" s="1"/>
  <c r="I110" i="4"/>
  <c r="S62" i="12" s="1"/>
  <c r="E24" i="12"/>
  <c r="I30" i="1"/>
  <c r="I111" i="4"/>
  <c r="I53" i="4"/>
  <c r="N42" i="28"/>
  <c r="N196" i="28" s="1"/>
  <c r="R17" i="44"/>
  <c r="X17" i="44" s="1"/>
  <c r="E8" i="54"/>
  <c r="F8" i="54"/>
  <c r="BE614" i="45"/>
  <c r="BB288" i="45"/>
  <c r="BB411" i="45"/>
  <c r="BR42" i="45"/>
  <c r="BR77" i="45" s="1"/>
  <c r="L5" i="48"/>
  <c r="R5" i="44"/>
  <c r="R36" i="44" s="1"/>
  <c r="BH411" i="45"/>
  <c r="BH288" i="45"/>
  <c r="BB81" i="45"/>
  <c r="BB263" i="45" s="1"/>
  <c r="T55" i="29"/>
  <c r="T88" i="29"/>
  <c r="BD595" i="45"/>
  <c r="BD231" i="45" s="1"/>
  <c r="BB247" i="45"/>
  <c r="AL99" i="29"/>
  <c r="AL316" i="29" s="1"/>
  <c r="AL100" i="29"/>
  <c r="AM100" i="29"/>
  <c r="AL103" i="29"/>
  <c r="AL102" i="29"/>
  <c r="AM103" i="29"/>
  <c r="E38" i="29"/>
  <c r="E87" i="29"/>
  <c r="E39" i="29" s="1"/>
  <c r="E110" i="29"/>
  <c r="E47" i="29"/>
  <c r="AL120" i="29"/>
  <c r="AM121" i="29"/>
  <c r="AL121" i="29"/>
  <c r="L148" i="29"/>
  <c r="L151" i="29" s="1"/>
  <c r="L154" i="29" s="1"/>
  <c r="L157" i="29" s="1"/>
  <c r="L149" i="29"/>
  <c r="AK154" i="29"/>
  <c r="AM106" i="29"/>
  <c r="AL106" i="29"/>
  <c r="AL105" i="29"/>
  <c r="AL108" i="29"/>
  <c r="AL109" i="29"/>
  <c r="AM109" i="29"/>
  <c r="P107" i="29"/>
  <c r="Q97" i="29"/>
  <c r="P96" i="29"/>
  <c r="P5" i="29"/>
  <c r="P113" i="29"/>
  <c r="P104" i="29"/>
  <c r="P144" i="29"/>
  <c r="P98" i="29"/>
  <c r="P101" i="29"/>
  <c r="P119" i="29"/>
  <c r="K632" i="45"/>
  <c r="K487" i="45"/>
  <c r="L616" i="45" s="1"/>
  <c r="K596" i="45"/>
  <c r="O596" i="45"/>
  <c r="K615" i="45"/>
  <c r="AE632" i="45"/>
  <c r="AE487" i="45"/>
  <c r="U198" i="29"/>
  <c r="U196" i="29"/>
  <c r="U197" i="29"/>
  <c r="U228" i="29"/>
  <c r="R58" i="29"/>
  <c r="R89" i="29"/>
  <c r="R62" i="29"/>
  <c r="L622" i="45"/>
  <c r="O603" i="45"/>
  <c r="K603" i="45"/>
  <c r="K622" i="45"/>
  <c r="AJ81" i="45"/>
  <c r="AK615" i="45" s="1"/>
  <c r="AJ298" i="45"/>
  <c r="AJ631" i="45"/>
  <c r="AK622" i="45" s="1"/>
  <c r="AJ595" i="45"/>
  <c r="AJ231" i="45" s="1"/>
  <c r="AJ247" i="45"/>
  <c r="AJ281" i="45"/>
  <c r="AJ311" i="45"/>
  <c r="AN595" i="45"/>
  <c r="AN231" i="45" s="1"/>
  <c r="AJ614" i="45"/>
  <c r="BB311" i="45"/>
  <c r="BB281" i="45"/>
  <c r="BB631" i="45"/>
  <c r="BF603" i="45" s="1"/>
  <c r="BB614" i="45"/>
  <c r="W597" i="45"/>
  <c r="AK614" i="45"/>
  <c r="F38" i="29"/>
  <c r="M149" i="29"/>
  <c r="AL153" i="29"/>
  <c r="AL145" i="29"/>
  <c r="AM146" i="29"/>
  <c r="AL128" i="29"/>
  <c r="AL146" i="29"/>
  <c r="AM115" i="29"/>
  <c r="AL115" i="29"/>
  <c r="AL114" i="29"/>
  <c r="AA87" i="29"/>
  <c r="AA39" i="29" s="1"/>
  <c r="AA110" i="29"/>
  <c r="AA47" i="29"/>
  <c r="AE37" i="29"/>
  <c r="AG81" i="45"/>
  <c r="AH614" i="45"/>
  <c r="AG281" i="45"/>
  <c r="AG247" i="45"/>
  <c r="AG298" i="45"/>
  <c r="AG631" i="45"/>
  <c r="AG311" i="45"/>
  <c r="AG614" i="45"/>
  <c r="D87" i="29"/>
  <c r="D39" i="29" s="1"/>
  <c r="D110" i="29"/>
  <c r="H111" i="29" s="1"/>
  <c r="D47" i="29"/>
  <c r="H37" i="29"/>
  <c r="BB632" i="45"/>
  <c r="L604" i="45"/>
  <c r="L597" i="45"/>
  <c r="L633" i="45"/>
  <c r="L491" i="45"/>
  <c r="AP411" i="45"/>
  <c r="AP288" i="45"/>
  <c r="BF312" i="45"/>
  <c r="BF83" i="45"/>
  <c r="BF632" i="45"/>
  <c r="BF248" i="45"/>
  <c r="BF263" i="45"/>
  <c r="BD614" i="45"/>
  <c r="AU632" i="45"/>
  <c r="AU312" i="45"/>
  <c r="AU263" i="45"/>
  <c r="AU83" i="45"/>
  <c r="AU248" i="45"/>
  <c r="BO595" i="45"/>
  <c r="BO231" i="45" s="1"/>
  <c r="AI89" i="29"/>
  <c r="AI62" i="29"/>
  <c r="AI58" i="29"/>
  <c r="Z198" i="29"/>
  <c r="Z208" i="29"/>
  <c r="Z197" i="29"/>
  <c r="Z196" i="29"/>
  <c r="P603" i="45"/>
  <c r="P622" i="45"/>
  <c r="S95" i="29"/>
  <c r="S228" i="29"/>
  <c r="S197" i="29"/>
  <c r="S198" i="29"/>
  <c r="S196" i="29"/>
  <c r="X237" i="29"/>
  <c r="O88" i="29"/>
  <c r="O48" i="29"/>
  <c r="O55" i="29"/>
  <c r="AD88" i="29"/>
  <c r="AD55" i="29"/>
  <c r="AE49" i="29"/>
  <c r="BE81" i="45"/>
  <c r="BE631" i="45"/>
  <c r="BF622" i="45" s="1"/>
  <c r="BE311" i="45"/>
  <c r="BE281" i="45"/>
  <c r="BE247" i="45"/>
  <c r="BE298" i="45"/>
  <c r="BF614" i="45"/>
  <c r="G88" i="29"/>
  <c r="G49" i="29"/>
  <c r="G55" i="29"/>
  <c r="AM87" i="29"/>
  <c r="AM39" i="29" s="1"/>
  <c r="AM110" i="29"/>
  <c r="AM37" i="29"/>
  <c r="AM47" i="29"/>
  <c r="AQ48" i="29" s="1"/>
  <c r="AF587" i="45"/>
  <c r="AF505" i="45"/>
  <c r="AF586" i="45" s="1"/>
  <c r="M154" i="29"/>
  <c r="P596" i="45"/>
  <c r="P615" i="45"/>
  <c r="P632" i="45"/>
  <c r="P487" i="45"/>
  <c r="AP281" i="45"/>
  <c r="AP298" i="45"/>
  <c r="AP311" i="45"/>
  <c r="AP81" i="45"/>
  <c r="AP631" i="45"/>
  <c r="AT603" i="45" s="1"/>
  <c r="AP247" i="45"/>
  <c r="AT595" i="45"/>
  <c r="AT231" i="45" s="1"/>
  <c r="U157" i="29"/>
  <c r="Q157" i="29"/>
  <c r="V228" i="29"/>
  <c r="V197" i="29"/>
  <c r="V198" i="29"/>
  <c r="V196" i="29"/>
  <c r="AF87" i="29"/>
  <c r="AF39" i="29" s="1"/>
  <c r="AF37" i="29"/>
  <c r="AF47" i="29"/>
  <c r="AJ48" i="29" s="1"/>
  <c r="AF38" i="29"/>
  <c r="AF110" i="29"/>
  <c r="AG38" i="29"/>
  <c r="O113" i="29"/>
  <c r="O104" i="29"/>
  <c r="O101" i="29"/>
  <c r="O5" i="29"/>
  <c r="O144" i="29"/>
  <c r="O119" i="29"/>
  <c r="O97" i="29"/>
  <c r="O107" i="29"/>
  <c r="O96" i="29"/>
  <c r="O98" i="29"/>
  <c r="P97" i="29"/>
  <c r="AJ37" i="29"/>
  <c r="K48" i="29"/>
  <c r="K55" i="29"/>
  <c r="K88" i="29"/>
  <c r="S88" i="29"/>
  <c r="S55" i="29"/>
  <c r="S49" i="29"/>
  <c r="T49" i="29"/>
  <c r="S48" i="29"/>
  <c r="AG58" i="29"/>
  <c r="AG116" i="29"/>
  <c r="AG89" i="29"/>
  <c r="AG62" i="29"/>
  <c r="AB38" i="29"/>
  <c r="AB110" i="29"/>
  <c r="AB87" i="29"/>
  <c r="AB39" i="29" s="1"/>
  <c r="AB47" i="29"/>
  <c r="AC38" i="29"/>
  <c r="AB37" i="29"/>
  <c r="M55" i="29"/>
  <c r="M88" i="29"/>
  <c r="X198" i="29"/>
  <c r="X197" i="29"/>
  <c r="X196" i="29"/>
  <c r="O110" i="29"/>
  <c r="O111" i="29" s="1"/>
  <c r="L87" i="29"/>
  <c r="L39" i="29" s="1"/>
  <c r="L38" i="29"/>
  <c r="L110" i="29"/>
  <c r="M112" i="29" s="1"/>
  <c r="L47" i="29"/>
  <c r="L37" i="29"/>
  <c r="BI81" i="45"/>
  <c r="BM596" i="45" s="1"/>
  <c r="BM232" i="45" s="1"/>
  <c r="BI614" i="45"/>
  <c r="BI631" i="45"/>
  <c r="BI311" i="45"/>
  <c r="BJ614" i="45"/>
  <c r="BI281" i="45"/>
  <c r="BI247" i="45"/>
  <c r="BI298" i="45"/>
  <c r="BI595" i="45"/>
  <c r="BI231" i="45" s="1"/>
  <c r="AJ111" i="29"/>
  <c r="AJ55" i="29"/>
  <c r="AJ88" i="29"/>
  <c r="AJ49" i="29"/>
  <c r="AD154" i="29"/>
  <c r="AH154" i="29"/>
  <c r="K111" i="29"/>
  <c r="Z236" i="29"/>
  <c r="U148" i="29"/>
  <c r="U307" i="29" s="1"/>
  <c r="Q148" i="29"/>
  <c r="BH312" i="45"/>
  <c r="BH632" i="45"/>
  <c r="BH263" i="45"/>
  <c r="BH248" i="45"/>
  <c r="BH83" i="45"/>
  <c r="AE154" i="29"/>
  <c r="AE155" i="29"/>
  <c r="T97" i="29"/>
  <c r="T113" i="29"/>
  <c r="T104" i="29"/>
  <c r="T98" i="29"/>
  <c r="T119" i="29"/>
  <c r="T101" i="29"/>
  <c r="T96" i="29"/>
  <c r="T107" i="29"/>
  <c r="T116" i="29"/>
  <c r="U97" i="29"/>
  <c r="T110" i="29"/>
  <c r="T144" i="29"/>
  <c r="X96" i="29"/>
  <c r="X110" i="29"/>
  <c r="X37" i="29"/>
  <c r="Y38" i="29"/>
  <c r="X38" i="29"/>
  <c r="X87" i="29"/>
  <c r="X39" i="29" s="1"/>
  <c r="X47" i="29"/>
  <c r="X49" i="29" s="1"/>
  <c r="F55" i="29"/>
  <c r="F88" i="29"/>
  <c r="W604" i="45"/>
  <c r="Z622" i="45"/>
  <c r="AW414" i="45"/>
  <c r="AW418" i="45" s="1"/>
  <c r="AW264" i="45"/>
  <c r="AW317" i="45" s="1"/>
  <c r="AW265" i="45"/>
  <c r="AW300" i="45"/>
  <c r="AW87" i="45"/>
  <c r="AW633" i="45"/>
  <c r="AW261" i="45"/>
  <c r="AW267" i="45" s="1"/>
  <c r="AH47" i="29"/>
  <c r="AI38" i="29"/>
  <c r="AH110" i="29"/>
  <c r="AH38" i="29"/>
  <c r="AH87" i="29"/>
  <c r="AH39" i="29" s="1"/>
  <c r="AH37" i="29"/>
  <c r="AL110" i="29"/>
  <c r="AP111" i="29" s="1"/>
  <c r="AL47" i="29"/>
  <c r="AP48" i="29" s="1"/>
  <c r="AL38" i="29"/>
  <c r="AL37" i="29"/>
  <c r="AL87" i="29"/>
  <c r="AL39" i="29" s="1"/>
  <c r="AM38" i="29"/>
  <c r="AI114" i="29"/>
  <c r="AI115" i="29"/>
  <c r="AJ115" i="29"/>
  <c r="AM114" i="29"/>
  <c r="AI120" i="29"/>
  <c r="AI121" i="29"/>
  <c r="AM120" i="29"/>
  <c r="AJ121" i="29"/>
  <c r="P47" i="29"/>
  <c r="P110" i="29"/>
  <c r="P38" i="29"/>
  <c r="T37" i="29"/>
  <c r="P87" i="29"/>
  <c r="P39" i="29" s="1"/>
  <c r="P37" i="29"/>
  <c r="Q38" i="29"/>
  <c r="U87" i="29"/>
  <c r="U39" i="29" s="1"/>
  <c r="U47" i="29"/>
  <c r="U38" i="29"/>
  <c r="U37" i="29"/>
  <c r="U110" i="29"/>
  <c r="Y37" i="29"/>
  <c r="AF154" i="29"/>
  <c r="AF155" i="29"/>
  <c r="AG155" i="29"/>
  <c r="AJ154" i="29"/>
  <c r="AM311" i="45"/>
  <c r="AM631" i="45"/>
  <c r="AQ603" i="45" s="1"/>
  <c r="AN614" i="45"/>
  <c r="AM81" i="45"/>
  <c r="AQ596" i="45" s="1"/>
  <c r="AQ232" i="45" s="1"/>
  <c r="AM247" i="45"/>
  <c r="AM298" i="45"/>
  <c r="AM614" i="45"/>
  <c r="AM281" i="45"/>
  <c r="AM595" i="45"/>
  <c r="AM231" i="45" s="1"/>
  <c r="U510" i="45"/>
  <c r="U511" i="45" s="1"/>
  <c r="U634" i="45"/>
  <c r="U496" i="45"/>
  <c r="U590" i="45"/>
  <c r="Y596" i="45"/>
  <c r="Y487" i="45"/>
  <c r="Y632" i="45"/>
  <c r="Y615" i="45"/>
  <c r="AC596" i="45"/>
  <c r="L142" i="29"/>
  <c r="L143" i="29"/>
  <c r="M143" i="29"/>
  <c r="C88" i="29"/>
  <c r="C55" i="29"/>
  <c r="G48" i="29"/>
  <c r="D49" i="29"/>
  <c r="AK48" i="29"/>
  <c r="AK88" i="29"/>
  <c r="AK55" i="29"/>
  <c r="AK49" i="29"/>
  <c r="AS298" i="45"/>
  <c r="AS281" i="45"/>
  <c r="AS81" i="45"/>
  <c r="AS247" i="45"/>
  <c r="AW595" i="45"/>
  <c r="AW231" i="45" s="1"/>
  <c r="AS631" i="45"/>
  <c r="AS603" i="45" s="1"/>
  <c r="AS614" i="45"/>
  <c r="AS311" i="45"/>
  <c r="AT614" i="45"/>
  <c r="AY298" i="45"/>
  <c r="AY81" i="45"/>
  <c r="AY595" i="45"/>
  <c r="AY231" i="45" s="1"/>
  <c r="AY311" i="45"/>
  <c r="AY247" i="45"/>
  <c r="AY281" i="45"/>
  <c r="AY631" i="45"/>
  <c r="AY614" i="45"/>
  <c r="K155" i="29"/>
  <c r="K154" i="29"/>
  <c r="AC157" i="29"/>
  <c r="AC310" i="29" s="1"/>
  <c r="AC158" i="29"/>
  <c r="AC239" i="29" s="1"/>
  <c r="AC149" i="29"/>
  <c r="AC306" i="29"/>
  <c r="AC148" i="29"/>
  <c r="AC307" i="29" s="1"/>
  <c r="AK603" i="45"/>
  <c r="AI102" i="29"/>
  <c r="AI103" i="29"/>
  <c r="AJ103" i="29"/>
  <c r="AM102" i="29"/>
  <c r="AI108" i="29"/>
  <c r="AJ109" i="29"/>
  <c r="AI109" i="29"/>
  <c r="AM108" i="29"/>
  <c r="AI153" i="29"/>
  <c r="AI145" i="29"/>
  <c r="AM145" i="29"/>
  <c r="AI146" i="29"/>
  <c r="AJ146" i="29"/>
  <c r="AL505" i="45"/>
  <c r="AC58" i="29"/>
  <c r="AC89" i="29"/>
  <c r="AC62" i="29"/>
  <c r="AC116" i="29"/>
  <c r="V38" i="29"/>
  <c r="V110" i="29"/>
  <c r="Z111" i="29" s="1"/>
  <c r="V47" i="29"/>
  <c r="W49" i="29" s="1"/>
  <c r="V37" i="29"/>
  <c r="V87" i="29"/>
  <c r="V39" i="29" s="1"/>
  <c r="Z37" i="29"/>
  <c r="AA112" i="29"/>
  <c r="AD111" i="29"/>
  <c r="Z112" i="29"/>
  <c r="U622" i="45"/>
  <c r="X603" i="45"/>
  <c r="T603" i="45"/>
  <c r="T622" i="45"/>
  <c r="M603" i="45"/>
  <c r="M622" i="45"/>
  <c r="AH633" i="45"/>
  <c r="AH87" i="45"/>
  <c r="AH300" i="45"/>
  <c r="AH261" i="45"/>
  <c r="AH267" i="45" s="1"/>
  <c r="AH265" i="45"/>
  <c r="AH264" i="45"/>
  <c r="AH317" i="45" s="1"/>
  <c r="AH414" i="45"/>
  <c r="AH418" i="45" s="1"/>
  <c r="AZ247" i="45"/>
  <c r="AZ631" i="45"/>
  <c r="BD603" i="45" s="1"/>
  <c r="AZ595" i="45"/>
  <c r="AZ231" i="45" s="1"/>
  <c r="AZ298" i="45"/>
  <c r="AZ81" i="45"/>
  <c r="AZ596" i="45" s="1"/>
  <c r="AZ232" i="45" s="1"/>
  <c r="AZ281" i="45"/>
  <c r="AZ614" i="45"/>
  <c r="AZ311" i="45"/>
  <c r="AA111" i="29"/>
  <c r="AK112" i="29"/>
  <c r="AK111" i="29"/>
  <c r="AG96" i="29"/>
  <c r="AC104" i="29"/>
  <c r="AC107" i="29"/>
  <c r="AC144" i="29"/>
  <c r="AC97" i="29"/>
  <c r="AC98" i="29"/>
  <c r="AC315" i="29" s="1"/>
  <c r="AC119" i="29"/>
  <c r="AC113" i="29"/>
  <c r="AD97" i="29"/>
  <c r="AC96" i="29"/>
  <c r="AC101" i="29"/>
  <c r="AC110" i="29"/>
  <c r="R632" i="45"/>
  <c r="R487" i="45"/>
  <c r="V597" i="45" s="1"/>
  <c r="S615" i="45"/>
  <c r="R596" i="45"/>
  <c r="R144" i="29"/>
  <c r="R101" i="29"/>
  <c r="R116" i="29"/>
  <c r="R110" i="29"/>
  <c r="R119" i="29"/>
  <c r="V96" i="29"/>
  <c r="R107" i="29"/>
  <c r="R97" i="29"/>
  <c r="R104" i="29"/>
  <c r="R96" i="29"/>
  <c r="S97" i="29"/>
  <c r="R113" i="29"/>
  <c r="R98" i="29"/>
  <c r="H62" i="29"/>
  <c r="H116" i="29"/>
  <c r="H89" i="29"/>
  <c r="H58" i="29"/>
  <c r="BC595" i="45"/>
  <c r="BC231" i="45" s="1"/>
  <c r="BC247" i="45"/>
  <c r="BC631" i="45"/>
  <c r="BD622" i="45" s="1"/>
  <c r="BC281" i="45"/>
  <c r="BC81" i="45"/>
  <c r="BG596" i="45" s="1"/>
  <c r="BG232" i="45" s="1"/>
  <c r="BC298" i="45"/>
  <c r="BC311" i="45"/>
  <c r="BC614" i="45"/>
  <c r="AI112" i="29"/>
  <c r="AJ112" i="29"/>
  <c r="AI99" i="29"/>
  <c r="AI316" i="29" s="1"/>
  <c r="AI100" i="29"/>
  <c r="AM99" i="29"/>
  <c r="AM316" i="29" s="1"/>
  <c r="AJ100" i="29"/>
  <c r="AI105" i="29"/>
  <c r="AI106" i="29"/>
  <c r="AJ106" i="29"/>
  <c r="AM105" i="29"/>
  <c r="AN155" i="29"/>
  <c r="AN154" i="29"/>
  <c r="J87" i="29"/>
  <c r="J39" i="29" s="1"/>
  <c r="J37" i="29"/>
  <c r="K38" i="29"/>
  <c r="J47" i="29"/>
  <c r="J38" i="29"/>
  <c r="J110" i="29"/>
  <c r="X634" i="45"/>
  <c r="X510" i="45"/>
  <c r="X511" i="45" s="1"/>
  <c r="X496" i="45"/>
  <c r="X590" i="45"/>
  <c r="I47" i="29"/>
  <c r="I110" i="29"/>
  <c r="M37" i="29"/>
  <c r="I38" i="29"/>
  <c r="I87" i="29"/>
  <c r="I39" i="29" s="1"/>
  <c r="I37" i="29"/>
  <c r="AD149" i="29"/>
  <c r="AE603" i="45"/>
  <c r="AA622" i="45"/>
  <c r="AA603" i="45"/>
  <c r="AN505" i="45"/>
  <c r="AG148" i="29"/>
  <c r="AG307" i="29" s="1"/>
  <c r="Q58" i="29"/>
  <c r="Q116" i="29"/>
  <c r="Q89" i="29"/>
  <c r="Q62" i="29"/>
  <c r="AA48" i="29"/>
  <c r="W48" i="29"/>
  <c r="W88" i="29"/>
  <c r="W55" i="29"/>
  <c r="N622" i="45"/>
  <c r="N603" i="45"/>
  <c r="O622" i="45"/>
  <c r="AL311" i="45"/>
  <c r="AL81" i="45"/>
  <c r="AL631" i="45"/>
  <c r="AL247" i="45"/>
  <c r="AL298" i="45"/>
  <c r="AL281" i="45"/>
  <c r="AL614" i="45"/>
  <c r="AL595" i="45"/>
  <c r="AL231" i="45" s="1"/>
  <c r="AP595" i="45"/>
  <c r="AP231" i="45" s="1"/>
  <c r="AX281" i="45"/>
  <c r="AX298" i="45"/>
  <c r="AX614" i="45"/>
  <c r="AX595" i="45"/>
  <c r="AX231" i="45" s="1"/>
  <c r="AX311" i="45"/>
  <c r="AX247" i="45"/>
  <c r="BB595" i="45"/>
  <c r="BB231" i="45" s="1"/>
  <c r="AX631" i="45"/>
  <c r="AX81" i="45"/>
  <c r="AK83" i="45"/>
  <c r="AK263" i="45"/>
  <c r="AK248" i="45"/>
  <c r="AK312" i="45"/>
  <c r="AK632" i="45"/>
  <c r="AG157" i="29"/>
  <c r="AG310" i="29" s="1"/>
  <c r="AA487" i="45"/>
  <c r="AB616" i="45" s="1"/>
  <c r="AA615" i="45"/>
  <c r="AA632" i="45"/>
  <c r="AB623" i="45" s="1"/>
  <c r="AE596" i="45"/>
  <c r="AA596" i="45"/>
  <c r="Z88" i="29"/>
  <c r="Z49" i="29"/>
  <c r="AD48" i="29"/>
  <c r="Z48" i="29"/>
  <c r="Z55" i="29"/>
  <c r="AA49" i="29"/>
  <c r="T596" i="45"/>
  <c r="X596" i="45"/>
  <c r="T615" i="45"/>
  <c r="U615" i="45"/>
  <c r="T487" i="45"/>
  <c r="T632" i="45"/>
  <c r="N87" i="29"/>
  <c r="N39" i="29" s="1"/>
  <c r="N37" i="29"/>
  <c r="R37" i="29"/>
  <c r="N47" i="29"/>
  <c r="O38" i="29"/>
  <c r="N110" i="29"/>
  <c r="N38" i="29"/>
  <c r="M596" i="45"/>
  <c r="M632" i="45"/>
  <c r="M487" i="45"/>
  <c r="Q597" i="45" s="1"/>
  <c r="M615" i="45"/>
  <c r="BK311" i="45"/>
  <c r="BK81" i="45"/>
  <c r="BL615" i="45" s="1"/>
  <c r="BK631" i="45"/>
  <c r="BK622" i="45" s="1"/>
  <c r="BK247" i="45"/>
  <c r="BK298" i="45"/>
  <c r="BK281" i="45"/>
  <c r="BK614" i="45"/>
  <c r="Y622" i="45"/>
  <c r="Y603" i="45"/>
  <c r="AC603" i="45"/>
  <c r="Z632" i="45"/>
  <c r="Z615" i="45"/>
  <c r="Z487" i="45"/>
  <c r="Z597" i="45" s="1"/>
  <c r="X112" i="29"/>
  <c r="O615" i="45"/>
  <c r="N632" i="45"/>
  <c r="N487" i="45"/>
  <c r="N596" i="45"/>
  <c r="N615" i="45"/>
  <c r="R622" i="45"/>
  <c r="R603" i="45"/>
  <c r="S622" i="45"/>
  <c r="AR248" i="45"/>
  <c r="AR83" i="45"/>
  <c r="AR312" i="45"/>
  <c r="AR632" i="45"/>
  <c r="AR263" i="45"/>
  <c r="AU596" i="45"/>
  <c r="AU232" i="45" s="1"/>
  <c r="AQ615" i="45"/>
  <c r="AQ263" i="45"/>
  <c r="AR615" i="45"/>
  <c r="AQ83" i="45"/>
  <c r="AQ312" i="45"/>
  <c r="AQ632" i="45"/>
  <c r="AQ248" i="45"/>
  <c r="AQ622" i="45"/>
  <c r="AR622" i="45"/>
  <c r="AU603" i="45"/>
  <c r="BL632" i="45"/>
  <c r="BL596" i="45"/>
  <c r="BL232" i="45" s="1"/>
  <c r="BL83" i="45"/>
  <c r="BL248" i="45"/>
  <c r="AC510" i="45"/>
  <c r="AC511" i="45" s="1"/>
  <c r="AC634" i="45"/>
  <c r="AC496" i="45"/>
  <c r="AC590" i="45"/>
  <c r="AV622" i="45"/>
  <c r="AV603" i="45"/>
  <c r="AW622" i="45"/>
  <c r="AV632" i="45"/>
  <c r="AV263" i="45"/>
  <c r="AW615" i="45"/>
  <c r="AV248" i="45"/>
  <c r="AV615" i="45"/>
  <c r="AV596" i="45"/>
  <c r="AV232" i="45" s="1"/>
  <c r="AV312" i="45"/>
  <c r="AV83" i="45"/>
  <c r="BL603" i="45"/>
  <c r="S491" i="45"/>
  <c r="S598" i="45" s="1"/>
  <c r="S633" i="45"/>
  <c r="W605" i="45" s="1"/>
  <c r="M59" i="28"/>
  <c r="M207" i="28" s="1"/>
  <c r="R30" i="44"/>
  <c r="P74" i="1"/>
  <c r="P95" i="44"/>
  <c r="M50" i="28"/>
  <c r="M201" i="28" s="1"/>
  <c r="M74" i="28"/>
  <c r="P75" i="44"/>
  <c r="L99" i="28"/>
  <c r="L100" i="28" s="1"/>
  <c r="M56" i="28"/>
  <c r="M204" i="28" s="1"/>
  <c r="M51" i="28"/>
  <c r="M68" i="28"/>
  <c r="M46" i="28"/>
  <c r="M199" i="28" s="1"/>
  <c r="L60" i="28"/>
  <c r="L208" i="28" s="1"/>
  <c r="G5" i="54"/>
  <c r="N46" i="28"/>
  <c r="N199" i="28" s="1"/>
  <c r="N68" i="28"/>
  <c r="L52" i="28"/>
  <c r="L76" i="28"/>
  <c r="K10" i="48"/>
  <c r="BQ65" i="45"/>
  <c r="K7" i="48"/>
  <c r="BQ50" i="45"/>
  <c r="K8" i="48"/>
  <c r="AU623" i="45"/>
  <c r="AT414" i="45"/>
  <c r="AT418" i="45" s="1"/>
  <c r="AT264" i="45"/>
  <c r="AT317" i="45" s="1"/>
  <c r="AT265" i="45"/>
  <c r="BH622" i="45"/>
  <c r="BG622" i="45"/>
  <c r="V623" i="45"/>
  <c r="V604" i="45"/>
  <c r="BA603" i="45"/>
  <c r="BE603" i="45"/>
  <c r="BB622" i="45"/>
  <c r="X624" i="45"/>
  <c r="AD603" i="45"/>
  <c r="AD622" i="45"/>
  <c r="AE622" i="45"/>
  <c r="AF261" i="45"/>
  <c r="AF267" i="45" s="1"/>
  <c r="AF616" i="45"/>
  <c r="AF300" i="45"/>
  <c r="AF87" i="45"/>
  <c r="AF633" i="45"/>
  <c r="AF623" i="45"/>
  <c r="BD632" i="45"/>
  <c r="BH596" i="45"/>
  <c r="BH232" i="45" s="1"/>
  <c r="BD248" i="45"/>
  <c r="BD263" i="45"/>
  <c r="BD312" i="45"/>
  <c r="BD83" i="45"/>
  <c r="BE615" i="45"/>
  <c r="AI623" i="45"/>
  <c r="AO603" i="45"/>
  <c r="AP622" i="45"/>
  <c r="AC623" i="45"/>
  <c r="AB604" i="45"/>
  <c r="BJ264" i="45"/>
  <c r="BJ317" i="45" s="1"/>
  <c r="BJ414" i="45"/>
  <c r="BJ418" i="45" s="1"/>
  <c r="BJ265" i="45"/>
  <c r="BJ604" i="45"/>
  <c r="W623" i="45"/>
  <c r="BN634" i="45"/>
  <c r="BN250" i="45"/>
  <c r="BN89" i="45"/>
  <c r="BN252" i="45"/>
  <c r="AD487" i="45"/>
  <c r="AD596" i="45"/>
  <c r="AD615" i="45"/>
  <c r="AD632" i="45"/>
  <c r="AE615" i="45"/>
  <c r="BM83" i="45"/>
  <c r="BM248" i="45"/>
  <c r="BM615" i="45"/>
  <c r="BM632" i="45"/>
  <c r="BN615" i="45"/>
  <c r="AT633" i="45"/>
  <c r="AU616" i="45"/>
  <c r="AT261" i="45"/>
  <c r="AT267" i="45" s="1"/>
  <c r="AT300" i="45"/>
  <c r="AT87" i="45"/>
  <c r="BG615" i="45"/>
  <c r="BG83" i="45"/>
  <c r="BG632" i="45"/>
  <c r="BG312" i="45"/>
  <c r="BG263" i="45"/>
  <c r="BH615" i="45"/>
  <c r="BG248" i="45"/>
  <c r="V491" i="45"/>
  <c r="W617" i="45" s="1"/>
  <c r="V633" i="45"/>
  <c r="W624" i="45" s="1"/>
  <c r="V616" i="45"/>
  <c r="BA312" i="45"/>
  <c r="BA248" i="45"/>
  <c r="BA83" i="45"/>
  <c r="BA263" i="45"/>
  <c r="BA596" i="45"/>
  <c r="BA232" i="45" s="1"/>
  <c r="BE596" i="45"/>
  <c r="BE232" i="45" s="1"/>
  <c r="BA632" i="45"/>
  <c r="BB615" i="45"/>
  <c r="W616" i="45"/>
  <c r="O496" i="45"/>
  <c r="O510" i="45"/>
  <c r="O511" i="45" s="1"/>
  <c r="O634" i="45"/>
  <c r="O590" i="45"/>
  <c r="AI265" i="45"/>
  <c r="AI264" i="45"/>
  <c r="AI317" i="45" s="1"/>
  <c r="AI414" i="45"/>
  <c r="AI418" i="45" s="1"/>
  <c r="AI633" i="45"/>
  <c r="AI300" i="45"/>
  <c r="AI87" i="45"/>
  <c r="AI261" i="45"/>
  <c r="AI267" i="45" s="1"/>
  <c r="AI616" i="45"/>
  <c r="AO632" i="45"/>
  <c r="AO596" i="45"/>
  <c r="AO232" i="45" s="1"/>
  <c r="AO263" i="45"/>
  <c r="AS596" i="45"/>
  <c r="AS232" i="45" s="1"/>
  <c r="AO248" i="45"/>
  <c r="AP615" i="45"/>
  <c r="AO312" i="45"/>
  <c r="AO615" i="45"/>
  <c r="AO83" i="45"/>
  <c r="AB491" i="45"/>
  <c r="AB633" i="45"/>
  <c r="AC616" i="45"/>
  <c r="AB597" i="45"/>
  <c r="BJ261" i="45"/>
  <c r="BJ267" i="45" s="1"/>
  <c r="BJ597" i="45"/>
  <c r="BJ300" i="45"/>
  <c r="BJ633" i="45"/>
  <c r="BJ87" i="45"/>
  <c r="BN598" i="45" s="1"/>
  <c r="BN234" i="45" s="1"/>
  <c r="BO622" i="45"/>
  <c r="Q623" i="45"/>
  <c r="Q604" i="45"/>
  <c r="U604" i="45"/>
  <c r="R623" i="45"/>
  <c r="AF414" i="45"/>
  <c r="AF418" i="45" s="1"/>
  <c r="AF264" i="45"/>
  <c r="AF317" i="45" s="1"/>
  <c r="AF265" i="45"/>
  <c r="BM622" i="45"/>
  <c r="BM603" i="45"/>
  <c r="BN622" i="45"/>
  <c r="BH603" i="45"/>
  <c r="W598" i="45"/>
  <c r="W496" i="45"/>
  <c r="W510" i="45"/>
  <c r="W511" i="45" s="1"/>
  <c r="W634" i="45"/>
  <c r="X617" i="45"/>
  <c r="W590" i="45"/>
  <c r="BO248" i="45"/>
  <c r="BO83" i="45"/>
  <c r="BO615" i="45"/>
  <c r="BO632" i="45"/>
  <c r="BO596" i="45"/>
  <c r="BO232" i="45" s="1"/>
  <c r="Q491" i="45"/>
  <c r="Q633" i="45"/>
  <c r="U597" i="45"/>
  <c r="Q616" i="45"/>
  <c r="BP615" i="45"/>
  <c r="BP83" i="45"/>
  <c r="BP596" i="45"/>
  <c r="BP232" i="45" s="1"/>
  <c r="BP632" i="45"/>
  <c r="BP248" i="45"/>
  <c r="BP622" i="45"/>
  <c r="BP603" i="45"/>
  <c r="BN597" i="45"/>
  <c r="G29" i="48"/>
  <c r="G19" i="48"/>
  <c r="G27" i="48"/>
  <c r="D27" i="48"/>
  <c r="D29" i="48"/>
  <c r="D19" i="48"/>
  <c r="H19" i="48"/>
  <c r="H27" i="48"/>
  <c r="H29" i="48"/>
  <c r="C17" i="48"/>
  <c r="C26" i="48"/>
  <c r="F19" i="48"/>
  <c r="F27" i="48"/>
  <c r="F29" i="48"/>
  <c r="I17" i="48"/>
  <c r="I26" i="48"/>
  <c r="B17" i="48"/>
  <c r="B26" i="48"/>
  <c r="J26" i="48"/>
  <c r="J17" i="48"/>
  <c r="E27" i="48"/>
  <c r="E19" i="48"/>
  <c r="E29" i="48"/>
  <c r="AN18" i="29"/>
  <c r="AN25" i="29" s="1"/>
  <c r="AN36" i="29" s="1"/>
  <c r="AO38" i="29" s="1"/>
  <c r="G252" i="45" l="1"/>
  <c r="G348" i="45" s="1"/>
  <c r="G180" i="45"/>
  <c r="G194" i="45" s="1"/>
  <c r="H234" i="45"/>
  <c r="G89" i="45"/>
  <c r="G250" i="45"/>
  <c r="BK342" i="45"/>
  <c r="BK316" i="45"/>
  <c r="D171" i="56"/>
  <c r="M21" i="2"/>
  <c r="N124" i="4"/>
  <c r="G85" i="3"/>
  <c r="G87" i="3" s="1"/>
  <c r="G58" i="3"/>
  <c r="AQ124" i="29"/>
  <c r="AT123" i="29"/>
  <c r="AP124" i="29"/>
  <c r="AQ146" i="29"/>
  <c r="AT145" i="29"/>
  <c r="AP153" i="29"/>
  <c r="AP128" i="29"/>
  <c r="AP146" i="29"/>
  <c r="AQ115" i="29"/>
  <c r="AT114" i="29"/>
  <c r="AP115" i="29"/>
  <c r="AQ118" i="29"/>
  <c r="AT117" i="29"/>
  <c r="AP118" i="29"/>
  <c r="AQ100" i="29"/>
  <c r="AT99" i="29"/>
  <c r="AT316" i="29" s="1"/>
  <c r="AP100" i="29"/>
  <c r="AQ106" i="29"/>
  <c r="AT105" i="29"/>
  <c r="AP106" i="29"/>
  <c r="J89" i="45"/>
  <c r="J250" i="45"/>
  <c r="J180" i="45"/>
  <c r="J194" i="45" s="1"/>
  <c r="K234" i="45"/>
  <c r="J252" i="45"/>
  <c r="J348" i="45" s="1"/>
  <c r="C171" i="56"/>
  <c r="M124" i="4"/>
  <c r="L21" i="2"/>
  <c r="F621" i="45"/>
  <c r="J602" i="45"/>
  <c r="G621" i="45"/>
  <c r="AP145" i="29"/>
  <c r="AP154" i="29"/>
  <c r="G171" i="56"/>
  <c r="O124" i="4"/>
  <c r="O21" i="2"/>
  <c r="AQ112" i="29"/>
  <c r="AT111" i="29"/>
  <c r="AP112" i="29"/>
  <c r="AQ121" i="29"/>
  <c r="AT120" i="29"/>
  <c r="AP121" i="29"/>
  <c r="AQ103" i="29"/>
  <c r="AT102" i="29"/>
  <c r="AP103" i="29"/>
  <c r="AQ109" i="29"/>
  <c r="AT108" i="29"/>
  <c r="AP109" i="29"/>
  <c r="F626" i="45"/>
  <c r="J607" i="45"/>
  <c r="G626" i="45"/>
  <c r="J600" i="45"/>
  <c r="F636" i="45"/>
  <c r="F505" i="45"/>
  <c r="F619" i="45"/>
  <c r="G619" i="45"/>
  <c r="I252" i="45"/>
  <c r="I348" i="45" s="1"/>
  <c r="I250" i="45"/>
  <c r="I89" i="45"/>
  <c r="I180" i="45"/>
  <c r="I194" i="45" s="1"/>
  <c r="J234" i="45"/>
  <c r="J58" i="3"/>
  <c r="K55" i="3"/>
  <c r="J85" i="3"/>
  <c r="AP114" i="29"/>
  <c r="AP102" i="29"/>
  <c r="M340" i="45"/>
  <c r="M335" i="45"/>
  <c r="M71" i="3"/>
  <c r="W202" i="45"/>
  <c r="M90" i="3" s="1"/>
  <c r="W178" i="45"/>
  <c r="W179" i="45" s="1"/>
  <c r="G126" i="4"/>
  <c r="H125" i="4"/>
  <c r="H152" i="4" s="1"/>
  <c r="D87" i="12" s="1"/>
  <c r="AC199" i="45"/>
  <c r="AC198" i="45" s="1"/>
  <c r="S71" i="3" s="1"/>
  <c r="O52" i="12" s="1"/>
  <c r="M315" i="45"/>
  <c r="S13" i="3"/>
  <c r="S38" i="3" s="1"/>
  <c r="S143" i="1"/>
  <c r="S28" i="1" s="1"/>
  <c r="C37" i="4"/>
  <c r="C35" i="4"/>
  <c r="C34" i="4"/>
  <c r="C31" i="4"/>
  <c r="C36" i="4"/>
  <c r="C32" i="4"/>
  <c r="C33" i="4"/>
  <c r="Y334" i="45"/>
  <c r="Y274" i="45" s="1"/>
  <c r="Y278" i="45"/>
  <c r="Q271" i="45"/>
  <c r="Q288" i="45" s="1"/>
  <c r="N340" i="45"/>
  <c r="Y175" i="45"/>
  <c r="P336" i="45"/>
  <c r="P272" i="45" s="1"/>
  <c r="W274" i="45"/>
  <c r="G243" i="45"/>
  <c r="X178" i="45"/>
  <c r="X179" i="45" s="1"/>
  <c r="V173" i="45"/>
  <c r="V335" i="45"/>
  <c r="V299" i="45"/>
  <c r="Y195" i="45"/>
  <c r="Y178" i="45" s="1"/>
  <c r="Y179" i="45" s="1"/>
  <c r="P289" i="45"/>
  <c r="P271" i="45"/>
  <c r="P288" i="45" s="1"/>
  <c r="R13" i="3"/>
  <c r="R38" i="3" s="1"/>
  <c r="R143" i="1"/>
  <c r="R28" i="1" s="1"/>
  <c r="R173" i="45"/>
  <c r="Z123" i="45"/>
  <c r="Z122" i="45" s="1"/>
  <c r="Z34" i="12"/>
  <c r="X141" i="45"/>
  <c r="X204" i="45"/>
  <c r="X382" i="45"/>
  <c r="X383" i="45" s="1"/>
  <c r="X384" i="45" s="1"/>
  <c r="X266" i="45" s="1"/>
  <c r="X415" i="45" s="1"/>
  <c r="G342" i="45"/>
  <c r="G263" i="45" s="1"/>
  <c r="V336" i="45"/>
  <c r="V272" i="45" s="1"/>
  <c r="O310" i="45"/>
  <c r="O315" i="45"/>
  <c r="K42" i="12"/>
  <c r="Y39" i="12"/>
  <c r="Y43" i="12" s="1"/>
  <c r="AA150" i="45"/>
  <c r="AA151" i="45" s="1"/>
  <c r="Q16" i="2"/>
  <c r="AA27" i="12" s="1"/>
  <c r="R164" i="2"/>
  <c r="Q168" i="2"/>
  <c r="Q26" i="2" s="1"/>
  <c r="M33" i="4"/>
  <c r="M34" i="4"/>
  <c r="M31" i="4"/>
  <c r="M35" i="4"/>
  <c r="M36" i="4"/>
  <c r="D168" i="56"/>
  <c r="M32" i="4"/>
  <c r="X329" i="45"/>
  <c r="X339" i="45"/>
  <c r="X335" i="45" s="1"/>
  <c r="X296" i="45"/>
  <c r="X176" i="45"/>
  <c r="Y137" i="45"/>
  <c r="Y324" i="45"/>
  <c r="Y326" i="45" s="1"/>
  <c r="AB199" i="45"/>
  <c r="AB198" i="45" s="1"/>
  <c r="R71" i="3" s="1"/>
  <c r="N52" i="12" s="1"/>
  <c r="AA155" i="45"/>
  <c r="AI515" i="45"/>
  <c r="AH517" i="45"/>
  <c r="S96" i="2"/>
  <c r="R100" i="2"/>
  <c r="AG586" i="45"/>
  <c r="S336" i="45"/>
  <c r="S272" i="45" s="1"/>
  <c r="R336" i="45"/>
  <c r="R272" i="45" s="1"/>
  <c r="T266" i="45"/>
  <c r="T415" i="45" s="1"/>
  <c r="T396" i="45"/>
  <c r="V310" i="45"/>
  <c r="V311" i="45"/>
  <c r="V315" i="45"/>
  <c r="V312" i="45"/>
  <c r="I243" i="45"/>
  <c r="I342" i="45"/>
  <c r="I263" i="45" s="1"/>
  <c r="H342" i="45"/>
  <c r="H263" i="45" s="1"/>
  <c r="H316" i="45"/>
  <c r="H243" i="45"/>
  <c r="U310" i="45"/>
  <c r="U315" i="45"/>
  <c r="G168" i="56"/>
  <c r="O36" i="4"/>
  <c r="O32" i="4"/>
  <c r="O34" i="4"/>
  <c r="O31" i="4"/>
  <c r="O33" i="4"/>
  <c r="O35" i="4"/>
  <c r="H343" i="45"/>
  <c r="K264" i="45"/>
  <c r="K265" i="45"/>
  <c r="U340" i="45"/>
  <c r="T335" i="45"/>
  <c r="U336" i="45" s="1"/>
  <c r="U272" i="45" s="1"/>
  <c r="X274" i="45"/>
  <c r="X341" i="45"/>
  <c r="X243" i="45" s="1"/>
  <c r="X417" i="45" s="1"/>
  <c r="Q13" i="3"/>
  <c r="Q38" i="3" s="1"/>
  <c r="Q143" i="1"/>
  <c r="R299" i="45"/>
  <c r="Z199" i="45"/>
  <c r="Z198" i="45" s="1"/>
  <c r="P71" i="3" s="1"/>
  <c r="L52" i="12" s="1"/>
  <c r="Z155" i="45"/>
  <c r="AA199" i="45"/>
  <c r="AA198" i="45" s="1"/>
  <c r="Q71" i="3" s="1"/>
  <c r="M52" i="12" s="1"/>
  <c r="G264" i="45"/>
  <c r="G317" i="45" s="1"/>
  <c r="G265" i="45"/>
  <c r="J317" i="45"/>
  <c r="T315" i="45"/>
  <c r="N289" i="45"/>
  <c r="N271" i="45"/>
  <c r="N288" i="45" s="1"/>
  <c r="O289" i="45"/>
  <c r="O271" i="45"/>
  <c r="O288" i="45" s="1"/>
  <c r="AD189" i="45"/>
  <c r="T336" i="45"/>
  <c r="T272" i="45" s="1"/>
  <c r="V289" i="45"/>
  <c r="V271" i="45"/>
  <c r="S289" i="45"/>
  <c r="S271" i="45"/>
  <c r="S310" i="45"/>
  <c r="S315" i="45"/>
  <c r="S311" i="45"/>
  <c r="S312" i="45"/>
  <c r="O37" i="4"/>
  <c r="J26" i="4"/>
  <c r="U274" i="45"/>
  <c r="U341" i="45"/>
  <c r="N73" i="3"/>
  <c r="J51" i="12"/>
  <c r="U311" i="45"/>
  <c r="O32" i="2"/>
  <c r="O6" i="3" s="1"/>
  <c r="R271" i="45"/>
  <c r="R288" i="45" s="1"/>
  <c r="K317" i="45"/>
  <c r="F264" i="45"/>
  <c r="F317" i="45" s="1"/>
  <c r="F265" i="45"/>
  <c r="X517" i="45"/>
  <c r="W515" i="45"/>
  <c r="J33" i="4"/>
  <c r="J32" i="4"/>
  <c r="J35" i="4"/>
  <c r="J36" i="4"/>
  <c r="J31" i="4"/>
  <c r="J34" i="4"/>
  <c r="N274" i="45"/>
  <c r="N341" i="45"/>
  <c r="N316" i="45" s="1"/>
  <c r="R315" i="45"/>
  <c r="R310" i="45"/>
  <c r="T340" i="45"/>
  <c r="W335" i="45"/>
  <c r="W340" i="45"/>
  <c r="S274" i="45"/>
  <c r="S341" i="45"/>
  <c r="AD82" i="45"/>
  <c r="AD197" i="45" s="1"/>
  <c r="T72" i="3" s="1"/>
  <c r="P53" i="12" s="1"/>
  <c r="P27" i="12"/>
  <c r="F295" i="45"/>
  <c r="F196" i="45"/>
  <c r="F253" i="45"/>
  <c r="F294" i="45"/>
  <c r="F209" i="45"/>
  <c r="F212" i="45" s="1"/>
  <c r="F213" i="45" s="1"/>
  <c r="F314" i="45"/>
  <c r="H260" i="45"/>
  <c r="H92" i="45"/>
  <c r="H251" i="45"/>
  <c r="I235" i="45"/>
  <c r="G233" i="45"/>
  <c r="F249" i="45"/>
  <c r="G343" i="45"/>
  <c r="F313" i="45"/>
  <c r="D126" i="28"/>
  <c r="H295" i="45"/>
  <c r="H209" i="45"/>
  <c r="H212" i="45" s="1"/>
  <c r="H213" i="45" s="1"/>
  <c r="H294" i="45"/>
  <c r="H253" i="45"/>
  <c r="H196" i="45"/>
  <c r="H314" i="45"/>
  <c r="G235" i="45"/>
  <c r="F92" i="45"/>
  <c r="F251" i="45"/>
  <c r="F260" i="45"/>
  <c r="H249" i="45"/>
  <c r="I343" i="45"/>
  <c r="I233" i="45"/>
  <c r="H313" i="45"/>
  <c r="H235" i="45"/>
  <c r="M175" i="45"/>
  <c r="M176" i="45" s="1"/>
  <c r="M341" i="45"/>
  <c r="M195" i="45"/>
  <c r="M281" i="45" s="1"/>
  <c r="N195" i="45"/>
  <c r="N281" i="45" s="1"/>
  <c r="B174" i="56"/>
  <c r="B176" i="56" s="1"/>
  <c r="K105" i="4"/>
  <c r="K153" i="4" s="1"/>
  <c r="G88" i="12" s="1"/>
  <c r="K88" i="4"/>
  <c r="K28" i="4"/>
  <c r="K27" i="4"/>
  <c r="K25" i="4"/>
  <c r="K23" i="4"/>
  <c r="K32" i="2"/>
  <c r="K6" i="3" s="1"/>
  <c r="K98" i="4"/>
  <c r="K29" i="4"/>
  <c r="K97" i="4"/>
  <c r="K24" i="4"/>
  <c r="L125" i="4"/>
  <c r="N333" i="45"/>
  <c r="N273" i="45" s="1"/>
  <c r="M333" i="45"/>
  <c r="M273" i="45" s="1"/>
  <c r="F126" i="4"/>
  <c r="J152" i="4"/>
  <c r="F87" i="12" s="1"/>
  <c r="T61" i="12"/>
  <c r="O341" i="45"/>
  <c r="O175" i="45"/>
  <c r="O176" i="45" s="1"/>
  <c r="P195" i="45"/>
  <c r="O195" i="45"/>
  <c r="S195" i="45"/>
  <c r="R175" i="45"/>
  <c r="R176" i="45" s="1"/>
  <c r="R195" i="45"/>
  <c r="R281" i="45" s="1"/>
  <c r="H27" i="4"/>
  <c r="H97" i="4"/>
  <c r="H88" i="4"/>
  <c r="I126" i="4" s="1"/>
  <c r="H105" i="4"/>
  <c r="H153" i="4" s="1"/>
  <c r="D88" i="12" s="1"/>
  <c r="H32" i="2"/>
  <c r="H24" i="4"/>
  <c r="I125" i="4"/>
  <c r="H98" i="4"/>
  <c r="H28" i="4"/>
  <c r="H29" i="4"/>
  <c r="H25" i="4"/>
  <c r="H23" i="4"/>
  <c r="P333" i="45"/>
  <c r="P273" i="45" s="1"/>
  <c r="O333" i="45"/>
  <c r="O273" i="45" s="1"/>
  <c r="C88" i="4"/>
  <c r="D126" i="4" s="1"/>
  <c r="C98" i="4"/>
  <c r="C32" i="2"/>
  <c r="D125" i="4"/>
  <c r="D152" i="4" s="1"/>
  <c r="C28" i="4"/>
  <c r="C29" i="4"/>
  <c r="C27" i="4"/>
  <c r="C97" i="4"/>
  <c r="C25" i="4"/>
  <c r="C23" i="4"/>
  <c r="C24" i="4"/>
  <c r="D105" i="4"/>
  <c r="D153" i="4" s="1"/>
  <c r="S333" i="45"/>
  <c r="S273" i="45" s="1"/>
  <c r="R333" i="45"/>
  <c r="R273" i="45" s="1"/>
  <c r="K26" i="4"/>
  <c r="H26" i="4"/>
  <c r="L105" i="4"/>
  <c r="L153" i="4" s="1"/>
  <c r="H88" i="12" s="1"/>
  <c r="J27" i="4"/>
  <c r="J29" i="4"/>
  <c r="J28" i="4"/>
  <c r="J32" i="2"/>
  <c r="J6" i="3" s="1"/>
  <c r="J88" i="4"/>
  <c r="J25" i="4"/>
  <c r="J105" i="4"/>
  <c r="J153" i="4" s="1"/>
  <c r="F88" i="12" s="1"/>
  <c r="J97" i="4"/>
  <c r="J98" i="4"/>
  <c r="J23" i="4"/>
  <c r="J24" i="4"/>
  <c r="K125" i="4"/>
  <c r="T80" i="3"/>
  <c r="S80" i="3"/>
  <c r="G126" i="28"/>
  <c r="P47" i="44"/>
  <c r="O70" i="44"/>
  <c r="P49" i="44"/>
  <c r="O72" i="44"/>
  <c r="P48" i="44"/>
  <c r="O71" i="44"/>
  <c r="N50" i="44"/>
  <c r="N62" i="44" s="1"/>
  <c r="N69" i="44"/>
  <c r="N57" i="44" s="1"/>
  <c r="N67" i="44" s="1"/>
  <c r="N53" i="44"/>
  <c r="N65" i="44" s="1"/>
  <c r="P23" i="28"/>
  <c r="P192" i="28" s="1"/>
  <c r="P191" i="28"/>
  <c r="N203" i="28"/>
  <c r="S55" i="28"/>
  <c r="S57" i="28" s="1"/>
  <c r="T16" i="44"/>
  <c r="O42" i="28"/>
  <c r="O196" i="28" s="1"/>
  <c r="O49" i="28"/>
  <c r="O195" i="28"/>
  <c r="P195" i="28"/>
  <c r="P42" i="28"/>
  <c r="P196" i="28" s="1"/>
  <c r="P49" i="28"/>
  <c r="O58" i="28"/>
  <c r="O206" i="28" s="1"/>
  <c r="O205" i="28"/>
  <c r="P32" i="28"/>
  <c r="P194" i="28" s="1"/>
  <c r="P193" i="28"/>
  <c r="P57" i="28"/>
  <c r="O13" i="28"/>
  <c r="O190" i="28" s="1"/>
  <c r="O45" i="28"/>
  <c r="O55" i="28"/>
  <c r="O189" i="28"/>
  <c r="T12" i="44"/>
  <c r="P12" i="28"/>
  <c r="S5" i="44"/>
  <c r="S39" i="44" s="1"/>
  <c r="S17" i="44"/>
  <c r="S31" i="44" s="1"/>
  <c r="S26" i="44"/>
  <c r="G22" i="12"/>
  <c r="N84" i="3"/>
  <c r="N56" i="3"/>
  <c r="M87" i="3"/>
  <c r="I60" i="12"/>
  <c r="W42" i="12" s="1"/>
  <c r="N58" i="28"/>
  <c r="N206" i="28" s="1"/>
  <c r="N56" i="28"/>
  <c r="N204" i="28" s="1"/>
  <c r="N59" i="28"/>
  <c r="O48" i="48" s="1"/>
  <c r="P48" i="48" s="1"/>
  <c r="N74" i="28"/>
  <c r="N200" i="28"/>
  <c r="AM111" i="29"/>
  <c r="AQ111" i="29"/>
  <c r="BE622" i="45"/>
  <c r="BA615" i="45"/>
  <c r="BD596" i="45"/>
  <c r="BD232" i="45" s="1"/>
  <c r="BG603" i="45"/>
  <c r="Y88" i="29"/>
  <c r="AC48" i="29"/>
  <c r="Y55" i="29"/>
  <c r="AO622" i="45"/>
  <c r="AI111" i="29"/>
  <c r="Z623" i="45"/>
  <c r="W112" i="29"/>
  <c r="AE111" i="29"/>
  <c r="AE88" i="29"/>
  <c r="AE55" i="29"/>
  <c r="AI48" i="29"/>
  <c r="AN312" i="45"/>
  <c r="AN248" i="45"/>
  <c r="AN632" i="45"/>
  <c r="AR604" i="45" s="1"/>
  <c r="AN83" i="45"/>
  <c r="AN263" i="45"/>
  <c r="BR631" i="45"/>
  <c r="L14" i="48"/>
  <c r="N50" i="28"/>
  <c r="N201" i="28" s="1"/>
  <c r="BB312" i="45"/>
  <c r="N51" i="28"/>
  <c r="N52" i="28" s="1"/>
  <c r="E56" i="56"/>
  <c r="F11" i="54"/>
  <c r="F12" i="54" s="1"/>
  <c r="O22" i="1"/>
  <c r="O25" i="1"/>
  <c r="O69" i="4"/>
  <c r="O6" i="1"/>
  <c r="K21" i="12"/>
  <c r="K22" i="12" s="1"/>
  <c r="B11" i="18"/>
  <c r="O53" i="4"/>
  <c r="K117" i="28"/>
  <c r="K126" i="28" s="1"/>
  <c r="Y277" i="45"/>
  <c r="Y77" i="45"/>
  <c r="E30" i="1"/>
  <c r="E70" i="4"/>
  <c r="E151" i="4"/>
  <c r="E54" i="4"/>
  <c r="E111" i="4"/>
  <c r="E110" i="4"/>
  <c r="J160" i="4"/>
  <c r="K169" i="4" s="1"/>
  <c r="T48" i="12"/>
  <c r="T74" i="12" s="1"/>
  <c r="I71" i="4"/>
  <c r="I36" i="1"/>
  <c r="I175" i="1"/>
  <c r="I150" i="4"/>
  <c r="E85" i="12" s="1"/>
  <c r="I176" i="1"/>
  <c r="I87" i="4" s="1"/>
  <c r="E28" i="12"/>
  <c r="E30" i="12" s="1"/>
  <c r="I139" i="4"/>
  <c r="L168" i="4"/>
  <c r="P83" i="45"/>
  <c r="P248" i="45"/>
  <c r="P312" i="45"/>
  <c r="Q247" i="45"/>
  <c r="Q298" i="45"/>
  <c r="Q81" i="45"/>
  <c r="Q232" i="45" s="1"/>
  <c r="R231" i="45"/>
  <c r="Q281" i="45"/>
  <c r="Q311" i="45"/>
  <c r="W247" i="45"/>
  <c r="X231" i="45"/>
  <c r="W298" i="45"/>
  <c r="W81" i="45"/>
  <c r="W311" i="45"/>
  <c r="W231" i="45"/>
  <c r="W281" i="45"/>
  <c r="S180" i="45"/>
  <c r="S194" i="45" s="1"/>
  <c r="S89" i="45"/>
  <c r="S250" i="45"/>
  <c r="S412" i="45" s="1"/>
  <c r="S252" i="45"/>
  <c r="V180" i="45"/>
  <c r="V194" i="45" s="1"/>
  <c r="V250" i="45"/>
  <c r="V412" i="45" s="1"/>
  <c r="V89" i="45"/>
  <c r="V252" i="45"/>
  <c r="W48" i="12"/>
  <c r="W74" i="12" s="1"/>
  <c r="M160" i="4"/>
  <c r="M110" i="4"/>
  <c r="W62" i="12" s="1"/>
  <c r="M151" i="4"/>
  <c r="I86" i="12" s="1"/>
  <c r="M54" i="4"/>
  <c r="D16" i="54"/>
  <c r="I24" i="12"/>
  <c r="I25" i="12" s="1"/>
  <c r="M30" i="1"/>
  <c r="N55" i="4" s="1"/>
  <c r="M70" i="4"/>
  <c r="W49" i="12" s="1"/>
  <c r="W75" i="12" s="1"/>
  <c r="M111" i="4"/>
  <c r="O81" i="45"/>
  <c r="P231" i="45"/>
  <c r="O247" i="45"/>
  <c r="O281" i="45"/>
  <c r="O298" i="45"/>
  <c r="O311" i="45"/>
  <c r="N150" i="4"/>
  <c r="J85" i="12" s="1"/>
  <c r="N71" i="4"/>
  <c r="N139" i="4"/>
  <c r="H60" i="26"/>
  <c r="H62" i="26" s="1"/>
  <c r="H63" i="26" s="1"/>
  <c r="H65" i="26" s="1"/>
  <c r="N175" i="1"/>
  <c r="N36" i="1"/>
  <c r="J28" i="12"/>
  <c r="J30" i="12" s="1"/>
  <c r="N176" i="1"/>
  <c r="N87" i="4" s="1"/>
  <c r="N54" i="4"/>
  <c r="J22" i="12"/>
  <c r="D58" i="56"/>
  <c r="D55" i="56"/>
  <c r="E60" i="26"/>
  <c r="E62" i="26" s="1"/>
  <c r="E63" i="26" s="1"/>
  <c r="E65" i="26" s="1"/>
  <c r="K176" i="1"/>
  <c r="K87" i="4" s="1"/>
  <c r="K71" i="4"/>
  <c r="K139" i="4"/>
  <c r="K175" i="1"/>
  <c r="G28" i="12"/>
  <c r="G30" i="12" s="1"/>
  <c r="K36" i="1"/>
  <c r="L57" i="4" s="1"/>
  <c r="K150" i="4"/>
  <c r="G85" i="12" s="1"/>
  <c r="U248" i="45"/>
  <c r="V232" i="45"/>
  <c r="U83" i="45"/>
  <c r="U312" i="45"/>
  <c r="F169" i="4"/>
  <c r="G168" i="4"/>
  <c r="L53" i="1"/>
  <c r="L73" i="4"/>
  <c r="L79" i="4"/>
  <c r="L63" i="3"/>
  <c r="L54" i="1"/>
  <c r="L78" i="4"/>
  <c r="L40" i="1"/>
  <c r="L92" i="4"/>
  <c r="H33" i="12"/>
  <c r="L144" i="4"/>
  <c r="L80" i="4"/>
  <c r="L65" i="1"/>
  <c r="C165" i="56" s="1"/>
  <c r="L140" i="4"/>
  <c r="J168" i="4"/>
  <c r="O168" i="4"/>
  <c r="N169" i="4"/>
  <c r="J126" i="28"/>
  <c r="R48" i="12"/>
  <c r="R74" i="12" s="1"/>
  <c r="H160" i="4"/>
  <c r="H54" i="4"/>
  <c r="H30" i="1"/>
  <c r="I55" i="4" s="1"/>
  <c r="H151" i="4"/>
  <c r="D86" i="12" s="1"/>
  <c r="H110" i="4"/>
  <c r="R62" i="12" s="1"/>
  <c r="H111" i="4"/>
  <c r="H70" i="4"/>
  <c r="R49" i="12" s="1"/>
  <c r="R75" i="12" s="1"/>
  <c r="D24" i="12"/>
  <c r="E25" i="12" s="1"/>
  <c r="H168" i="4"/>
  <c r="G169" i="4"/>
  <c r="C126" i="28"/>
  <c r="G30" i="1"/>
  <c r="G110" i="4"/>
  <c r="G70" i="4"/>
  <c r="G54" i="4"/>
  <c r="G111" i="4"/>
  <c r="G151" i="4"/>
  <c r="C86" i="12" s="1"/>
  <c r="H25" i="12"/>
  <c r="X248" i="45"/>
  <c r="X83" i="45"/>
  <c r="D36" i="1"/>
  <c r="D139" i="4"/>
  <c r="D175" i="1"/>
  <c r="D150" i="4"/>
  <c r="D176" i="1"/>
  <c r="D87" i="4" s="1"/>
  <c r="D71" i="4"/>
  <c r="U231" i="45"/>
  <c r="T81" i="45"/>
  <c r="T298" i="45"/>
  <c r="T281" i="45"/>
  <c r="T247" i="45"/>
  <c r="T311" i="45"/>
  <c r="T231" i="45"/>
  <c r="C57" i="56"/>
  <c r="C54" i="56"/>
  <c r="C55" i="56" s="1"/>
  <c r="M298" i="45"/>
  <c r="M311" i="45"/>
  <c r="M231" i="45"/>
  <c r="M247" i="45"/>
  <c r="M81" i="45"/>
  <c r="N231" i="45"/>
  <c r="E126" i="28"/>
  <c r="E17" i="54"/>
  <c r="E25" i="54"/>
  <c r="E29" i="54" s="1"/>
  <c r="E31" i="54" s="1"/>
  <c r="R81" i="45"/>
  <c r="R298" i="45"/>
  <c r="R247" i="45"/>
  <c r="S231" i="45"/>
  <c r="R311" i="45"/>
  <c r="F30" i="1"/>
  <c r="F111" i="4"/>
  <c r="F151" i="4"/>
  <c r="B86" i="12" s="1"/>
  <c r="F70" i="4"/>
  <c r="F54" i="4"/>
  <c r="F110" i="4"/>
  <c r="L55" i="4"/>
  <c r="C110" i="4"/>
  <c r="C30" i="1"/>
  <c r="C111" i="4"/>
  <c r="C70" i="4"/>
  <c r="E169" i="4"/>
  <c r="E170" i="4" s="1"/>
  <c r="F168" i="4"/>
  <c r="L169" i="4"/>
  <c r="D169" i="4"/>
  <c r="D170" i="4" s="1"/>
  <c r="J30" i="1"/>
  <c r="J70" i="4"/>
  <c r="T49" i="12" s="1"/>
  <c r="T75" i="12" s="1"/>
  <c r="J151" i="4"/>
  <c r="F86" i="12" s="1"/>
  <c r="J54" i="4"/>
  <c r="J110" i="4"/>
  <c r="T62" i="12" s="1"/>
  <c r="F24" i="12"/>
  <c r="F25" i="12" s="1"/>
  <c r="J111" i="4"/>
  <c r="N81" i="45"/>
  <c r="N311" i="45"/>
  <c r="O231" i="45"/>
  <c r="N247" i="45"/>
  <c r="N298" i="45"/>
  <c r="R38" i="44"/>
  <c r="R31" i="44"/>
  <c r="BR595" i="45"/>
  <c r="BR231" i="45" s="1"/>
  <c r="S605" i="45"/>
  <c r="BA622" i="45"/>
  <c r="BR247" i="45"/>
  <c r="H5" i="54"/>
  <c r="K48" i="48"/>
  <c r="BR81" i="45"/>
  <c r="BR603" i="45"/>
  <c r="R34" i="44"/>
  <c r="R40" i="44"/>
  <c r="R37" i="44"/>
  <c r="R43" i="44"/>
  <c r="R39" i="44"/>
  <c r="R41" i="44"/>
  <c r="R35" i="44"/>
  <c r="R42" i="44"/>
  <c r="M60" i="28"/>
  <c r="BF596" i="45"/>
  <c r="BF232" i="45" s="1"/>
  <c r="BB83" i="45"/>
  <c r="BB261" i="45" s="1"/>
  <c r="BB267" i="45" s="1"/>
  <c r="BB248" i="45"/>
  <c r="BK603" i="45"/>
  <c r="AL154" i="29"/>
  <c r="AM155" i="29"/>
  <c r="AL155" i="29"/>
  <c r="K623" i="45"/>
  <c r="K604" i="45"/>
  <c r="O604" i="45"/>
  <c r="E49" i="29"/>
  <c r="E55" i="29"/>
  <c r="E88" i="29"/>
  <c r="AG621" i="45"/>
  <c r="M155" i="29"/>
  <c r="AJ632" i="45"/>
  <c r="AK623" i="45" s="1"/>
  <c r="AJ596" i="45"/>
  <c r="AJ232" i="45" s="1"/>
  <c r="AJ615" i="45"/>
  <c r="AN596" i="45"/>
  <c r="AN232" i="45" s="1"/>
  <c r="AJ248" i="45"/>
  <c r="AJ83" i="45"/>
  <c r="AK616" i="45" s="1"/>
  <c r="AJ312" i="45"/>
  <c r="AJ263" i="45"/>
  <c r="Q121" i="29"/>
  <c r="P120" i="29"/>
  <c r="Q106" i="29"/>
  <c r="P105" i="29"/>
  <c r="AG263" i="45"/>
  <c r="AG312" i="45"/>
  <c r="AG83" i="45"/>
  <c r="AK597" i="45" s="1"/>
  <c r="AG632" i="45"/>
  <c r="AG248" i="45"/>
  <c r="AH615" i="45"/>
  <c r="AG615" i="45"/>
  <c r="P153" i="29"/>
  <c r="P145" i="29"/>
  <c r="Q146" i="29"/>
  <c r="P138" i="29"/>
  <c r="L155" i="29"/>
  <c r="L623" i="45"/>
  <c r="D88" i="29"/>
  <c r="D55" i="29"/>
  <c r="H48" i="29"/>
  <c r="AA88" i="29"/>
  <c r="AA55" i="29"/>
  <c r="AE48" i="29"/>
  <c r="R73" i="29"/>
  <c r="R67" i="29"/>
  <c r="R90" i="29"/>
  <c r="R72" i="29"/>
  <c r="AE491" i="45"/>
  <c r="AE633" i="45"/>
  <c r="Q103" i="29"/>
  <c r="P102" i="29"/>
  <c r="Q115" i="29"/>
  <c r="P114" i="29"/>
  <c r="Q109" i="29"/>
  <c r="P108" i="29"/>
  <c r="AK596" i="45"/>
  <c r="AK232" i="45" s="1"/>
  <c r="F49" i="29"/>
  <c r="AH622" i="45"/>
  <c r="AG622" i="45"/>
  <c r="AN603" i="45"/>
  <c r="AJ622" i="45"/>
  <c r="AJ603" i="45"/>
  <c r="K633" i="45"/>
  <c r="L624" i="45" s="1"/>
  <c r="K616" i="45"/>
  <c r="O597" i="45"/>
  <c r="K491" i="45"/>
  <c r="K597" i="45"/>
  <c r="P99" i="29"/>
  <c r="Q100" i="29"/>
  <c r="T62" i="29"/>
  <c r="T58" i="29"/>
  <c r="T89" i="29"/>
  <c r="BF604" i="45"/>
  <c r="BB414" i="45"/>
  <c r="BB418" i="45" s="1"/>
  <c r="BB265" i="45"/>
  <c r="BB264" i="45"/>
  <c r="BB317" i="45" s="1"/>
  <c r="BK596" i="45"/>
  <c r="BK232" i="45" s="1"/>
  <c r="BD615" i="45"/>
  <c r="L590" i="45"/>
  <c r="L634" i="45"/>
  <c r="L598" i="45"/>
  <c r="L510" i="45"/>
  <c r="L511" i="45" s="1"/>
  <c r="L496" i="45"/>
  <c r="L605" i="45"/>
  <c r="BF87" i="45"/>
  <c r="BJ598" i="45" s="1"/>
  <c r="BJ234" i="45" s="1"/>
  <c r="BF261" i="45"/>
  <c r="BF267" i="45" s="1"/>
  <c r="BF633" i="45"/>
  <c r="BJ605" i="45" s="1"/>
  <c r="BF300" i="45"/>
  <c r="BF414" i="45"/>
  <c r="BF418" i="45" s="1"/>
  <c r="BF264" i="45"/>
  <c r="BF317" i="45" s="1"/>
  <c r="BF265" i="45"/>
  <c r="BO603" i="45"/>
  <c r="AU264" i="45"/>
  <c r="AU317" i="45" s="1"/>
  <c r="AU265" i="45"/>
  <c r="AU414" i="45"/>
  <c r="AU418" i="45" s="1"/>
  <c r="Z604" i="45"/>
  <c r="AU87" i="45"/>
  <c r="AU633" i="45"/>
  <c r="AU624" i="45" s="1"/>
  <c r="AU300" i="45"/>
  <c r="AU261" i="45"/>
  <c r="AU267" i="45" s="1"/>
  <c r="BL622" i="45"/>
  <c r="X55" i="29"/>
  <c r="Y49" i="29"/>
  <c r="X48" i="29"/>
  <c r="X88" i="29"/>
  <c r="T108" i="29"/>
  <c r="X108" i="29"/>
  <c r="U109" i="29"/>
  <c r="U100" i="29"/>
  <c r="X99" i="29"/>
  <c r="X316" i="29" s="1"/>
  <c r="T99" i="29"/>
  <c r="BH265" i="45"/>
  <c r="BH414" i="45"/>
  <c r="BH418" i="45" s="1"/>
  <c r="BH264" i="45"/>
  <c r="BH317" i="45" s="1"/>
  <c r="BI603" i="45"/>
  <c r="BJ622" i="45"/>
  <c r="BI622" i="45"/>
  <c r="L55" i="29"/>
  <c r="L49" i="29"/>
  <c r="L88" i="29"/>
  <c r="L48" i="29"/>
  <c r="M49" i="29"/>
  <c r="S116" i="29"/>
  <c r="S89" i="29"/>
  <c r="S58" i="29"/>
  <c r="S62" i="29"/>
  <c r="O102" i="29"/>
  <c r="O103" i="29"/>
  <c r="P103" i="29"/>
  <c r="AF112" i="29"/>
  <c r="AF111" i="29"/>
  <c r="AG112" i="29"/>
  <c r="AM48" i="29"/>
  <c r="AM88" i="29"/>
  <c r="AM55" i="29"/>
  <c r="G89" i="29"/>
  <c r="G58" i="29"/>
  <c r="G116" i="29"/>
  <c r="H118" i="29" s="1"/>
  <c r="G62" i="29"/>
  <c r="Y112" i="29"/>
  <c r="X111" i="29"/>
  <c r="U106" i="29"/>
  <c r="T105" i="29"/>
  <c r="X105" i="29"/>
  <c r="L112" i="29"/>
  <c r="L111" i="29"/>
  <c r="AB55" i="29"/>
  <c r="AB49" i="29"/>
  <c r="AB88" i="29"/>
  <c r="AB48" i="29"/>
  <c r="AC49" i="29"/>
  <c r="AG90" i="29"/>
  <c r="AG67" i="29"/>
  <c r="AG72" i="29"/>
  <c r="AG73" i="29"/>
  <c r="O100" i="29"/>
  <c r="O99" i="29"/>
  <c r="P100" i="29"/>
  <c r="O121" i="29"/>
  <c r="O120" i="29"/>
  <c r="P121" i="29"/>
  <c r="O106" i="29"/>
  <c r="O105" i="29"/>
  <c r="P106" i="29"/>
  <c r="M158" i="29"/>
  <c r="M157" i="29"/>
  <c r="BE312" i="45"/>
  <c r="BF615" i="45"/>
  <c r="BE248" i="45"/>
  <c r="BE632" i="45"/>
  <c r="BF623" i="45" s="1"/>
  <c r="BE83" i="45"/>
  <c r="BE263" i="45"/>
  <c r="O62" i="29"/>
  <c r="O89" i="29"/>
  <c r="O116" i="29"/>
  <c r="O58" i="29"/>
  <c r="T102" i="29"/>
  <c r="X102" i="29"/>
  <c r="U103" i="29"/>
  <c r="X114" i="29"/>
  <c r="T114" i="29"/>
  <c r="U115" i="29"/>
  <c r="BH300" i="45"/>
  <c r="BH87" i="45"/>
  <c r="BH261" i="45"/>
  <c r="BH267" i="45" s="1"/>
  <c r="BH633" i="45"/>
  <c r="Z237" i="29"/>
  <c r="AA237" i="29"/>
  <c r="BI248" i="45"/>
  <c r="BI83" i="45"/>
  <c r="BI615" i="45"/>
  <c r="BJ615" i="45"/>
  <c r="BI263" i="45"/>
  <c r="BI596" i="45"/>
  <c r="BI232" i="45" s="1"/>
  <c r="BI632" i="45"/>
  <c r="BM604" i="45" s="1"/>
  <c r="BI312" i="45"/>
  <c r="M89" i="29"/>
  <c r="M58" i="29"/>
  <c r="M116" i="29"/>
  <c r="Q117" i="29" s="1"/>
  <c r="M62" i="29"/>
  <c r="Q63" i="29" s="1"/>
  <c r="O146" i="29"/>
  <c r="O153" i="29"/>
  <c r="O138" i="29"/>
  <c r="P146" i="29"/>
  <c r="O115" i="29"/>
  <c r="O114" i="29"/>
  <c r="P115" i="29"/>
  <c r="AF49" i="29"/>
  <c r="AF48" i="29"/>
  <c r="AF88" i="29"/>
  <c r="AF55" i="29"/>
  <c r="AG49" i="29"/>
  <c r="AP83" i="45"/>
  <c r="AP616" i="45" s="1"/>
  <c r="AP263" i="45"/>
  <c r="AP312" i="45"/>
  <c r="AP248" i="45"/>
  <c r="AP632" i="45"/>
  <c r="AT604" i="45" s="1"/>
  <c r="AT596" i="45"/>
  <c r="AT232" i="45" s="1"/>
  <c r="P597" i="45"/>
  <c r="P491" i="45"/>
  <c r="Q617" i="45" s="1"/>
  <c r="P633" i="45"/>
  <c r="Q624" i="45" s="1"/>
  <c r="P616" i="45"/>
  <c r="S96" i="29"/>
  <c r="S107" i="29"/>
  <c r="T109" i="29" s="1"/>
  <c r="S113" i="29"/>
  <c r="T115" i="29" s="1"/>
  <c r="S101" i="29"/>
  <c r="T103" i="29" s="1"/>
  <c r="S119" i="29"/>
  <c r="S104" i="29"/>
  <c r="S106" i="29" s="1"/>
  <c r="W96" i="29"/>
  <c r="S144" i="29"/>
  <c r="S146" i="29" s="1"/>
  <c r="S98" i="29"/>
  <c r="S110" i="29"/>
  <c r="S112" i="29" s="1"/>
  <c r="AI73" i="29"/>
  <c r="AI72" i="29"/>
  <c r="AI90" i="29"/>
  <c r="AI67" i="29"/>
  <c r="F89" i="29"/>
  <c r="F116" i="29"/>
  <c r="F62" i="29"/>
  <c r="F58" i="29"/>
  <c r="T145" i="29"/>
  <c r="X145" i="29"/>
  <c r="T153" i="29"/>
  <c r="U146" i="29"/>
  <c r="T138" i="29"/>
  <c r="T118" i="29"/>
  <c r="T120" i="29"/>
  <c r="U121" i="29"/>
  <c r="X120" i="29"/>
  <c r="AJ116" i="29"/>
  <c r="AJ58" i="29"/>
  <c r="AJ62" i="29"/>
  <c r="AJ89" i="29"/>
  <c r="AB112" i="29"/>
  <c r="AB111" i="29"/>
  <c r="K116" i="29"/>
  <c r="K89" i="29"/>
  <c r="K58" i="29"/>
  <c r="K62" i="29"/>
  <c r="O108" i="29"/>
  <c r="O109" i="29"/>
  <c r="P109" i="29"/>
  <c r="P604" i="45"/>
  <c r="P623" i="45"/>
  <c r="AD116" i="29"/>
  <c r="AD118" i="29" s="1"/>
  <c r="AD89" i="29"/>
  <c r="AD62" i="29"/>
  <c r="AD64" i="29" s="1"/>
  <c r="AD58" i="29"/>
  <c r="AW250" i="45"/>
  <c r="AW412" i="45" s="1"/>
  <c r="AW634" i="45"/>
  <c r="AW89" i="45"/>
  <c r="AW510" i="45"/>
  <c r="AW511" i="45" s="1"/>
  <c r="AW180" i="45"/>
  <c r="AW194" i="45" s="1"/>
  <c r="AW252" i="45"/>
  <c r="N604" i="45"/>
  <c r="N623" i="45"/>
  <c r="O623" i="45"/>
  <c r="M597" i="45"/>
  <c r="M633" i="45"/>
  <c r="Q605" i="45" s="1"/>
  <c r="M491" i="45"/>
  <c r="M616" i="45"/>
  <c r="N112" i="29"/>
  <c r="N111" i="29"/>
  <c r="O112" i="29"/>
  <c r="AA604" i="45"/>
  <c r="AA623" i="45"/>
  <c r="AE604" i="45"/>
  <c r="AK261" i="45"/>
  <c r="AK267" i="45" s="1"/>
  <c r="AK633" i="45"/>
  <c r="AK300" i="45"/>
  <c r="AK87" i="45"/>
  <c r="W62" i="29"/>
  <c r="W89" i="29"/>
  <c r="W116" i="29"/>
  <c r="W58" i="29"/>
  <c r="J111" i="29"/>
  <c r="J112" i="29"/>
  <c r="K112" i="29"/>
  <c r="R103" i="29"/>
  <c r="R102" i="29"/>
  <c r="V102" i="29"/>
  <c r="AC103" i="29"/>
  <c r="AC102" i="29"/>
  <c r="AD103" i="29"/>
  <c r="AG102" i="29"/>
  <c r="AC120" i="29"/>
  <c r="AC121" i="29"/>
  <c r="AG120" i="29"/>
  <c r="AD121" i="29"/>
  <c r="AC109" i="29"/>
  <c r="AD109" i="29"/>
  <c r="AG108" i="29"/>
  <c r="AC108" i="29"/>
  <c r="AG117" i="29"/>
  <c r="C58" i="29"/>
  <c r="C116" i="29"/>
  <c r="C89" i="29"/>
  <c r="C62" i="29"/>
  <c r="L145" i="29"/>
  <c r="L146" i="29"/>
  <c r="M146" i="29"/>
  <c r="Y633" i="45"/>
  <c r="Y491" i="45"/>
  <c r="Y616" i="45"/>
  <c r="Y597" i="45"/>
  <c r="AC597" i="45"/>
  <c r="U112" i="29"/>
  <c r="U111" i="29"/>
  <c r="Y111" i="29"/>
  <c r="AL49" i="29"/>
  <c r="AL48" i="29"/>
  <c r="AL88" i="29"/>
  <c r="AL55" i="29"/>
  <c r="AM49" i="29"/>
  <c r="BK263" i="45"/>
  <c r="BK312" i="45"/>
  <c r="BK248" i="45"/>
  <c r="BK632" i="45"/>
  <c r="BK623" i="45" s="1"/>
  <c r="BK83" i="45"/>
  <c r="BL616" i="45" s="1"/>
  <c r="BK615" i="45"/>
  <c r="M604" i="45"/>
  <c r="M623" i="45"/>
  <c r="Z58" i="29"/>
  <c r="Z89" i="29"/>
  <c r="Z62" i="29"/>
  <c r="Z116" i="29"/>
  <c r="AX615" i="45"/>
  <c r="AX632" i="45"/>
  <c r="AX83" i="45"/>
  <c r="AX263" i="45"/>
  <c r="AX312" i="45"/>
  <c r="BB596" i="45"/>
  <c r="BB232" i="45" s="1"/>
  <c r="AX596" i="45"/>
  <c r="AX232" i="45" s="1"/>
  <c r="AX248" i="45"/>
  <c r="Q72" i="29"/>
  <c r="Q73" i="29"/>
  <c r="R64" i="29"/>
  <c r="Q90" i="29"/>
  <c r="Q67" i="29"/>
  <c r="X499" i="45"/>
  <c r="X635" i="45"/>
  <c r="BC603" i="45"/>
  <c r="BC622" i="45"/>
  <c r="R99" i="29"/>
  <c r="R100" i="29"/>
  <c r="S100" i="29"/>
  <c r="V99" i="29"/>
  <c r="R105" i="29"/>
  <c r="R106" i="29"/>
  <c r="V105" i="29"/>
  <c r="V120" i="29"/>
  <c r="R121" i="29"/>
  <c r="R120" i="29"/>
  <c r="S121" i="29"/>
  <c r="R146" i="29"/>
  <c r="R153" i="29"/>
  <c r="R145" i="29"/>
  <c r="V145" i="29"/>
  <c r="R138" i="29"/>
  <c r="R633" i="45"/>
  <c r="R624" i="45" s="1"/>
  <c r="R597" i="45"/>
  <c r="S616" i="45"/>
  <c r="R491" i="45"/>
  <c r="V598" i="45" s="1"/>
  <c r="R616" i="45"/>
  <c r="AC100" i="29"/>
  <c r="AD100" i="29"/>
  <c r="AC99" i="29"/>
  <c r="AC316" i="29" s="1"/>
  <c r="AG99" i="29"/>
  <c r="AG316" i="29" s="1"/>
  <c r="AD106" i="29"/>
  <c r="AC105" i="29"/>
  <c r="AC106" i="29"/>
  <c r="AG105" i="29"/>
  <c r="AH634" i="45"/>
  <c r="AH250" i="45"/>
  <c r="AH412" i="45" s="1"/>
  <c r="AH510" i="45"/>
  <c r="AH511" i="45" s="1"/>
  <c r="AH252" i="45"/>
  <c r="AH89" i="45"/>
  <c r="AH180" i="45"/>
  <c r="AH194" i="45" s="1"/>
  <c r="V48" i="29"/>
  <c r="V55" i="29"/>
  <c r="V49" i="29"/>
  <c r="V88" i="29"/>
  <c r="AC73" i="29"/>
  <c r="AC67" i="29"/>
  <c r="AC90" i="29"/>
  <c r="AG63" i="29"/>
  <c r="AC72" i="29"/>
  <c r="AS248" i="45"/>
  <c r="AS263" i="45"/>
  <c r="AW596" i="45"/>
  <c r="AW232" i="45" s="1"/>
  <c r="AS83" i="45"/>
  <c r="AS597" i="45" s="1"/>
  <c r="AS632" i="45"/>
  <c r="AS604" i="45" s="1"/>
  <c r="AS615" i="45"/>
  <c r="AS312" i="45"/>
  <c r="AT615" i="45"/>
  <c r="AM622" i="45"/>
  <c r="AN622" i="45"/>
  <c r="AM603" i="45"/>
  <c r="AL112" i="29"/>
  <c r="AL111" i="29"/>
  <c r="AM112" i="29"/>
  <c r="AH111" i="29"/>
  <c r="AH112" i="29"/>
  <c r="AR261" i="45"/>
  <c r="AR267" i="45" s="1"/>
  <c r="AR633" i="45"/>
  <c r="AR300" i="45"/>
  <c r="AR597" i="45"/>
  <c r="AR87" i="45"/>
  <c r="Z616" i="45"/>
  <c r="Z491" i="45"/>
  <c r="Z633" i="45"/>
  <c r="Z605" i="45" s="1"/>
  <c r="N49" i="29"/>
  <c r="R48" i="29"/>
  <c r="N48" i="29"/>
  <c r="N88" i="29"/>
  <c r="O49" i="29"/>
  <c r="N55" i="29"/>
  <c r="U623" i="45"/>
  <c r="T623" i="45"/>
  <c r="T604" i="45"/>
  <c r="X604" i="45"/>
  <c r="AA491" i="45"/>
  <c r="AA633" i="45"/>
  <c r="AB624" i="45" s="1"/>
  <c r="AE597" i="45"/>
  <c r="AA616" i="45"/>
  <c r="AA597" i="45"/>
  <c r="BB603" i="45"/>
  <c r="AX622" i="45"/>
  <c r="AX603" i="45"/>
  <c r="AL603" i="45"/>
  <c r="AL622" i="45"/>
  <c r="AP603" i="45"/>
  <c r="I112" i="29"/>
  <c r="I111" i="29"/>
  <c r="M111" i="29"/>
  <c r="J49" i="29"/>
  <c r="J48" i="29"/>
  <c r="J88" i="29"/>
  <c r="K49" i="29"/>
  <c r="J55" i="29"/>
  <c r="R114" i="29"/>
  <c r="V114" i="29"/>
  <c r="R115" i="29"/>
  <c r="R111" i="29"/>
  <c r="R112" i="29"/>
  <c r="R604" i="45"/>
  <c r="S623" i="45"/>
  <c r="AZ603" i="45"/>
  <c r="AZ622" i="45"/>
  <c r="V111" i="29"/>
  <c r="V112" i="29"/>
  <c r="AI154" i="29"/>
  <c r="AJ155" i="29"/>
  <c r="AI155" i="29"/>
  <c r="AM154" i="29"/>
  <c r="AY603" i="45"/>
  <c r="AY622" i="45"/>
  <c r="AS622" i="45"/>
  <c r="AW603" i="45"/>
  <c r="AT622" i="45"/>
  <c r="P112" i="29"/>
  <c r="P111" i="29"/>
  <c r="T111" i="29"/>
  <c r="Q112" i="29"/>
  <c r="AR265" i="45"/>
  <c r="AR414" i="45"/>
  <c r="AR418" i="45" s="1"/>
  <c r="AR264" i="45"/>
  <c r="AR317" i="45" s="1"/>
  <c r="N616" i="45"/>
  <c r="O616" i="45"/>
  <c r="N491" i="45"/>
  <c r="N597" i="45"/>
  <c r="N633" i="45"/>
  <c r="T597" i="45"/>
  <c r="T491" i="45"/>
  <c r="T616" i="45"/>
  <c r="U616" i="45"/>
  <c r="X597" i="45"/>
  <c r="T633" i="45"/>
  <c r="AK264" i="45"/>
  <c r="AK317" i="45" s="1"/>
  <c r="AK265" i="45"/>
  <c r="AK414" i="45"/>
  <c r="AK418" i="45" s="1"/>
  <c r="AL248" i="45"/>
  <c r="AL83" i="45"/>
  <c r="AL632" i="45"/>
  <c r="AL263" i="45"/>
  <c r="AL312" i="45"/>
  <c r="AL596" i="45"/>
  <c r="AL232" i="45" s="1"/>
  <c r="AL615" i="45"/>
  <c r="AP596" i="45"/>
  <c r="AP232" i="45" s="1"/>
  <c r="M48" i="29"/>
  <c r="I55" i="29"/>
  <c r="I49" i="29"/>
  <c r="I48" i="29"/>
  <c r="I88" i="29"/>
  <c r="BC596" i="45"/>
  <c r="BC232" i="45" s="1"/>
  <c r="BC83" i="45"/>
  <c r="BD616" i="45" s="1"/>
  <c r="BC263" i="45"/>
  <c r="BC248" i="45"/>
  <c r="BC312" i="45"/>
  <c r="BC632" i="45"/>
  <c r="BG604" i="45" s="1"/>
  <c r="BC615" i="45"/>
  <c r="H73" i="29"/>
  <c r="H90" i="29"/>
  <c r="H67" i="29"/>
  <c r="H72" i="29"/>
  <c r="H64" i="29"/>
  <c r="R108" i="29"/>
  <c r="V108" i="29"/>
  <c r="R109" i="29"/>
  <c r="R118" i="29"/>
  <c r="S118" i="29"/>
  <c r="AC112" i="29"/>
  <c r="AC111" i="29"/>
  <c r="AD112" i="29"/>
  <c r="AG111" i="29"/>
  <c r="AD115" i="29"/>
  <c r="AC115" i="29"/>
  <c r="AC114" i="29"/>
  <c r="AG114" i="29"/>
  <c r="AC146" i="29"/>
  <c r="AD146" i="29"/>
  <c r="AC153" i="29"/>
  <c r="AG145" i="29"/>
  <c r="AC145" i="29"/>
  <c r="AZ632" i="45"/>
  <c r="BD604" i="45" s="1"/>
  <c r="AZ83" i="45"/>
  <c r="BD597" i="45" s="1"/>
  <c r="AZ248" i="45"/>
  <c r="AZ312" i="45"/>
  <c r="AZ615" i="45"/>
  <c r="AZ263" i="45"/>
  <c r="K157" i="29"/>
  <c r="K158" i="29"/>
  <c r="L158" i="29"/>
  <c r="AY596" i="45"/>
  <c r="AY232" i="45" s="1"/>
  <c r="AY263" i="45"/>
  <c r="AY312" i="45"/>
  <c r="AY83" i="45"/>
  <c r="AY632" i="45"/>
  <c r="AY248" i="45"/>
  <c r="AY615" i="45"/>
  <c r="AK89" i="29"/>
  <c r="AK116" i="29"/>
  <c r="AO117" i="29" s="1"/>
  <c r="AK62" i="29"/>
  <c r="AO63" i="29" s="1"/>
  <c r="AK58" i="29"/>
  <c r="Y604" i="45"/>
  <c r="Y623" i="45"/>
  <c r="AC604" i="45"/>
  <c r="U635" i="45"/>
  <c r="U499" i="45"/>
  <c r="AM615" i="45"/>
  <c r="AM83" i="45"/>
  <c r="AQ597" i="45" s="1"/>
  <c r="AM312" i="45"/>
  <c r="AM632" i="45"/>
  <c r="AM263" i="45"/>
  <c r="AM248" i="45"/>
  <c r="AN615" i="45"/>
  <c r="AM596" i="45"/>
  <c r="AM232" i="45" s="1"/>
  <c r="Y48" i="29"/>
  <c r="U49" i="29"/>
  <c r="U48" i="29"/>
  <c r="U88" i="29"/>
  <c r="U55" i="29"/>
  <c r="P88" i="29"/>
  <c r="T48" i="29"/>
  <c r="P49" i="29"/>
  <c r="P48" i="29"/>
  <c r="P55" i="29"/>
  <c r="Q49" i="29"/>
  <c r="AH55" i="29"/>
  <c r="AI49" i="29"/>
  <c r="AH49" i="29"/>
  <c r="AH48" i="29"/>
  <c r="AH88" i="29"/>
  <c r="AV300" i="45"/>
  <c r="AV633" i="45"/>
  <c r="AV261" i="45"/>
  <c r="AV267" i="45" s="1"/>
  <c r="AV87" i="45"/>
  <c r="AV597" i="45"/>
  <c r="AV616" i="45"/>
  <c r="AW616" i="45"/>
  <c r="S590" i="45"/>
  <c r="S634" i="45"/>
  <c r="W606" i="45" s="1"/>
  <c r="S510" i="45"/>
  <c r="S511" i="45" s="1"/>
  <c r="S496" i="45"/>
  <c r="S599" i="45" s="1"/>
  <c r="AC499" i="45"/>
  <c r="AC635" i="45"/>
  <c r="BL604" i="45"/>
  <c r="AQ300" i="45"/>
  <c r="AQ261" i="45"/>
  <c r="AQ267" i="45" s="1"/>
  <c r="AR616" i="45"/>
  <c r="AQ633" i="45"/>
  <c r="AQ87" i="45"/>
  <c r="AU597" i="45"/>
  <c r="AV414" i="45"/>
  <c r="AV418" i="45" s="1"/>
  <c r="AV264" i="45"/>
  <c r="AV317" i="45" s="1"/>
  <c r="AV265" i="45"/>
  <c r="AV604" i="45"/>
  <c r="AW623" i="45"/>
  <c r="AV623" i="45"/>
  <c r="BL633" i="45"/>
  <c r="BL87" i="45"/>
  <c r="BL597" i="45"/>
  <c r="AR623" i="45"/>
  <c r="AU604" i="45"/>
  <c r="AQ265" i="45"/>
  <c r="AQ414" i="45"/>
  <c r="AQ418" i="45" s="1"/>
  <c r="AQ264" i="45"/>
  <c r="AQ317" i="45" s="1"/>
  <c r="K11" i="48"/>
  <c r="K9" i="48"/>
  <c r="AN47" i="29"/>
  <c r="AO49" i="29" s="1"/>
  <c r="AN110" i="29"/>
  <c r="AO112" i="29" s="1"/>
  <c r="M76" i="28"/>
  <c r="M52" i="28"/>
  <c r="G6" i="54"/>
  <c r="AN37" i="29"/>
  <c r="AN38" i="29"/>
  <c r="BQ47" i="45"/>
  <c r="AN86" i="29"/>
  <c r="BQ44" i="45"/>
  <c r="BQ43" i="45" s="1"/>
  <c r="K4" i="48"/>
  <c r="BO623" i="45"/>
  <c r="BP623" i="45"/>
  <c r="BP604" i="45"/>
  <c r="Q510" i="45"/>
  <c r="Q511" i="45" s="1"/>
  <c r="Q590" i="45"/>
  <c r="Q496" i="45"/>
  <c r="Q598" i="45"/>
  <c r="Q634" i="45"/>
  <c r="U598" i="45"/>
  <c r="W499" i="45"/>
  <c r="W635" i="45"/>
  <c r="X618" i="45"/>
  <c r="AI180" i="45"/>
  <c r="AI194" i="45" s="1"/>
  <c r="AI634" i="45"/>
  <c r="AI89" i="45"/>
  <c r="AI252" i="45"/>
  <c r="AI250" i="45"/>
  <c r="AI412" i="45" s="1"/>
  <c r="AI510" i="45"/>
  <c r="AI511" i="45" s="1"/>
  <c r="AI617" i="45"/>
  <c r="BA633" i="45"/>
  <c r="BA261" i="45"/>
  <c r="BA267" i="45" s="1"/>
  <c r="BA597" i="45"/>
  <c r="BA87" i="45"/>
  <c r="BA300" i="45"/>
  <c r="BE597" i="45"/>
  <c r="BB616" i="45"/>
  <c r="V634" i="45"/>
  <c r="W625" i="45" s="1"/>
  <c r="V510" i="45"/>
  <c r="V511" i="45" s="1"/>
  <c r="V617" i="45"/>
  <c r="V496" i="45"/>
  <c r="W618" i="45" s="1"/>
  <c r="V590" i="45"/>
  <c r="Z598" i="45"/>
  <c r="BG623" i="45"/>
  <c r="BH623" i="45"/>
  <c r="BK604" i="45"/>
  <c r="AD604" i="45"/>
  <c r="AD623" i="45"/>
  <c r="AE623" i="45"/>
  <c r="BD261" i="45"/>
  <c r="BD267" i="45" s="1"/>
  <c r="BH597" i="45"/>
  <c r="BD87" i="45"/>
  <c r="BD300" i="45"/>
  <c r="BD633" i="45"/>
  <c r="BE616" i="45"/>
  <c r="AF180" i="45"/>
  <c r="AF194" i="45" s="1"/>
  <c r="AF510" i="45"/>
  <c r="AF511" i="45" s="1"/>
  <c r="AF252" i="45"/>
  <c r="AF634" i="45"/>
  <c r="AF89" i="45"/>
  <c r="AF250" i="45"/>
  <c r="AF412" i="45" s="1"/>
  <c r="AF617" i="45"/>
  <c r="BO616" i="45"/>
  <c r="BO87" i="45"/>
  <c r="BO633" i="45"/>
  <c r="BJ510" i="45"/>
  <c r="BJ511" i="45" s="1"/>
  <c r="BJ180" i="45"/>
  <c r="BJ194" i="45" s="1"/>
  <c r="BJ250" i="45"/>
  <c r="BJ412" i="45" s="1"/>
  <c r="BJ634" i="45"/>
  <c r="BN606" i="45" s="1"/>
  <c r="BJ89" i="45"/>
  <c r="BN599" i="45" s="1"/>
  <c r="BN235" i="45" s="1"/>
  <c r="BJ252" i="45"/>
  <c r="AO265" i="45"/>
  <c r="AO264" i="45"/>
  <c r="AO317" i="45" s="1"/>
  <c r="AO414" i="45"/>
  <c r="AO418" i="45" s="1"/>
  <c r="O499" i="45"/>
  <c r="O635" i="45"/>
  <c r="BG616" i="45"/>
  <c r="BG87" i="45"/>
  <c r="BG261" i="45"/>
  <c r="BG267" i="45" s="1"/>
  <c r="BG633" i="45"/>
  <c r="BH616" i="45"/>
  <c r="BG300" i="45"/>
  <c r="BN251" i="45"/>
  <c r="BN92" i="45"/>
  <c r="BN635" i="45"/>
  <c r="BP616" i="45"/>
  <c r="BP633" i="45"/>
  <c r="BP87" i="45"/>
  <c r="BP597" i="45"/>
  <c r="X625" i="45"/>
  <c r="AB605" i="45"/>
  <c r="AC624" i="45"/>
  <c r="AI624" i="45"/>
  <c r="BG264" i="45"/>
  <c r="BG317" i="45" s="1"/>
  <c r="BG265" i="45"/>
  <c r="BG414" i="45"/>
  <c r="BG418" i="45" s="1"/>
  <c r="BM623" i="45"/>
  <c r="BN623" i="45"/>
  <c r="BM87" i="45"/>
  <c r="BM597" i="45"/>
  <c r="BM633" i="45"/>
  <c r="BM616" i="45"/>
  <c r="BN616" i="45"/>
  <c r="BD414" i="45"/>
  <c r="BD418" i="45" s="1"/>
  <c r="BD265" i="45"/>
  <c r="BD264" i="45"/>
  <c r="BD317" i="45" s="1"/>
  <c r="BH604" i="45"/>
  <c r="AF624" i="45"/>
  <c r="BN605" i="45"/>
  <c r="U605" i="45"/>
  <c r="AB510" i="45"/>
  <c r="AB511" i="45" s="1"/>
  <c r="AB496" i="45"/>
  <c r="AB634" i="45"/>
  <c r="AB617" i="45"/>
  <c r="AC617" i="45"/>
  <c r="AB598" i="45"/>
  <c r="AB590" i="45"/>
  <c r="AO261" i="45"/>
  <c r="AO267" i="45" s="1"/>
  <c r="AO300" i="45"/>
  <c r="AO616" i="45"/>
  <c r="AO633" i="45"/>
  <c r="AO87" i="45"/>
  <c r="AO597" i="45"/>
  <c r="AP623" i="45"/>
  <c r="AO604" i="45"/>
  <c r="BA604" i="45"/>
  <c r="BB623" i="45"/>
  <c r="BA264" i="45"/>
  <c r="BA317" i="45" s="1"/>
  <c r="BA265" i="45"/>
  <c r="BA414" i="45"/>
  <c r="BA418" i="45" s="1"/>
  <c r="V624" i="45"/>
  <c r="AT89" i="45"/>
  <c r="AT252" i="45"/>
  <c r="AT250" i="45"/>
  <c r="AT412" i="45" s="1"/>
  <c r="AU617" i="45"/>
  <c r="AT634" i="45"/>
  <c r="AT180" i="45"/>
  <c r="AT194" i="45" s="1"/>
  <c r="AT510" i="45"/>
  <c r="AT511" i="45" s="1"/>
  <c r="AD633" i="45"/>
  <c r="AD597" i="45"/>
  <c r="AD616" i="45"/>
  <c r="AD491" i="45"/>
  <c r="AE616" i="45"/>
  <c r="F28" i="48"/>
  <c r="F21" i="48"/>
  <c r="E21" i="48"/>
  <c r="E28" i="48"/>
  <c r="I19" i="48"/>
  <c r="I27" i="48"/>
  <c r="I29" i="48"/>
  <c r="G28" i="48"/>
  <c r="G21" i="48"/>
  <c r="C19" i="48"/>
  <c r="C27" i="48"/>
  <c r="C29" i="48"/>
  <c r="H28" i="48"/>
  <c r="H21" i="48"/>
  <c r="J29" i="48"/>
  <c r="J19" i="48"/>
  <c r="J27" i="48"/>
  <c r="B27" i="48"/>
  <c r="B19" i="48"/>
  <c r="B29" i="48"/>
  <c r="D28" i="48"/>
  <c r="D21" i="48"/>
  <c r="K56" i="3" l="1"/>
  <c r="K84" i="3"/>
  <c r="I251" i="45"/>
  <c r="I92" i="45"/>
  <c r="I260" i="45"/>
  <c r="J235" i="45"/>
  <c r="J233" i="45"/>
  <c r="I249" i="45"/>
  <c r="I313" i="45"/>
  <c r="J343" i="45"/>
  <c r="F627" i="45"/>
  <c r="J608" i="45"/>
  <c r="G627" i="45"/>
  <c r="J313" i="45"/>
  <c r="J249" i="45"/>
  <c r="K233" i="45"/>
  <c r="K343" i="45"/>
  <c r="J314" i="45"/>
  <c r="J209" i="45"/>
  <c r="J212" i="45" s="1"/>
  <c r="J213" i="45" s="1"/>
  <c r="J253" i="45"/>
  <c r="J196" i="45"/>
  <c r="J295" i="45"/>
  <c r="J294" i="45"/>
  <c r="K235" i="45"/>
  <c r="J92" i="45"/>
  <c r="J251" i="45"/>
  <c r="J260" i="45"/>
  <c r="D174" i="56"/>
  <c r="D176" i="56" s="1"/>
  <c r="M24" i="4"/>
  <c r="M25" i="4"/>
  <c r="M23" i="4"/>
  <c r="M27" i="4"/>
  <c r="M88" i="4"/>
  <c r="N126" i="4" s="1"/>
  <c r="M29" i="4"/>
  <c r="N105" i="4"/>
  <c r="N153" i="4" s="1"/>
  <c r="J88" i="12" s="1"/>
  <c r="M28" i="4"/>
  <c r="N125" i="4"/>
  <c r="M98" i="4"/>
  <c r="M105" i="4"/>
  <c r="M153" i="4" s="1"/>
  <c r="I88" i="12" s="1"/>
  <c r="M97" i="4"/>
  <c r="M32" i="2"/>
  <c r="M6" i="3" s="1"/>
  <c r="M26" i="4"/>
  <c r="G92" i="45"/>
  <c r="G251" i="45"/>
  <c r="G260" i="45"/>
  <c r="G295" i="45"/>
  <c r="G294" i="45"/>
  <c r="G196" i="45"/>
  <c r="G209" i="45"/>
  <c r="G212" i="45" s="1"/>
  <c r="G213" i="45" s="1"/>
  <c r="G253" i="45"/>
  <c r="G314" i="45"/>
  <c r="F60" i="12"/>
  <c r="T42" i="12" s="1"/>
  <c r="J87" i="3"/>
  <c r="I314" i="45"/>
  <c r="I295" i="45"/>
  <c r="I253" i="45"/>
  <c r="I196" i="45"/>
  <c r="I294" i="45"/>
  <c r="I209" i="45"/>
  <c r="I212" i="45" s="1"/>
  <c r="I213" i="45" s="1"/>
  <c r="F586" i="45"/>
  <c r="F637" i="45"/>
  <c r="F620" i="45"/>
  <c r="J601" i="45"/>
  <c r="G620" i="45"/>
  <c r="O26" i="4"/>
  <c r="O23" i="4"/>
  <c r="O88" i="4"/>
  <c r="O126" i="4" s="1"/>
  <c r="O27" i="4"/>
  <c r="O25" i="4"/>
  <c r="O105" i="4"/>
  <c r="O153" i="4" s="1"/>
  <c r="K88" i="12" s="1"/>
  <c r="O125" i="4"/>
  <c r="G174" i="56"/>
  <c r="G176" i="56" s="1"/>
  <c r="O97" i="4"/>
  <c r="O29" i="4"/>
  <c r="O24" i="4"/>
  <c r="O98" i="4"/>
  <c r="O28" i="4"/>
  <c r="L26" i="4"/>
  <c r="L28" i="4"/>
  <c r="L27" i="4"/>
  <c r="L97" i="4"/>
  <c r="L23" i="4"/>
  <c r="L88" i="4"/>
  <c r="M126" i="4" s="1"/>
  <c r="M125" i="4"/>
  <c r="L25" i="4"/>
  <c r="L24" i="4"/>
  <c r="L29" i="4"/>
  <c r="C174" i="56"/>
  <c r="C176" i="56" s="1"/>
  <c r="L32" i="2"/>
  <c r="L6" i="3" s="1"/>
  <c r="L98" i="4"/>
  <c r="AQ155" i="29"/>
  <c r="AT154" i="29"/>
  <c r="AP155" i="29"/>
  <c r="G249" i="45"/>
  <c r="H233" i="45"/>
  <c r="G313" i="45"/>
  <c r="AC82" i="45"/>
  <c r="AC197" i="45" s="1"/>
  <c r="S72" i="3" s="1"/>
  <c r="O27" i="12"/>
  <c r="I52" i="12"/>
  <c r="M73" i="3"/>
  <c r="F170" i="4"/>
  <c r="X342" i="45"/>
  <c r="N336" i="45"/>
  <c r="N272" i="45" s="1"/>
  <c r="M336" i="45"/>
  <c r="M272" i="45" s="1"/>
  <c r="Y341" i="45"/>
  <c r="M289" i="45"/>
  <c r="M271" i="45"/>
  <c r="M288" i="45" s="1"/>
  <c r="Y339" i="45"/>
  <c r="Y329" i="45"/>
  <c r="Y296" i="45"/>
  <c r="X340" i="45"/>
  <c r="X271" i="45" s="1"/>
  <c r="AB150" i="45"/>
  <c r="AB151" i="45" s="1"/>
  <c r="R16" i="2"/>
  <c r="AB27" i="12" s="1"/>
  <c r="S164" i="2"/>
  <c r="R168" i="2"/>
  <c r="R26" i="2" s="1"/>
  <c r="N78" i="3"/>
  <c r="X208" i="45"/>
  <c r="N91" i="3" s="1"/>
  <c r="R334" i="45"/>
  <c r="R278" i="45"/>
  <c r="O70" i="3"/>
  <c r="Y394" i="45"/>
  <c r="Y280" i="45"/>
  <c r="Y202" i="45"/>
  <c r="O90" i="3" s="1"/>
  <c r="Y279" i="45"/>
  <c r="S100" i="2"/>
  <c r="T96" i="2"/>
  <c r="T100" i="2" s="1"/>
  <c r="N27" i="12"/>
  <c r="AB82" i="45"/>
  <c r="AB197" i="45" s="1"/>
  <c r="R72" i="3" s="1"/>
  <c r="N53" i="12" s="1"/>
  <c r="X28" i="1"/>
  <c r="V175" i="45"/>
  <c r="V176" i="45" s="1"/>
  <c r="V334" i="45"/>
  <c r="V278" i="45"/>
  <c r="AH587" i="45"/>
  <c r="AH621" i="45" s="1"/>
  <c r="AH586" i="45"/>
  <c r="AJ515" i="45"/>
  <c r="AI517" i="45"/>
  <c r="Y204" i="45"/>
  <c r="Y141" i="45"/>
  <c r="Y176" i="45" s="1"/>
  <c r="Y382" i="45"/>
  <c r="X346" i="45"/>
  <c r="X316" i="45" s="1"/>
  <c r="X401" i="45"/>
  <c r="X402" i="45" s="1"/>
  <c r="X404" i="45" s="1"/>
  <c r="X297" i="45"/>
  <c r="X298" i="45"/>
  <c r="AA123" i="45"/>
  <c r="AA122" i="45" s="1"/>
  <c r="AA34" i="12"/>
  <c r="Z137" i="45"/>
  <c r="Z204" i="45" s="1"/>
  <c r="Z324" i="45"/>
  <c r="Z326" i="45" s="1"/>
  <c r="X336" i="45"/>
  <c r="X272" i="45" s="1"/>
  <c r="W336" i="45"/>
  <c r="W272" i="45" s="1"/>
  <c r="S411" i="45"/>
  <c r="S288" i="45"/>
  <c r="V411" i="45"/>
  <c r="V288" i="45"/>
  <c r="U289" i="45"/>
  <c r="U271" i="45"/>
  <c r="Y342" i="45"/>
  <c r="Y243" i="45"/>
  <c r="Y417" i="45" s="1"/>
  <c r="D89" i="4"/>
  <c r="K89" i="4"/>
  <c r="U263" i="45" s="1"/>
  <c r="U414" i="45" s="1"/>
  <c r="U418" i="45" s="1"/>
  <c r="L89" i="4"/>
  <c r="S316" i="45"/>
  <c r="T342" i="45"/>
  <c r="T243" i="45"/>
  <c r="T417" i="45" s="1"/>
  <c r="W289" i="45"/>
  <c r="W271" i="45"/>
  <c r="T289" i="45"/>
  <c r="T271" i="45"/>
  <c r="U342" i="45"/>
  <c r="U243" i="45"/>
  <c r="U417" i="45" s="1"/>
  <c r="V243" i="45"/>
  <c r="V417" i="45" s="1"/>
  <c r="U316" i="45"/>
  <c r="I265" i="45"/>
  <c r="I264" i="45"/>
  <c r="I317" i="45" s="1"/>
  <c r="V515" i="45"/>
  <c r="W517" i="45"/>
  <c r="W587" i="45" s="1"/>
  <c r="H264" i="45"/>
  <c r="H317" i="45" s="1"/>
  <c r="H265" i="45"/>
  <c r="K126" i="4"/>
  <c r="X289" i="45"/>
  <c r="J54" i="12"/>
  <c r="N43" i="4"/>
  <c r="H225" i="45"/>
  <c r="H254" i="45"/>
  <c r="H101" i="45"/>
  <c r="H223" i="45" s="1"/>
  <c r="H262" i="45"/>
  <c r="H287" i="45"/>
  <c r="H290" i="45" s="1"/>
  <c r="H98" i="45"/>
  <c r="H103" i="45"/>
  <c r="H224" i="45" s="1"/>
  <c r="I236" i="45"/>
  <c r="F225" i="45"/>
  <c r="F254" i="45"/>
  <c r="F98" i="45"/>
  <c r="F103" i="45"/>
  <c r="F224" i="45" s="1"/>
  <c r="F262" i="45"/>
  <c r="F101" i="45"/>
  <c r="F223" i="45" s="1"/>
  <c r="F287" i="45"/>
  <c r="F290" i="45" s="1"/>
  <c r="F291" i="45" s="1"/>
  <c r="G236" i="45"/>
  <c r="I152" i="4"/>
  <c r="E87" i="12" s="1"/>
  <c r="S61" i="12"/>
  <c r="R279" i="45"/>
  <c r="R202" i="45"/>
  <c r="H90" i="3" s="1"/>
  <c r="R280" i="45"/>
  <c r="N202" i="45"/>
  <c r="D90" i="3" s="1"/>
  <c r="N279" i="45"/>
  <c r="N280" i="45"/>
  <c r="O342" i="45"/>
  <c r="O263" i="45" s="1"/>
  <c r="P342" i="45"/>
  <c r="P263" i="45" s="1"/>
  <c r="P265" i="45" s="1"/>
  <c r="O243" i="45"/>
  <c r="P243" i="45"/>
  <c r="O316" i="45"/>
  <c r="M279" i="45"/>
  <c r="M202" i="45"/>
  <c r="M280" i="45"/>
  <c r="I89" i="4"/>
  <c r="S78" i="12" s="1"/>
  <c r="S280" i="45"/>
  <c r="S279" i="45"/>
  <c r="S202" i="45"/>
  <c r="I90" i="3" s="1"/>
  <c r="S281" i="45"/>
  <c r="O279" i="45"/>
  <c r="O202" i="45"/>
  <c r="E90" i="3" s="1"/>
  <c r="O280" i="45"/>
  <c r="J126" i="4"/>
  <c r="M343" i="45"/>
  <c r="N342" i="45"/>
  <c r="N263" i="45" s="1"/>
  <c r="N243" i="45"/>
  <c r="M243" i="45"/>
  <c r="M342" i="45"/>
  <c r="M263" i="45" s="1"/>
  <c r="M316" i="45"/>
  <c r="K152" i="4"/>
  <c r="G87" i="12" s="1"/>
  <c r="U61" i="12"/>
  <c r="H126" i="4"/>
  <c r="P280" i="45"/>
  <c r="P279" i="45"/>
  <c r="P202" i="45"/>
  <c r="F90" i="3" s="1"/>
  <c r="P281" i="45"/>
  <c r="L152" i="4"/>
  <c r="H87" i="12" s="1"/>
  <c r="V61" i="12"/>
  <c r="O58" i="12"/>
  <c r="P58" i="12"/>
  <c r="P72" i="44"/>
  <c r="Q49" i="44"/>
  <c r="T30" i="44"/>
  <c r="Q48" i="44"/>
  <c r="P71" i="44"/>
  <c r="O50" i="44"/>
  <c r="O62" i="44" s="1"/>
  <c r="O53" i="44"/>
  <c r="O65" i="44" s="1"/>
  <c r="O69" i="44"/>
  <c r="X70" i="44" s="1"/>
  <c r="Q47" i="44"/>
  <c r="P70" i="44"/>
  <c r="T55" i="28"/>
  <c r="T57" i="28" s="1"/>
  <c r="O53" i="12"/>
  <c r="P200" i="28"/>
  <c r="P74" i="28"/>
  <c r="P50" i="28"/>
  <c r="P201" i="28" s="1"/>
  <c r="O50" i="28"/>
  <c r="O201" i="28" s="1"/>
  <c r="O74" i="28"/>
  <c r="O200" i="28"/>
  <c r="P205" i="28"/>
  <c r="P58" i="28"/>
  <c r="P206" i="28" s="1"/>
  <c r="O46" i="28"/>
  <c r="O199" i="28" s="1"/>
  <c r="O198" i="28"/>
  <c r="O51" i="28"/>
  <c r="O68" i="28"/>
  <c r="T5" i="44"/>
  <c r="T39" i="44" s="1"/>
  <c r="T26" i="44"/>
  <c r="T17" i="44"/>
  <c r="T31" i="44" s="1"/>
  <c r="P13" i="28"/>
  <c r="P190" i="28" s="1"/>
  <c r="P189" i="28"/>
  <c r="P55" i="28"/>
  <c r="P45" i="28"/>
  <c r="S42" i="44"/>
  <c r="S40" i="44"/>
  <c r="S36" i="44"/>
  <c r="S43" i="44"/>
  <c r="S37" i="44"/>
  <c r="S41" i="44"/>
  <c r="S38" i="44"/>
  <c r="S34" i="44"/>
  <c r="S35" i="44"/>
  <c r="O56" i="28"/>
  <c r="O204" i="28" s="1"/>
  <c r="O59" i="28"/>
  <c r="O203" i="28"/>
  <c r="O55" i="3"/>
  <c r="N85" i="3"/>
  <c r="N58" i="3"/>
  <c r="G170" i="4"/>
  <c r="L170" i="4"/>
  <c r="N76" i="28"/>
  <c r="N60" i="28"/>
  <c r="N208" i="28" s="1"/>
  <c r="N207" i="28"/>
  <c r="I5" i="54"/>
  <c r="I6" i="54" s="1"/>
  <c r="Q48" i="48"/>
  <c r="M48" i="48"/>
  <c r="M208" i="28"/>
  <c r="V605" i="45"/>
  <c r="BA623" i="45"/>
  <c r="BD623" i="45"/>
  <c r="S109" i="29"/>
  <c r="G117" i="29"/>
  <c r="T146" i="29"/>
  <c r="Y89" i="29"/>
  <c r="Y62" i="29"/>
  <c r="Y116" i="29"/>
  <c r="AC117" i="29" s="1"/>
  <c r="Y58" i="29"/>
  <c r="BB633" i="45"/>
  <c r="AQ616" i="45"/>
  <c r="S115" i="29"/>
  <c r="BB87" i="45"/>
  <c r="BB89" i="45" s="1"/>
  <c r="AE62" i="29"/>
  <c r="AE64" i="29" s="1"/>
  <c r="AE58" i="29"/>
  <c r="AE116" i="29"/>
  <c r="AI117" i="29" s="1"/>
  <c r="AE89" i="29"/>
  <c r="AO623" i="45"/>
  <c r="BB300" i="45"/>
  <c r="BE604" i="45"/>
  <c r="BE623" i="45"/>
  <c r="AQ623" i="45"/>
  <c r="K117" i="29"/>
  <c r="BF597" i="45"/>
  <c r="AN265" i="45"/>
  <c r="AN414" i="45"/>
  <c r="AN418" i="45" s="1"/>
  <c r="AN264" i="45"/>
  <c r="AN317" i="45" s="1"/>
  <c r="AN300" i="45"/>
  <c r="AN87" i="45"/>
  <c r="AR598" i="45" s="1"/>
  <c r="AR234" i="45" s="1"/>
  <c r="AN261" i="45"/>
  <c r="AN267" i="45" s="1"/>
  <c r="AN633" i="45"/>
  <c r="AR605" i="45" s="1"/>
  <c r="BR632" i="45"/>
  <c r="BR604" i="45" s="1"/>
  <c r="L17" i="48"/>
  <c r="L27" i="48" s="1"/>
  <c r="L26" i="48"/>
  <c r="H6" i="54"/>
  <c r="L48" i="48"/>
  <c r="X87" i="45"/>
  <c r="X300" i="45"/>
  <c r="L72" i="4"/>
  <c r="V50" i="12" s="1"/>
  <c r="V76" i="12" s="1"/>
  <c r="H118" i="28"/>
  <c r="L85" i="4"/>
  <c r="V262" i="45" s="1"/>
  <c r="L84" i="4"/>
  <c r="V261" i="45" s="1"/>
  <c r="V267" i="45" s="1"/>
  <c r="L149" i="4"/>
  <c r="L83" i="4"/>
  <c r="V260" i="45" s="1"/>
  <c r="L57" i="1"/>
  <c r="H38" i="12" s="1"/>
  <c r="L56" i="1"/>
  <c r="C18" i="54"/>
  <c r="H35" i="12"/>
  <c r="U87" i="45"/>
  <c r="U300" i="45"/>
  <c r="M175" i="1"/>
  <c r="M36" i="1"/>
  <c r="I28" i="12"/>
  <c r="I30" i="12" s="1"/>
  <c r="M55" i="4"/>
  <c r="G60" i="26"/>
  <c r="G62" i="26" s="1"/>
  <c r="G63" i="26" s="1"/>
  <c r="G65" i="26" s="1"/>
  <c r="M71" i="4"/>
  <c r="M176" i="1"/>
  <c r="M87" i="4" s="1"/>
  <c r="M89" i="4" s="1"/>
  <c r="W263" i="45" s="1"/>
  <c r="M150" i="4"/>
  <c r="I85" i="12" s="1"/>
  <c r="M139" i="4"/>
  <c r="S413" i="45"/>
  <c r="S385" i="45"/>
  <c r="S348" i="45"/>
  <c r="S253" i="45"/>
  <c r="S295" i="45"/>
  <c r="I89" i="3"/>
  <c r="S196" i="45"/>
  <c r="S209" i="45"/>
  <c r="S212" i="45" s="1"/>
  <c r="S213" i="45" s="1"/>
  <c r="S294" i="45"/>
  <c r="S314" i="45"/>
  <c r="X232" i="45"/>
  <c r="W83" i="45"/>
  <c r="W248" i="45"/>
  <c r="W312" i="45"/>
  <c r="W232" i="45"/>
  <c r="Y81" i="45"/>
  <c r="Y247" i="45"/>
  <c r="Y298" i="45"/>
  <c r="Y281" i="45"/>
  <c r="Y231" i="45"/>
  <c r="O70" i="4"/>
  <c r="Y49" i="12" s="1"/>
  <c r="Y75" i="12" s="1"/>
  <c r="O110" i="4"/>
  <c r="Y62" i="12" s="1"/>
  <c r="O54" i="4"/>
  <c r="O151" i="4"/>
  <c r="K86" i="12" s="1"/>
  <c r="K24" i="12"/>
  <c r="K25" i="12" s="1"/>
  <c r="O30" i="1"/>
  <c r="F16" i="54"/>
  <c r="O111" i="4"/>
  <c r="N248" i="45"/>
  <c r="N312" i="45"/>
  <c r="O232" i="45"/>
  <c r="N83" i="45"/>
  <c r="J175" i="1"/>
  <c r="F28" i="12"/>
  <c r="F30" i="12" s="1"/>
  <c r="J139" i="4"/>
  <c r="J150" i="4"/>
  <c r="F85" i="12" s="1"/>
  <c r="J176" i="1"/>
  <c r="J87" i="4" s="1"/>
  <c r="J89" i="4" s="1"/>
  <c r="J36" i="1"/>
  <c r="D60" i="26"/>
  <c r="D62" i="26" s="1"/>
  <c r="D63" i="26" s="1"/>
  <c r="D65" i="26" s="1"/>
  <c r="J71" i="4"/>
  <c r="J55" i="4"/>
  <c r="C71" i="4"/>
  <c r="C176" i="1"/>
  <c r="C87" i="4" s="1"/>
  <c r="C175" i="1"/>
  <c r="C36" i="1"/>
  <c r="C139" i="4"/>
  <c r="F176" i="1"/>
  <c r="F87" i="4" s="1"/>
  <c r="F89" i="4" s="1"/>
  <c r="F71" i="4"/>
  <c r="F175" i="1"/>
  <c r="F150" i="4"/>
  <c r="B85" i="12" s="1"/>
  <c r="F55" i="4"/>
  <c r="F36" i="1"/>
  <c r="F139" i="4"/>
  <c r="R248" i="45"/>
  <c r="R83" i="45"/>
  <c r="S232" i="45"/>
  <c r="R312" i="45"/>
  <c r="M248" i="45"/>
  <c r="N232" i="45"/>
  <c r="M312" i="45"/>
  <c r="M232" i="45"/>
  <c r="M83" i="45"/>
  <c r="T248" i="45"/>
  <c r="U232" i="45"/>
  <c r="T83" i="45"/>
  <c r="T312" i="45"/>
  <c r="T232" i="45"/>
  <c r="D55" i="4"/>
  <c r="D53" i="1"/>
  <c r="D92" i="4"/>
  <c r="D144" i="4"/>
  <c r="D140" i="4"/>
  <c r="D54" i="1"/>
  <c r="D73" i="4"/>
  <c r="D79" i="4"/>
  <c r="D63" i="3"/>
  <c r="D80" i="4"/>
  <c r="D40" i="1"/>
  <c r="D78" i="4"/>
  <c r="G36" i="1"/>
  <c r="G150" i="4"/>
  <c r="C85" i="12" s="1"/>
  <c r="G71" i="4"/>
  <c r="G55" i="4"/>
  <c r="G176" i="1"/>
  <c r="G87" i="4" s="1"/>
  <c r="G89" i="4" s="1"/>
  <c r="G175" i="1"/>
  <c r="G139" i="4"/>
  <c r="H175" i="1"/>
  <c r="D28" i="12"/>
  <c r="D30" i="12" s="1"/>
  <c r="H71" i="4"/>
  <c r="H150" i="4"/>
  <c r="D85" i="12" s="1"/>
  <c r="H36" i="1"/>
  <c r="H55" i="4"/>
  <c r="H139" i="4"/>
  <c r="H176" i="1"/>
  <c r="H87" i="4" s="1"/>
  <c r="H89" i="4" s="1"/>
  <c r="I168" i="4"/>
  <c r="H169" i="4"/>
  <c r="H170" i="4" s="1"/>
  <c r="I169" i="4"/>
  <c r="L67" i="3"/>
  <c r="H48" i="12" s="1"/>
  <c r="H47" i="12"/>
  <c r="H43" i="12" s="1"/>
  <c r="K40" i="1"/>
  <c r="K53" i="1"/>
  <c r="K92" i="4"/>
  <c r="K79" i="4"/>
  <c r="K73" i="4"/>
  <c r="K80" i="4"/>
  <c r="K57" i="4"/>
  <c r="K144" i="4"/>
  <c r="K63" i="3"/>
  <c r="K54" i="1"/>
  <c r="K78" i="4"/>
  <c r="K140" i="4"/>
  <c r="G33" i="12"/>
  <c r="K65" i="1"/>
  <c r="B165" i="56" s="1"/>
  <c r="K55" i="4"/>
  <c r="G25" i="12"/>
  <c r="J33" i="12"/>
  <c r="N80" i="4"/>
  <c r="N78" i="4"/>
  <c r="N144" i="4"/>
  <c r="N65" i="1"/>
  <c r="E165" i="56" s="1"/>
  <c r="N40" i="1"/>
  <c r="N92" i="4"/>
  <c r="N140" i="4"/>
  <c r="N53" i="1"/>
  <c r="N54" i="1"/>
  <c r="N73" i="4"/>
  <c r="N79" i="4"/>
  <c r="J25" i="12"/>
  <c r="O248" i="45"/>
  <c r="O83" i="45"/>
  <c r="P232" i="45"/>
  <c r="O312" i="45"/>
  <c r="D25" i="54"/>
  <c r="D29" i="54" s="1"/>
  <c r="D31" i="54" s="1"/>
  <c r="D17" i="54"/>
  <c r="M169" i="4"/>
  <c r="M170" i="4" s="1"/>
  <c r="N168" i="4"/>
  <c r="N170" i="4" s="1"/>
  <c r="V385" i="45"/>
  <c r="V413" i="45"/>
  <c r="V393" i="45"/>
  <c r="V348" i="45"/>
  <c r="V92" i="45"/>
  <c r="V251" i="45"/>
  <c r="V196" i="45"/>
  <c r="V295" i="45"/>
  <c r="V294" i="45"/>
  <c r="V392" i="45"/>
  <c r="V209" i="45"/>
  <c r="V212" i="45" s="1"/>
  <c r="V213" i="45" s="1"/>
  <c r="V253" i="45"/>
  <c r="L89" i="3"/>
  <c r="V314" i="45"/>
  <c r="S92" i="45"/>
  <c r="S260" i="45"/>
  <c r="S251" i="45"/>
  <c r="R232" i="45"/>
  <c r="Q248" i="45"/>
  <c r="Q83" i="45"/>
  <c r="Q263" i="45"/>
  <c r="Q312" i="45"/>
  <c r="P87" i="45"/>
  <c r="P261" i="45"/>
  <c r="P267" i="45" s="1"/>
  <c r="P300" i="45"/>
  <c r="I80" i="4"/>
  <c r="I53" i="1"/>
  <c r="I144" i="4"/>
  <c r="I78" i="4"/>
  <c r="I79" i="4"/>
  <c r="I92" i="4"/>
  <c r="I73" i="4"/>
  <c r="E33" i="12"/>
  <c r="I140" i="4"/>
  <c r="I65" i="1"/>
  <c r="I40" i="1"/>
  <c r="I57" i="4"/>
  <c r="I63" i="3"/>
  <c r="I54" i="1"/>
  <c r="J169" i="4"/>
  <c r="J170" i="4" s="1"/>
  <c r="K168" i="4"/>
  <c r="K170" i="4" s="1"/>
  <c r="E176" i="1"/>
  <c r="E87" i="4" s="1"/>
  <c r="E89" i="4" s="1"/>
  <c r="E36" i="1"/>
  <c r="E175" i="1"/>
  <c r="E55" i="4"/>
  <c r="E71" i="4"/>
  <c r="E139" i="4"/>
  <c r="E150" i="4"/>
  <c r="O160" i="4"/>
  <c r="O169" i="4" s="1"/>
  <c r="O170" i="4" s="1"/>
  <c r="Y48" i="12"/>
  <c r="Y74" i="12" s="1"/>
  <c r="E57" i="56"/>
  <c r="G56" i="56"/>
  <c r="E54" i="56"/>
  <c r="BR83" i="45"/>
  <c r="BR87" i="45" s="1"/>
  <c r="BR596" i="45"/>
  <c r="BR232" i="45" s="1"/>
  <c r="BR248" i="45"/>
  <c r="BK597" i="45"/>
  <c r="BO597" i="45"/>
  <c r="W599" i="45"/>
  <c r="T90" i="29"/>
  <c r="T73" i="29"/>
  <c r="T67" i="29"/>
  <c r="T72" i="29"/>
  <c r="K617" i="45"/>
  <c r="K590" i="45"/>
  <c r="K598" i="45"/>
  <c r="K496" i="45"/>
  <c r="L618" i="45" s="1"/>
  <c r="K510" i="45"/>
  <c r="K511" i="45" s="1"/>
  <c r="O598" i="45"/>
  <c r="K634" i="45"/>
  <c r="AE590" i="45"/>
  <c r="AE634" i="45"/>
  <c r="AE510" i="45"/>
  <c r="AE511" i="45" s="1"/>
  <c r="AE496" i="45"/>
  <c r="Q155" i="29"/>
  <c r="P154" i="29"/>
  <c r="AH623" i="45"/>
  <c r="AG623" i="45"/>
  <c r="AJ265" i="45"/>
  <c r="AJ414" i="45"/>
  <c r="AJ418" i="45" s="1"/>
  <c r="AJ264" i="45"/>
  <c r="AJ317" i="45" s="1"/>
  <c r="D58" i="29"/>
  <c r="D89" i="29"/>
  <c r="D116" i="29"/>
  <c r="H117" i="29" s="1"/>
  <c r="D62" i="29"/>
  <c r="Q140" i="29"/>
  <c r="P139" i="29"/>
  <c r="P147" i="29"/>
  <c r="P156" i="29"/>
  <c r="AG300" i="45"/>
  <c r="AG87" i="45"/>
  <c r="AK598" i="45" s="1"/>
  <c r="AK234" i="45" s="1"/>
  <c r="AG633" i="45"/>
  <c r="AH616" i="45"/>
  <c r="AG261" i="45"/>
  <c r="AG267" i="45" s="1"/>
  <c r="AG616" i="45"/>
  <c r="L617" i="45"/>
  <c r="AA89" i="29"/>
  <c r="AA62" i="29"/>
  <c r="AA116" i="29"/>
  <c r="AE117" i="29" s="1"/>
  <c r="AA58" i="29"/>
  <c r="AJ87" i="45"/>
  <c r="AJ616" i="45"/>
  <c r="AJ300" i="45"/>
  <c r="AJ261" i="45"/>
  <c r="AJ267" i="45" s="1"/>
  <c r="AN597" i="45"/>
  <c r="AJ597" i="45"/>
  <c r="AJ633" i="45"/>
  <c r="S606" i="45"/>
  <c r="AK604" i="45"/>
  <c r="S103" i="29"/>
  <c r="K624" i="45"/>
  <c r="K605" i="45"/>
  <c r="O605" i="45"/>
  <c r="R91" i="29"/>
  <c r="R77" i="29"/>
  <c r="R76" i="29"/>
  <c r="R122" i="29"/>
  <c r="AG264" i="45"/>
  <c r="AG317" i="45" s="1"/>
  <c r="AG265" i="45"/>
  <c r="AG414" i="45"/>
  <c r="AG418" i="45" s="1"/>
  <c r="AN604" i="45"/>
  <c r="AJ604" i="45"/>
  <c r="AJ623" i="45"/>
  <c r="E58" i="29"/>
  <c r="E89" i="29"/>
  <c r="E62" i="29"/>
  <c r="E116" i="29"/>
  <c r="BF605" i="45"/>
  <c r="BB510" i="45"/>
  <c r="BB511" i="45" s="1"/>
  <c r="BB250" i="45"/>
  <c r="BB412" i="45" s="1"/>
  <c r="BB252" i="45"/>
  <c r="BO604" i="45"/>
  <c r="BL623" i="45"/>
  <c r="L599" i="45"/>
  <c r="L635" i="45"/>
  <c r="L499" i="45"/>
  <c r="L606" i="45"/>
  <c r="L625" i="45"/>
  <c r="BF252" i="45"/>
  <c r="BF89" i="45"/>
  <c r="BJ599" i="45" s="1"/>
  <c r="BJ235" i="45" s="1"/>
  <c r="BF598" i="45"/>
  <c r="BF234" i="45" s="1"/>
  <c r="BF180" i="45"/>
  <c r="BF194" i="45" s="1"/>
  <c r="BF634" i="45"/>
  <c r="BJ606" i="45" s="1"/>
  <c r="BF510" i="45"/>
  <c r="BF511" i="45" s="1"/>
  <c r="BF250" i="45"/>
  <c r="BF412" i="45" s="1"/>
  <c r="AU180" i="45"/>
  <c r="AU194" i="45" s="1"/>
  <c r="AU634" i="45"/>
  <c r="AU625" i="45" s="1"/>
  <c r="AU89" i="45"/>
  <c r="AU250" i="45"/>
  <c r="AU412" i="45" s="1"/>
  <c r="AU252" i="45"/>
  <c r="AU510" i="45"/>
  <c r="AU511" i="45" s="1"/>
  <c r="AJ118" i="29"/>
  <c r="T154" i="29"/>
  <c r="X154" i="29"/>
  <c r="U155" i="29"/>
  <c r="S114" i="29"/>
  <c r="W114" i="29"/>
  <c r="P605" i="45"/>
  <c r="P624" i="45"/>
  <c r="AP261" i="45"/>
  <c r="AP267" i="45" s="1"/>
  <c r="AP87" i="45"/>
  <c r="AQ617" i="45" s="1"/>
  <c r="AP633" i="45"/>
  <c r="AT605" i="45" s="1"/>
  <c r="AP300" i="45"/>
  <c r="AT597" i="45"/>
  <c r="M118" i="29"/>
  <c r="BJ623" i="45"/>
  <c r="BI623" i="45"/>
  <c r="BI604" i="45"/>
  <c r="AG122" i="29"/>
  <c r="AG76" i="29"/>
  <c r="D22" i="48" s="1"/>
  <c r="AG77" i="29"/>
  <c r="AG91" i="29"/>
  <c r="G118" i="29"/>
  <c r="S63" i="29"/>
  <c r="S73" i="29"/>
  <c r="S72" i="29"/>
  <c r="S64" i="29"/>
  <c r="S90" i="29"/>
  <c r="T64" i="29"/>
  <c r="S67" i="29"/>
  <c r="L58" i="29"/>
  <c r="L116" i="29"/>
  <c r="L62" i="29"/>
  <c r="M64" i="29" s="1"/>
  <c r="L89" i="29"/>
  <c r="F73" i="29"/>
  <c r="F64" i="29"/>
  <c r="F90" i="29"/>
  <c r="F67" i="29"/>
  <c r="F72" i="29"/>
  <c r="AI76" i="29"/>
  <c r="F22" i="48" s="1"/>
  <c r="AI91" i="29"/>
  <c r="AI77" i="29"/>
  <c r="AI122" i="29"/>
  <c r="S111" i="29"/>
  <c r="W111" i="29"/>
  <c r="S105" i="29"/>
  <c r="W105" i="29"/>
  <c r="S108" i="29"/>
  <c r="W108" i="29"/>
  <c r="P598" i="45"/>
  <c r="P496" i="45"/>
  <c r="Q618" i="45" s="1"/>
  <c r="P510" i="45"/>
  <c r="P511" i="45" s="1"/>
  <c r="P634" i="45"/>
  <c r="Q625" i="45" s="1"/>
  <c r="P590" i="45"/>
  <c r="P617" i="45"/>
  <c r="BI597" i="45"/>
  <c r="BI87" i="45"/>
  <c r="BM598" i="45" s="1"/>
  <c r="BM234" i="45" s="1"/>
  <c r="BJ616" i="45"/>
  <c r="BI616" i="45"/>
  <c r="BI261" i="45"/>
  <c r="BI267" i="45" s="1"/>
  <c r="BI633" i="45"/>
  <c r="BM605" i="45" s="1"/>
  <c r="BI300" i="45"/>
  <c r="O90" i="29"/>
  <c r="O72" i="29"/>
  <c r="O73" i="29"/>
  <c r="O67" i="29"/>
  <c r="O63" i="29"/>
  <c r="AD90" i="29"/>
  <c r="AD73" i="29"/>
  <c r="AD67" i="29"/>
  <c r="AD72" i="29"/>
  <c r="K90" i="29"/>
  <c r="K73" i="29"/>
  <c r="K67" i="29"/>
  <c r="K72" i="29"/>
  <c r="K63" i="29"/>
  <c r="AJ64" i="29"/>
  <c r="AJ90" i="29"/>
  <c r="AJ73" i="29"/>
  <c r="AJ72" i="29"/>
  <c r="AJ67" i="29"/>
  <c r="U140" i="29"/>
  <c r="X139" i="29"/>
  <c r="T139" i="29"/>
  <c r="T147" i="29"/>
  <c r="T156" i="29"/>
  <c r="S99" i="29"/>
  <c r="W99" i="29"/>
  <c r="W316" i="29" s="1"/>
  <c r="S120" i="29"/>
  <c r="W120" i="29"/>
  <c r="AF89" i="29"/>
  <c r="AF62" i="29"/>
  <c r="AF58" i="29"/>
  <c r="AF116" i="29"/>
  <c r="AJ117" i="29" s="1"/>
  <c r="O156" i="29"/>
  <c r="O147" i="29"/>
  <c r="O140" i="29"/>
  <c r="P140" i="29"/>
  <c r="BI265" i="45"/>
  <c r="BI414" i="45"/>
  <c r="BI418" i="45" s="1"/>
  <c r="BI264" i="45"/>
  <c r="BI317" i="45" s="1"/>
  <c r="BE265" i="45"/>
  <c r="BE264" i="45"/>
  <c r="BE317" i="45" s="1"/>
  <c r="BE414" i="45"/>
  <c r="BE418" i="45" s="1"/>
  <c r="T112" i="29"/>
  <c r="X116" i="29"/>
  <c r="X62" i="29"/>
  <c r="X58" i="29"/>
  <c r="X89" i="29"/>
  <c r="T121" i="29"/>
  <c r="S153" i="29"/>
  <c r="T155" i="29" s="1"/>
  <c r="S138" i="29"/>
  <c r="S140" i="29" s="1"/>
  <c r="S145" i="29"/>
  <c r="W145" i="29"/>
  <c r="S102" i="29"/>
  <c r="W102" i="29"/>
  <c r="AP264" i="45"/>
  <c r="AP317" i="45" s="1"/>
  <c r="AP414" i="45"/>
  <c r="AP418" i="45" s="1"/>
  <c r="AP265" i="45"/>
  <c r="O155" i="29"/>
  <c r="P155" i="29"/>
  <c r="M73" i="29"/>
  <c r="M67" i="29"/>
  <c r="Q68" i="29" s="1"/>
  <c r="M90" i="29"/>
  <c r="M72" i="29"/>
  <c r="BH510" i="45"/>
  <c r="BH511" i="45" s="1"/>
  <c r="BH250" i="45"/>
  <c r="BH412" i="45" s="1"/>
  <c r="BH89" i="45"/>
  <c r="BH180" i="45"/>
  <c r="BH194" i="45" s="1"/>
  <c r="BH634" i="45"/>
  <c r="BH252" i="45"/>
  <c r="O117" i="29"/>
  <c r="BE87" i="45"/>
  <c r="BE617" i="45" s="1"/>
  <c r="BF616" i="45"/>
  <c r="BE261" i="45"/>
  <c r="BE267" i="45" s="1"/>
  <c r="BE300" i="45"/>
  <c r="BE633" i="45"/>
  <c r="BF624" i="45" s="1"/>
  <c r="AB62" i="29"/>
  <c r="AB89" i="29"/>
  <c r="AB116" i="29"/>
  <c r="AB58" i="29"/>
  <c r="T106" i="29"/>
  <c r="G73" i="29"/>
  <c r="G90" i="29"/>
  <c r="G67" i="29"/>
  <c r="G64" i="29"/>
  <c r="G72" i="29"/>
  <c r="AM116" i="29"/>
  <c r="AM62" i="29"/>
  <c r="AQ63" i="29" s="1"/>
  <c r="AM89" i="29"/>
  <c r="AM58" i="29"/>
  <c r="S117" i="29"/>
  <c r="T100" i="29"/>
  <c r="BA616" i="45"/>
  <c r="Z624" i="45"/>
  <c r="AW260" i="45"/>
  <c r="AW635" i="45"/>
  <c r="AW92" i="45"/>
  <c r="AW251" i="45"/>
  <c r="AW393" i="45"/>
  <c r="AW413" i="45"/>
  <c r="AW385" i="45"/>
  <c r="AW348" i="45"/>
  <c r="AW209" i="45"/>
  <c r="AW212" i="45" s="1"/>
  <c r="AW213" i="45" s="1"/>
  <c r="AW314" i="45"/>
  <c r="AW196" i="45"/>
  <c r="AW392" i="45"/>
  <c r="AW294" i="45"/>
  <c r="AW253" i="45"/>
  <c r="AW295" i="45"/>
  <c r="BG597" i="45"/>
  <c r="U62" i="29"/>
  <c r="U116" i="29"/>
  <c r="U89" i="29"/>
  <c r="U58" i="29"/>
  <c r="AM414" i="45"/>
  <c r="AM418" i="45" s="1"/>
  <c r="AM265" i="45"/>
  <c r="AM264" i="45"/>
  <c r="AM317" i="45" s="1"/>
  <c r="AM87" i="45"/>
  <c r="AQ598" i="45" s="1"/>
  <c r="AQ234" i="45" s="1"/>
  <c r="AM261" i="45"/>
  <c r="AM267" i="45" s="1"/>
  <c r="AM633" i="45"/>
  <c r="AQ605" i="45" s="1"/>
  <c r="AM616" i="45"/>
  <c r="AM300" i="45"/>
  <c r="AN616" i="45"/>
  <c r="AM597" i="45"/>
  <c r="AK67" i="29"/>
  <c r="AO68" i="29" s="1"/>
  <c r="AK90" i="29"/>
  <c r="AK63" i="29"/>
  <c r="AK72" i="29"/>
  <c r="AK64" i="29"/>
  <c r="AK73" i="29"/>
  <c r="BC414" i="45"/>
  <c r="BC418" i="45" s="1"/>
  <c r="BC265" i="45"/>
  <c r="BC264" i="45"/>
  <c r="BC317" i="45" s="1"/>
  <c r="N624" i="45"/>
  <c r="O624" i="45"/>
  <c r="N605" i="45"/>
  <c r="J116" i="29"/>
  <c r="J89" i="29"/>
  <c r="J58" i="29"/>
  <c r="J62" i="29"/>
  <c r="N89" i="29"/>
  <c r="N116" i="29"/>
  <c r="N58" i="29"/>
  <c r="N62" i="29"/>
  <c r="AW604" i="45"/>
  <c r="AS623" i="45"/>
  <c r="AT623" i="45"/>
  <c r="S617" i="45"/>
  <c r="R598" i="45"/>
  <c r="R496" i="45"/>
  <c r="R618" i="45" s="1"/>
  <c r="R510" i="45"/>
  <c r="R511" i="45" s="1"/>
  <c r="R617" i="45"/>
  <c r="R590" i="45"/>
  <c r="R634" i="45"/>
  <c r="R625" i="45" s="1"/>
  <c r="R154" i="29"/>
  <c r="R155" i="29"/>
  <c r="V154" i="29"/>
  <c r="BB604" i="45"/>
  <c r="AX604" i="45"/>
  <c r="AX623" i="45"/>
  <c r="Y624" i="45"/>
  <c r="AC605" i="45"/>
  <c r="Y605" i="45"/>
  <c r="C72" i="29"/>
  <c r="C73" i="29"/>
  <c r="D64" i="29"/>
  <c r="C67" i="29"/>
  <c r="G63" i="29"/>
  <c r="C90" i="29"/>
  <c r="M605" i="45"/>
  <c r="M624" i="45"/>
  <c r="AH116" i="29"/>
  <c r="AH62" i="29"/>
  <c r="AH58" i="29"/>
  <c r="AH89" i="29"/>
  <c r="AM623" i="45"/>
  <c r="AN623" i="45"/>
  <c r="AM604" i="45"/>
  <c r="AK117" i="29"/>
  <c r="AK118" i="29"/>
  <c r="AY604" i="45"/>
  <c r="AY623" i="45"/>
  <c r="AY265" i="45"/>
  <c r="AY264" i="45"/>
  <c r="AY317" i="45" s="1"/>
  <c r="AY414" i="45"/>
  <c r="AY418" i="45" s="1"/>
  <c r="BC604" i="45"/>
  <c r="BC623" i="45"/>
  <c r="BC633" i="45"/>
  <c r="BG605" i="45" s="1"/>
  <c r="BC597" i="45"/>
  <c r="BC87" i="45"/>
  <c r="BD617" i="45" s="1"/>
  <c r="BC300" i="45"/>
  <c r="BC261" i="45"/>
  <c r="BC267" i="45" s="1"/>
  <c r="BC616" i="45"/>
  <c r="AL261" i="45"/>
  <c r="AL267" i="45" s="1"/>
  <c r="AL87" i="45"/>
  <c r="AL633" i="45"/>
  <c r="AL300" i="45"/>
  <c r="AL597" i="45"/>
  <c r="AL616" i="45"/>
  <c r="AP597" i="45"/>
  <c r="AR634" i="45"/>
  <c r="AR89" i="45"/>
  <c r="AR250" i="45"/>
  <c r="AR412" i="45" s="1"/>
  <c r="AR180" i="45"/>
  <c r="AR194" i="45" s="1"/>
  <c r="AR510" i="45"/>
  <c r="AR511" i="45" s="1"/>
  <c r="AR252" i="45"/>
  <c r="AS300" i="45"/>
  <c r="AS87" i="45"/>
  <c r="AS598" i="45" s="1"/>
  <c r="AS234" i="45" s="1"/>
  <c r="AS633" i="45"/>
  <c r="AS261" i="45"/>
  <c r="AS267" i="45" s="1"/>
  <c r="AW597" i="45"/>
  <c r="AS616" i="45"/>
  <c r="AT616" i="45"/>
  <c r="AH295" i="45"/>
  <c r="AH253" i="45"/>
  <c r="AH294" i="45"/>
  <c r="AH392" i="45"/>
  <c r="AH314" i="45"/>
  <c r="AH209" i="45"/>
  <c r="AH212" i="45" s="1"/>
  <c r="AH213" i="45" s="1"/>
  <c r="AH196" i="45"/>
  <c r="R139" i="29"/>
  <c r="R156" i="29"/>
  <c r="V139" i="29"/>
  <c r="R140" i="29"/>
  <c r="R147" i="29"/>
  <c r="X636" i="45"/>
  <c r="X505" i="45"/>
  <c r="X587" i="45"/>
  <c r="BK261" i="45"/>
  <c r="BK267" i="45" s="1"/>
  <c r="BK633" i="45"/>
  <c r="BK624" i="45" s="1"/>
  <c r="BK87" i="45"/>
  <c r="BL617" i="45" s="1"/>
  <c r="BK300" i="45"/>
  <c r="BK616" i="45"/>
  <c r="BK265" i="45"/>
  <c r="BK414" i="45"/>
  <c r="BK418" i="45" s="1"/>
  <c r="BK264" i="45"/>
  <c r="BK317" i="45" s="1"/>
  <c r="W63" i="29"/>
  <c r="W73" i="29"/>
  <c r="W72" i="29"/>
  <c r="AA63" i="29"/>
  <c r="W67" i="29"/>
  <c r="W90" i="29"/>
  <c r="AQ604" i="45"/>
  <c r="U505" i="45"/>
  <c r="U636" i="45"/>
  <c r="AZ264" i="45"/>
  <c r="AZ317" i="45" s="1"/>
  <c r="AZ265" i="45"/>
  <c r="AZ414" i="45"/>
  <c r="AZ418" i="45" s="1"/>
  <c r="AZ261" i="45"/>
  <c r="AZ267" i="45" s="1"/>
  <c r="AZ616" i="45"/>
  <c r="AZ87" i="45"/>
  <c r="BA617" i="45" s="1"/>
  <c r="AZ597" i="45"/>
  <c r="AZ633" i="45"/>
  <c r="BA624" i="45" s="1"/>
  <c r="AZ300" i="45"/>
  <c r="AG154" i="29"/>
  <c r="AD155" i="29"/>
  <c r="AC155" i="29"/>
  <c r="AC154" i="29"/>
  <c r="I89" i="29"/>
  <c r="I58" i="29"/>
  <c r="I116" i="29"/>
  <c r="I62" i="29"/>
  <c r="AL264" i="45"/>
  <c r="AL317" i="45" s="1"/>
  <c r="AL414" i="45"/>
  <c r="AL418" i="45" s="1"/>
  <c r="AL265" i="45"/>
  <c r="X605" i="45"/>
  <c r="T605" i="45"/>
  <c r="T624" i="45"/>
  <c r="U624" i="45"/>
  <c r="T590" i="45"/>
  <c r="T598" i="45"/>
  <c r="U617" i="45"/>
  <c r="T634" i="45"/>
  <c r="T510" i="45"/>
  <c r="T511" i="45" s="1"/>
  <c r="T617" i="45"/>
  <c r="T496" i="45"/>
  <c r="X598" i="45"/>
  <c r="N510" i="45"/>
  <c r="N511" i="45" s="1"/>
  <c r="N617" i="45"/>
  <c r="N496" i="45"/>
  <c r="O617" i="45"/>
  <c r="N598" i="45"/>
  <c r="N634" i="45"/>
  <c r="N590" i="45"/>
  <c r="AE605" i="45"/>
  <c r="AA624" i="45"/>
  <c r="AA605" i="45"/>
  <c r="AH251" i="45"/>
  <c r="AH635" i="45"/>
  <c r="AH260" i="45"/>
  <c r="AH92" i="45"/>
  <c r="AX264" i="45"/>
  <c r="AX317" i="45" s="1"/>
  <c r="AX265" i="45"/>
  <c r="AX414" i="45"/>
  <c r="AX418" i="45" s="1"/>
  <c r="AD117" i="29"/>
  <c r="AA118" i="29"/>
  <c r="Z118" i="29"/>
  <c r="AK624" i="45"/>
  <c r="AK605" i="45"/>
  <c r="P58" i="29"/>
  <c r="P89" i="29"/>
  <c r="P116" i="29"/>
  <c r="P62" i="29"/>
  <c r="AY87" i="45"/>
  <c r="AY597" i="45"/>
  <c r="AY633" i="45"/>
  <c r="AY300" i="45"/>
  <c r="AY261" i="45"/>
  <c r="AY267" i="45" s="1"/>
  <c r="AY616" i="45"/>
  <c r="AZ604" i="45"/>
  <c r="AZ623" i="45"/>
  <c r="H69" i="29"/>
  <c r="H76" i="29"/>
  <c r="H77" i="29"/>
  <c r="H122" i="29"/>
  <c r="H91" i="29"/>
  <c r="AL604" i="45"/>
  <c r="AL623" i="45"/>
  <c r="AP604" i="45"/>
  <c r="AA634" i="45"/>
  <c r="AB625" i="45" s="1"/>
  <c r="AA510" i="45"/>
  <c r="AA511" i="45" s="1"/>
  <c r="AA617" i="45"/>
  <c r="AA496" i="45"/>
  <c r="AB618" i="45" s="1"/>
  <c r="AA590" i="45"/>
  <c r="AA598" i="45"/>
  <c r="AE598" i="45"/>
  <c r="Z496" i="45"/>
  <c r="Z599" i="45" s="1"/>
  <c r="Z634" i="45"/>
  <c r="Z606" i="45" s="1"/>
  <c r="Z510" i="45"/>
  <c r="Z511" i="45" s="1"/>
  <c r="Z590" i="45"/>
  <c r="Z617" i="45"/>
  <c r="AS414" i="45"/>
  <c r="AS418" i="45" s="1"/>
  <c r="AS264" i="45"/>
  <c r="AS317" i="45" s="1"/>
  <c r="AS265" i="45"/>
  <c r="AC122" i="29"/>
  <c r="AC77" i="29"/>
  <c r="AC91" i="29"/>
  <c r="AC76" i="29"/>
  <c r="AD69" i="29"/>
  <c r="AG68" i="29"/>
  <c r="V116" i="29"/>
  <c r="Z117" i="29" s="1"/>
  <c r="V62" i="29"/>
  <c r="V58" i="29"/>
  <c r="V89" i="29"/>
  <c r="AH348" i="45"/>
  <c r="AH385" i="45"/>
  <c r="AH393" i="45"/>
  <c r="AH413" i="45"/>
  <c r="R605" i="45"/>
  <c r="Q77" i="29"/>
  <c r="Q122" i="29"/>
  <c r="Q91" i="29"/>
  <c r="Q76" i="29"/>
  <c r="R69" i="29"/>
  <c r="BB597" i="45"/>
  <c r="AX597" i="45"/>
  <c r="AX616" i="45"/>
  <c r="AX633" i="45"/>
  <c r="AX300" i="45"/>
  <c r="AX87" i="45"/>
  <c r="AX261" i="45"/>
  <c r="AX267" i="45" s="1"/>
  <c r="Z64" i="29"/>
  <c r="AA64" i="29"/>
  <c r="Z72" i="29"/>
  <c r="AD63" i="29"/>
  <c r="Z73" i="29"/>
  <c r="Z90" i="29"/>
  <c r="Z67" i="29"/>
  <c r="AL58" i="29"/>
  <c r="AL62" i="29"/>
  <c r="AP63" i="29" s="1"/>
  <c r="AL116" i="29"/>
  <c r="AP117" i="29" s="1"/>
  <c r="AL89" i="29"/>
  <c r="Y634" i="45"/>
  <c r="Y510" i="45"/>
  <c r="Y511" i="45" s="1"/>
  <c r="Y617" i="45"/>
  <c r="Y598" i="45"/>
  <c r="Y496" i="45"/>
  <c r="Y590" i="45"/>
  <c r="AC598" i="45"/>
  <c r="AA117" i="29"/>
  <c r="W117" i="29"/>
  <c r="AK89" i="45"/>
  <c r="AK180" i="45"/>
  <c r="AK194" i="45" s="1"/>
  <c r="AK617" i="45"/>
  <c r="AK634" i="45"/>
  <c r="AK250" i="45"/>
  <c r="AK412" i="45" s="1"/>
  <c r="AK510" i="45"/>
  <c r="AK511" i="45" s="1"/>
  <c r="AK252" i="45"/>
  <c r="M598" i="45"/>
  <c r="M510" i="45"/>
  <c r="M511" i="45" s="1"/>
  <c r="M634" i="45"/>
  <c r="Q606" i="45" s="1"/>
  <c r="M590" i="45"/>
  <c r="M496" i="45"/>
  <c r="Q599" i="45" s="1"/>
  <c r="M617" i="45"/>
  <c r="S624" i="45"/>
  <c r="S625" i="45"/>
  <c r="AR624" i="45"/>
  <c r="AU605" i="45"/>
  <c r="AQ624" i="45"/>
  <c r="AC587" i="45"/>
  <c r="AC505" i="45"/>
  <c r="AC636" i="45"/>
  <c r="AV252" i="45"/>
  <c r="AV510" i="45"/>
  <c r="AV511" i="45" s="1"/>
  <c r="AV634" i="45"/>
  <c r="AV617" i="45"/>
  <c r="AV89" i="45"/>
  <c r="AV250" i="45"/>
  <c r="AV412" i="45" s="1"/>
  <c r="AW617" i="45"/>
  <c r="AV598" i="45"/>
  <c r="AV234" i="45" s="1"/>
  <c r="AV180" i="45"/>
  <c r="AV194" i="45" s="1"/>
  <c r="BL250" i="45"/>
  <c r="BL598" i="45"/>
  <c r="BL234" i="45" s="1"/>
  <c r="BL252" i="45"/>
  <c r="BL89" i="45"/>
  <c r="BL634" i="45"/>
  <c r="S499" i="45"/>
  <c r="S600" i="45" s="1"/>
  <c r="S635" i="45"/>
  <c r="S607" i="45" s="1"/>
  <c r="BL605" i="45"/>
  <c r="AQ89" i="45"/>
  <c r="AR617" i="45"/>
  <c r="AU598" i="45"/>
  <c r="AU234" i="45" s="1"/>
  <c r="AQ252" i="45"/>
  <c r="AQ634" i="45"/>
  <c r="AQ250" i="45"/>
  <c r="AQ412" i="45" s="1"/>
  <c r="AQ180" i="45"/>
  <c r="AQ194" i="45" s="1"/>
  <c r="AQ510" i="45"/>
  <c r="AQ511" i="45" s="1"/>
  <c r="AV605" i="45"/>
  <c r="AW624" i="45"/>
  <c r="AV624" i="45"/>
  <c r="AN111" i="29"/>
  <c r="AN112" i="29"/>
  <c r="AN48" i="29"/>
  <c r="AN55" i="29"/>
  <c r="AN49" i="29"/>
  <c r="P80" i="44"/>
  <c r="BQ42" i="45"/>
  <c r="BQ77" i="45" s="1"/>
  <c r="K5" i="48"/>
  <c r="K12" i="48"/>
  <c r="AT392" i="45"/>
  <c r="AT253" i="45"/>
  <c r="AT314" i="45"/>
  <c r="AT294" i="45"/>
  <c r="AT209" i="45"/>
  <c r="AT212" i="45" s="1"/>
  <c r="AT213" i="45" s="1"/>
  <c r="AT295" i="45"/>
  <c r="AT196" i="45"/>
  <c r="AD605" i="45"/>
  <c r="AD624" i="45"/>
  <c r="AE624" i="45"/>
  <c r="AB606" i="45"/>
  <c r="AC625" i="45"/>
  <c r="AD590" i="45"/>
  <c r="AD496" i="45"/>
  <c r="AD634" i="45"/>
  <c r="AD617" i="45"/>
  <c r="AD510" i="45"/>
  <c r="AD511" i="45" s="1"/>
  <c r="AD598" i="45"/>
  <c r="AE617" i="45"/>
  <c r="AT92" i="45"/>
  <c r="AT635" i="45"/>
  <c r="AU618" i="45"/>
  <c r="AT260" i="45"/>
  <c r="AT251" i="45"/>
  <c r="AB499" i="45"/>
  <c r="AB635" i="45"/>
  <c r="AB599" i="45"/>
  <c r="AC618" i="45"/>
  <c r="BM624" i="45"/>
  <c r="BN624" i="45"/>
  <c r="BG624" i="45"/>
  <c r="BH624" i="45"/>
  <c r="BJ393" i="45"/>
  <c r="BJ385" i="45"/>
  <c r="BJ413" i="45"/>
  <c r="BJ348" i="45"/>
  <c r="BJ314" i="45"/>
  <c r="BJ392" i="45"/>
  <c r="BJ294" i="45"/>
  <c r="BJ196" i="45"/>
  <c r="BJ209" i="45"/>
  <c r="BJ212" i="45" s="1"/>
  <c r="BJ213" i="45" s="1"/>
  <c r="BJ295" i="45"/>
  <c r="BJ253" i="45"/>
  <c r="BO624" i="45"/>
  <c r="AF413" i="45"/>
  <c r="AF385" i="45"/>
  <c r="AF393" i="45"/>
  <c r="AF348" i="45"/>
  <c r="BH605" i="45"/>
  <c r="BE624" i="45"/>
  <c r="AI393" i="45"/>
  <c r="AI413" i="45"/>
  <c r="AI385" i="45"/>
  <c r="AI348" i="45"/>
  <c r="AO598" i="45"/>
  <c r="AO234" i="45" s="1"/>
  <c r="AO252" i="45"/>
  <c r="AO250" i="45"/>
  <c r="AO412" i="45" s="1"/>
  <c r="AO634" i="45"/>
  <c r="AO89" i="45"/>
  <c r="AP617" i="45"/>
  <c r="AO180" i="45"/>
  <c r="AO194" i="45" s="1"/>
  <c r="AO510" i="45"/>
  <c r="AO511" i="45" s="1"/>
  <c r="BP634" i="45"/>
  <c r="BP617" i="45"/>
  <c r="BP250" i="45"/>
  <c r="BP598" i="45"/>
  <c r="BP234" i="45" s="1"/>
  <c r="BP89" i="45"/>
  <c r="BP252" i="45"/>
  <c r="O636" i="45"/>
  <c r="O505" i="45"/>
  <c r="BJ92" i="45"/>
  <c r="BN600" i="45" s="1"/>
  <c r="BN236" i="45" s="1"/>
  <c r="BJ260" i="45"/>
  <c r="BJ251" i="45"/>
  <c r="BJ635" i="45"/>
  <c r="BO598" i="45"/>
  <c r="BO234" i="45" s="1"/>
  <c r="BO250" i="45"/>
  <c r="BO634" i="45"/>
  <c r="BO89" i="45"/>
  <c r="BO617" i="45"/>
  <c r="BO252" i="45"/>
  <c r="AF260" i="45"/>
  <c r="AF618" i="45"/>
  <c r="AF635" i="45"/>
  <c r="AF92" i="45"/>
  <c r="AF251" i="45"/>
  <c r="AI635" i="45"/>
  <c r="AI260" i="45"/>
  <c r="AI618" i="45"/>
  <c r="AI92" i="45"/>
  <c r="AI251" i="45"/>
  <c r="X626" i="45"/>
  <c r="Q499" i="45"/>
  <c r="Q635" i="45"/>
  <c r="U599" i="45"/>
  <c r="AO605" i="45"/>
  <c r="AO624" i="45"/>
  <c r="AS605" i="45"/>
  <c r="BM89" i="45"/>
  <c r="BM252" i="45"/>
  <c r="BM634" i="45"/>
  <c r="BM250" i="45"/>
  <c r="BM617" i="45"/>
  <c r="BN617" i="45"/>
  <c r="BP624" i="45"/>
  <c r="BP605" i="45"/>
  <c r="BN636" i="45"/>
  <c r="BN98" i="45"/>
  <c r="BN100" i="45" s="1"/>
  <c r="BN101" i="45"/>
  <c r="BN223" i="45" s="1"/>
  <c r="BN103" i="45"/>
  <c r="BN224" i="45" s="1"/>
  <c r="BG180" i="45"/>
  <c r="BG194" i="45" s="1"/>
  <c r="BG510" i="45"/>
  <c r="BG511" i="45" s="1"/>
  <c r="BG634" i="45"/>
  <c r="BG252" i="45"/>
  <c r="BG617" i="45"/>
  <c r="BG250" i="45"/>
  <c r="BG412" i="45" s="1"/>
  <c r="BG598" i="45"/>
  <c r="BG234" i="45" s="1"/>
  <c r="BG89" i="45"/>
  <c r="BH617" i="45"/>
  <c r="AF295" i="45"/>
  <c r="AF209" i="45"/>
  <c r="AF212" i="45" s="1"/>
  <c r="AF213" i="45" s="1"/>
  <c r="AF196" i="45"/>
  <c r="AF392" i="45"/>
  <c r="AF294" i="45"/>
  <c r="AF253" i="45"/>
  <c r="AF314" i="45"/>
  <c r="BD89" i="45"/>
  <c r="BD634" i="45"/>
  <c r="BD250" i="45"/>
  <c r="BD412" i="45" s="1"/>
  <c r="BD252" i="45"/>
  <c r="BD510" i="45"/>
  <c r="BD511" i="45" s="1"/>
  <c r="BH598" i="45"/>
  <c r="BH234" i="45" s="1"/>
  <c r="BD180" i="45"/>
  <c r="BD194" i="45" s="1"/>
  <c r="V599" i="45"/>
  <c r="V499" i="45"/>
  <c r="W619" i="45" s="1"/>
  <c r="V618" i="45"/>
  <c r="V635" i="45"/>
  <c r="V606" i="45"/>
  <c r="V625" i="45"/>
  <c r="BA605" i="45"/>
  <c r="BB624" i="45"/>
  <c r="AI625" i="45"/>
  <c r="W505" i="45"/>
  <c r="W636" i="45"/>
  <c r="X619" i="45"/>
  <c r="U606" i="45"/>
  <c r="AT393" i="45"/>
  <c r="AT413" i="45"/>
  <c r="AT385" i="45"/>
  <c r="AT348" i="45"/>
  <c r="AF625" i="45"/>
  <c r="BA634" i="45"/>
  <c r="BA252" i="45"/>
  <c r="BA250" i="45"/>
  <c r="BA412" i="45" s="1"/>
  <c r="BA510" i="45"/>
  <c r="BA511" i="45" s="1"/>
  <c r="BA180" i="45"/>
  <c r="BA194" i="45" s="1"/>
  <c r="BA598" i="45"/>
  <c r="BA234" i="45" s="1"/>
  <c r="BA89" i="45"/>
  <c r="BB617" i="45"/>
  <c r="AI253" i="45"/>
  <c r="AI314" i="45"/>
  <c r="AI392" i="45"/>
  <c r="AI295" i="45"/>
  <c r="AI209" i="45"/>
  <c r="AI212" i="45" s="1"/>
  <c r="AI213" i="45" s="1"/>
  <c r="AI294" i="45"/>
  <c r="AI196" i="45"/>
  <c r="J28" i="48"/>
  <c r="J21" i="48"/>
  <c r="B28" i="48"/>
  <c r="B21" i="48"/>
  <c r="C21" i="48"/>
  <c r="C28" i="48"/>
  <c r="I21" i="48"/>
  <c r="I28" i="48"/>
  <c r="AN87" i="29"/>
  <c r="AN39" i="29" s="1"/>
  <c r="M152" i="4" l="1"/>
  <c r="I87" i="12" s="1"/>
  <c r="W61" i="12"/>
  <c r="H236" i="45"/>
  <c r="G103" i="45"/>
  <c r="G224" i="45" s="1"/>
  <c r="G101" i="45"/>
  <c r="G223" i="45" s="1"/>
  <c r="G262" i="45"/>
  <c r="G287" i="45"/>
  <c r="G290" i="45" s="1"/>
  <c r="G291" i="45" s="1"/>
  <c r="G98" i="45"/>
  <c r="X61" i="12"/>
  <c r="N152" i="4"/>
  <c r="J87" i="12" s="1"/>
  <c r="K236" i="45"/>
  <c r="J287" i="45"/>
  <c r="J290" i="45" s="1"/>
  <c r="J98" i="45"/>
  <c r="J101" i="45"/>
  <c r="J223" i="45" s="1"/>
  <c r="J262" i="45"/>
  <c r="J103" i="45"/>
  <c r="J224" i="45" s="1"/>
  <c r="J254" i="45"/>
  <c r="J225" i="45"/>
  <c r="K85" i="3"/>
  <c r="K58" i="3"/>
  <c r="AE118" i="29"/>
  <c r="Y61" i="12"/>
  <c r="O152" i="4"/>
  <c r="K87" i="12" s="1"/>
  <c r="F628" i="45"/>
  <c r="J609" i="45"/>
  <c r="G628" i="45"/>
  <c r="I254" i="45"/>
  <c r="I225" i="45"/>
  <c r="L126" i="4"/>
  <c r="G254" i="45"/>
  <c r="G225" i="45"/>
  <c r="I101" i="45"/>
  <c r="I223" i="45" s="1"/>
  <c r="I98" i="45"/>
  <c r="I103" i="45"/>
  <c r="I224" i="45" s="1"/>
  <c r="I287" i="45"/>
  <c r="I290" i="45" s="1"/>
  <c r="I291" i="45" s="1"/>
  <c r="I262" i="45"/>
  <c r="J236" i="45"/>
  <c r="N89" i="4"/>
  <c r="M43" i="4"/>
  <c r="I54" i="12"/>
  <c r="T164" i="2"/>
  <c r="T168" i="2" s="1"/>
  <c r="T26" i="2" s="1"/>
  <c r="S168" i="2"/>
  <c r="S26" i="2" s="1"/>
  <c r="H291" i="45"/>
  <c r="Y383" i="45"/>
  <c r="Y384" i="45" s="1"/>
  <c r="Y266" i="45" s="1"/>
  <c r="Y415" i="45" s="1"/>
  <c r="AK515" i="45"/>
  <c r="AJ517" i="45"/>
  <c r="V274" i="45"/>
  <c r="V341" i="45"/>
  <c r="AB34" i="12"/>
  <c r="AB123" i="45"/>
  <c r="AB122" i="45" s="1"/>
  <c r="P78" i="3"/>
  <c r="Z208" i="45"/>
  <c r="P91" i="3" s="1"/>
  <c r="B164" i="56"/>
  <c r="U265" i="45"/>
  <c r="O78" i="3"/>
  <c r="Y208" i="45"/>
  <c r="O91" i="3" s="1"/>
  <c r="S16" i="2"/>
  <c r="AC27" i="12" s="1"/>
  <c r="AC150" i="45"/>
  <c r="AC151" i="45" s="1"/>
  <c r="Y297" i="45"/>
  <c r="Y401" i="45"/>
  <c r="Y402" i="45" s="1"/>
  <c r="Y404" i="45" s="1"/>
  <c r="Y346" i="45"/>
  <c r="Y312" i="45" s="1"/>
  <c r="T16" i="2"/>
  <c r="AD27" i="12" s="1"/>
  <c r="AD150" i="45"/>
  <c r="AD151" i="45" s="1"/>
  <c r="R274" i="45"/>
  <c r="R341" i="45"/>
  <c r="U264" i="45"/>
  <c r="U317" i="45" s="1"/>
  <c r="AA137" i="45"/>
  <c r="AA204" i="45" s="1"/>
  <c r="AA324" i="45"/>
  <c r="AA326" i="45" s="1"/>
  <c r="X310" i="45"/>
  <c r="X315" i="45"/>
  <c r="X311" i="45"/>
  <c r="X312" i="45"/>
  <c r="AI587" i="45"/>
  <c r="AI621" i="45" s="1"/>
  <c r="AI586" i="45"/>
  <c r="K51" i="12"/>
  <c r="O73" i="3"/>
  <c r="J56" i="12"/>
  <c r="N81" i="3"/>
  <c r="N44" i="4" s="1"/>
  <c r="Y335" i="45"/>
  <c r="Y336" i="45" s="1"/>
  <c r="Y272" i="45" s="1"/>
  <c r="Y340" i="45"/>
  <c r="T288" i="45"/>
  <c r="T411" i="45"/>
  <c r="X288" i="45"/>
  <c r="X411" i="45"/>
  <c r="V517" i="45"/>
  <c r="V587" i="45" s="1"/>
  <c r="U515" i="45"/>
  <c r="V263" i="45"/>
  <c r="C164" i="56"/>
  <c r="V78" i="12"/>
  <c r="U411" i="45"/>
  <c r="U288" i="45"/>
  <c r="P264" i="45"/>
  <c r="P317" i="45" s="1"/>
  <c r="U78" i="12"/>
  <c r="W411" i="45"/>
  <c r="W288" i="45"/>
  <c r="F306" i="45"/>
  <c r="G241" i="45"/>
  <c r="H100" i="45"/>
  <c r="I237" i="45"/>
  <c r="G237" i="45"/>
  <c r="F100" i="45"/>
  <c r="G242" i="45"/>
  <c r="F307" i="45"/>
  <c r="I242" i="45"/>
  <c r="H307" i="45"/>
  <c r="F304" i="45"/>
  <c r="F318" i="45" s="1"/>
  <c r="G240" i="45"/>
  <c r="I241" i="45"/>
  <c r="H306" i="45"/>
  <c r="I240" i="45"/>
  <c r="H304" i="45"/>
  <c r="P50" i="44"/>
  <c r="P62" i="44" s="1"/>
  <c r="P53" i="44"/>
  <c r="P65" i="44" s="1"/>
  <c r="P101" i="44"/>
  <c r="P69" i="44"/>
  <c r="Y70" i="44" s="1"/>
  <c r="X69" i="44"/>
  <c r="X75" i="44"/>
  <c r="X73" i="44"/>
  <c r="X74" i="44"/>
  <c r="O57" i="44"/>
  <c r="O67" i="44" s="1"/>
  <c r="Q71" i="44"/>
  <c r="Q72" i="44"/>
  <c r="Q70" i="44"/>
  <c r="R47" i="44"/>
  <c r="Y72" i="44"/>
  <c r="X72" i="44"/>
  <c r="X71" i="44"/>
  <c r="T78" i="12"/>
  <c r="T263" i="45"/>
  <c r="T264" i="45" s="1"/>
  <c r="T317" i="45" s="1"/>
  <c r="U55" i="28"/>
  <c r="U57" i="28" s="1"/>
  <c r="S48" i="48"/>
  <c r="R5" i="54"/>
  <c r="P46" i="28"/>
  <c r="P199" i="28" s="1"/>
  <c r="P198" i="28"/>
  <c r="P51" i="28"/>
  <c r="P68" i="28"/>
  <c r="O60" i="28"/>
  <c r="O208" i="28" s="1"/>
  <c r="O207" i="28"/>
  <c r="P59" i="28"/>
  <c r="P56" i="28"/>
  <c r="P204" i="28" s="1"/>
  <c r="P203" i="28"/>
  <c r="O52" i="28"/>
  <c r="O76" i="28"/>
  <c r="T42" i="44"/>
  <c r="T37" i="44"/>
  <c r="T40" i="44"/>
  <c r="T43" i="44"/>
  <c r="T41" i="44"/>
  <c r="T34" i="44"/>
  <c r="T38" i="44"/>
  <c r="T36" i="44"/>
  <c r="T35" i="44"/>
  <c r="J60" i="12"/>
  <c r="X42" i="12" s="1"/>
  <c r="N87" i="3"/>
  <c r="O84" i="3"/>
  <c r="O56" i="3"/>
  <c r="I170" i="4"/>
  <c r="K33" i="48"/>
  <c r="AM117" i="29"/>
  <c r="AQ117" i="29"/>
  <c r="Y90" i="29"/>
  <c r="Y72" i="29"/>
  <c r="Y67" i="29"/>
  <c r="Y73" i="29"/>
  <c r="AC63" i="29"/>
  <c r="BO605" i="45"/>
  <c r="BK605" i="45"/>
  <c r="S155" i="29"/>
  <c r="BB180" i="45"/>
  <c r="BB194" i="45" s="1"/>
  <c r="BB634" i="45"/>
  <c r="BF606" i="45" s="1"/>
  <c r="AE73" i="29"/>
  <c r="AE72" i="29"/>
  <c r="AE90" i="29"/>
  <c r="AE67" i="29"/>
  <c r="AI63" i="29"/>
  <c r="BD598" i="45"/>
  <c r="BD234" i="45" s="1"/>
  <c r="BK598" i="45"/>
  <c r="BK234" i="45" s="1"/>
  <c r="AO617" i="45"/>
  <c r="AN510" i="45"/>
  <c r="AN511" i="45" s="1"/>
  <c r="AN250" i="45"/>
  <c r="AN412" i="45" s="1"/>
  <c r="AN180" i="45"/>
  <c r="AN194" i="45" s="1"/>
  <c r="AN634" i="45"/>
  <c r="AR606" i="45" s="1"/>
  <c r="AN89" i="45"/>
  <c r="AN252" i="45"/>
  <c r="BR633" i="45"/>
  <c r="BR605" i="45" s="1"/>
  <c r="E55" i="56"/>
  <c r="E58" i="56"/>
  <c r="L54" i="56"/>
  <c r="G54" i="56"/>
  <c r="E80" i="4"/>
  <c r="E144" i="4"/>
  <c r="E53" i="1"/>
  <c r="E73" i="4"/>
  <c r="E140" i="4"/>
  <c r="E57" i="4"/>
  <c r="E92" i="4"/>
  <c r="E40" i="1"/>
  <c r="E79" i="4"/>
  <c r="E54" i="1"/>
  <c r="E63" i="3"/>
  <c r="E78" i="4"/>
  <c r="P250" i="45"/>
  <c r="P89" i="45"/>
  <c r="P180" i="45"/>
  <c r="P194" i="45" s="1"/>
  <c r="P252" i="45"/>
  <c r="Q264" i="45"/>
  <c r="Q317" i="45" s="1"/>
  <c r="Q265" i="45"/>
  <c r="S98" i="45"/>
  <c r="S287" i="45"/>
  <c r="S290" i="45" s="1"/>
  <c r="S103" i="45"/>
  <c r="S224" i="45" s="1"/>
  <c r="S101" i="45"/>
  <c r="S223" i="45" s="1"/>
  <c r="S262" i="45"/>
  <c r="V225" i="45"/>
  <c r="V254" i="45"/>
  <c r="V98" i="45"/>
  <c r="V103" i="45"/>
  <c r="V224" i="45" s="1"/>
  <c r="V101" i="45"/>
  <c r="V223" i="45" s="1"/>
  <c r="V287" i="45"/>
  <c r="V290" i="45" s="1"/>
  <c r="O264" i="45"/>
  <c r="O317" i="45" s="1"/>
  <c r="O265" i="45"/>
  <c r="N56" i="1"/>
  <c r="N57" i="1"/>
  <c r="J38" i="12" s="1"/>
  <c r="J35" i="12"/>
  <c r="N149" i="4"/>
  <c r="E18" i="54"/>
  <c r="N84" i="4"/>
  <c r="X261" i="45" s="1"/>
  <c r="X267" i="45" s="1"/>
  <c r="N83" i="4"/>
  <c r="X260" i="45" s="1"/>
  <c r="N85" i="4"/>
  <c r="X262" i="45" s="1"/>
  <c r="N72" i="4"/>
  <c r="X50" i="12" s="1"/>
  <c r="X76" i="12" s="1"/>
  <c r="J118" i="28"/>
  <c r="G47" i="12"/>
  <c r="G43" i="12" s="1"/>
  <c r="K67" i="3"/>
  <c r="G48" i="12" s="1"/>
  <c r="G118" i="28"/>
  <c r="H127" i="28" s="1"/>
  <c r="K85" i="4"/>
  <c r="U262" i="45" s="1"/>
  <c r="K57" i="1"/>
  <c r="G38" i="12" s="1"/>
  <c r="H39" i="12" s="1"/>
  <c r="H79" i="12" s="1"/>
  <c r="G35" i="12"/>
  <c r="G76" i="12" s="1"/>
  <c r="K84" i="4"/>
  <c r="U261" i="45" s="1"/>
  <c r="U267" i="45" s="1"/>
  <c r="K149" i="4"/>
  <c r="K56" i="1"/>
  <c r="K72" i="4"/>
  <c r="U50" i="12" s="1"/>
  <c r="U76" i="12" s="1"/>
  <c r="K83" i="4"/>
  <c r="U260" i="45" s="1"/>
  <c r="D33" i="12"/>
  <c r="H40" i="1"/>
  <c r="I56" i="4" s="1"/>
  <c r="H79" i="4"/>
  <c r="H80" i="4"/>
  <c r="H54" i="1"/>
  <c r="H140" i="4"/>
  <c r="H57" i="4"/>
  <c r="H53" i="1"/>
  <c r="H144" i="4"/>
  <c r="H92" i="4"/>
  <c r="H73" i="4"/>
  <c r="H63" i="3"/>
  <c r="H78" i="4"/>
  <c r="M87" i="45"/>
  <c r="M261" i="45"/>
  <c r="M267" i="45" s="1"/>
  <c r="M300" i="45"/>
  <c r="M264" i="45"/>
  <c r="M317" i="45" s="1"/>
  <c r="M265" i="45"/>
  <c r="C53" i="1"/>
  <c r="C144" i="4"/>
  <c r="C73" i="4"/>
  <c r="C54" i="1"/>
  <c r="C40" i="1"/>
  <c r="C140" i="4"/>
  <c r="C63" i="3"/>
  <c r="O150" i="4"/>
  <c r="K85" i="12" s="1"/>
  <c r="K28" i="12"/>
  <c r="K30" i="12" s="1"/>
  <c r="I60" i="26"/>
  <c r="I62" i="26" s="1"/>
  <c r="I63" i="26" s="1"/>
  <c r="I65" i="26" s="1"/>
  <c r="O176" i="1"/>
  <c r="O87" i="4" s="1"/>
  <c r="O89" i="4" s="1"/>
  <c r="Y263" i="45" s="1"/>
  <c r="O71" i="4"/>
  <c r="O175" i="1"/>
  <c r="O36" i="1"/>
  <c r="O55" i="4"/>
  <c r="O139" i="4"/>
  <c r="W414" i="45"/>
  <c r="W418" i="45" s="1"/>
  <c r="W264" i="45"/>
  <c r="W317" i="45" s="1"/>
  <c r="W265" i="45"/>
  <c r="S225" i="45"/>
  <c r="S254" i="45"/>
  <c r="S249" i="45"/>
  <c r="T233" i="45"/>
  <c r="T343" i="45"/>
  <c r="S313" i="45"/>
  <c r="M144" i="4"/>
  <c r="M79" i="4"/>
  <c r="M80" i="4"/>
  <c r="I33" i="12"/>
  <c r="M57" i="4"/>
  <c r="M40" i="1"/>
  <c r="M92" i="4"/>
  <c r="M53" i="1"/>
  <c r="M78" i="4"/>
  <c r="M73" i="4"/>
  <c r="M54" i="1"/>
  <c r="M140" i="4"/>
  <c r="M65" i="1"/>
  <c r="D165" i="56" s="1"/>
  <c r="U89" i="45"/>
  <c r="U180" i="45"/>
  <c r="U194" i="45" s="1"/>
  <c r="V234" i="45"/>
  <c r="U250" i="45"/>
  <c r="U412" i="45" s="1"/>
  <c r="U252" i="45"/>
  <c r="H78" i="12"/>
  <c r="V67" i="12"/>
  <c r="V12" i="12" s="1"/>
  <c r="C162" i="56"/>
  <c r="V52" i="12"/>
  <c r="V79" i="12" s="1"/>
  <c r="L41" i="1"/>
  <c r="X89" i="45"/>
  <c r="X180" i="45"/>
  <c r="X252" i="45"/>
  <c r="X250" i="45"/>
  <c r="X412" i="45" s="1"/>
  <c r="E47" i="12"/>
  <c r="E43" i="12" s="1"/>
  <c r="I67" i="3"/>
  <c r="E48" i="12" s="1"/>
  <c r="I149" i="4"/>
  <c r="I57" i="1"/>
  <c r="E38" i="12" s="1"/>
  <c r="I85" i="4"/>
  <c r="S51" i="12" s="1"/>
  <c r="S77" i="12" s="1"/>
  <c r="I84" i="4"/>
  <c r="S52" i="12" s="1"/>
  <c r="S79" i="12" s="1"/>
  <c r="I83" i="4"/>
  <c r="I56" i="1"/>
  <c r="E35" i="12"/>
  <c r="E118" i="28"/>
  <c r="I72" i="4"/>
  <c r="S50" i="12" s="1"/>
  <c r="S76" i="12" s="1"/>
  <c r="Q87" i="45"/>
  <c r="Q261" i="45"/>
  <c r="Q267" i="45" s="1"/>
  <c r="Q300" i="45"/>
  <c r="V395" i="45"/>
  <c r="W233" i="45"/>
  <c r="W343" i="45"/>
  <c r="V249" i="45"/>
  <c r="V313" i="45"/>
  <c r="O87" i="45"/>
  <c r="O261" i="45"/>
  <c r="O267" i="45" s="1"/>
  <c r="O300" i="45"/>
  <c r="N57" i="4"/>
  <c r="L68" i="3"/>
  <c r="G80" i="4"/>
  <c r="G92" i="4"/>
  <c r="G78" i="4"/>
  <c r="G79" i="4"/>
  <c r="G144" i="4"/>
  <c r="G57" i="4"/>
  <c r="G53" i="1"/>
  <c r="G54" i="1"/>
  <c r="G73" i="4"/>
  <c r="G140" i="4"/>
  <c r="G63" i="3"/>
  <c r="G40" i="1"/>
  <c r="D57" i="4"/>
  <c r="D57" i="1"/>
  <c r="D85" i="4"/>
  <c r="D72" i="4"/>
  <c r="D56" i="4"/>
  <c r="D56" i="1"/>
  <c r="D83" i="4"/>
  <c r="D149" i="4"/>
  <c r="D155" i="4" s="1"/>
  <c r="D84" i="4"/>
  <c r="D67" i="3"/>
  <c r="D68" i="3" s="1"/>
  <c r="T87" i="45"/>
  <c r="T300" i="45"/>
  <c r="R87" i="45"/>
  <c r="R261" i="45"/>
  <c r="R267" i="45" s="1"/>
  <c r="R300" i="45"/>
  <c r="F54" i="1"/>
  <c r="F73" i="4"/>
  <c r="F80" i="4"/>
  <c r="F63" i="3"/>
  <c r="F40" i="1"/>
  <c r="F79" i="4"/>
  <c r="F78" i="4"/>
  <c r="F57" i="4"/>
  <c r="F144" i="4"/>
  <c r="F53" i="1"/>
  <c r="F92" i="4"/>
  <c r="F140" i="4"/>
  <c r="J40" i="1"/>
  <c r="J92" i="4"/>
  <c r="J144" i="4"/>
  <c r="J73" i="4"/>
  <c r="J140" i="4"/>
  <c r="J53" i="1"/>
  <c r="J80" i="4"/>
  <c r="J79" i="4"/>
  <c r="J65" i="1"/>
  <c r="J78" i="4"/>
  <c r="J63" i="3"/>
  <c r="J54" i="1"/>
  <c r="F33" i="12"/>
  <c r="J57" i="4"/>
  <c r="N300" i="45"/>
  <c r="N261" i="45"/>
  <c r="N267" i="45" s="1"/>
  <c r="N87" i="45"/>
  <c r="N265" i="45"/>
  <c r="N264" i="45"/>
  <c r="N317" i="45" s="1"/>
  <c r="F25" i="54"/>
  <c r="F29" i="54" s="1"/>
  <c r="F31" i="54" s="1"/>
  <c r="F17" i="54"/>
  <c r="Y248" i="45"/>
  <c r="Y83" i="45"/>
  <c r="Y232" i="45"/>
  <c r="W87" i="45"/>
  <c r="W300" i="45"/>
  <c r="D164" i="56"/>
  <c r="W78" i="12"/>
  <c r="H76" i="12"/>
  <c r="L56" i="4"/>
  <c r="L155" i="4"/>
  <c r="H89" i="12" s="1"/>
  <c r="H84" i="12"/>
  <c r="C163" i="56"/>
  <c r="V51" i="12"/>
  <c r="V77" i="12" s="1"/>
  <c r="BR597" i="45"/>
  <c r="BQ81" i="45"/>
  <c r="BR615" i="45" s="1"/>
  <c r="BR614" i="45"/>
  <c r="BR634" i="45"/>
  <c r="BR598" i="45"/>
  <c r="BR234" i="45" s="1"/>
  <c r="BR250" i="45"/>
  <c r="BE605" i="45"/>
  <c r="BE598" i="45"/>
  <c r="BE234" i="45" s="1"/>
  <c r="AP624" i="45"/>
  <c r="BD605" i="45"/>
  <c r="BD624" i="45"/>
  <c r="AW395" i="45"/>
  <c r="BL624" i="45"/>
  <c r="AJ252" i="45"/>
  <c r="AJ617" i="45"/>
  <c r="AJ634" i="45"/>
  <c r="AK625" i="45" s="1"/>
  <c r="AJ180" i="45"/>
  <c r="AJ194" i="45" s="1"/>
  <c r="AJ250" i="45"/>
  <c r="AJ412" i="45" s="1"/>
  <c r="AJ510" i="45"/>
  <c r="AJ511" i="45" s="1"/>
  <c r="AJ89" i="45"/>
  <c r="AN598" i="45"/>
  <c r="AN234" i="45" s="1"/>
  <c r="AJ598" i="45"/>
  <c r="AJ234" i="45" s="1"/>
  <c r="K599" i="45"/>
  <c r="K635" i="45"/>
  <c r="L626" i="45" s="1"/>
  <c r="K499" i="45"/>
  <c r="L619" i="45" s="1"/>
  <c r="O599" i="45"/>
  <c r="K618" i="45"/>
  <c r="P157" i="29"/>
  <c r="Q158" i="29"/>
  <c r="D90" i="29"/>
  <c r="D67" i="29"/>
  <c r="D73" i="29"/>
  <c r="D72" i="29"/>
  <c r="H63" i="29"/>
  <c r="AE635" i="45"/>
  <c r="AE499" i="45"/>
  <c r="K625" i="45"/>
  <c r="K606" i="45"/>
  <c r="O606" i="45"/>
  <c r="T91" i="29"/>
  <c r="T76" i="29"/>
  <c r="T77" i="29"/>
  <c r="T122" i="29"/>
  <c r="E67" i="29"/>
  <c r="F69" i="29" s="1"/>
  <c r="E90" i="29"/>
  <c r="E73" i="29"/>
  <c r="E72" i="29"/>
  <c r="E64" i="29"/>
  <c r="AJ624" i="45"/>
  <c r="AJ605" i="45"/>
  <c r="AN605" i="45"/>
  <c r="AG624" i="45"/>
  <c r="AH624" i="45"/>
  <c r="Q149" i="29"/>
  <c r="P148" i="29"/>
  <c r="AA72" i="29"/>
  <c r="AA67" i="29"/>
  <c r="AA69" i="29" s="1"/>
  <c r="AA90" i="29"/>
  <c r="AA73" i="29"/>
  <c r="AE63" i="29"/>
  <c r="AG89" i="45"/>
  <c r="AK599" i="45" s="1"/>
  <c r="AK235" i="45" s="1"/>
  <c r="AG252" i="45"/>
  <c r="AG510" i="45"/>
  <c r="AG511" i="45" s="1"/>
  <c r="AG634" i="45"/>
  <c r="AK606" i="45" s="1"/>
  <c r="AG250" i="45"/>
  <c r="AG412" i="45" s="1"/>
  <c r="AG180" i="45"/>
  <c r="AG194" i="45" s="1"/>
  <c r="AH617" i="45"/>
  <c r="AG617" i="45"/>
  <c r="BB209" i="45"/>
  <c r="BB212" i="45" s="1"/>
  <c r="BB213" i="45" s="1"/>
  <c r="BB295" i="45"/>
  <c r="BB253" i="45"/>
  <c r="BB314" i="45"/>
  <c r="BB294" i="45"/>
  <c r="BB196" i="45"/>
  <c r="BB392" i="45"/>
  <c r="BB92" i="45"/>
  <c r="BB635" i="45"/>
  <c r="BB260" i="45"/>
  <c r="BB251" i="45"/>
  <c r="BB385" i="45"/>
  <c r="BB393" i="45"/>
  <c r="BB413" i="45"/>
  <c r="BB348" i="45"/>
  <c r="AI395" i="45"/>
  <c r="L636" i="45"/>
  <c r="L608" i="45" s="1"/>
  <c r="L505" i="45"/>
  <c r="L600" i="45"/>
  <c r="L607" i="45"/>
  <c r="BF294" i="45"/>
  <c r="BF295" i="45"/>
  <c r="BF196" i="45"/>
  <c r="BF253" i="45"/>
  <c r="BF209" i="45"/>
  <c r="BF212" i="45" s="1"/>
  <c r="BF213" i="45" s="1"/>
  <c r="BF392" i="45"/>
  <c r="BF314" i="45"/>
  <c r="BF251" i="45"/>
  <c r="BF635" i="45"/>
  <c r="BJ607" i="45" s="1"/>
  <c r="BF599" i="45"/>
  <c r="BF235" i="45" s="1"/>
  <c r="BF92" i="45"/>
  <c r="BJ600" i="45" s="1"/>
  <c r="BJ236" i="45" s="1"/>
  <c r="BF260" i="45"/>
  <c r="BF393" i="45"/>
  <c r="BF348" i="45"/>
  <c r="BF413" i="45"/>
  <c r="BF385" i="45"/>
  <c r="AU92" i="45"/>
  <c r="AU260" i="45"/>
  <c r="AU251" i="45"/>
  <c r="AU635" i="45"/>
  <c r="AU626" i="45" s="1"/>
  <c r="W600" i="45"/>
  <c r="AU413" i="45"/>
  <c r="AU385" i="45"/>
  <c r="AU393" i="45"/>
  <c r="AU348" i="45"/>
  <c r="AU196" i="45"/>
  <c r="AU295" i="45"/>
  <c r="AU314" i="45"/>
  <c r="AU209" i="45"/>
  <c r="AU212" i="45" s="1"/>
  <c r="AU213" i="45" s="1"/>
  <c r="AU294" i="45"/>
  <c r="AU253" i="45"/>
  <c r="AU392" i="45"/>
  <c r="AU395" i="45" s="1"/>
  <c r="AB118" i="29"/>
  <c r="AC118" i="29"/>
  <c r="AB117" i="29"/>
  <c r="BH635" i="45"/>
  <c r="BH92" i="45"/>
  <c r="BH251" i="45"/>
  <c r="BH260" i="45"/>
  <c r="T140" i="29"/>
  <c r="S156" i="29"/>
  <c r="W139" i="29"/>
  <c r="S147" i="29"/>
  <c r="T149" i="29" s="1"/>
  <c r="S139" i="29"/>
  <c r="AF117" i="29"/>
  <c r="AF118" i="29"/>
  <c r="AG118" i="29"/>
  <c r="AD122" i="29"/>
  <c r="AD124" i="29" s="1"/>
  <c r="AD77" i="29"/>
  <c r="AD91" i="29"/>
  <c r="AD76" i="29"/>
  <c r="AE69" i="29"/>
  <c r="O91" i="29"/>
  <c r="O77" i="29"/>
  <c r="O122" i="29"/>
  <c r="O76" i="29"/>
  <c r="O68" i="29"/>
  <c r="AP250" i="45"/>
  <c r="AP412" i="45" s="1"/>
  <c r="AP634" i="45"/>
  <c r="AT606" i="45" s="1"/>
  <c r="AP89" i="45"/>
  <c r="AP618" i="45" s="1"/>
  <c r="AP510" i="45"/>
  <c r="AP511" i="45" s="1"/>
  <c r="AP180" i="45"/>
  <c r="AP194" i="45" s="1"/>
  <c r="AP252" i="45"/>
  <c r="AT598" i="45"/>
  <c r="AT234" i="45" s="1"/>
  <c r="BH393" i="45"/>
  <c r="BH413" i="45"/>
  <c r="BH385" i="45"/>
  <c r="BH348" i="45"/>
  <c r="S154" i="29"/>
  <c r="W154" i="29"/>
  <c r="X67" i="29"/>
  <c r="X69" i="29" s="1"/>
  <c r="X63" i="29"/>
  <c r="X72" i="29"/>
  <c r="X73" i="29"/>
  <c r="X64" i="29"/>
  <c r="X90" i="29"/>
  <c r="Y64" i="29"/>
  <c r="BI605" i="45"/>
  <c r="BI624" i="45"/>
  <c r="BJ624" i="45"/>
  <c r="BI89" i="45"/>
  <c r="BI250" i="45"/>
  <c r="BI412" i="45" s="1"/>
  <c r="BI598" i="45"/>
  <c r="BI234" i="45" s="1"/>
  <c r="BI617" i="45"/>
  <c r="BJ617" i="45"/>
  <c r="BI634" i="45"/>
  <c r="BM606" i="45" s="1"/>
  <c r="BI252" i="45"/>
  <c r="BI180" i="45"/>
  <c r="BI194" i="45" s="1"/>
  <c r="BI510" i="45"/>
  <c r="BI511" i="45" s="1"/>
  <c r="P606" i="45"/>
  <c r="P625" i="45"/>
  <c r="F77" i="29"/>
  <c r="F91" i="29"/>
  <c r="F122" i="29"/>
  <c r="F76" i="29"/>
  <c r="S91" i="29"/>
  <c r="T69" i="29"/>
  <c r="S77" i="29"/>
  <c r="S76" i="29"/>
  <c r="S122" i="29"/>
  <c r="S69" i="29"/>
  <c r="S68" i="29"/>
  <c r="AB67" i="29"/>
  <c r="AB72" i="29"/>
  <c r="AB73" i="29"/>
  <c r="AB64" i="29"/>
  <c r="AB90" i="29"/>
  <c r="AC64" i="29"/>
  <c r="AB63" i="29"/>
  <c r="M91" i="29"/>
  <c r="M122" i="29"/>
  <c r="Q123" i="29" s="1"/>
  <c r="M77" i="29"/>
  <c r="M76" i="29"/>
  <c r="X118" i="29"/>
  <c r="Y118" i="29"/>
  <c r="X117" i="29"/>
  <c r="O148" i="29"/>
  <c r="O151" i="29" s="1"/>
  <c r="O154" i="29" s="1"/>
  <c r="O157" i="29" s="1"/>
  <c r="O149" i="29"/>
  <c r="P149" i="29"/>
  <c r="AF90" i="29"/>
  <c r="AF67" i="29"/>
  <c r="AJ68" i="29" s="1"/>
  <c r="AF64" i="29"/>
  <c r="AF72" i="29"/>
  <c r="AF73" i="29"/>
  <c r="AF63" i="29"/>
  <c r="AG64" i="29"/>
  <c r="U158" i="29"/>
  <c r="T158" i="29"/>
  <c r="T157" i="29"/>
  <c r="X157" i="29"/>
  <c r="X310" i="29" s="1"/>
  <c r="L64" i="29"/>
  <c r="L73" i="29"/>
  <c r="L90" i="29"/>
  <c r="L72" i="29"/>
  <c r="L67" i="29"/>
  <c r="M69" i="29" s="1"/>
  <c r="L63" i="29"/>
  <c r="AM72" i="29"/>
  <c r="AM67" i="29"/>
  <c r="AQ68" i="29" s="1"/>
  <c r="AM63" i="29"/>
  <c r="AM90" i="29"/>
  <c r="AM73" i="29"/>
  <c r="G122" i="29"/>
  <c r="H124" i="29" s="1"/>
  <c r="G91" i="29"/>
  <c r="G69" i="29"/>
  <c r="G77" i="29"/>
  <c r="G76" i="29"/>
  <c r="BE634" i="45"/>
  <c r="BF625" i="45" s="1"/>
  <c r="BE252" i="45"/>
  <c r="BE180" i="45"/>
  <c r="BE194" i="45" s="1"/>
  <c r="BE89" i="45"/>
  <c r="BE599" i="45" s="1"/>
  <c r="BE235" i="45" s="1"/>
  <c r="BE510" i="45"/>
  <c r="BE511" i="45" s="1"/>
  <c r="BE250" i="45"/>
  <c r="BE412" i="45" s="1"/>
  <c r="BF617" i="45"/>
  <c r="BH314" i="45"/>
  <c r="BH253" i="45"/>
  <c r="BH392" i="45"/>
  <c r="BH395" i="45" s="1"/>
  <c r="BH295" i="45"/>
  <c r="BH294" i="45"/>
  <c r="BH209" i="45"/>
  <c r="BH212" i="45" s="1"/>
  <c r="BH213" i="45" s="1"/>
  <c r="BH196" i="45"/>
  <c r="O158" i="29"/>
  <c r="P158" i="29"/>
  <c r="T306" i="29"/>
  <c r="U149" i="29"/>
  <c r="X148" i="29"/>
  <c r="X307" i="29" s="1"/>
  <c r="T148" i="29"/>
  <c r="T307" i="29" s="1"/>
  <c r="AJ76" i="29"/>
  <c r="G22" i="48" s="1"/>
  <c r="AJ122" i="29"/>
  <c r="AJ91" i="29"/>
  <c r="AJ77" i="29"/>
  <c r="AJ69" i="29"/>
  <c r="AJ63" i="29"/>
  <c r="K77" i="29"/>
  <c r="K68" i="29"/>
  <c r="K122" i="29"/>
  <c r="K76" i="29"/>
  <c r="K91" i="29"/>
  <c r="P599" i="45"/>
  <c r="P635" i="45"/>
  <c r="P618" i="45"/>
  <c r="P499" i="45"/>
  <c r="AJ124" i="29"/>
  <c r="L118" i="29"/>
  <c r="L117" i="29"/>
  <c r="AW225" i="45"/>
  <c r="AW307" i="45" s="1"/>
  <c r="AW254" i="45"/>
  <c r="AW313" i="45"/>
  <c r="AW249" i="45"/>
  <c r="AX343" i="45"/>
  <c r="AH395" i="45"/>
  <c r="AW636" i="45"/>
  <c r="AW287" i="45"/>
  <c r="AW290" i="45" s="1"/>
  <c r="AW98" i="45"/>
  <c r="AW100" i="45" s="1"/>
  <c r="AW101" i="45"/>
  <c r="AW223" i="45" s="1"/>
  <c r="AW304" i="45" s="1"/>
  <c r="AW262" i="45"/>
  <c r="AW103" i="45"/>
  <c r="AW224" i="45" s="1"/>
  <c r="AW306" i="45" s="1"/>
  <c r="AF395" i="45"/>
  <c r="W607" i="45"/>
  <c r="BB605" i="45"/>
  <c r="AX624" i="45"/>
  <c r="AX605" i="45"/>
  <c r="R124" i="29"/>
  <c r="V67" i="29"/>
  <c r="W69" i="29" s="1"/>
  <c r="V63" i="29"/>
  <c r="V90" i="29"/>
  <c r="V64" i="29"/>
  <c r="V73" i="29"/>
  <c r="V72" i="29"/>
  <c r="Z625" i="45"/>
  <c r="AA606" i="45"/>
  <c r="AE606" i="45"/>
  <c r="AA625" i="45"/>
  <c r="AY598" i="45"/>
  <c r="AY234" i="45" s="1"/>
  <c r="AY89" i="45"/>
  <c r="AY180" i="45"/>
  <c r="AY194" i="45" s="1"/>
  <c r="AY252" i="45"/>
  <c r="AY510" i="45"/>
  <c r="AY511" i="45" s="1"/>
  <c r="AY634" i="45"/>
  <c r="AY250" i="45"/>
  <c r="AY412" i="45" s="1"/>
  <c r="AY617" i="45"/>
  <c r="AH103" i="45"/>
  <c r="AH224" i="45" s="1"/>
  <c r="AH306" i="45" s="1"/>
  <c r="AH262" i="45"/>
  <c r="AH636" i="45"/>
  <c r="AH98" i="45"/>
  <c r="AH100" i="45" s="1"/>
  <c r="AH101" i="45"/>
  <c r="AH223" i="45" s="1"/>
  <c r="AH304" i="45" s="1"/>
  <c r="AH318" i="45" s="1"/>
  <c r="AH287" i="45"/>
  <c r="AH290" i="45" s="1"/>
  <c r="AH291" i="45" s="1"/>
  <c r="N625" i="45"/>
  <c r="N606" i="45"/>
  <c r="O625" i="45"/>
  <c r="AZ510" i="45"/>
  <c r="AZ511" i="45" s="1"/>
  <c r="AZ617" i="45"/>
  <c r="AZ180" i="45"/>
  <c r="AZ194" i="45" s="1"/>
  <c r="AZ598" i="45"/>
  <c r="AZ234" i="45" s="1"/>
  <c r="AZ250" i="45"/>
  <c r="AZ412" i="45" s="1"/>
  <c r="AZ634" i="45"/>
  <c r="BD606" i="45" s="1"/>
  <c r="AZ89" i="45"/>
  <c r="BD599" i="45" s="1"/>
  <c r="BD235" i="45" s="1"/>
  <c r="AZ252" i="45"/>
  <c r="U637" i="45"/>
  <c r="AR196" i="45"/>
  <c r="AR392" i="45"/>
  <c r="AR294" i="45"/>
  <c r="AR295" i="45"/>
  <c r="AR253" i="45"/>
  <c r="AR314" i="45"/>
  <c r="AR209" i="45"/>
  <c r="AR212" i="45" s="1"/>
  <c r="AR213" i="45" s="1"/>
  <c r="AL605" i="45"/>
  <c r="AL624" i="45"/>
  <c r="AP605" i="45"/>
  <c r="BC605" i="45"/>
  <c r="BC624" i="45"/>
  <c r="AH118" i="29"/>
  <c r="AH117" i="29"/>
  <c r="AI118" i="29"/>
  <c r="C122" i="29"/>
  <c r="C76" i="29"/>
  <c r="C91" i="29"/>
  <c r="C77" i="29"/>
  <c r="G68" i="29"/>
  <c r="D69" i="29"/>
  <c r="AK77" i="29"/>
  <c r="AK122" i="29"/>
  <c r="AO123" i="29" s="1"/>
  <c r="AK68" i="29"/>
  <c r="AK91" i="29"/>
  <c r="AK76" i="29"/>
  <c r="H22" i="48" s="1"/>
  <c r="AK69" i="29"/>
  <c r="M606" i="45"/>
  <c r="M625" i="45"/>
  <c r="AK348" i="45"/>
  <c r="AK385" i="45"/>
  <c r="AK393" i="45"/>
  <c r="AK413" i="45"/>
  <c r="Y635" i="45"/>
  <c r="Y499" i="45"/>
  <c r="Y618" i="45"/>
  <c r="Y599" i="45"/>
  <c r="AC599" i="45"/>
  <c r="Y625" i="45"/>
  <c r="Y606" i="45"/>
  <c r="AC606" i="45"/>
  <c r="Z122" i="29"/>
  <c r="Z76" i="29"/>
  <c r="Z77" i="29"/>
  <c r="Z91" i="29"/>
  <c r="Z69" i="29"/>
  <c r="AD68" i="29"/>
  <c r="AH249" i="45"/>
  <c r="AH313" i="45"/>
  <c r="AI343" i="45"/>
  <c r="V118" i="29"/>
  <c r="V117" i="29"/>
  <c r="AG123" i="29"/>
  <c r="Z635" i="45"/>
  <c r="Z607" i="45" s="1"/>
  <c r="Z618" i="45"/>
  <c r="Z499" i="45"/>
  <c r="Z600" i="45" s="1"/>
  <c r="AE599" i="45"/>
  <c r="AA599" i="45"/>
  <c r="AA499" i="45"/>
  <c r="AA618" i="45"/>
  <c r="AA635" i="45"/>
  <c r="AB626" i="45" s="1"/>
  <c r="P67" i="29"/>
  <c r="P72" i="29"/>
  <c r="P63" i="29"/>
  <c r="P90" i="29"/>
  <c r="T63" i="29"/>
  <c r="P73" i="29"/>
  <c r="P64" i="29"/>
  <c r="Q64" i="29"/>
  <c r="I73" i="29"/>
  <c r="M63" i="29"/>
  <c r="I90" i="29"/>
  <c r="I63" i="29"/>
  <c r="I72" i="29"/>
  <c r="I67" i="29"/>
  <c r="I64" i="29"/>
  <c r="W91" i="29"/>
  <c r="W76" i="29"/>
  <c r="W77" i="29"/>
  <c r="W122" i="29"/>
  <c r="W68" i="29"/>
  <c r="R306" i="29"/>
  <c r="V148" i="29"/>
  <c r="V307" i="29" s="1"/>
  <c r="R149" i="29"/>
  <c r="R148" i="29"/>
  <c r="R307" i="29" s="1"/>
  <c r="V157" i="29"/>
  <c r="R158" i="29"/>
  <c r="R157" i="29"/>
  <c r="S158" i="29"/>
  <c r="AR393" i="45"/>
  <c r="AR385" i="45"/>
  <c r="AR413" i="45"/>
  <c r="AR348" i="45"/>
  <c r="AL634" i="45"/>
  <c r="AL510" i="45"/>
  <c r="AL511" i="45" s="1"/>
  <c r="AL180" i="45"/>
  <c r="AL194" i="45" s="1"/>
  <c r="AL89" i="45"/>
  <c r="AL250" i="45"/>
  <c r="AL412" i="45" s="1"/>
  <c r="AL252" i="45"/>
  <c r="AL598" i="45"/>
  <c r="AL234" i="45" s="1"/>
  <c r="AL617" i="45"/>
  <c r="AP598" i="45"/>
  <c r="AP234" i="45" s="1"/>
  <c r="N63" i="29"/>
  <c r="O64" i="29"/>
  <c r="N90" i="29"/>
  <c r="N64" i="29"/>
  <c r="R63" i="29"/>
  <c r="N73" i="29"/>
  <c r="N72" i="29"/>
  <c r="N67" i="29"/>
  <c r="J118" i="29"/>
  <c r="J117" i="29"/>
  <c r="K118" i="29"/>
  <c r="AM624" i="45"/>
  <c r="AN624" i="45"/>
  <c r="AM605" i="45"/>
  <c r="U118" i="29"/>
  <c r="U117" i="29"/>
  <c r="Y117" i="29"/>
  <c r="AK196" i="45"/>
  <c r="AK209" i="45"/>
  <c r="AK212" i="45" s="1"/>
  <c r="AK213" i="45" s="1"/>
  <c r="AK392" i="45"/>
  <c r="AK253" i="45"/>
  <c r="AK294" i="45"/>
  <c r="AK295" i="45"/>
  <c r="AK314" i="45"/>
  <c r="W118" i="29"/>
  <c r="AL118" i="29"/>
  <c r="AL117" i="29"/>
  <c r="AM118" i="29"/>
  <c r="BB598" i="45"/>
  <c r="BB234" i="45" s="1"/>
  <c r="AX598" i="45"/>
  <c r="AX234" i="45" s="1"/>
  <c r="AX252" i="45"/>
  <c r="AX617" i="45"/>
  <c r="AX180" i="45"/>
  <c r="AX194" i="45" s="1"/>
  <c r="AX250" i="45"/>
  <c r="AX412" i="45" s="1"/>
  <c r="AX510" i="45"/>
  <c r="AX511" i="45" s="1"/>
  <c r="AX634" i="45"/>
  <c r="AX89" i="45"/>
  <c r="AY605" i="45"/>
  <c r="AY624" i="45"/>
  <c r="P117" i="29"/>
  <c r="T117" i="29"/>
  <c r="P118" i="29"/>
  <c r="Q118" i="29"/>
  <c r="X606" i="45"/>
  <c r="U625" i="45"/>
  <c r="T606" i="45"/>
  <c r="I118" i="29"/>
  <c r="M117" i="29"/>
  <c r="I117" i="29"/>
  <c r="AZ605" i="45"/>
  <c r="AZ624" i="45"/>
  <c r="AW605" i="45"/>
  <c r="AS624" i="45"/>
  <c r="AT624" i="45"/>
  <c r="AR635" i="45"/>
  <c r="AR92" i="45"/>
  <c r="AR260" i="45"/>
  <c r="AR251" i="45"/>
  <c r="AR599" i="45"/>
  <c r="AR235" i="45" s="1"/>
  <c r="BC510" i="45"/>
  <c r="BC511" i="45" s="1"/>
  <c r="BC89" i="45"/>
  <c r="BD618" i="45" s="1"/>
  <c r="BC634" i="45"/>
  <c r="BD625" i="45" s="1"/>
  <c r="BC252" i="45"/>
  <c r="BC598" i="45"/>
  <c r="BC234" i="45" s="1"/>
  <c r="BC180" i="45"/>
  <c r="BC194" i="45" s="1"/>
  <c r="BC250" i="45"/>
  <c r="BC412" i="45" s="1"/>
  <c r="BC617" i="45"/>
  <c r="J64" i="29"/>
  <c r="J63" i="29"/>
  <c r="J72" i="29"/>
  <c r="J73" i="29"/>
  <c r="K64" i="29"/>
  <c r="J90" i="29"/>
  <c r="J67" i="29"/>
  <c r="U72" i="29"/>
  <c r="U64" i="29"/>
  <c r="Y63" i="29"/>
  <c r="U73" i="29"/>
  <c r="U67" i="29"/>
  <c r="U90" i="29"/>
  <c r="U63" i="29"/>
  <c r="M618" i="45"/>
  <c r="M635" i="45"/>
  <c r="M499" i="45"/>
  <c r="Q600" i="45" s="1"/>
  <c r="M599" i="45"/>
  <c r="AK618" i="45"/>
  <c r="AK635" i="45"/>
  <c r="AK92" i="45"/>
  <c r="AK251" i="45"/>
  <c r="AK260" i="45"/>
  <c r="AL90" i="29"/>
  <c r="AL64" i="29"/>
  <c r="AL73" i="29"/>
  <c r="AL72" i="29"/>
  <c r="AL67" i="29"/>
  <c r="AP68" i="29" s="1"/>
  <c r="AL63" i="29"/>
  <c r="AM64" i="29"/>
  <c r="Z63" i="29"/>
  <c r="N499" i="45"/>
  <c r="O618" i="45"/>
  <c r="N635" i="45"/>
  <c r="N599" i="45"/>
  <c r="N618" i="45"/>
  <c r="T618" i="45"/>
  <c r="T635" i="45"/>
  <c r="X599" i="45"/>
  <c r="T599" i="45"/>
  <c r="U618" i="45"/>
  <c r="T499" i="45"/>
  <c r="W64" i="29"/>
  <c r="BK634" i="45"/>
  <c r="BK625" i="45" s="1"/>
  <c r="BK250" i="45"/>
  <c r="BK412" i="45" s="1"/>
  <c r="BK252" i="45"/>
  <c r="BK89" i="45"/>
  <c r="BL618" i="45" s="1"/>
  <c r="BK510" i="45"/>
  <c r="BK511" i="45" s="1"/>
  <c r="BK180" i="45"/>
  <c r="BK194" i="45" s="1"/>
  <c r="BK617" i="45"/>
  <c r="X586" i="45"/>
  <c r="X637" i="45"/>
  <c r="AH254" i="45"/>
  <c r="AH225" i="45"/>
  <c r="AH307" i="45" s="1"/>
  <c r="AS89" i="45"/>
  <c r="AS599" i="45" s="1"/>
  <c r="AS235" i="45" s="1"/>
  <c r="AS510" i="45"/>
  <c r="AS511" i="45" s="1"/>
  <c r="AW598" i="45"/>
  <c r="AW234" i="45" s="1"/>
  <c r="AS252" i="45"/>
  <c r="AS617" i="45"/>
  <c r="AS634" i="45"/>
  <c r="AS606" i="45" s="1"/>
  <c r="AS250" i="45"/>
  <c r="AS412" i="45" s="1"/>
  <c r="AS180" i="45"/>
  <c r="AS194" i="45" s="1"/>
  <c r="AT617" i="45"/>
  <c r="AH72" i="29"/>
  <c r="AH73" i="29"/>
  <c r="AH90" i="29"/>
  <c r="AH67" i="29"/>
  <c r="AI64" i="29"/>
  <c r="AH64" i="29"/>
  <c r="AH63" i="29"/>
  <c r="R606" i="45"/>
  <c r="R635" i="45"/>
  <c r="V607" i="45" s="1"/>
  <c r="R499" i="45"/>
  <c r="V600" i="45" s="1"/>
  <c r="R599" i="45"/>
  <c r="N118" i="29"/>
  <c r="N117" i="29"/>
  <c r="O118" i="29"/>
  <c r="R117" i="29"/>
  <c r="AM634" i="45"/>
  <c r="AM250" i="45"/>
  <c r="AM412" i="45" s="1"/>
  <c r="AM252" i="45"/>
  <c r="AM617" i="45"/>
  <c r="AN617" i="45"/>
  <c r="AM180" i="45"/>
  <c r="AM194" i="45" s="1"/>
  <c r="AM510" i="45"/>
  <c r="AM511" i="45" s="1"/>
  <c r="AM89" i="45"/>
  <c r="AQ599" i="45" s="1"/>
  <c r="AQ235" i="45" s="1"/>
  <c r="AM598" i="45"/>
  <c r="AM234" i="45" s="1"/>
  <c r="T625" i="45"/>
  <c r="S618" i="45"/>
  <c r="AU606" i="45"/>
  <c r="AQ606" i="45"/>
  <c r="AQ625" i="45"/>
  <c r="AR625" i="45"/>
  <c r="AU599" i="45"/>
  <c r="AU235" i="45" s="1"/>
  <c r="AR618" i="45"/>
  <c r="AQ635" i="45"/>
  <c r="AQ260" i="45"/>
  <c r="AQ251" i="45"/>
  <c r="AQ92" i="45"/>
  <c r="BL635" i="45"/>
  <c r="BL251" i="45"/>
  <c r="BL92" i="45"/>
  <c r="BL599" i="45"/>
  <c r="BL235" i="45" s="1"/>
  <c r="AW625" i="45"/>
  <c r="AV606" i="45"/>
  <c r="AV625" i="45"/>
  <c r="AC586" i="45"/>
  <c r="AC637" i="45"/>
  <c r="AQ385" i="45"/>
  <c r="AQ393" i="45"/>
  <c r="AQ413" i="45"/>
  <c r="AQ348" i="45"/>
  <c r="S636" i="45"/>
  <c r="W608" i="45" s="1"/>
  <c r="S505" i="45"/>
  <c r="W601" i="45" s="1"/>
  <c r="AQ295" i="45"/>
  <c r="AQ294" i="45"/>
  <c r="AQ209" i="45"/>
  <c r="AQ212" i="45" s="1"/>
  <c r="AQ213" i="45" s="1"/>
  <c r="AQ253" i="45"/>
  <c r="AQ314" i="45"/>
  <c r="AQ392" i="45"/>
  <c r="AQ196" i="45"/>
  <c r="AV392" i="45"/>
  <c r="AV314" i="45"/>
  <c r="AV253" i="45"/>
  <c r="AV295" i="45"/>
  <c r="AV196" i="45"/>
  <c r="AV294" i="45"/>
  <c r="AV209" i="45"/>
  <c r="AV212" i="45" s="1"/>
  <c r="AV213" i="45" s="1"/>
  <c r="AV92" i="45"/>
  <c r="AV251" i="45"/>
  <c r="AV635" i="45"/>
  <c r="AV599" i="45"/>
  <c r="AV235" i="45" s="1"/>
  <c r="AV618" i="45"/>
  <c r="AV260" i="45"/>
  <c r="AW618" i="45"/>
  <c r="AV413" i="45"/>
  <c r="AV393" i="45"/>
  <c r="AV385" i="45"/>
  <c r="AV348" i="45"/>
  <c r="BL606" i="45"/>
  <c r="AN116" i="29"/>
  <c r="AO118" i="29" s="1"/>
  <c r="AN62" i="29"/>
  <c r="AN58" i="29"/>
  <c r="L84" i="28"/>
  <c r="P86" i="44"/>
  <c r="L114" i="28"/>
  <c r="L123" i="28" s="1"/>
  <c r="BQ614" i="45"/>
  <c r="BQ247" i="45"/>
  <c r="BQ631" i="45"/>
  <c r="BQ595" i="45"/>
  <c r="BQ231" i="45" s="1"/>
  <c r="K25" i="48"/>
  <c r="K14" i="48"/>
  <c r="BQ632" i="45"/>
  <c r="BR623" i="45" s="1"/>
  <c r="BQ596" i="45"/>
  <c r="BQ232" i="45" s="1"/>
  <c r="BA385" i="45"/>
  <c r="BA393" i="45"/>
  <c r="BA413" i="45"/>
  <c r="BA348" i="45"/>
  <c r="BD294" i="45"/>
  <c r="BD295" i="45"/>
  <c r="BD392" i="45"/>
  <c r="BD253" i="45"/>
  <c r="BD314" i="45"/>
  <c r="BD196" i="45"/>
  <c r="BD209" i="45"/>
  <c r="BD212" i="45" s="1"/>
  <c r="BD213" i="45" s="1"/>
  <c r="BD385" i="45"/>
  <c r="BD413" i="45"/>
  <c r="BD393" i="45"/>
  <c r="BD348" i="45"/>
  <c r="BD92" i="45"/>
  <c r="BD251" i="45"/>
  <c r="BD260" i="45"/>
  <c r="BD635" i="45"/>
  <c r="BH599" i="45"/>
  <c r="BH235" i="45" s="1"/>
  <c r="BA606" i="45"/>
  <c r="BB625" i="45"/>
  <c r="X627" i="45"/>
  <c r="BA635" i="45"/>
  <c r="BA260" i="45"/>
  <c r="BA599" i="45"/>
  <c r="BA235" i="45" s="1"/>
  <c r="BA251" i="45"/>
  <c r="BA92" i="45"/>
  <c r="BB618" i="45"/>
  <c r="AT313" i="45"/>
  <c r="AT249" i="45"/>
  <c r="AU343" i="45"/>
  <c r="BG294" i="45"/>
  <c r="BG314" i="45"/>
  <c r="BG253" i="45"/>
  <c r="BG392" i="45"/>
  <c r="BG209" i="45"/>
  <c r="BG212" i="45" s="1"/>
  <c r="BG213" i="45" s="1"/>
  <c r="BG295" i="45"/>
  <c r="BG196" i="45"/>
  <c r="BN222" i="45"/>
  <c r="BN255" i="45" s="1"/>
  <c r="BN637" i="45"/>
  <c r="AI103" i="45"/>
  <c r="AI224" i="45" s="1"/>
  <c r="AI306" i="45" s="1"/>
  <c r="AI262" i="45"/>
  <c r="AI287" i="45"/>
  <c r="AI290" i="45" s="1"/>
  <c r="AI98" i="45"/>
  <c r="AI100" i="45" s="1"/>
  <c r="AI101" i="45"/>
  <c r="AI223" i="45" s="1"/>
  <c r="AI304" i="45" s="1"/>
  <c r="AI318" i="45" s="1"/>
  <c r="AI619" i="45"/>
  <c r="AI636" i="45"/>
  <c r="AI626" i="45"/>
  <c r="AF626" i="45"/>
  <c r="BO625" i="45"/>
  <c r="BJ101" i="45"/>
  <c r="BJ223" i="45" s="1"/>
  <c r="BJ304" i="45" s="1"/>
  <c r="BJ287" i="45"/>
  <c r="BJ290" i="45" s="1"/>
  <c r="BJ262" i="45"/>
  <c r="BJ98" i="45"/>
  <c r="BJ100" i="45" s="1"/>
  <c r="BN601" i="45" s="1"/>
  <c r="BN237" i="45" s="1"/>
  <c r="BN238" i="45" s="1"/>
  <c r="BJ636" i="45"/>
  <c r="BN608" i="45" s="1"/>
  <c r="BJ103" i="45"/>
  <c r="BJ224" i="45" s="1"/>
  <c r="BJ306" i="45" s="1"/>
  <c r="AI249" i="45"/>
  <c r="AJ343" i="45"/>
  <c r="AI313" i="45"/>
  <c r="AG343" i="45"/>
  <c r="AF313" i="45"/>
  <c r="AF249" i="45"/>
  <c r="BJ395" i="45"/>
  <c r="BA295" i="45"/>
  <c r="BA253" i="45"/>
  <c r="BA196" i="45"/>
  <c r="BA314" i="45"/>
  <c r="BA209" i="45"/>
  <c r="BA212" i="45" s="1"/>
  <c r="BA213" i="45" s="1"/>
  <c r="BA392" i="45"/>
  <c r="BA294" i="45"/>
  <c r="W637" i="45"/>
  <c r="W586" i="45"/>
  <c r="X620" i="45"/>
  <c r="V626" i="45"/>
  <c r="BH606" i="45"/>
  <c r="BE625" i="45"/>
  <c r="BG618" i="45"/>
  <c r="BG635" i="45"/>
  <c r="BG92" i="45"/>
  <c r="BG599" i="45"/>
  <c r="BG235" i="45" s="1"/>
  <c r="BG251" i="45"/>
  <c r="BG260" i="45"/>
  <c r="BH618" i="45"/>
  <c r="BK599" i="45"/>
  <c r="BK235" i="45" s="1"/>
  <c r="BG385" i="45"/>
  <c r="BG393" i="45"/>
  <c r="BG413" i="45"/>
  <c r="BG348" i="45"/>
  <c r="BM92" i="45"/>
  <c r="BM599" i="45"/>
  <c r="BM235" i="45" s="1"/>
  <c r="BM635" i="45"/>
  <c r="BM251" i="45"/>
  <c r="BM618" i="45"/>
  <c r="BN618" i="45"/>
  <c r="Q607" i="45"/>
  <c r="Q626" i="45"/>
  <c r="U607" i="45"/>
  <c r="W626" i="45"/>
  <c r="BN607" i="45"/>
  <c r="AO599" i="45"/>
  <c r="AO235" i="45" s="1"/>
  <c r="AO251" i="45"/>
  <c r="AO618" i="45"/>
  <c r="AO92" i="45"/>
  <c r="AO635" i="45"/>
  <c r="AO260" i="45"/>
  <c r="AO413" i="45"/>
  <c r="AO385" i="45"/>
  <c r="AO393" i="45"/>
  <c r="AO348" i="45"/>
  <c r="AD625" i="45"/>
  <c r="AD606" i="45"/>
  <c r="AE625" i="45"/>
  <c r="AT225" i="45"/>
  <c r="AT307" i="45" s="1"/>
  <c r="AT254" i="45"/>
  <c r="X621" i="45"/>
  <c r="Q636" i="45"/>
  <c r="Q505" i="45"/>
  <c r="Q619" i="45"/>
  <c r="U600" i="45"/>
  <c r="AF262" i="45"/>
  <c r="AF101" i="45"/>
  <c r="AF223" i="45" s="1"/>
  <c r="AF304" i="45" s="1"/>
  <c r="AF318" i="45" s="1"/>
  <c r="AF287" i="45"/>
  <c r="AF290" i="45" s="1"/>
  <c r="AF619" i="45"/>
  <c r="AF98" i="45"/>
  <c r="AF100" i="45" s="1"/>
  <c r="AF103" i="45"/>
  <c r="AF224" i="45" s="1"/>
  <c r="AF306" i="45" s="1"/>
  <c r="AF636" i="45"/>
  <c r="S608" i="45"/>
  <c r="AO606" i="45"/>
  <c r="AP625" i="45"/>
  <c r="BJ254" i="45"/>
  <c r="BJ225" i="45"/>
  <c r="BJ307" i="45" s="1"/>
  <c r="BJ313" i="45"/>
  <c r="BJ249" i="45"/>
  <c r="BK343" i="45"/>
  <c r="AB607" i="45"/>
  <c r="AC626" i="45"/>
  <c r="AT101" i="45"/>
  <c r="AT223" i="45" s="1"/>
  <c r="AT304" i="45" s="1"/>
  <c r="AT98" i="45"/>
  <c r="AT100" i="45" s="1"/>
  <c r="AT103" i="45"/>
  <c r="AT224" i="45" s="1"/>
  <c r="AT306" i="45" s="1"/>
  <c r="AT287" i="45"/>
  <c r="AT290" i="45" s="1"/>
  <c r="AU619" i="45"/>
  <c r="AT636" i="45"/>
  <c r="AT262" i="45"/>
  <c r="AD635" i="45"/>
  <c r="AD618" i="45"/>
  <c r="AD499" i="45"/>
  <c r="AD599" i="45"/>
  <c r="AE618" i="45"/>
  <c r="BG625" i="45"/>
  <c r="BH625" i="45"/>
  <c r="AI225" i="45"/>
  <c r="AI307" i="45" s="1"/>
  <c r="AI254" i="45"/>
  <c r="V619" i="45"/>
  <c r="V636" i="45"/>
  <c r="V505" i="45"/>
  <c r="AF254" i="45"/>
  <c r="AF225" i="45"/>
  <c r="AF307" i="45" s="1"/>
  <c r="BM625" i="45"/>
  <c r="BN625" i="45"/>
  <c r="BO92" i="45"/>
  <c r="BO599" i="45"/>
  <c r="BO235" i="45" s="1"/>
  <c r="BO635" i="45"/>
  <c r="BO251" i="45"/>
  <c r="BO618" i="45"/>
  <c r="O637" i="45"/>
  <c r="BP618" i="45"/>
  <c r="BP635" i="45"/>
  <c r="BP251" i="45"/>
  <c r="BP92" i="45"/>
  <c r="BP599" i="45"/>
  <c r="BP235" i="45" s="1"/>
  <c r="BP625" i="45"/>
  <c r="BP606" i="45"/>
  <c r="AO196" i="45"/>
  <c r="AO314" i="45"/>
  <c r="AO392" i="45"/>
  <c r="AO295" i="45"/>
  <c r="AO294" i="45"/>
  <c r="AO253" i="45"/>
  <c r="AO209" i="45"/>
  <c r="AO212" i="45" s="1"/>
  <c r="AO213" i="45" s="1"/>
  <c r="AB587" i="45"/>
  <c r="AB505" i="45"/>
  <c r="AB636" i="45"/>
  <c r="AB619" i="45"/>
  <c r="AB600" i="45"/>
  <c r="AC619" i="45"/>
  <c r="AT395" i="45"/>
  <c r="AN88" i="29"/>
  <c r="X263" i="45" l="1"/>
  <c r="X78" i="12"/>
  <c r="E164" i="56"/>
  <c r="J241" i="45"/>
  <c r="I306" i="45"/>
  <c r="J240" i="45"/>
  <c r="I304" i="45"/>
  <c r="I307" i="45"/>
  <c r="J242" i="45"/>
  <c r="J307" i="45"/>
  <c r="K242" i="45"/>
  <c r="J306" i="45"/>
  <c r="K241" i="45"/>
  <c r="K240" i="45"/>
  <c r="J304" i="45"/>
  <c r="J291" i="45"/>
  <c r="H237" i="45"/>
  <c r="G100" i="45"/>
  <c r="G222" i="45" s="1"/>
  <c r="G306" i="45"/>
  <c r="H241" i="45"/>
  <c r="I100" i="45"/>
  <c r="J237" i="45"/>
  <c r="H242" i="45"/>
  <c r="G307" i="45"/>
  <c r="G60" i="12"/>
  <c r="U42" i="12" s="1"/>
  <c r="K87" i="3"/>
  <c r="K237" i="45"/>
  <c r="J100" i="45"/>
  <c r="H240" i="45"/>
  <c r="G304" i="45"/>
  <c r="AB324" i="45"/>
  <c r="AB326" i="45" s="1"/>
  <c r="AB137" i="45"/>
  <c r="AB204" i="45" s="1"/>
  <c r="AJ587" i="45"/>
  <c r="AJ586" i="45"/>
  <c r="R316" i="45"/>
  <c r="S342" i="45"/>
  <c r="S263" i="45" s="1"/>
  <c r="R243" i="45"/>
  <c r="R342" i="45"/>
  <c r="R263" i="45" s="1"/>
  <c r="S243" i="45"/>
  <c r="S417" i="45" s="1"/>
  <c r="Y316" i="45"/>
  <c r="Y315" i="45"/>
  <c r="Y311" i="45"/>
  <c r="Y310" i="45"/>
  <c r="AK517" i="45"/>
  <c r="AL515" i="45"/>
  <c r="AC123" i="45"/>
  <c r="AC122" i="45" s="1"/>
  <c r="AC34" i="12"/>
  <c r="Q78" i="3"/>
  <c r="AA208" i="45"/>
  <c r="Q91" i="3" s="1"/>
  <c r="K56" i="12"/>
  <c r="O81" i="3"/>
  <c r="O44" i="4" s="1"/>
  <c r="P81" i="3"/>
  <c r="L56" i="12"/>
  <c r="Y271" i="45"/>
  <c r="Y289" i="45"/>
  <c r="O43" i="4"/>
  <c r="K54" i="12"/>
  <c r="W342" i="45"/>
  <c r="W243" i="45"/>
  <c r="W417" i="45" s="1"/>
  <c r="V342" i="45"/>
  <c r="V316" i="45"/>
  <c r="AD34" i="12"/>
  <c r="AD123" i="45"/>
  <c r="AD122" i="45" s="1"/>
  <c r="U517" i="45"/>
  <c r="T515" i="45"/>
  <c r="V414" i="45"/>
  <c r="V418" i="45" s="1"/>
  <c r="V265" i="45"/>
  <c r="V264" i="45"/>
  <c r="T265" i="45"/>
  <c r="I318" i="45"/>
  <c r="I305" i="45"/>
  <c r="H239" i="45"/>
  <c r="G255" i="45"/>
  <c r="I238" i="45"/>
  <c r="H222" i="45"/>
  <c r="T414" i="45"/>
  <c r="T418" i="45" s="1"/>
  <c r="G305" i="45"/>
  <c r="G318" i="45"/>
  <c r="F222" i="45"/>
  <c r="G238" i="45"/>
  <c r="Q50" i="44"/>
  <c r="Q62" i="44" s="1"/>
  <c r="Q101" i="44"/>
  <c r="K35" i="26" s="1"/>
  <c r="Q53" i="44"/>
  <c r="Q65" i="44" s="1"/>
  <c r="R71" i="44"/>
  <c r="J35" i="26"/>
  <c r="P100" i="44"/>
  <c r="P103" i="44" s="1"/>
  <c r="P85" i="44" s="1"/>
  <c r="R72" i="44"/>
  <c r="R70" i="44"/>
  <c r="Y75" i="44"/>
  <c r="P57" i="44"/>
  <c r="P67" i="44" s="1"/>
  <c r="Y69" i="44"/>
  <c r="Y73" i="44"/>
  <c r="Y74" i="44"/>
  <c r="Y71" i="44"/>
  <c r="U48" i="48"/>
  <c r="T48" i="48"/>
  <c r="P207" i="28"/>
  <c r="P60" i="28"/>
  <c r="P208" i="28" s="1"/>
  <c r="P52" i="28"/>
  <c r="P76" i="28"/>
  <c r="I68" i="3"/>
  <c r="P55" i="3"/>
  <c r="P84" i="3" s="1"/>
  <c r="O58" i="3"/>
  <c r="O85" i="3"/>
  <c r="H36" i="12"/>
  <c r="H77" i="12" s="1"/>
  <c r="AO64" i="29"/>
  <c r="L33" i="48"/>
  <c r="K34" i="48"/>
  <c r="L34" i="48" s="1"/>
  <c r="BG606" i="45"/>
  <c r="AO625" i="45"/>
  <c r="BA625" i="45"/>
  <c r="BQ615" i="45"/>
  <c r="BQ248" i="45"/>
  <c r="BQ83" i="45"/>
  <c r="BR616" i="45" s="1"/>
  <c r="Y122" i="29"/>
  <c r="AC123" i="29" s="1"/>
  <c r="Y76" i="29"/>
  <c r="Y91" i="29"/>
  <c r="Y77" i="29"/>
  <c r="AC68" i="29"/>
  <c r="BE618" i="45"/>
  <c r="S149" i="29"/>
  <c r="AA68" i="29"/>
  <c r="AE122" i="29"/>
  <c r="AI123" i="29" s="1"/>
  <c r="AE91" i="29"/>
  <c r="AE77" i="29"/>
  <c r="AE76" i="29"/>
  <c r="B22" i="48" s="1"/>
  <c r="AI68" i="29"/>
  <c r="G123" i="29"/>
  <c r="K123" i="29"/>
  <c r="AN209" i="45"/>
  <c r="AN212" i="45" s="1"/>
  <c r="AN213" i="45" s="1"/>
  <c r="AN314" i="45"/>
  <c r="AN253" i="45"/>
  <c r="AN392" i="45"/>
  <c r="AN295" i="45"/>
  <c r="AN196" i="45"/>
  <c r="AN294" i="45"/>
  <c r="AN413" i="45"/>
  <c r="AN348" i="45"/>
  <c r="AN393" i="45"/>
  <c r="AN385" i="45"/>
  <c r="AN260" i="45"/>
  <c r="AN635" i="45"/>
  <c r="AR607" i="45" s="1"/>
  <c r="AN92" i="45"/>
  <c r="AN251" i="45"/>
  <c r="BA618" i="45"/>
  <c r="W180" i="45"/>
  <c r="W89" i="45"/>
  <c r="X234" i="45"/>
  <c r="W250" i="45"/>
  <c r="W412" i="45" s="1"/>
  <c r="W252" i="45"/>
  <c r="W234" i="45"/>
  <c r="Y414" i="45"/>
  <c r="Y418" i="45" s="1"/>
  <c r="Y264" i="45"/>
  <c r="Y265" i="45"/>
  <c r="F67" i="3"/>
  <c r="F68" i="3" s="1"/>
  <c r="R89" i="45"/>
  <c r="R250" i="45"/>
  <c r="R252" i="45"/>
  <c r="S234" i="45"/>
  <c r="R180" i="45"/>
  <c r="R194" i="45" s="1"/>
  <c r="T250" i="45"/>
  <c r="T412" i="45" s="1"/>
  <c r="T180" i="45"/>
  <c r="T194" i="45" s="1"/>
  <c r="T89" i="45"/>
  <c r="U234" i="45"/>
  <c r="T252" i="45"/>
  <c r="T234" i="45"/>
  <c r="D42" i="4"/>
  <c r="D141" i="4"/>
  <c r="D75" i="3"/>
  <c r="D46" i="4" s="1"/>
  <c r="D142" i="4"/>
  <c r="G67" i="3"/>
  <c r="G68" i="3" s="1"/>
  <c r="E76" i="12"/>
  <c r="E50" i="12"/>
  <c r="I141" i="4"/>
  <c r="I42" i="4"/>
  <c r="I142" i="4"/>
  <c r="I75" i="3"/>
  <c r="I46" i="4" s="1"/>
  <c r="N63" i="3"/>
  <c r="X194" i="45"/>
  <c r="U385" i="45"/>
  <c r="U413" i="45"/>
  <c r="U393" i="45"/>
  <c r="U348" i="45"/>
  <c r="U251" i="45"/>
  <c r="U92" i="45"/>
  <c r="V235" i="45"/>
  <c r="M85" i="4"/>
  <c r="W262" i="45" s="1"/>
  <c r="M57" i="1"/>
  <c r="I38" i="12" s="1"/>
  <c r="I35" i="12"/>
  <c r="J36" i="12" s="1"/>
  <c r="J77" i="12" s="1"/>
  <c r="M84" i="4"/>
  <c r="W261" i="45" s="1"/>
  <c r="W267" i="45" s="1"/>
  <c r="M149" i="4"/>
  <c r="M56" i="4"/>
  <c r="D18" i="54"/>
  <c r="M56" i="1"/>
  <c r="M72" i="4"/>
  <c r="W50" i="12" s="1"/>
  <c r="W76" i="12" s="1"/>
  <c r="M41" i="1"/>
  <c r="M83" i="4"/>
  <c r="W260" i="45" s="1"/>
  <c r="I118" i="28"/>
  <c r="I127" i="28" s="1"/>
  <c r="G164" i="56"/>
  <c r="Y78" i="12"/>
  <c r="C67" i="3"/>
  <c r="C68" i="3" s="1"/>
  <c r="C56" i="1"/>
  <c r="C72" i="4"/>
  <c r="C57" i="1"/>
  <c r="H67" i="3"/>
  <c r="H68" i="3" s="1"/>
  <c r="H72" i="4"/>
  <c r="R50" i="12" s="1"/>
  <c r="R76" i="12" s="1"/>
  <c r="H149" i="4"/>
  <c r="H56" i="1"/>
  <c r="H56" i="4"/>
  <c r="H84" i="4"/>
  <c r="H85" i="4"/>
  <c r="H57" i="1"/>
  <c r="D38" i="12" s="1"/>
  <c r="E39" i="12" s="1"/>
  <c r="E79" i="12" s="1"/>
  <c r="H83" i="4"/>
  <c r="D118" i="28"/>
  <c r="E127" i="28" s="1"/>
  <c r="D35" i="12"/>
  <c r="D76" i="12" s="1"/>
  <c r="K155" i="4"/>
  <c r="G89" i="12" s="1"/>
  <c r="G84" i="12"/>
  <c r="B163" i="56"/>
  <c r="U51" i="12"/>
  <c r="U77" i="12" s="1"/>
  <c r="E163" i="56"/>
  <c r="X51" i="12"/>
  <c r="X77" i="12" s="1"/>
  <c r="N56" i="4"/>
  <c r="J76" i="12"/>
  <c r="V304" i="45"/>
  <c r="V100" i="45"/>
  <c r="V307" i="45"/>
  <c r="S306" i="45"/>
  <c r="S100" i="45"/>
  <c r="P196" i="45"/>
  <c r="P295" i="45"/>
  <c r="P294" i="45"/>
  <c r="P209" i="45"/>
  <c r="P212" i="45" s="1"/>
  <c r="P213" i="45" s="1"/>
  <c r="P253" i="45"/>
  <c r="F89" i="3"/>
  <c r="P314" i="45"/>
  <c r="P92" i="45"/>
  <c r="P251" i="45"/>
  <c r="P260" i="45"/>
  <c r="E85" i="4"/>
  <c r="E57" i="1"/>
  <c r="E84" i="4"/>
  <c r="E56" i="4"/>
  <c r="E72" i="4"/>
  <c r="E83" i="4"/>
  <c r="E149" i="4"/>
  <c r="E155" i="4" s="1"/>
  <c r="E56" i="1"/>
  <c r="Y87" i="45"/>
  <c r="Y300" i="45"/>
  <c r="N89" i="45"/>
  <c r="N250" i="45"/>
  <c r="N180" i="45"/>
  <c r="N194" i="45" s="1"/>
  <c r="N252" i="45"/>
  <c r="N348" i="45" s="1"/>
  <c r="O234" i="45"/>
  <c r="J67" i="3"/>
  <c r="F48" i="12" s="1"/>
  <c r="F47" i="12"/>
  <c r="F43" i="12" s="1"/>
  <c r="J56" i="1"/>
  <c r="J85" i="4"/>
  <c r="J72" i="4"/>
  <c r="T50" i="12" s="1"/>
  <c r="T76" i="12" s="1"/>
  <c r="J149" i="4"/>
  <c r="F118" i="28"/>
  <c r="F127" i="28" s="1"/>
  <c r="F35" i="12"/>
  <c r="J83" i="4"/>
  <c r="T260" i="45" s="1"/>
  <c r="J84" i="4"/>
  <c r="J57" i="1"/>
  <c r="F38" i="12" s="1"/>
  <c r="J56" i="4"/>
  <c r="F57" i="1"/>
  <c r="F85" i="4"/>
  <c r="F149" i="4"/>
  <c r="F72" i="4"/>
  <c r="B118" i="28"/>
  <c r="F83" i="4"/>
  <c r="F56" i="1"/>
  <c r="F84" i="4"/>
  <c r="F56" i="4"/>
  <c r="C118" i="28"/>
  <c r="G72" i="4"/>
  <c r="G149" i="4"/>
  <c r="G83" i="4"/>
  <c r="G56" i="4"/>
  <c r="G57" i="1"/>
  <c r="G84" i="4"/>
  <c r="G85" i="4"/>
  <c r="G56" i="1"/>
  <c r="L141" i="4"/>
  <c r="L142" i="4"/>
  <c r="H50" i="12"/>
  <c r="L75" i="3"/>
  <c r="L46" i="4" s="1"/>
  <c r="L42" i="4"/>
  <c r="O89" i="45"/>
  <c r="O250" i="45"/>
  <c r="O252" i="45"/>
  <c r="O348" i="45" s="1"/>
  <c r="O180" i="45"/>
  <c r="O194" i="45" s="1"/>
  <c r="P234" i="45"/>
  <c r="Q180" i="45"/>
  <c r="Q194" i="45" s="1"/>
  <c r="R234" i="45"/>
  <c r="Q250" i="45"/>
  <c r="Q252" i="45"/>
  <c r="Q89" i="45"/>
  <c r="S67" i="12"/>
  <c r="S12" i="12" s="1"/>
  <c r="E78" i="12"/>
  <c r="S13" i="12"/>
  <c r="I155" i="4"/>
  <c r="E89" i="12" s="1"/>
  <c r="E84" i="12"/>
  <c r="X385" i="45"/>
  <c r="X413" i="45"/>
  <c r="X393" i="45"/>
  <c r="X348" i="45"/>
  <c r="X251" i="45"/>
  <c r="X92" i="45"/>
  <c r="U196" i="45"/>
  <c r="U209" i="45"/>
  <c r="U212" i="45" s="1"/>
  <c r="U213" i="45" s="1"/>
  <c r="U253" i="45"/>
  <c r="U295" i="45"/>
  <c r="U294" i="45"/>
  <c r="U392" i="45"/>
  <c r="K89" i="3"/>
  <c r="U314" i="45"/>
  <c r="T242" i="45"/>
  <c r="S307" i="45"/>
  <c r="O40" i="1"/>
  <c r="O57" i="4"/>
  <c r="K33" i="12"/>
  <c r="O73" i="4"/>
  <c r="O80" i="4"/>
  <c r="O78" i="4"/>
  <c r="O54" i="1"/>
  <c r="O144" i="4"/>
  <c r="O92" i="4"/>
  <c r="O79" i="4"/>
  <c r="O65" i="1"/>
  <c r="G165" i="56" s="1"/>
  <c r="O53" i="1"/>
  <c r="O52" i="1" s="1"/>
  <c r="O140" i="4"/>
  <c r="M234" i="45"/>
  <c r="M180" i="45"/>
  <c r="M194" i="45" s="1"/>
  <c r="M89" i="45"/>
  <c r="M250" i="45"/>
  <c r="N234" i="45"/>
  <c r="M252" i="45"/>
  <c r="M348" i="45" s="1"/>
  <c r="K56" i="4"/>
  <c r="B162" i="56"/>
  <c r="U52" i="12"/>
  <c r="U79" i="12" s="1"/>
  <c r="G39" i="12"/>
  <c r="G79" i="12" s="1"/>
  <c r="G78" i="12"/>
  <c r="U67" i="12"/>
  <c r="U12" i="12" s="1"/>
  <c r="K68" i="3"/>
  <c r="N41" i="1"/>
  <c r="E162" i="56"/>
  <c r="X52" i="12"/>
  <c r="X79" i="12" s="1"/>
  <c r="N155" i="4"/>
  <c r="J89" i="12" s="1"/>
  <c r="J84" i="12"/>
  <c r="J78" i="12"/>
  <c r="J39" i="12"/>
  <c r="J79" i="12" s="1"/>
  <c r="X67" i="12"/>
  <c r="X12" i="12" s="1"/>
  <c r="V291" i="45"/>
  <c r="V306" i="45"/>
  <c r="S304" i="45"/>
  <c r="S291" i="45"/>
  <c r="P385" i="45"/>
  <c r="P348" i="45"/>
  <c r="Q234" i="45"/>
  <c r="E67" i="3"/>
  <c r="E68" i="3" s="1"/>
  <c r="BQ622" i="45"/>
  <c r="BR622" i="45"/>
  <c r="BR606" i="45"/>
  <c r="BR105" i="45"/>
  <c r="BR104" i="45" s="1"/>
  <c r="BR88" i="45" s="1"/>
  <c r="L18" i="48"/>
  <c r="AQ618" i="45"/>
  <c r="BK606" i="45"/>
  <c r="BE606" i="45"/>
  <c r="AG314" i="45"/>
  <c r="AG209" i="45"/>
  <c r="AG212" i="45" s="1"/>
  <c r="AG213" i="45" s="1"/>
  <c r="AG392" i="45"/>
  <c r="AG295" i="45"/>
  <c r="AG196" i="45"/>
  <c r="AG253" i="45"/>
  <c r="AG294" i="45"/>
  <c r="AG413" i="45"/>
  <c r="AG385" i="45"/>
  <c r="AG348" i="45"/>
  <c r="AG393" i="45"/>
  <c r="E76" i="29"/>
  <c r="E91" i="29"/>
  <c r="E77" i="29"/>
  <c r="E122" i="29"/>
  <c r="E69" i="29"/>
  <c r="AJ393" i="45"/>
  <c r="AJ348" i="45"/>
  <c r="AJ413" i="45"/>
  <c r="AJ385" i="45"/>
  <c r="Z68" i="29"/>
  <c r="AG92" i="45"/>
  <c r="AG260" i="45"/>
  <c r="AG635" i="45"/>
  <c r="AK607" i="45" s="1"/>
  <c r="AG251" i="45"/>
  <c r="AH618" i="45"/>
  <c r="AG618" i="45"/>
  <c r="AA76" i="29"/>
  <c r="AA91" i="29"/>
  <c r="AA77" i="29"/>
  <c r="AA122" i="29"/>
  <c r="AE123" i="29" s="1"/>
  <c r="AE68" i="29"/>
  <c r="AE587" i="45"/>
  <c r="AF621" i="45" s="1"/>
  <c r="AE636" i="45"/>
  <c r="AE505" i="45"/>
  <c r="K505" i="45"/>
  <c r="K587" i="45"/>
  <c r="K636" i="45"/>
  <c r="K600" i="45"/>
  <c r="O600" i="45"/>
  <c r="K619" i="45"/>
  <c r="AJ314" i="45"/>
  <c r="AJ295" i="45"/>
  <c r="AJ294" i="45"/>
  <c r="AJ209" i="45"/>
  <c r="AJ212" i="45" s="1"/>
  <c r="AJ213" i="45" s="1"/>
  <c r="AJ196" i="45"/>
  <c r="AJ392" i="45"/>
  <c r="AJ253" i="45"/>
  <c r="AK395" i="45"/>
  <c r="AH625" i="45"/>
  <c r="AG625" i="45"/>
  <c r="D122" i="29"/>
  <c r="H123" i="29" s="1"/>
  <c r="D76" i="29"/>
  <c r="D91" i="29"/>
  <c r="D77" i="29"/>
  <c r="H68" i="29"/>
  <c r="K626" i="45"/>
  <c r="K607" i="45"/>
  <c r="O607" i="45"/>
  <c r="AJ92" i="45"/>
  <c r="AK619" i="45" s="1"/>
  <c r="AJ260" i="45"/>
  <c r="AJ251" i="45"/>
  <c r="AN599" i="45"/>
  <c r="AN235" i="45" s="1"/>
  <c r="AJ635" i="45"/>
  <c r="AK626" i="45" s="1"/>
  <c r="AJ599" i="45"/>
  <c r="AJ235" i="45" s="1"/>
  <c r="AJ618" i="45"/>
  <c r="AJ625" i="45"/>
  <c r="AN606" i="45"/>
  <c r="AJ606" i="45"/>
  <c r="BB262" i="45"/>
  <c r="BB101" i="45"/>
  <c r="BB223" i="45" s="1"/>
  <c r="BB304" i="45" s="1"/>
  <c r="BB98" i="45"/>
  <c r="BB100" i="45" s="1"/>
  <c r="BB636" i="45"/>
  <c r="BB103" i="45"/>
  <c r="BB224" i="45" s="1"/>
  <c r="BB306" i="45" s="1"/>
  <c r="BB287" i="45"/>
  <c r="BB290" i="45" s="1"/>
  <c r="BF607" i="45"/>
  <c r="BB313" i="45"/>
  <c r="BB249" i="45"/>
  <c r="BC343" i="45"/>
  <c r="BB395" i="45"/>
  <c r="BB225" i="45"/>
  <c r="BB307" i="45" s="1"/>
  <c r="BB254" i="45"/>
  <c r="BF395" i="45"/>
  <c r="L601" i="45"/>
  <c r="L637" i="45"/>
  <c r="BF636" i="45"/>
  <c r="BJ608" i="45" s="1"/>
  <c r="BF262" i="45"/>
  <c r="BF101" i="45"/>
  <c r="BF223" i="45" s="1"/>
  <c r="BF304" i="45" s="1"/>
  <c r="BF287" i="45"/>
  <c r="BF290" i="45" s="1"/>
  <c r="BF600" i="45"/>
  <c r="BF236" i="45" s="1"/>
  <c r="BF103" i="45"/>
  <c r="BF224" i="45" s="1"/>
  <c r="BF306" i="45" s="1"/>
  <c r="BF98" i="45"/>
  <c r="BF100" i="45" s="1"/>
  <c r="BF254" i="45"/>
  <c r="BF225" i="45"/>
  <c r="BF307" i="45" s="1"/>
  <c r="BF249" i="45"/>
  <c r="BG343" i="45"/>
  <c r="BF313" i="45"/>
  <c r="S601" i="45"/>
  <c r="BO606" i="45"/>
  <c r="AU262" i="45"/>
  <c r="AU103" i="45"/>
  <c r="AU224" i="45" s="1"/>
  <c r="AU306" i="45" s="1"/>
  <c r="AU101" i="45"/>
  <c r="AU223" i="45" s="1"/>
  <c r="AU304" i="45" s="1"/>
  <c r="AU98" i="45"/>
  <c r="AU100" i="45" s="1"/>
  <c r="AU620" i="45" s="1"/>
  <c r="AU636" i="45"/>
  <c r="AU287" i="45"/>
  <c r="AU290" i="45" s="1"/>
  <c r="BL625" i="45"/>
  <c r="AU254" i="45"/>
  <c r="AU225" i="45"/>
  <c r="AU307" i="45" s="1"/>
  <c r="AU249" i="45"/>
  <c r="AU313" i="45"/>
  <c r="AV343" i="45"/>
  <c r="BE251" i="45"/>
  <c r="BE635" i="45"/>
  <c r="BF626" i="45" s="1"/>
  <c r="BF618" i="45"/>
  <c r="BE260" i="45"/>
  <c r="BE92" i="45"/>
  <c r="BE600" i="45" s="1"/>
  <c r="BE236" i="45" s="1"/>
  <c r="G124" i="29"/>
  <c r="AM77" i="29"/>
  <c r="AM122" i="29"/>
  <c r="AM76" i="29"/>
  <c r="J22" i="48" s="1"/>
  <c r="AM68" i="29"/>
  <c r="AM91" i="29"/>
  <c r="AB122" i="29"/>
  <c r="AB77" i="29"/>
  <c r="AB69" i="29"/>
  <c r="AB91" i="29"/>
  <c r="AB76" i="29"/>
  <c r="AC69" i="29"/>
  <c r="AB68" i="29"/>
  <c r="S123" i="29"/>
  <c r="T124" i="29"/>
  <c r="S124" i="29"/>
  <c r="BI92" i="45"/>
  <c r="BM600" i="45" s="1"/>
  <c r="BM236" i="45" s="1"/>
  <c r="BI251" i="45"/>
  <c r="BJ618" i="45"/>
  <c r="BI618" i="45"/>
  <c r="BI260" i="45"/>
  <c r="BI599" i="45"/>
  <c r="BI235" i="45" s="1"/>
  <c r="BI635" i="45"/>
  <c r="AP392" i="45"/>
  <c r="AP294" i="45"/>
  <c r="AP253" i="45"/>
  <c r="AP209" i="45"/>
  <c r="AP212" i="45" s="1"/>
  <c r="AP213" i="45" s="1"/>
  <c r="AP295" i="45"/>
  <c r="AP314" i="45"/>
  <c r="AP196" i="45"/>
  <c r="P607" i="45"/>
  <c r="P626" i="45"/>
  <c r="BE295" i="45"/>
  <c r="BE209" i="45"/>
  <c r="BE212" i="45" s="1"/>
  <c r="BE213" i="45" s="1"/>
  <c r="BE314" i="45"/>
  <c r="BE253" i="45"/>
  <c r="BE196" i="45"/>
  <c r="BE392" i="45"/>
  <c r="BE294" i="45"/>
  <c r="AF91" i="29"/>
  <c r="AF76" i="29"/>
  <c r="C22" i="48" s="1"/>
  <c r="AF68" i="29"/>
  <c r="AF69" i="29"/>
  <c r="AF77" i="29"/>
  <c r="AF122" i="29"/>
  <c r="AJ123" i="29" s="1"/>
  <c r="AG69" i="29"/>
  <c r="BI295" i="45"/>
  <c r="BI314" i="45"/>
  <c r="BI209" i="45"/>
  <c r="BI212" i="45" s="1"/>
  <c r="BI213" i="45" s="1"/>
  <c r="BI392" i="45"/>
  <c r="BI253" i="45"/>
  <c r="BI196" i="45"/>
  <c r="BI294" i="45"/>
  <c r="S148" i="29"/>
  <c r="S307" i="29" s="1"/>
  <c r="S306" i="29"/>
  <c r="W148" i="29"/>
  <c r="W307" i="29" s="1"/>
  <c r="BH225" i="45"/>
  <c r="BH307" i="45" s="1"/>
  <c r="BH254" i="45"/>
  <c r="BE413" i="45"/>
  <c r="BE385" i="45"/>
  <c r="BE348" i="45"/>
  <c r="BE393" i="45"/>
  <c r="BI393" i="45"/>
  <c r="BI413" i="45"/>
  <c r="BI348" i="45"/>
  <c r="BI385" i="45"/>
  <c r="BH313" i="45"/>
  <c r="BH249" i="45"/>
  <c r="BI343" i="45"/>
  <c r="AP635" i="45"/>
  <c r="AT607" i="45" s="1"/>
  <c r="AP92" i="45"/>
  <c r="AQ619" i="45" s="1"/>
  <c r="AP251" i="45"/>
  <c r="AT599" i="45"/>
  <c r="AT235" i="45" s="1"/>
  <c r="AP260" i="45"/>
  <c r="P600" i="45"/>
  <c r="P636" i="45"/>
  <c r="Q627" i="45" s="1"/>
  <c r="P505" i="45"/>
  <c r="Q620" i="45" s="1"/>
  <c r="P619" i="45"/>
  <c r="L91" i="29"/>
  <c r="L122" i="29"/>
  <c r="M124" i="29" s="1"/>
  <c r="L77" i="29"/>
  <c r="L76" i="29"/>
  <c r="L69" i="29"/>
  <c r="L68" i="29"/>
  <c r="BI606" i="45"/>
  <c r="BJ625" i="45"/>
  <c r="BI625" i="45"/>
  <c r="X91" i="29"/>
  <c r="X122" i="29"/>
  <c r="X68" i="29"/>
  <c r="X77" i="29"/>
  <c r="Y69" i="29"/>
  <c r="X76" i="29"/>
  <c r="AP413" i="45"/>
  <c r="AP348" i="45"/>
  <c r="AP393" i="45"/>
  <c r="AP385" i="45"/>
  <c r="O123" i="29"/>
  <c r="S157" i="29"/>
  <c r="W157" i="29"/>
  <c r="W310" i="29" s="1"/>
  <c r="BH287" i="45"/>
  <c r="BH290" i="45" s="1"/>
  <c r="BH636" i="45"/>
  <c r="BH98" i="45"/>
  <c r="BH100" i="45" s="1"/>
  <c r="BH262" i="45"/>
  <c r="BH101" i="45"/>
  <c r="BH223" i="45" s="1"/>
  <c r="BH304" i="45" s="1"/>
  <c r="BH103" i="45"/>
  <c r="BH224" i="45" s="1"/>
  <c r="BH306" i="45" s="1"/>
  <c r="AW222" i="45"/>
  <c r="AW255" i="45" s="1"/>
  <c r="AW637" i="45"/>
  <c r="BD395" i="45"/>
  <c r="AW291" i="45"/>
  <c r="AM625" i="45"/>
  <c r="AN625" i="45"/>
  <c r="AM606" i="45"/>
  <c r="R607" i="45"/>
  <c r="R626" i="45"/>
  <c r="AW606" i="45"/>
  <c r="AS625" i="45"/>
  <c r="AT625" i="45"/>
  <c r="N600" i="45"/>
  <c r="N636" i="45"/>
  <c r="O619" i="45"/>
  <c r="N619" i="45"/>
  <c r="N505" i="45"/>
  <c r="AR101" i="45"/>
  <c r="AR223" i="45" s="1"/>
  <c r="AR304" i="45" s="1"/>
  <c r="AR636" i="45"/>
  <c r="AR103" i="45"/>
  <c r="AR224" i="45" s="1"/>
  <c r="AR306" i="45" s="1"/>
  <c r="AR600" i="45"/>
  <c r="AR236" i="45" s="1"/>
  <c r="AR262" i="45"/>
  <c r="AR287" i="45"/>
  <c r="AR290" i="45" s="1"/>
  <c r="AR98" i="45"/>
  <c r="AR100" i="45" s="1"/>
  <c r="AX606" i="45"/>
  <c r="AX625" i="45"/>
  <c r="BB606" i="45"/>
  <c r="AK254" i="45"/>
  <c r="AK225" i="45"/>
  <c r="AK307" i="45" s="1"/>
  <c r="AL295" i="45"/>
  <c r="AL253" i="45"/>
  <c r="AL392" i="45"/>
  <c r="AL294" i="45"/>
  <c r="AL314" i="45"/>
  <c r="AL196" i="45"/>
  <c r="AL209" i="45"/>
  <c r="AL212" i="45" s="1"/>
  <c r="AL213" i="45" s="1"/>
  <c r="I122" i="29"/>
  <c r="I68" i="29"/>
  <c r="I77" i="29"/>
  <c r="I69" i="29"/>
  <c r="I91" i="29"/>
  <c r="I76" i="29"/>
  <c r="M68" i="29"/>
  <c r="AA607" i="45"/>
  <c r="AA626" i="45"/>
  <c r="AE607" i="45"/>
  <c r="AA124" i="29"/>
  <c r="AD123" i="29"/>
  <c r="Y607" i="45"/>
  <c r="Y626" i="45"/>
  <c r="AC607" i="45"/>
  <c r="AL343" i="45"/>
  <c r="AK249" i="45"/>
  <c r="AK313" i="45"/>
  <c r="AK123" i="29"/>
  <c r="AK124" i="29"/>
  <c r="AY413" i="45"/>
  <c r="AY393" i="45"/>
  <c r="AY385" i="45"/>
  <c r="AY348" i="45"/>
  <c r="V68" i="29"/>
  <c r="V77" i="29"/>
  <c r="V91" i="29"/>
  <c r="V69" i="29"/>
  <c r="V122" i="29"/>
  <c r="W124" i="29" s="1"/>
  <c r="V76" i="29"/>
  <c r="AV395" i="45"/>
  <c r="AM92" i="45"/>
  <c r="AQ600" i="45" s="1"/>
  <c r="AQ236" i="45" s="1"/>
  <c r="AM251" i="45"/>
  <c r="AM618" i="45"/>
  <c r="AM260" i="45"/>
  <c r="AM635" i="45"/>
  <c r="AQ607" i="45" s="1"/>
  <c r="AN618" i="45"/>
  <c r="AM599" i="45"/>
  <c r="AM235" i="45" s="1"/>
  <c r="AH77" i="29"/>
  <c r="AH76" i="29"/>
  <c r="E22" i="48" s="1"/>
  <c r="AH69" i="29"/>
  <c r="AH91" i="29"/>
  <c r="AH68" i="29"/>
  <c r="AH122" i="29"/>
  <c r="AI69" i="29"/>
  <c r="AS260" i="45"/>
  <c r="AS618" i="45"/>
  <c r="AS92" i="45"/>
  <c r="AS600" i="45" s="1"/>
  <c r="AS236" i="45" s="1"/>
  <c r="AS635" i="45"/>
  <c r="AS607" i="45" s="1"/>
  <c r="AS251" i="45"/>
  <c r="AW599" i="45"/>
  <c r="AW235" i="45" s="1"/>
  <c r="AT618" i="45"/>
  <c r="BK260" i="45"/>
  <c r="BK251" i="45"/>
  <c r="BK635" i="45"/>
  <c r="BK626" i="45" s="1"/>
  <c r="BK92" i="45"/>
  <c r="BK600" i="45" s="1"/>
  <c r="BK236" i="45" s="1"/>
  <c r="BK618" i="45"/>
  <c r="AL68" i="29"/>
  <c r="AL122" i="29"/>
  <c r="AP123" i="29" s="1"/>
  <c r="AL76" i="29"/>
  <c r="I22" i="48" s="1"/>
  <c r="AL77" i="29"/>
  <c r="AL91" i="29"/>
  <c r="AL69" i="29"/>
  <c r="AM69" i="29"/>
  <c r="AK98" i="45"/>
  <c r="AK100" i="45" s="1"/>
  <c r="AK287" i="45"/>
  <c r="AK290" i="45" s="1"/>
  <c r="AK600" i="45"/>
  <c r="AK236" i="45" s="1"/>
  <c r="AK101" i="45"/>
  <c r="AK223" i="45" s="1"/>
  <c r="AK304" i="45" s="1"/>
  <c r="AK636" i="45"/>
  <c r="AK103" i="45"/>
  <c r="AK224" i="45" s="1"/>
  <c r="AK306" i="45" s="1"/>
  <c r="AK262" i="45"/>
  <c r="M600" i="45"/>
  <c r="M636" i="45"/>
  <c r="Q608" i="45" s="1"/>
  <c r="M505" i="45"/>
  <c r="Q601" i="45" s="1"/>
  <c r="M619" i="45"/>
  <c r="Y68" i="29"/>
  <c r="U77" i="29"/>
  <c r="U122" i="29"/>
  <c r="U68" i="29"/>
  <c r="U91" i="29"/>
  <c r="U76" i="29"/>
  <c r="U69" i="29"/>
  <c r="BC393" i="45"/>
  <c r="BC385" i="45"/>
  <c r="BC413" i="45"/>
  <c r="BC348" i="45"/>
  <c r="AX348" i="45"/>
  <c r="AX393" i="45"/>
  <c r="AX413" i="45"/>
  <c r="AX385" i="45"/>
  <c r="AL385" i="45"/>
  <c r="AL413" i="45"/>
  <c r="AL393" i="45"/>
  <c r="AL348" i="45"/>
  <c r="Z619" i="45"/>
  <c r="Z505" i="45"/>
  <c r="Z601" i="45" s="1"/>
  <c r="Z636" i="45"/>
  <c r="Z608" i="45" s="1"/>
  <c r="Z587" i="45"/>
  <c r="Z602" i="45" s="1"/>
  <c r="AR395" i="45"/>
  <c r="AZ413" i="45"/>
  <c r="AZ393" i="45"/>
  <c r="AZ348" i="45"/>
  <c r="AZ385" i="45"/>
  <c r="AY253" i="45"/>
  <c r="AY314" i="45"/>
  <c r="AY209" i="45"/>
  <c r="AY212" i="45" s="1"/>
  <c r="AY213" i="45" s="1"/>
  <c r="AY294" i="45"/>
  <c r="AY392" i="45"/>
  <c r="AY295" i="45"/>
  <c r="AY196" i="45"/>
  <c r="AM413" i="45"/>
  <c r="AM393" i="45"/>
  <c r="AM385" i="45"/>
  <c r="AM348" i="45"/>
  <c r="AS196" i="45"/>
  <c r="AS392" i="45"/>
  <c r="AS295" i="45"/>
  <c r="AS294" i="45"/>
  <c r="AS314" i="45"/>
  <c r="AS209" i="45"/>
  <c r="AS212" i="45" s="1"/>
  <c r="AS213" i="45" s="1"/>
  <c r="AS253" i="45"/>
  <c r="AS385" i="45"/>
  <c r="AS413" i="45"/>
  <c r="AS393" i="45"/>
  <c r="AS348" i="45"/>
  <c r="BK413" i="45"/>
  <c r="BK385" i="45"/>
  <c r="BK393" i="45"/>
  <c r="BK348" i="45"/>
  <c r="X600" i="45"/>
  <c r="T600" i="45"/>
  <c r="T636" i="45"/>
  <c r="T505" i="45"/>
  <c r="T619" i="45"/>
  <c r="U619" i="45"/>
  <c r="X607" i="45"/>
  <c r="U626" i="45"/>
  <c r="T607" i="45"/>
  <c r="T626" i="45"/>
  <c r="N607" i="45"/>
  <c r="N626" i="45"/>
  <c r="O626" i="45"/>
  <c r="M607" i="45"/>
  <c r="M626" i="45"/>
  <c r="K69" i="29"/>
  <c r="J69" i="29"/>
  <c r="J68" i="29"/>
  <c r="J76" i="29"/>
  <c r="J122" i="29"/>
  <c r="J91" i="29"/>
  <c r="J77" i="29"/>
  <c r="BC606" i="45"/>
  <c r="BC625" i="45"/>
  <c r="N69" i="29"/>
  <c r="N68" i="29"/>
  <c r="N122" i="29"/>
  <c r="N76" i="29"/>
  <c r="N77" i="29"/>
  <c r="N91" i="29"/>
  <c r="O69" i="29"/>
  <c r="R68" i="29"/>
  <c r="AL606" i="45"/>
  <c r="AL625" i="45"/>
  <c r="AP606" i="45"/>
  <c r="W123" i="29"/>
  <c r="AA619" i="45"/>
  <c r="AA587" i="45"/>
  <c r="AB621" i="45" s="1"/>
  <c r="AE600" i="45"/>
  <c r="AA600" i="45"/>
  <c r="AA636" i="45"/>
  <c r="AB627" i="45" s="1"/>
  <c r="AA505" i="45"/>
  <c r="AB620" i="45" s="1"/>
  <c r="AR225" i="45"/>
  <c r="AR307" i="45" s="1"/>
  <c r="AR254" i="45"/>
  <c r="AZ599" i="45"/>
  <c r="AZ235" i="45" s="1"/>
  <c r="AZ618" i="45"/>
  <c r="AZ260" i="45"/>
  <c r="AZ635" i="45"/>
  <c r="BA626" i="45" s="1"/>
  <c r="AZ251" i="45"/>
  <c r="AZ92" i="45"/>
  <c r="BA619" i="45" s="1"/>
  <c r="AZ253" i="45"/>
  <c r="AZ196" i="45"/>
  <c r="AZ294" i="45"/>
  <c r="AZ392" i="45"/>
  <c r="AZ314" i="45"/>
  <c r="AZ295" i="45"/>
  <c r="AZ209" i="45"/>
  <c r="AZ212" i="45" s="1"/>
  <c r="AZ213" i="45" s="1"/>
  <c r="AH637" i="45"/>
  <c r="AH222" i="45"/>
  <c r="AH255" i="45" s="1"/>
  <c r="AY606" i="45"/>
  <c r="AY625" i="45"/>
  <c r="AY92" i="45"/>
  <c r="AY260" i="45"/>
  <c r="AY251" i="45"/>
  <c r="AY635" i="45"/>
  <c r="AY599" i="45"/>
  <c r="AY235" i="45" s="1"/>
  <c r="AY618" i="45"/>
  <c r="AM209" i="45"/>
  <c r="AM212" i="45" s="1"/>
  <c r="AM213" i="45" s="1"/>
  <c r="AM196" i="45"/>
  <c r="AM295" i="45"/>
  <c r="AM392" i="45"/>
  <c r="AM314" i="45"/>
  <c r="AM294" i="45"/>
  <c r="AM253" i="45"/>
  <c r="S619" i="45"/>
  <c r="R505" i="45"/>
  <c r="V601" i="45" s="1"/>
  <c r="R636" i="45"/>
  <c r="R627" i="45" s="1"/>
  <c r="R600" i="45"/>
  <c r="BK295" i="45"/>
  <c r="BK314" i="45"/>
  <c r="BK392" i="45"/>
  <c r="BK294" i="45"/>
  <c r="BK253" i="45"/>
  <c r="BK196" i="45"/>
  <c r="BK209" i="45"/>
  <c r="BK212" i="45" s="1"/>
  <c r="BK213" i="45" s="1"/>
  <c r="BC196" i="45"/>
  <c r="BC314" i="45"/>
  <c r="BC294" i="45"/>
  <c r="BC295" i="45"/>
  <c r="BC392" i="45"/>
  <c r="BC253" i="45"/>
  <c r="BC209" i="45"/>
  <c r="BC212" i="45" s="1"/>
  <c r="BC213" i="45" s="1"/>
  <c r="BC92" i="45"/>
  <c r="BG600" i="45" s="1"/>
  <c r="BG236" i="45" s="1"/>
  <c r="BC260" i="45"/>
  <c r="BC599" i="45"/>
  <c r="BC235" i="45" s="1"/>
  <c r="BC251" i="45"/>
  <c r="BC635" i="45"/>
  <c r="BG607" i="45" s="1"/>
  <c r="BC618" i="45"/>
  <c r="AX599" i="45"/>
  <c r="AX235" i="45" s="1"/>
  <c r="AX92" i="45"/>
  <c r="AX251" i="45"/>
  <c r="AX635" i="45"/>
  <c r="AX618" i="45"/>
  <c r="AX260" i="45"/>
  <c r="BB599" i="45"/>
  <c r="BB235" i="45" s="1"/>
  <c r="AX294" i="45"/>
  <c r="AX295" i="45"/>
  <c r="AX253" i="45"/>
  <c r="AX209" i="45"/>
  <c r="AX212" i="45" s="1"/>
  <c r="AX213" i="45" s="1"/>
  <c r="AX314" i="45"/>
  <c r="AX196" i="45"/>
  <c r="AX392" i="45"/>
  <c r="R619" i="45"/>
  <c r="AL260" i="45"/>
  <c r="AL635" i="45"/>
  <c r="AL251" i="45"/>
  <c r="AL92" i="45"/>
  <c r="AL618" i="45"/>
  <c r="AL599" i="45"/>
  <c r="AL235" i="45" s="1"/>
  <c r="AP599" i="45"/>
  <c r="AP235" i="45" s="1"/>
  <c r="AR313" i="45"/>
  <c r="AS343" i="45"/>
  <c r="AR249" i="45"/>
  <c r="P122" i="29"/>
  <c r="P77" i="29"/>
  <c r="P91" i="29"/>
  <c r="P68" i="29"/>
  <c r="T68" i="29"/>
  <c r="P69" i="29"/>
  <c r="P76" i="29"/>
  <c r="Q69" i="29"/>
  <c r="Z626" i="45"/>
  <c r="Y587" i="45"/>
  <c r="Y505" i="45"/>
  <c r="Y636" i="45"/>
  <c r="Y600" i="45"/>
  <c r="Y619" i="45"/>
  <c r="AC600" i="45"/>
  <c r="AZ625" i="45"/>
  <c r="AZ606" i="45"/>
  <c r="S626" i="45"/>
  <c r="AV101" i="45"/>
  <c r="AV223" i="45" s="1"/>
  <c r="AV304" i="45" s="1"/>
  <c r="AV98" i="45"/>
  <c r="AV100" i="45" s="1"/>
  <c r="AV262" i="45"/>
  <c r="AV636" i="45"/>
  <c r="AV103" i="45"/>
  <c r="AV224" i="45" s="1"/>
  <c r="AV306" i="45" s="1"/>
  <c r="AV619" i="45"/>
  <c r="AV600" i="45"/>
  <c r="AV236" i="45" s="1"/>
  <c r="AV287" i="45"/>
  <c r="AV290" i="45" s="1"/>
  <c r="AW619" i="45"/>
  <c r="AQ225" i="45"/>
  <c r="AQ307" i="45" s="1"/>
  <c r="AQ254" i="45"/>
  <c r="BL607" i="45"/>
  <c r="BL626" i="45"/>
  <c r="AQ101" i="45"/>
  <c r="AQ223" i="45" s="1"/>
  <c r="AQ304" i="45" s="1"/>
  <c r="AQ98" i="45"/>
  <c r="AQ100" i="45" s="1"/>
  <c r="AQ103" i="45"/>
  <c r="AQ224" i="45" s="1"/>
  <c r="AQ306" i="45" s="1"/>
  <c r="AQ287" i="45"/>
  <c r="AQ290" i="45" s="1"/>
  <c r="AQ262" i="45"/>
  <c r="AU600" i="45"/>
  <c r="AU236" i="45" s="1"/>
  <c r="AR619" i="45"/>
  <c r="AQ636" i="45"/>
  <c r="BA395" i="45"/>
  <c r="AQ395" i="45"/>
  <c r="AR343" i="45"/>
  <c r="AQ313" i="45"/>
  <c r="AQ249" i="45"/>
  <c r="AV249" i="45"/>
  <c r="AV313" i="45"/>
  <c r="AW343" i="45"/>
  <c r="AV626" i="45"/>
  <c r="AV607" i="45"/>
  <c r="AW626" i="45"/>
  <c r="BL101" i="45"/>
  <c r="BL223" i="45" s="1"/>
  <c r="BL600" i="45"/>
  <c r="BL236" i="45" s="1"/>
  <c r="BL103" i="45"/>
  <c r="BL224" i="45" s="1"/>
  <c r="BL636" i="45"/>
  <c r="BL98" i="45"/>
  <c r="BL100" i="45" s="1"/>
  <c r="AV225" i="45"/>
  <c r="AV307" i="45" s="1"/>
  <c r="AV254" i="45"/>
  <c r="S637" i="45"/>
  <c r="S609" i="45" s="1"/>
  <c r="AU607" i="45"/>
  <c r="AR626" i="45"/>
  <c r="AN117" i="29"/>
  <c r="AN118" i="29"/>
  <c r="AN63" i="29"/>
  <c r="AN67" i="29"/>
  <c r="AO69" i="29" s="1"/>
  <c r="AN72" i="29"/>
  <c r="AN73" i="29"/>
  <c r="AN64" i="29"/>
  <c r="P96" i="44"/>
  <c r="P87" i="44"/>
  <c r="L87" i="28"/>
  <c r="P75" i="1"/>
  <c r="L85" i="28"/>
  <c r="L82" i="28"/>
  <c r="L96" i="28" s="1"/>
  <c r="L97" i="28" s="1"/>
  <c r="L102" i="28"/>
  <c r="L103" i="28" s="1"/>
  <c r="BQ603" i="45"/>
  <c r="BQ623" i="45"/>
  <c r="BQ604" i="45"/>
  <c r="BQ87" i="45"/>
  <c r="BR617" i="45" s="1"/>
  <c r="BQ633" i="45"/>
  <c r="BR624" i="45" s="1"/>
  <c r="BQ616" i="45"/>
  <c r="BQ597" i="45"/>
  <c r="K26" i="48"/>
  <c r="K17" i="48"/>
  <c r="AB608" i="45"/>
  <c r="AC627" i="45"/>
  <c r="AB637" i="45"/>
  <c r="AB586" i="45"/>
  <c r="AB601" i="45"/>
  <c r="AC620" i="45"/>
  <c r="BO636" i="45"/>
  <c r="BO619" i="45"/>
  <c r="BO101" i="45"/>
  <c r="BO223" i="45" s="1"/>
  <c r="BO98" i="45"/>
  <c r="BO100" i="45" s="1"/>
  <c r="BO103" i="45"/>
  <c r="BO224" i="45" s="1"/>
  <c r="AD619" i="45"/>
  <c r="AD587" i="45"/>
  <c r="AD600" i="45"/>
  <c r="AD505" i="45"/>
  <c r="AD636" i="45"/>
  <c r="AE619" i="45"/>
  <c r="AO262" i="45"/>
  <c r="AO600" i="45"/>
  <c r="AO236" i="45" s="1"/>
  <c r="AO103" i="45"/>
  <c r="AO224" i="45" s="1"/>
  <c r="AO306" i="45" s="1"/>
  <c r="AO98" i="45"/>
  <c r="AO100" i="45" s="1"/>
  <c r="AO636" i="45"/>
  <c r="AO287" i="45"/>
  <c r="AO290" i="45" s="1"/>
  <c r="AO619" i="45"/>
  <c r="AP619" i="45"/>
  <c r="AO101" i="45"/>
  <c r="AO223" i="45" s="1"/>
  <c r="AO304" i="45" s="1"/>
  <c r="AB602" i="45"/>
  <c r="AC621" i="45"/>
  <c r="V608" i="45"/>
  <c r="V627" i="45"/>
  <c r="AT637" i="45"/>
  <c r="AT222" i="45"/>
  <c r="AT255" i="45" s="1"/>
  <c r="AF627" i="45"/>
  <c r="Q637" i="45"/>
  <c r="U601" i="45"/>
  <c r="BM626" i="45"/>
  <c r="BM607" i="45"/>
  <c r="BN626" i="45"/>
  <c r="BG103" i="45"/>
  <c r="BG224" i="45" s="1"/>
  <c r="BG306" i="45" s="1"/>
  <c r="BG636" i="45"/>
  <c r="BG98" i="45"/>
  <c r="BG100" i="45" s="1"/>
  <c r="BH619" i="45"/>
  <c r="BG287" i="45"/>
  <c r="BG290" i="45" s="1"/>
  <c r="BG619" i="45"/>
  <c r="BG262" i="45"/>
  <c r="BG101" i="45"/>
  <c r="BG223" i="45" s="1"/>
  <c r="BG304" i="45" s="1"/>
  <c r="X628" i="45"/>
  <c r="BJ637" i="45"/>
  <c r="BN609" i="45" s="1"/>
  <c r="BJ601" i="45"/>
  <c r="BJ237" i="45" s="1"/>
  <c r="BJ238" i="45" s="1"/>
  <c r="BJ222" i="45"/>
  <c r="BJ255" i="45" s="1"/>
  <c r="AI627" i="45"/>
  <c r="BG395" i="45"/>
  <c r="BD254" i="45"/>
  <c r="BD225" i="45"/>
  <c r="BD307" i="45" s="1"/>
  <c r="BA249" i="45"/>
  <c r="BB343" i="45"/>
  <c r="BA313" i="45"/>
  <c r="V586" i="45"/>
  <c r="V637" i="45"/>
  <c r="W628" i="45" s="1"/>
  <c r="V620" i="45"/>
  <c r="AO395" i="45"/>
  <c r="BP98" i="45"/>
  <c r="BP100" i="45" s="1"/>
  <c r="BP600" i="45"/>
  <c r="BP236" i="45" s="1"/>
  <c r="BP619" i="45"/>
  <c r="BP101" i="45"/>
  <c r="BP223" i="45" s="1"/>
  <c r="BP103" i="45"/>
  <c r="BP224" i="45" s="1"/>
  <c r="BP636" i="45"/>
  <c r="BO607" i="45"/>
  <c r="BO626" i="45"/>
  <c r="AD607" i="45"/>
  <c r="AD626" i="45"/>
  <c r="AE626" i="45"/>
  <c r="AT291" i="45"/>
  <c r="AF291" i="45"/>
  <c r="U608" i="45"/>
  <c r="AO313" i="45"/>
  <c r="AO249" i="45"/>
  <c r="AP343" i="45"/>
  <c r="BG626" i="45"/>
  <c r="BH626" i="45"/>
  <c r="BK607" i="45"/>
  <c r="BA225" i="45"/>
  <c r="BA307" i="45" s="1"/>
  <c r="BA254" i="45"/>
  <c r="AI291" i="45"/>
  <c r="BG254" i="45"/>
  <c r="BG225" i="45"/>
  <c r="BG307" i="45" s="1"/>
  <c r="AO607" i="45"/>
  <c r="AO626" i="45"/>
  <c r="BM103" i="45"/>
  <c r="BM224" i="45" s="1"/>
  <c r="BM98" i="45"/>
  <c r="BM100" i="45" s="1"/>
  <c r="BM101" i="45"/>
  <c r="BM223" i="45" s="1"/>
  <c r="BM619" i="45"/>
  <c r="BM636" i="45"/>
  <c r="BN619" i="45"/>
  <c r="BA103" i="45"/>
  <c r="BA224" i="45" s="1"/>
  <c r="BA306" i="45" s="1"/>
  <c r="BA98" i="45"/>
  <c r="BA100" i="45" s="1"/>
  <c r="BA636" i="45"/>
  <c r="BA262" i="45"/>
  <c r="BA600" i="45"/>
  <c r="BA236" i="45" s="1"/>
  <c r="BA101" i="45"/>
  <c r="BA223" i="45" s="1"/>
  <c r="BA304" i="45" s="1"/>
  <c r="BA287" i="45"/>
  <c r="BA290" i="45" s="1"/>
  <c r="BB619" i="45"/>
  <c r="W627" i="45"/>
  <c r="BD101" i="45"/>
  <c r="BD223" i="45" s="1"/>
  <c r="BD304" i="45" s="1"/>
  <c r="BD103" i="45"/>
  <c r="BD224" i="45" s="1"/>
  <c r="BD306" i="45" s="1"/>
  <c r="BD262" i="45"/>
  <c r="BD636" i="45"/>
  <c r="BH600" i="45"/>
  <c r="BH236" i="45" s="1"/>
  <c r="BD287" i="45"/>
  <c r="BD290" i="45" s="1"/>
  <c r="BD98" i="45"/>
  <c r="BD100" i="45" s="1"/>
  <c r="AO254" i="45"/>
  <c r="AO225" i="45"/>
  <c r="AO307" i="45" s="1"/>
  <c r="BP626" i="45"/>
  <c r="BP607" i="45"/>
  <c r="AU627" i="45"/>
  <c r="AF620" i="45"/>
  <c r="AF637" i="45"/>
  <c r="AF222" i="45"/>
  <c r="AF255" i="45" s="1"/>
  <c r="W621" i="45"/>
  <c r="BG313" i="45"/>
  <c r="BH343" i="45"/>
  <c r="BG249" i="45"/>
  <c r="W620" i="45"/>
  <c r="BJ291" i="45"/>
  <c r="AI222" i="45"/>
  <c r="AI255" i="45" s="1"/>
  <c r="AI620" i="45"/>
  <c r="AI637" i="45"/>
  <c r="BA607" i="45"/>
  <c r="BB626" i="45"/>
  <c r="BD626" i="45"/>
  <c r="BH607" i="45"/>
  <c r="BD607" i="45"/>
  <c r="BD249" i="45"/>
  <c r="BD313" i="45"/>
  <c r="BE343" i="45"/>
  <c r="AN89" i="29"/>
  <c r="Y317" i="45" l="1"/>
  <c r="H318" i="45"/>
  <c r="H305" i="45"/>
  <c r="I222" i="45"/>
  <c r="J238" i="45"/>
  <c r="K305" i="45"/>
  <c r="K318" i="45"/>
  <c r="J305" i="45"/>
  <c r="J318" i="45"/>
  <c r="K238" i="45"/>
  <c r="J222" i="45"/>
  <c r="H238" i="45"/>
  <c r="X265" i="45"/>
  <c r="X414" i="45"/>
  <c r="X418" i="45" s="1"/>
  <c r="X264" i="45"/>
  <c r="X317" i="45" s="1"/>
  <c r="V317" i="45"/>
  <c r="Y288" i="45"/>
  <c r="Y411" i="45"/>
  <c r="AC324" i="45"/>
  <c r="AC326" i="45" s="1"/>
  <c r="AC137" i="45"/>
  <c r="AC204" i="45" s="1"/>
  <c r="R265" i="45"/>
  <c r="R264" i="45"/>
  <c r="R317" i="45" s="1"/>
  <c r="AJ621" i="45"/>
  <c r="AJ602" i="45"/>
  <c r="AJ239" i="45" s="1"/>
  <c r="AJ240" i="45" s="1"/>
  <c r="AJ305" i="45" s="1"/>
  <c r="M56" i="12"/>
  <c r="Q81" i="3"/>
  <c r="AK587" i="45"/>
  <c r="AK586" i="45"/>
  <c r="S264" i="45"/>
  <c r="S317" i="45" s="1"/>
  <c r="S414" i="45"/>
  <c r="S418" i="45" s="1"/>
  <c r="S265" i="45"/>
  <c r="R78" i="3"/>
  <c r="AB208" i="45"/>
  <c r="R91" i="3" s="1"/>
  <c r="AM515" i="45"/>
  <c r="AL517" i="45"/>
  <c r="AD324" i="45"/>
  <c r="AD326" i="45" s="1"/>
  <c r="AD137" i="45"/>
  <c r="S515" i="45"/>
  <c r="T517" i="45"/>
  <c r="T587" i="45" s="1"/>
  <c r="X602" i="45" s="1"/>
  <c r="U587" i="45"/>
  <c r="Y602" i="45" s="1"/>
  <c r="U586" i="45"/>
  <c r="F255" i="45"/>
  <c r="G239" i="45"/>
  <c r="H255" i="45"/>
  <c r="I239" i="45"/>
  <c r="T72" i="44"/>
  <c r="S72" i="44"/>
  <c r="T71" i="44"/>
  <c r="S71" i="44"/>
  <c r="R101" i="44"/>
  <c r="R53" i="44"/>
  <c r="R65" i="44" s="1"/>
  <c r="T70" i="44"/>
  <c r="S70" i="44"/>
  <c r="R62" i="44"/>
  <c r="T52" i="12"/>
  <c r="T79" i="12" s="1"/>
  <c r="T261" i="45"/>
  <c r="T267" i="45" s="1"/>
  <c r="T51" i="12"/>
  <c r="T77" i="12" s="1"/>
  <c r="T262" i="45"/>
  <c r="K60" i="12"/>
  <c r="Y42" i="12" s="1"/>
  <c r="O87" i="3"/>
  <c r="J68" i="3"/>
  <c r="J141" i="4" s="1"/>
  <c r="AM123" i="29"/>
  <c r="AQ123" i="29"/>
  <c r="BO600" i="45"/>
  <c r="BO236" i="45" s="1"/>
  <c r="AA123" i="29"/>
  <c r="Z124" i="29"/>
  <c r="AE124" i="29"/>
  <c r="AP626" i="45"/>
  <c r="AQ626" i="45"/>
  <c r="AN395" i="45"/>
  <c r="AN287" i="45"/>
  <c r="AN290" i="45" s="1"/>
  <c r="AN636" i="45"/>
  <c r="AR608" i="45" s="1"/>
  <c r="AN103" i="45"/>
  <c r="AN224" i="45" s="1"/>
  <c r="AN306" i="45" s="1"/>
  <c r="AN98" i="45"/>
  <c r="AN100" i="45" s="1"/>
  <c r="AN262" i="45"/>
  <c r="AN101" i="45"/>
  <c r="AN223" i="45" s="1"/>
  <c r="AN304" i="45" s="1"/>
  <c r="AN249" i="45"/>
  <c r="AN313" i="45"/>
  <c r="AO343" i="45"/>
  <c r="AN254" i="45"/>
  <c r="AN225" i="45"/>
  <c r="AN307" i="45" s="1"/>
  <c r="BE619" i="45"/>
  <c r="R620" i="45"/>
  <c r="J127" i="28"/>
  <c r="E75" i="3"/>
  <c r="E46" i="4" s="1"/>
  <c r="E42" i="4"/>
  <c r="E141" i="4"/>
  <c r="E142" i="4"/>
  <c r="C75" i="3"/>
  <c r="C46" i="4" s="1"/>
  <c r="C42" i="4"/>
  <c r="C141" i="4"/>
  <c r="C142" i="4"/>
  <c r="K75" i="3"/>
  <c r="K46" i="4" s="1"/>
  <c r="G50" i="12"/>
  <c r="K141" i="4"/>
  <c r="K142" i="4"/>
  <c r="K42" i="4"/>
  <c r="N233" i="45"/>
  <c r="M249" i="45"/>
  <c r="M313" i="45"/>
  <c r="N343" i="45"/>
  <c r="M233" i="45"/>
  <c r="M196" i="45"/>
  <c r="M253" i="45"/>
  <c r="M295" i="45"/>
  <c r="M314" i="45"/>
  <c r="M209" i="45"/>
  <c r="M212" i="45" s="1"/>
  <c r="M213" i="45" s="1"/>
  <c r="M294" i="45"/>
  <c r="O85" i="4"/>
  <c r="Y262" i="45" s="1"/>
  <c r="O56" i="4"/>
  <c r="O41" i="1"/>
  <c r="O57" i="1"/>
  <c r="O149" i="4"/>
  <c r="O84" i="4"/>
  <c r="Y261" i="45" s="1"/>
  <c r="Y267" i="45" s="1"/>
  <c r="O83" i="4"/>
  <c r="Y260" i="45" s="1"/>
  <c r="K35" i="12"/>
  <c r="O56" i="1"/>
  <c r="O72" i="4"/>
  <c r="Y50" i="12" s="1"/>
  <c r="Y76" i="12" s="1"/>
  <c r="F18" i="54"/>
  <c r="K118" i="28"/>
  <c r="K127" i="28" s="1"/>
  <c r="U254" i="45"/>
  <c r="U225" i="45"/>
  <c r="R235" i="45"/>
  <c r="Q251" i="45"/>
  <c r="Q260" i="45"/>
  <c r="Q92" i="45"/>
  <c r="Q253" i="45"/>
  <c r="G89" i="3"/>
  <c r="Q295" i="45"/>
  <c r="Q196" i="45"/>
  <c r="Q209" i="45"/>
  <c r="Q212" i="45" s="1"/>
  <c r="Q213" i="45" s="1"/>
  <c r="Q294" i="45"/>
  <c r="Q314" i="45"/>
  <c r="E89" i="3"/>
  <c r="O209" i="45"/>
  <c r="O212" i="45" s="1"/>
  <c r="O213" i="45" s="1"/>
  <c r="O253" i="45"/>
  <c r="O295" i="45"/>
  <c r="O294" i="45"/>
  <c r="O196" i="45"/>
  <c r="O314" i="45"/>
  <c r="F155" i="4"/>
  <c r="B89" i="12" s="1"/>
  <c r="B84" i="12"/>
  <c r="T67" i="12"/>
  <c r="T12" i="12" s="1"/>
  <c r="F78" i="12"/>
  <c r="F39" i="12"/>
  <c r="F79" i="12" s="1"/>
  <c r="T13" i="12"/>
  <c r="N196" i="45"/>
  <c r="N294" i="45"/>
  <c r="N209" i="45"/>
  <c r="N212" i="45" s="1"/>
  <c r="N213" i="45" s="1"/>
  <c r="N314" i="45"/>
  <c r="D89" i="3"/>
  <c r="N295" i="45"/>
  <c r="N253" i="45"/>
  <c r="N260" i="45"/>
  <c r="O235" i="45"/>
  <c r="N92" i="45"/>
  <c r="N251" i="45"/>
  <c r="Q235" i="45"/>
  <c r="P254" i="45"/>
  <c r="P225" i="45"/>
  <c r="S222" i="45"/>
  <c r="V222" i="45"/>
  <c r="D84" i="12"/>
  <c r="H155" i="4"/>
  <c r="D89" i="12" s="1"/>
  <c r="H75" i="3"/>
  <c r="H46" i="4" s="1"/>
  <c r="H42" i="4"/>
  <c r="H142" i="4"/>
  <c r="H141" i="4"/>
  <c r="I84" i="12"/>
  <c r="M155" i="4"/>
  <c r="I89" i="12" s="1"/>
  <c r="I76" i="12"/>
  <c r="I36" i="12"/>
  <c r="I77" i="12" s="1"/>
  <c r="D163" i="56"/>
  <c r="W51" i="12"/>
  <c r="W77" i="12" s="1"/>
  <c r="N68" i="3"/>
  <c r="J47" i="12"/>
  <c r="J43" i="12" s="1"/>
  <c r="G42" i="4"/>
  <c r="G141" i="4"/>
  <c r="G142" i="4"/>
  <c r="G75" i="3"/>
  <c r="G46" i="4" s="1"/>
  <c r="T196" i="45"/>
  <c r="T209" i="45"/>
  <c r="T212" i="45" s="1"/>
  <c r="T213" i="45" s="1"/>
  <c r="T295" i="45"/>
  <c r="T253" i="45"/>
  <c r="J89" i="3"/>
  <c r="T392" i="45"/>
  <c r="T294" i="45"/>
  <c r="T314" i="45"/>
  <c r="R196" i="45"/>
  <c r="R295" i="45"/>
  <c r="R294" i="45"/>
  <c r="H89" i="3"/>
  <c r="R209" i="45"/>
  <c r="R212" i="45" s="1"/>
  <c r="R213" i="45" s="1"/>
  <c r="R253" i="45"/>
  <c r="R314" i="45"/>
  <c r="R385" i="45"/>
  <c r="R348" i="45"/>
  <c r="R92" i="45"/>
  <c r="S235" i="45"/>
  <c r="R260" i="45"/>
  <c r="R251" i="45"/>
  <c r="F75" i="3"/>
  <c r="F46" i="4" s="1"/>
  <c r="F42" i="4"/>
  <c r="F141" i="4"/>
  <c r="F142" i="4"/>
  <c r="W92" i="45"/>
  <c r="W251" i="45"/>
  <c r="X235" i="45"/>
  <c r="W235" i="45"/>
  <c r="Q233" i="45"/>
  <c r="P249" i="45"/>
  <c r="Q343" i="45"/>
  <c r="P313" i="45"/>
  <c r="G127" i="28"/>
  <c r="M251" i="45"/>
  <c r="M92" i="45"/>
  <c r="N235" i="45"/>
  <c r="M260" i="45"/>
  <c r="M235" i="45"/>
  <c r="U395" i="45"/>
  <c r="X101" i="45"/>
  <c r="X223" i="45" s="1"/>
  <c r="X98" i="45"/>
  <c r="X103" i="45"/>
  <c r="X224" i="45" s="1"/>
  <c r="X287" i="45"/>
  <c r="X290" i="45" s="1"/>
  <c r="X291" i="45" s="1"/>
  <c r="Y233" i="45"/>
  <c r="X249" i="45"/>
  <c r="X313" i="45"/>
  <c r="Y343" i="45"/>
  <c r="Q385" i="45"/>
  <c r="Q348" i="45"/>
  <c r="P343" i="45"/>
  <c r="P233" i="45"/>
  <c r="O249" i="45"/>
  <c r="O313" i="45"/>
  <c r="P235" i="45"/>
  <c r="O260" i="45"/>
  <c r="O251" i="45"/>
  <c r="O92" i="45"/>
  <c r="G155" i="4"/>
  <c r="C89" i="12" s="1"/>
  <c r="C84" i="12"/>
  <c r="C127" i="28"/>
  <c r="G36" i="12"/>
  <c r="G77" i="12" s="1"/>
  <c r="F76" i="12"/>
  <c r="F36" i="12"/>
  <c r="F77" i="12" s="1"/>
  <c r="F84" i="12"/>
  <c r="J155" i="4"/>
  <c r="F89" i="12" s="1"/>
  <c r="O233" i="45"/>
  <c r="N313" i="45"/>
  <c r="O343" i="45"/>
  <c r="N249" i="45"/>
  <c r="Y180" i="45"/>
  <c r="Y89" i="45"/>
  <c r="Y250" i="45"/>
  <c r="Y412" i="45" s="1"/>
  <c r="Y252" i="45"/>
  <c r="Y234" i="45"/>
  <c r="P103" i="45"/>
  <c r="P224" i="45" s="1"/>
  <c r="P98" i="45"/>
  <c r="P101" i="45"/>
  <c r="P223" i="45" s="1"/>
  <c r="P287" i="45"/>
  <c r="P290" i="45" s="1"/>
  <c r="Q236" i="45"/>
  <c r="P262" i="45"/>
  <c r="D127" i="28"/>
  <c r="R67" i="12"/>
  <c r="R12" i="12" s="1"/>
  <c r="D78" i="12"/>
  <c r="R13" i="12"/>
  <c r="D162" i="56"/>
  <c r="W52" i="12"/>
  <c r="W79" i="12" s="1"/>
  <c r="I78" i="12"/>
  <c r="W67" i="12"/>
  <c r="W12" i="12" s="1"/>
  <c r="I39" i="12"/>
  <c r="I79" i="12" s="1"/>
  <c r="U101" i="45"/>
  <c r="U223" i="45" s="1"/>
  <c r="U98" i="45"/>
  <c r="V236" i="45"/>
  <c r="U103" i="45"/>
  <c r="U224" i="45" s="1"/>
  <c r="U287" i="45"/>
  <c r="U290" i="45" s="1"/>
  <c r="U249" i="45"/>
  <c r="V343" i="45"/>
  <c r="V233" i="45"/>
  <c r="U313" i="45"/>
  <c r="X209" i="45"/>
  <c r="X212" i="45" s="1"/>
  <c r="X213" i="45" s="1"/>
  <c r="X314" i="45"/>
  <c r="N89" i="3"/>
  <c r="X295" i="45"/>
  <c r="X196" i="45"/>
  <c r="X294" i="45"/>
  <c r="X253" i="45"/>
  <c r="X392" i="45"/>
  <c r="X395" i="45" s="1"/>
  <c r="E36" i="12"/>
  <c r="E77" i="12" s="1"/>
  <c r="T385" i="45"/>
  <c r="T413" i="45"/>
  <c r="T393" i="45"/>
  <c r="T348" i="45"/>
  <c r="T92" i="45"/>
  <c r="T251" i="45"/>
  <c r="U235" i="45"/>
  <c r="T235" i="45"/>
  <c r="W385" i="45"/>
  <c r="W393" i="45"/>
  <c r="W413" i="45"/>
  <c r="W348" i="45"/>
  <c r="W194" i="45"/>
  <c r="M63" i="3"/>
  <c r="BD291" i="45"/>
  <c r="BR252" i="45"/>
  <c r="BR89" i="45"/>
  <c r="L29" i="48"/>
  <c r="L19" i="48"/>
  <c r="BE626" i="45"/>
  <c r="AX395" i="45"/>
  <c r="BE607" i="45"/>
  <c r="BD619" i="45"/>
  <c r="BD600" i="45"/>
  <c r="BD236" i="45" s="1"/>
  <c r="BL619" i="45"/>
  <c r="BF608" i="45"/>
  <c r="AJ225" i="45"/>
  <c r="AJ307" i="45" s="1"/>
  <c r="AJ254" i="45"/>
  <c r="O608" i="45"/>
  <c r="L627" i="45"/>
  <c r="K608" i="45"/>
  <c r="K627" i="45"/>
  <c r="AG98" i="45"/>
  <c r="AG100" i="45" s="1"/>
  <c r="AK601" i="45" s="1"/>
  <c r="AK237" i="45" s="1"/>
  <c r="AK238" i="45" s="1"/>
  <c r="AG101" i="45"/>
  <c r="AG223" i="45" s="1"/>
  <c r="AG304" i="45" s="1"/>
  <c r="AG318" i="45" s="1"/>
  <c r="AG287" i="45"/>
  <c r="AG290" i="45" s="1"/>
  <c r="AG262" i="45"/>
  <c r="AG636" i="45"/>
  <c r="AK608" i="45" s="1"/>
  <c r="AG103" i="45"/>
  <c r="AG224" i="45" s="1"/>
  <c r="AG306" i="45" s="1"/>
  <c r="AH619" i="45"/>
  <c r="AG619" i="45"/>
  <c r="AG395" i="45"/>
  <c r="K602" i="45"/>
  <c r="K621" i="45"/>
  <c r="AJ313" i="45"/>
  <c r="AJ249" i="45"/>
  <c r="AK343" i="45"/>
  <c r="AG313" i="45"/>
  <c r="AG249" i="45"/>
  <c r="AH343" i="45"/>
  <c r="AJ626" i="45"/>
  <c r="AN607" i="45"/>
  <c r="AJ607" i="45"/>
  <c r="AJ103" i="45"/>
  <c r="AJ224" i="45" s="1"/>
  <c r="AJ306" i="45" s="1"/>
  <c r="AJ101" i="45"/>
  <c r="AJ223" i="45" s="1"/>
  <c r="AJ304" i="45" s="1"/>
  <c r="AJ318" i="45" s="1"/>
  <c r="AN600" i="45"/>
  <c r="AN236" i="45" s="1"/>
  <c r="AJ600" i="45"/>
  <c r="AJ236" i="45" s="1"/>
  <c r="AJ636" i="45"/>
  <c r="AK627" i="45" s="1"/>
  <c r="AJ98" i="45"/>
  <c r="AJ100" i="45" s="1"/>
  <c r="AK620" i="45" s="1"/>
  <c r="AJ287" i="45"/>
  <c r="AJ290" i="45" s="1"/>
  <c r="AJ619" i="45"/>
  <c r="AJ262" i="45"/>
  <c r="K620" i="45"/>
  <c r="K586" i="45"/>
  <c r="O601" i="45"/>
  <c r="K601" i="45"/>
  <c r="L620" i="45"/>
  <c r="K637" i="45"/>
  <c r="L628" i="45" s="1"/>
  <c r="AG626" i="45"/>
  <c r="AH626" i="45"/>
  <c r="AG225" i="45"/>
  <c r="AG307" i="45" s="1"/>
  <c r="AG254" i="45"/>
  <c r="BB291" i="45"/>
  <c r="AJ395" i="45"/>
  <c r="AE637" i="45"/>
  <c r="AF628" i="45" s="1"/>
  <c r="AE586" i="45"/>
  <c r="BB222" i="45"/>
  <c r="BB255" i="45" s="1"/>
  <c r="BB637" i="45"/>
  <c r="AM395" i="45"/>
  <c r="AU291" i="45"/>
  <c r="L609" i="45"/>
  <c r="AK291" i="45"/>
  <c r="BF291" i="45"/>
  <c r="BF222" i="45"/>
  <c r="BF255" i="45" s="1"/>
  <c r="BF637" i="45"/>
  <c r="BF601" i="45"/>
  <c r="BF237" i="45" s="1"/>
  <c r="BF238" i="45" s="1"/>
  <c r="AY395" i="45"/>
  <c r="AU222" i="45"/>
  <c r="AU255" i="45" s="1"/>
  <c r="AU637" i="45"/>
  <c r="BK395" i="45"/>
  <c r="BH291" i="45"/>
  <c r="BI395" i="45"/>
  <c r="W609" i="45"/>
  <c r="P608" i="45"/>
  <c r="P627" i="45"/>
  <c r="BI225" i="45"/>
  <c r="BI307" i="45" s="1"/>
  <c r="BI254" i="45"/>
  <c r="AP395" i="45"/>
  <c r="BE101" i="45"/>
  <c r="BE223" i="45" s="1"/>
  <c r="BE304" i="45" s="1"/>
  <c r="BF619" i="45"/>
  <c r="BE287" i="45"/>
  <c r="BE290" i="45" s="1"/>
  <c r="BE262" i="45"/>
  <c r="BE103" i="45"/>
  <c r="BE224" i="45" s="1"/>
  <c r="BE306" i="45" s="1"/>
  <c r="BE636" i="45"/>
  <c r="BF627" i="45" s="1"/>
  <c r="BE98" i="45"/>
  <c r="BE100" i="45" s="1"/>
  <c r="BE620" i="45" s="1"/>
  <c r="Y124" i="29"/>
  <c r="X123" i="29"/>
  <c r="X124" i="29"/>
  <c r="AP101" i="45"/>
  <c r="AP223" i="45" s="1"/>
  <c r="AP304" i="45" s="1"/>
  <c r="AP103" i="45"/>
  <c r="AP224" i="45" s="1"/>
  <c r="AP306" i="45" s="1"/>
  <c r="AP262" i="45"/>
  <c r="AP287" i="45"/>
  <c r="AP290" i="45" s="1"/>
  <c r="AT600" i="45"/>
  <c r="AT236" i="45" s="1"/>
  <c r="AP636" i="45"/>
  <c r="AT608" i="45" s="1"/>
  <c r="AP98" i="45"/>
  <c r="AP100" i="45" s="1"/>
  <c r="AP620" i="45" s="1"/>
  <c r="BI626" i="45"/>
  <c r="BJ626" i="45"/>
  <c r="BI607" i="45"/>
  <c r="AB124" i="29"/>
  <c r="AB123" i="29"/>
  <c r="AC124" i="29"/>
  <c r="P601" i="45"/>
  <c r="P637" i="45"/>
  <c r="Q628" i="45" s="1"/>
  <c r="P620" i="45"/>
  <c r="BE395" i="45"/>
  <c r="AP225" i="45"/>
  <c r="AP307" i="45" s="1"/>
  <c r="AP254" i="45"/>
  <c r="BH637" i="45"/>
  <c r="BH222" i="45"/>
  <c r="BH255" i="45" s="1"/>
  <c r="AQ343" i="45"/>
  <c r="AP249" i="45"/>
  <c r="AP313" i="45"/>
  <c r="L124" i="29"/>
  <c r="L123" i="29"/>
  <c r="BI249" i="45"/>
  <c r="BJ343" i="45"/>
  <c r="BI313" i="45"/>
  <c r="BF343" i="45"/>
  <c r="BE249" i="45"/>
  <c r="BE313" i="45"/>
  <c r="AF124" i="29"/>
  <c r="AF123" i="29"/>
  <c r="AG124" i="29"/>
  <c r="BE225" i="45"/>
  <c r="BE307" i="45" s="1"/>
  <c r="BE254" i="45"/>
  <c r="BJ619" i="45"/>
  <c r="BI101" i="45"/>
  <c r="BI223" i="45" s="1"/>
  <c r="BI304" i="45" s="1"/>
  <c r="BI287" i="45"/>
  <c r="BI290" i="45" s="1"/>
  <c r="BI636" i="45"/>
  <c r="BM608" i="45" s="1"/>
  <c r="BI262" i="45"/>
  <c r="BI98" i="45"/>
  <c r="BI100" i="45" s="1"/>
  <c r="BM601" i="45" s="1"/>
  <c r="BM237" i="45" s="1"/>
  <c r="BM238" i="45" s="1"/>
  <c r="BI600" i="45"/>
  <c r="BI236" i="45" s="1"/>
  <c r="BI619" i="45"/>
  <c r="BI103" i="45"/>
  <c r="BI224" i="45" s="1"/>
  <c r="BI306" i="45" s="1"/>
  <c r="BC395" i="45"/>
  <c r="AR291" i="45"/>
  <c r="AQ291" i="45"/>
  <c r="AZ395" i="45"/>
  <c r="P124" i="29"/>
  <c r="P123" i="29"/>
  <c r="T123" i="29"/>
  <c r="Q124" i="29"/>
  <c r="BB600" i="45"/>
  <c r="BB236" i="45" s="1"/>
  <c r="AX98" i="45"/>
  <c r="AX100" i="45" s="1"/>
  <c r="AX636" i="45"/>
  <c r="AX619" i="45"/>
  <c r="AX287" i="45"/>
  <c r="AX290" i="45" s="1"/>
  <c r="AX262" i="45"/>
  <c r="AX101" i="45"/>
  <c r="AX223" i="45" s="1"/>
  <c r="AX304" i="45" s="1"/>
  <c r="AX600" i="45"/>
  <c r="AX236" i="45" s="1"/>
  <c r="AX103" i="45"/>
  <c r="AX224" i="45" s="1"/>
  <c r="AX306" i="45" s="1"/>
  <c r="BK254" i="45"/>
  <c r="BK225" i="45"/>
  <c r="BK307" i="45" s="1"/>
  <c r="R637" i="45"/>
  <c r="R601" i="45"/>
  <c r="AM225" i="45"/>
  <c r="AM307" i="45" s="1"/>
  <c r="AM254" i="45"/>
  <c r="AY636" i="45"/>
  <c r="AY600" i="45"/>
  <c r="AY236" i="45" s="1"/>
  <c r="AY262" i="45"/>
  <c r="AY287" i="45"/>
  <c r="AY290" i="45" s="1"/>
  <c r="AY101" i="45"/>
  <c r="AY223" i="45" s="1"/>
  <c r="AY304" i="45" s="1"/>
  <c r="AY103" i="45"/>
  <c r="AY224" i="45" s="1"/>
  <c r="AY306" i="45" s="1"/>
  <c r="AY98" i="45"/>
  <c r="AY100" i="45" s="1"/>
  <c r="AY619" i="45"/>
  <c r="AZ636" i="45"/>
  <c r="BA627" i="45" s="1"/>
  <c r="AZ619" i="45"/>
  <c r="AZ287" i="45"/>
  <c r="AZ290" i="45" s="1"/>
  <c r="AZ103" i="45"/>
  <c r="AZ224" i="45" s="1"/>
  <c r="AZ306" i="45" s="1"/>
  <c r="AZ262" i="45"/>
  <c r="AZ600" i="45"/>
  <c r="AZ236" i="45" s="1"/>
  <c r="AZ101" i="45"/>
  <c r="AZ223" i="45" s="1"/>
  <c r="AZ304" i="45" s="1"/>
  <c r="AZ98" i="45"/>
  <c r="AZ100" i="45" s="1"/>
  <c r="BA620" i="45" s="1"/>
  <c r="AA601" i="45"/>
  <c r="AE601" i="45"/>
  <c r="AA620" i="45"/>
  <c r="AA586" i="45"/>
  <c r="AA637" i="45"/>
  <c r="AB628" i="45" s="1"/>
  <c r="AA602" i="45"/>
  <c r="AA621" i="45"/>
  <c r="AE602" i="45"/>
  <c r="J124" i="29"/>
  <c r="K124" i="29"/>
  <c r="J123" i="29"/>
  <c r="AS395" i="45"/>
  <c r="Z637" i="45"/>
  <c r="Z609" i="45" s="1"/>
  <c r="Z620" i="45"/>
  <c r="Z586" i="45"/>
  <c r="BC313" i="45"/>
  <c r="BC249" i="45"/>
  <c r="BD343" i="45"/>
  <c r="U124" i="29"/>
  <c r="Y123" i="29"/>
  <c r="U123" i="29"/>
  <c r="M601" i="45"/>
  <c r="M637" i="45"/>
  <c r="Q609" i="45" s="1"/>
  <c r="M620" i="45"/>
  <c r="BK101" i="45"/>
  <c r="BK223" i="45" s="1"/>
  <c r="BK304" i="45" s="1"/>
  <c r="BK262" i="45"/>
  <c r="BK103" i="45"/>
  <c r="BK224" i="45" s="1"/>
  <c r="BK306" i="45" s="1"/>
  <c r="BK98" i="45"/>
  <c r="BK100" i="45" s="1"/>
  <c r="BL620" i="45" s="1"/>
  <c r="BK287" i="45"/>
  <c r="BK290" i="45" s="1"/>
  <c r="BK636" i="45"/>
  <c r="BK627" i="45" s="1"/>
  <c r="BK619" i="45"/>
  <c r="AS101" i="45"/>
  <c r="AS223" i="45" s="1"/>
  <c r="AS304" i="45" s="1"/>
  <c r="AS636" i="45"/>
  <c r="AS608" i="45" s="1"/>
  <c r="AS287" i="45"/>
  <c r="AS290" i="45" s="1"/>
  <c r="AS619" i="45"/>
  <c r="AS262" i="45"/>
  <c r="AS98" i="45"/>
  <c r="AS100" i="45" s="1"/>
  <c r="AS601" i="45" s="1"/>
  <c r="AS237" i="45" s="1"/>
  <c r="AS238" i="45" s="1"/>
  <c r="AS103" i="45"/>
  <c r="AS224" i="45" s="1"/>
  <c r="AS306" i="45" s="1"/>
  <c r="AW600" i="45"/>
  <c r="AW236" i="45" s="1"/>
  <c r="AT619" i="45"/>
  <c r="AH123" i="29"/>
  <c r="AH124" i="29"/>
  <c r="AI124" i="29"/>
  <c r="AM626" i="45"/>
  <c r="AN626" i="45"/>
  <c r="AM607" i="45"/>
  <c r="AM101" i="45"/>
  <c r="AM223" i="45" s="1"/>
  <c r="AM304" i="45" s="1"/>
  <c r="AM98" i="45"/>
  <c r="AM100" i="45" s="1"/>
  <c r="AM636" i="45"/>
  <c r="AQ608" i="45" s="1"/>
  <c r="AM287" i="45"/>
  <c r="AM290" i="45" s="1"/>
  <c r="AM103" i="45"/>
  <c r="AM224" i="45" s="1"/>
  <c r="AM306" i="45" s="1"/>
  <c r="AN619" i="45"/>
  <c r="AM262" i="45"/>
  <c r="AM619" i="45"/>
  <c r="AM600" i="45"/>
  <c r="AM236" i="45" s="1"/>
  <c r="I123" i="29"/>
  <c r="I124" i="29"/>
  <c r="M123" i="29"/>
  <c r="N627" i="45"/>
  <c r="O627" i="45"/>
  <c r="N608" i="45"/>
  <c r="Y627" i="45"/>
  <c r="Y608" i="45"/>
  <c r="AC608" i="45"/>
  <c r="AL626" i="45"/>
  <c r="AL607" i="45"/>
  <c r="AP607" i="45"/>
  <c r="AX254" i="45"/>
  <c r="AX225" i="45"/>
  <c r="AX307" i="45" s="1"/>
  <c r="AY607" i="45"/>
  <c r="AY626" i="45"/>
  <c r="AA627" i="45"/>
  <c r="AE608" i="45"/>
  <c r="AA608" i="45"/>
  <c r="O124" i="29"/>
  <c r="N123" i="29"/>
  <c r="N124" i="29"/>
  <c r="R123" i="29"/>
  <c r="AS225" i="45"/>
  <c r="AS307" i="45" s="1"/>
  <c r="AS254" i="45"/>
  <c r="AX249" i="45"/>
  <c r="AX313" i="45"/>
  <c r="AY343" i="45"/>
  <c r="M608" i="45"/>
  <c r="M627" i="45"/>
  <c r="AL123" i="29"/>
  <c r="AL124" i="29"/>
  <c r="AM124" i="29"/>
  <c r="S620" i="45"/>
  <c r="AL395" i="45"/>
  <c r="AR601" i="45"/>
  <c r="AR237" i="45" s="1"/>
  <c r="AR238" i="45" s="1"/>
  <c r="AR222" i="45"/>
  <c r="AR255" i="45" s="1"/>
  <c r="AR637" i="45"/>
  <c r="N601" i="45"/>
  <c r="O620" i="45"/>
  <c r="N620" i="45"/>
  <c r="N637" i="45"/>
  <c r="Y637" i="45"/>
  <c r="Y601" i="45"/>
  <c r="Y586" i="45"/>
  <c r="Y620" i="45"/>
  <c r="AC601" i="45"/>
  <c r="BB607" i="45"/>
  <c r="AX607" i="45"/>
  <c r="AX626" i="45"/>
  <c r="BC254" i="45"/>
  <c r="BC225" i="45"/>
  <c r="BC307" i="45" s="1"/>
  <c r="AZ254" i="45"/>
  <c r="AZ225" i="45"/>
  <c r="AZ307" i="45" s="1"/>
  <c r="AZ626" i="45"/>
  <c r="AZ607" i="45"/>
  <c r="T601" i="45"/>
  <c r="U620" i="45"/>
  <c r="T637" i="45"/>
  <c r="T620" i="45"/>
  <c r="X601" i="45"/>
  <c r="AM313" i="45"/>
  <c r="AN343" i="45"/>
  <c r="AM249" i="45"/>
  <c r="AY225" i="45"/>
  <c r="AY307" i="45" s="1"/>
  <c r="AY254" i="45"/>
  <c r="AZ249" i="45"/>
  <c r="AZ313" i="45"/>
  <c r="BA343" i="45"/>
  <c r="Z621" i="45"/>
  <c r="AL313" i="45"/>
  <c r="AM343" i="45"/>
  <c r="AL249" i="45"/>
  <c r="V124" i="29"/>
  <c r="V123" i="29"/>
  <c r="Z123" i="29"/>
  <c r="AL225" i="45"/>
  <c r="AL307" i="45" s="1"/>
  <c r="AL254" i="45"/>
  <c r="Y621" i="45"/>
  <c r="AC602" i="45"/>
  <c r="AL98" i="45"/>
  <c r="AL100" i="45" s="1"/>
  <c r="AL262" i="45"/>
  <c r="AL287" i="45"/>
  <c r="AL290" i="45" s="1"/>
  <c r="AL636" i="45"/>
  <c r="AL103" i="45"/>
  <c r="AL224" i="45" s="1"/>
  <c r="AL306" i="45" s="1"/>
  <c r="AL101" i="45"/>
  <c r="AL223" i="45" s="1"/>
  <c r="AL304" i="45" s="1"/>
  <c r="AL619" i="45"/>
  <c r="AL600" i="45"/>
  <c r="AL236" i="45" s="1"/>
  <c r="AP600" i="45"/>
  <c r="AP236" i="45" s="1"/>
  <c r="BC607" i="45"/>
  <c r="BC626" i="45"/>
  <c r="BC101" i="45"/>
  <c r="BC223" i="45" s="1"/>
  <c r="BC304" i="45" s="1"/>
  <c r="BC103" i="45"/>
  <c r="BC224" i="45" s="1"/>
  <c r="BC306" i="45" s="1"/>
  <c r="BC98" i="45"/>
  <c r="BC100" i="45" s="1"/>
  <c r="BD620" i="45" s="1"/>
  <c r="BC636" i="45"/>
  <c r="BG608" i="45" s="1"/>
  <c r="BC600" i="45"/>
  <c r="BC236" i="45" s="1"/>
  <c r="BC287" i="45"/>
  <c r="BC290" i="45" s="1"/>
  <c r="BC262" i="45"/>
  <c r="BC619" i="45"/>
  <c r="S627" i="45"/>
  <c r="R608" i="45"/>
  <c r="T627" i="45"/>
  <c r="T608" i="45"/>
  <c r="X608" i="45"/>
  <c r="U627" i="45"/>
  <c r="BK313" i="45"/>
  <c r="BK249" i="45"/>
  <c r="AT343" i="45"/>
  <c r="AS249" i="45"/>
  <c r="AS313" i="45"/>
  <c r="Z627" i="45"/>
  <c r="AK222" i="45"/>
  <c r="AK255" i="45" s="1"/>
  <c r="AK637" i="45"/>
  <c r="AS626" i="45"/>
  <c r="AW607" i="45"/>
  <c r="AT626" i="45"/>
  <c r="AZ343" i="45"/>
  <c r="AY249" i="45"/>
  <c r="AY313" i="45"/>
  <c r="BL222" i="45"/>
  <c r="BL255" i="45" s="1"/>
  <c r="BL637" i="45"/>
  <c r="BL601" i="45"/>
  <c r="BL237" i="45" s="1"/>
  <c r="BL238" i="45" s="1"/>
  <c r="AV601" i="45"/>
  <c r="AV237" i="45" s="1"/>
  <c r="AV238" i="45" s="1"/>
  <c r="AV620" i="45"/>
  <c r="AV637" i="45"/>
  <c r="AV222" i="45"/>
  <c r="AV255" i="45" s="1"/>
  <c r="AW620" i="45"/>
  <c r="BL608" i="45"/>
  <c r="AO291" i="45"/>
  <c r="AV291" i="45"/>
  <c r="AV608" i="45"/>
  <c r="AV627" i="45"/>
  <c r="AW627" i="45"/>
  <c r="AQ627" i="45"/>
  <c r="AU608" i="45"/>
  <c r="AR627" i="45"/>
  <c r="AQ620" i="45"/>
  <c r="AQ601" i="45"/>
  <c r="AQ237" i="45" s="1"/>
  <c r="AQ238" i="45" s="1"/>
  <c r="AR620" i="45"/>
  <c r="AQ222" i="45"/>
  <c r="AQ255" i="45" s="1"/>
  <c r="AQ637" i="45"/>
  <c r="AU601" i="45"/>
  <c r="AU237" i="45" s="1"/>
  <c r="AU238" i="45" s="1"/>
  <c r="AN122" i="29"/>
  <c r="AO124" i="29" s="1"/>
  <c r="AN77" i="29"/>
  <c r="AN68" i="29"/>
  <c r="AN76" i="29"/>
  <c r="AN69" i="29"/>
  <c r="L88" i="28"/>
  <c r="P97" i="44"/>
  <c r="P98" i="44"/>
  <c r="P99" i="44" s="1"/>
  <c r="L90" i="28"/>
  <c r="P95" i="1"/>
  <c r="L115" i="28"/>
  <c r="L124" i="28" s="1"/>
  <c r="P76" i="1"/>
  <c r="C4" i="53" s="1"/>
  <c r="C5" i="53" s="1"/>
  <c r="P92" i="1"/>
  <c r="K18" i="48"/>
  <c r="BQ105" i="45"/>
  <c r="BQ104" i="45" s="1"/>
  <c r="BQ88" i="45" s="1"/>
  <c r="BQ252" i="45" s="1"/>
  <c r="K27" i="48"/>
  <c r="BQ605" i="45"/>
  <c r="BQ624" i="45"/>
  <c r="BQ634" i="45"/>
  <c r="BR625" i="45" s="1"/>
  <c r="BQ250" i="45"/>
  <c r="BQ617" i="45"/>
  <c r="BQ598" i="45"/>
  <c r="BQ234" i="45" s="1"/>
  <c r="BM637" i="45"/>
  <c r="BM620" i="45"/>
  <c r="BM222" i="45"/>
  <c r="BM255" i="45" s="1"/>
  <c r="BN620" i="45"/>
  <c r="BG222" i="45"/>
  <c r="BG255" i="45" s="1"/>
  <c r="BG637" i="45"/>
  <c r="BG620" i="45"/>
  <c r="BH620" i="45"/>
  <c r="BA291" i="45"/>
  <c r="BA608" i="45"/>
  <c r="BB627" i="45"/>
  <c r="BJ609" i="45"/>
  <c r="BG627" i="45"/>
  <c r="BH627" i="45"/>
  <c r="U609" i="45"/>
  <c r="AO608" i="45"/>
  <c r="AB609" i="45"/>
  <c r="AC628" i="45"/>
  <c r="AI628" i="45"/>
  <c r="BM627" i="45"/>
  <c r="BN627" i="45"/>
  <c r="BD637" i="45"/>
  <c r="BD222" i="45"/>
  <c r="BD255" i="45" s="1"/>
  <c r="BH601" i="45"/>
  <c r="BH237" i="45" s="1"/>
  <c r="BH238" i="45" s="1"/>
  <c r="BH608" i="45"/>
  <c r="BA637" i="45"/>
  <c r="BA222" i="45"/>
  <c r="BA255" i="45" s="1"/>
  <c r="BA601" i="45"/>
  <c r="BA237" i="45" s="1"/>
  <c r="BA238" i="45" s="1"/>
  <c r="BB620" i="45"/>
  <c r="BP608" i="45"/>
  <c r="BP627" i="45"/>
  <c r="BG291" i="45"/>
  <c r="AO601" i="45"/>
  <c r="AO237" i="45" s="1"/>
  <c r="AO238" i="45" s="1"/>
  <c r="AO637" i="45"/>
  <c r="AO620" i="45"/>
  <c r="AO222" i="45"/>
  <c r="AO255" i="45" s="1"/>
  <c r="AD602" i="45"/>
  <c r="AD621" i="45"/>
  <c r="AE621" i="45"/>
  <c r="BP620" i="45"/>
  <c r="BP637" i="45"/>
  <c r="BP601" i="45"/>
  <c r="BP237" i="45" s="1"/>
  <c r="BP238" i="45" s="1"/>
  <c r="BP222" i="45"/>
  <c r="BP255" i="45" s="1"/>
  <c r="V609" i="45"/>
  <c r="V628" i="45"/>
  <c r="AU628" i="45"/>
  <c r="AD627" i="45"/>
  <c r="AD608" i="45"/>
  <c r="AE627" i="45"/>
  <c r="BO627" i="45"/>
  <c r="AD586" i="45"/>
  <c r="AD620" i="45"/>
  <c r="AD601" i="45"/>
  <c r="AD637" i="45"/>
  <c r="AE620" i="45"/>
  <c r="BO620" i="45"/>
  <c r="BO637" i="45"/>
  <c r="BO222" i="45"/>
  <c r="BO255" i="45" s="1"/>
  <c r="K239" i="45" l="1"/>
  <c r="J255" i="45"/>
  <c r="I255" i="45"/>
  <c r="J239" i="45"/>
  <c r="AD204" i="45"/>
  <c r="AL587" i="45"/>
  <c r="AL586" i="45"/>
  <c r="AK621" i="45"/>
  <c r="AK602" i="45"/>
  <c r="AK239" i="45" s="1"/>
  <c r="AK240" i="45" s="1"/>
  <c r="AN515" i="45"/>
  <c r="AM517" i="45"/>
  <c r="N56" i="12"/>
  <c r="R81" i="3"/>
  <c r="S78" i="3"/>
  <c r="AC208" i="45"/>
  <c r="S91" i="3" s="1"/>
  <c r="T586" i="45"/>
  <c r="V621" i="45"/>
  <c r="S517" i="45"/>
  <c r="R515" i="45"/>
  <c r="U621" i="45"/>
  <c r="J42" i="4"/>
  <c r="F50" i="12"/>
  <c r="J75" i="3"/>
  <c r="J46" i="4" s="1"/>
  <c r="J142" i="4"/>
  <c r="S62" i="44"/>
  <c r="S101" i="44"/>
  <c r="S53" i="44"/>
  <c r="S65" i="44" s="1"/>
  <c r="T101" i="44"/>
  <c r="T53" i="44"/>
  <c r="U291" i="45"/>
  <c r="BD601" i="45"/>
  <c r="BD237" i="45" s="1"/>
  <c r="BD238" i="45" s="1"/>
  <c r="AO627" i="45"/>
  <c r="BL627" i="45"/>
  <c r="AN291" i="45"/>
  <c r="AN637" i="45"/>
  <c r="AR609" i="45" s="1"/>
  <c r="AN222" i="45"/>
  <c r="AN255" i="45" s="1"/>
  <c r="BE627" i="45"/>
  <c r="BE608" i="45"/>
  <c r="P7" i="49"/>
  <c r="P3" i="49"/>
  <c r="P5" i="49"/>
  <c r="I47" i="12"/>
  <c r="I43" i="12" s="1"/>
  <c r="M68" i="3"/>
  <c r="X233" i="45"/>
  <c r="X343" i="45"/>
  <c r="W249" i="45"/>
  <c r="W313" i="45"/>
  <c r="T103" i="45"/>
  <c r="T224" i="45" s="1"/>
  <c r="T287" i="45"/>
  <c r="T290" i="45" s="1"/>
  <c r="U236" i="45"/>
  <c r="T101" i="45"/>
  <c r="T223" i="45" s="1"/>
  <c r="T98" i="45"/>
  <c r="T236" i="45"/>
  <c r="U306" i="45"/>
  <c r="V241" i="45"/>
  <c r="V237" i="45"/>
  <c r="U100" i="45"/>
  <c r="Q240" i="45"/>
  <c r="P304" i="45"/>
  <c r="Q241" i="45"/>
  <c r="P306" i="45"/>
  <c r="Y413" i="45"/>
  <c r="Y393" i="45"/>
  <c r="Y385" i="45"/>
  <c r="Y348" i="45"/>
  <c r="Y251" i="45"/>
  <c r="Y92" i="45"/>
  <c r="Y235" i="45"/>
  <c r="O101" i="45"/>
  <c r="O223" i="45" s="1"/>
  <c r="O98" i="45"/>
  <c r="O103" i="45"/>
  <c r="O224" i="45" s="1"/>
  <c r="O287" i="45"/>
  <c r="O290" i="45" s="1"/>
  <c r="P236" i="45"/>
  <c r="O262" i="45"/>
  <c r="Q249" i="45"/>
  <c r="R233" i="45"/>
  <c r="R343" i="45"/>
  <c r="Q313" i="45"/>
  <c r="X100" i="45"/>
  <c r="M262" i="45"/>
  <c r="M103" i="45"/>
  <c r="M224" i="45" s="1"/>
  <c r="M287" i="45"/>
  <c r="M290" i="45" s="1"/>
  <c r="M98" i="45"/>
  <c r="N236" i="45"/>
  <c r="M101" i="45"/>
  <c r="M223" i="45" s="1"/>
  <c r="M236" i="45"/>
  <c r="R249" i="45"/>
  <c r="S343" i="45"/>
  <c r="S233" i="45"/>
  <c r="R313" i="45"/>
  <c r="R254" i="45"/>
  <c r="R225" i="45"/>
  <c r="T225" i="45"/>
  <c r="T254" i="45"/>
  <c r="J50" i="12"/>
  <c r="N75" i="3"/>
  <c r="N46" i="4" s="1"/>
  <c r="N141" i="4"/>
  <c r="N142" i="4"/>
  <c r="N42" i="4"/>
  <c r="V255" i="45"/>
  <c r="N225" i="45"/>
  <c r="N254" i="45"/>
  <c r="Q254" i="45"/>
  <c r="Q225" i="45"/>
  <c r="Q101" i="45"/>
  <c r="Q223" i="45" s="1"/>
  <c r="Q103" i="45"/>
  <c r="Q224" i="45" s="1"/>
  <c r="Q98" i="45"/>
  <c r="Q237" i="45" s="1"/>
  <c r="Q262" i="45"/>
  <c r="Q287" i="45"/>
  <c r="Q290" i="45" s="1"/>
  <c r="R236" i="45"/>
  <c r="U307" i="45"/>
  <c r="V242" i="45"/>
  <c r="K76" i="12"/>
  <c r="K36" i="12"/>
  <c r="K77" i="12" s="1"/>
  <c r="G162" i="56"/>
  <c r="Y52" i="12"/>
  <c r="Y79" i="12" s="1"/>
  <c r="B3" i="18"/>
  <c r="K38" i="12"/>
  <c r="W294" i="45"/>
  <c r="W196" i="45"/>
  <c r="W392" i="45"/>
  <c r="W395" i="45" s="1"/>
  <c r="W253" i="45"/>
  <c r="W295" i="45"/>
  <c r="W209" i="45"/>
  <c r="W212" i="45" s="1"/>
  <c r="W213" i="45" s="1"/>
  <c r="M89" i="3"/>
  <c r="W314" i="45"/>
  <c r="U343" i="45"/>
  <c r="U233" i="45"/>
  <c r="T249" i="45"/>
  <c r="T313" i="45"/>
  <c r="X254" i="45"/>
  <c r="X225" i="45"/>
  <c r="U304" i="45"/>
  <c r="V240" i="45"/>
  <c r="P291" i="45"/>
  <c r="P100" i="45"/>
  <c r="Y194" i="45"/>
  <c r="O63" i="3"/>
  <c r="X306" i="45"/>
  <c r="X304" i="45"/>
  <c r="W101" i="45"/>
  <c r="W223" i="45" s="1"/>
  <c r="W287" i="45"/>
  <c r="W290" i="45" s="1"/>
  <c r="W103" i="45"/>
  <c r="W224" i="45" s="1"/>
  <c r="X236" i="45"/>
  <c r="W98" i="45"/>
  <c r="W236" i="45"/>
  <c r="R101" i="45"/>
  <c r="R223" i="45" s="1"/>
  <c r="R287" i="45"/>
  <c r="R290" i="45" s="1"/>
  <c r="R98" i="45"/>
  <c r="R103" i="45"/>
  <c r="R224" i="45" s="1"/>
  <c r="S236" i="45"/>
  <c r="R262" i="45"/>
  <c r="T395" i="45"/>
  <c r="S255" i="45"/>
  <c r="P307" i="45"/>
  <c r="Q242" i="45"/>
  <c r="N101" i="45"/>
  <c r="N223" i="45" s="1"/>
  <c r="N98" i="45"/>
  <c r="N287" i="45"/>
  <c r="N290" i="45" s="1"/>
  <c r="N103" i="45"/>
  <c r="N224" i="45" s="1"/>
  <c r="N262" i="45"/>
  <c r="O236" i="45"/>
  <c r="O254" i="45"/>
  <c r="O225" i="45"/>
  <c r="K84" i="12"/>
  <c r="O155" i="4"/>
  <c r="K89" i="12" s="1"/>
  <c r="G163" i="56"/>
  <c r="Y51" i="12"/>
  <c r="Y77" i="12" s="1"/>
  <c r="M225" i="45"/>
  <c r="M254" i="45"/>
  <c r="AG291" i="45"/>
  <c r="L22" i="48"/>
  <c r="BR635" i="45"/>
  <c r="BR599" i="45"/>
  <c r="BR235" i="45" s="1"/>
  <c r="BR251" i="45"/>
  <c r="BR92" i="45"/>
  <c r="L21" i="48"/>
  <c r="L28" i="48"/>
  <c r="BF609" i="45"/>
  <c r="AP627" i="45"/>
  <c r="BD608" i="45"/>
  <c r="BO601" i="45"/>
  <c r="BO237" i="45" s="1"/>
  <c r="BO238" i="45" s="1"/>
  <c r="BE601" i="45"/>
  <c r="BE237" i="45" s="1"/>
  <c r="BE238" i="45" s="1"/>
  <c r="AJ291" i="45"/>
  <c r="AN608" i="45"/>
  <c r="AJ627" i="45"/>
  <c r="AJ608" i="45"/>
  <c r="K628" i="45"/>
  <c r="O609" i="45"/>
  <c r="K609" i="45"/>
  <c r="AH627" i="45"/>
  <c r="AG627" i="45"/>
  <c r="AG222" i="45"/>
  <c r="AG255" i="45" s="1"/>
  <c r="AG637" i="45"/>
  <c r="AH620" i="45"/>
  <c r="AG620" i="45"/>
  <c r="AN601" i="45"/>
  <c r="AN237" i="45" s="1"/>
  <c r="AN238" i="45" s="1"/>
  <c r="AJ620" i="45"/>
  <c r="AJ601" i="45"/>
  <c r="AJ237" i="45" s="1"/>
  <c r="AJ238" i="45" s="1"/>
  <c r="AJ222" i="45"/>
  <c r="AJ255" i="45" s="1"/>
  <c r="AJ637" i="45"/>
  <c r="BO608" i="45"/>
  <c r="BK608" i="45"/>
  <c r="BD627" i="45"/>
  <c r="BK291" i="45"/>
  <c r="BI291" i="45"/>
  <c r="BI627" i="45"/>
  <c r="BJ627" i="45"/>
  <c r="BI608" i="45"/>
  <c r="AP291" i="45"/>
  <c r="P609" i="45"/>
  <c r="P628" i="45"/>
  <c r="AP637" i="45"/>
  <c r="AT609" i="45" s="1"/>
  <c r="AP222" i="45"/>
  <c r="AP255" i="45" s="1"/>
  <c r="AT601" i="45"/>
  <c r="AT237" i="45" s="1"/>
  <c r="AT238" i="45" s="1"/>
  <c r="BI637" i="45"/>
  <c r="BJ620" i="45"/>
  <c r="BI601" i="45"/>
  <c r="BI237" i="45" s="1"/>
  <c r="BI238" i="45" s="1"/>
  <c r="BI222" i="45"/>
  <c r="BI255" i="45" s="1"/>
  <c r="BI620" i="45"/>
  <c r="BF620" i="45"/>
  <c r="BE637" i="45"/>
  <c r="BF628" i="45" s="1"/>
  <c r="BE222" i="45"/>
  <c r="BE255" i="45" s="1"/>
  <c r="BE291" i="45"/>
  <c r="BG601" i="45"/>
  <c r="BG237" i="45" s="1"/>
  <c r="BG238" i="45" s="1"/>
  <c r="Z628" i="45"/>
  <c r="BC608" i="45"/>
  <c r="BC627" i="45"/>
  <c r="AL291" i="45"/>
  <c r="Y628" i="45"/>
  <c r="Y609" i="45"/>
  <c r="AC609" i="45"/>
  <c r="AM291" i="45"/>
  <c r="AS291" i="45"/>
  <c r="M609" i="45"/>
  <c r="M628" i="45"/>
  <c r="AZ291" i="45"/>
  <c r="AY637" i="45"/>
  <c r="AY601" i="45"/>
  <c r="AY237" i="45" s="1"/>
  <c r="AY238" i="45" s="1"/>
  <c r="AY222" i="45"/>
  <c r="AY255" i="45" s="1"/>
  <c r="AY620" i="45"/>
  <c r="AX608" i="45"/>
  <c r="BB608" i="45"/>
  <c r="AX627" i="45"/>
  <c r="AN627" i="45"/>
  <c r="AM627" i="45"/>
  <c r="AM608" i="45"/>
  <c r="AS222" i="45"/>
  <c r="AS255" i="45" s="1"/>
  <c r="AS637" i="45"/>
  <c r="AS609" i="45" s="1"/>
  <c r="AS620" i="45"/>
  <c r="AW601" i="45"/>
  <c r="AW237" i="45" s="1"/>
  <c r="AW238" i="45" s="1"/>
  <c r="AT620" i="45"/>
  <c r="AS627" i="45"/>
  <c r="AW608" i="45"/>
  <c r="AT627" i="45"/>
  <c r="BB601" i="45"/>
  <c r="BB237" i="45" s="1"/>
  <c r="BB238" i="45" s="1"/>
  <c r="AX601" i="45"/>
  <c r="AX237" i="45" s="1"/>
  <c r="AX238" i="45" s="1"/>
  <c r="AX620" i="45"/>
  <c r="AX637" i="45"/>
  <c r="AX222" i="45"/>
  <c r="AX255" i="45" s="1"/>
  <c r="BC291" i="45"/>
  <c r="N609" i="45"/>
  <c r="N628" i="45"/>
  <c r="O628" i="45"/>
  <c r="AM620" i="45"/>
  <c r="AN620" i="45"/>
  <c r="AM222" i="45"/>
  <c r="AM255" i="45" s="1"/>
  <c r="AM637" i="45"/>
  <c r="AQ609" i="45" s="1"/>
  <c r="AM601" i="45"/>
  <c r="AM237" i="45" s="1"/>
  <c r="AM238" i="45" s="1"/>
  <c r="BK637" i="45"/>
  <c r="BK628" i="45" s="1"/>
  <c r="BK222" i="45"/>
  <c r="BK255" i="45" s="1"/>
  <c r="BK620" i="45"/>
  <c r="AA628" i="45"/>
  <c r="AE609" i="45"/>
  <c r="AA609" i="45"/>
  <c r="AZ627" i="45"/>
  <c r="AZ608" i="45"/>
  <c r="AY608" i="45"/>
  <c r="AY627" i="45"/>
  <c r="AX291" i="45"/>
  <c r="AK628" i="45"/>
  <c r="AK609" i="45"/>
  <c r="BC637" i="45"/>
  <c r="BG609" i="45" s="1"/>
  <c r="BC222" i="45"/>
  <c r="BC255" i="45" s="1"/>
  <c r="BC601" i="45"/>
  <c r="BC237" i="45" s="1"/>
  <c r="BC238" i="45" s="1"/>
  <c r="BC620" i="45"/>
  <c r="AL637" i="45"/>
  <c r="AL222" i="45"/>
  <c r="AL255" i="45" s="1"/>
  <c r="AL601" i="45"/>
  <c r="AL237" i="45" s="1"/>
  <c r="AL238" i="45" s="1"/>
  <c r="AL620" i="45"/>
  <c r="AP601" i="45"/>
  <c r="AP237" i="45" s="1"/>
  <c r="AP238" i="45" s="1"/>
  <c r="T609" i="45"/>
  <c r="X609" i="45"/>
  <c r="U628" i="45"/>
  <c r="T628" i="45"/>
  <c r="BK601" i="45"/>
  <c r="BK237" i="45" s="1"/>
  <c r="BK238" i="45" s="1"/>
  <c r="AL608" i="45"/>
  <c r="AL627" i="45"/>
  <c r="AP608" i="45"/>
  <c r="AZ637" i="45"/>
  <c r="BA628" i="45" s="1"/>
  <c r="AZ601" i="45"/>
  <c r="AZ237" i="45" s="1"/>
  <c r="AZ238" i="45" s="1"/>
  <c r="AZ620" i="45"/>
  <c r="AZ222" i="45"/>
  <c r="AZ255" i="45" s="1"/>
  <c r="AY291" i="45"/>
  <c r="R609" i="45"/>
  <c r="R628" i="45"/>
  <c r="S628" i="45"/>
  <c r="AR628" i="45"/>
  <c r="AU609" i="45"/>
  <c r="AV609" i="45"/>
  <c r="AV628" i="45"/>
  <c r="AW628" i="45"/>
  <c r="BL609" i="45"/>
  <c r="K29" i="48"/>
  <c r="AN123" i="29"/>
  <c r="AN124" i="29"/>
  <c r="E31" i="56"/>
  <c r="P16" i="4"/>
  <c r="G9" i="54"/>
  <c r="G7" i="54" s="1"/>
  <c r="P17" i="4"/>
  <c r="P51" i="4"/>
  <c r="P165" i="4"/>
  <c r="P168" i="4" s="1"/>
  <c r="C3" i="53"/>
  <c r="P1" i="1"/>
  <c r="P2" i="1" s="1"/>
  <c r="P84" i="1"/>
  <c r="Z35" i="45"/>
  <c r="Z37" i="45" s="1"/>
  <c r="P15" i="4"/>
  <c r="V9" i="1"/>
  <c r="L19" i="12"/>
  <c r="P51" i="2"/>
  <c r="P53" i="2" s="1"/>
  <c r="P11" i="4"/>
  <c r="P14" i="4"/>
  <c r="L91" i="28"/>
  <c r="L92" i="28"/>
  <c r="J33" i="26"/>
  <c r="L105" i="28"/>
  <c r="L106" i="28" s="1"/>
  <c r="BQ89" i="45"/>
  <c r="BR618" i="45" s="1"/>
  <c r="K19" i="48"/>
  <c r="BQ625" i="45"/>
  <c r="BQ606" i="45"/>
  <c r="BP628" i="45"/>
  <c r="BP609" i="45"/>
  <c r="BO628" i="45"/>
  <c r="BH609" i="45"/>
  <c r="BG628" i="45"/>
  <c r="BH628" i="45"/>
  <c r="AD628" i="45"/>
  <c r="AD609" i="45"/>
  <c r="AE628" i="45"/>
  <c r="AO609" i="45"/>
  <c r="AO628" i="45"/>
  <c r="BA609" i="45"/>
  <c r="BB628" i="45"/>
  <c r="BM628" i="45"/>
  <c r="BM609" i="45"/>
  <c r="BN628" i="45"/>
  <c r="AN90" i="29"/>
  <c r="T78" i="3" l="1"/>
  <c r="AD208" i="45"/>
  <c r="T91" i="3" s="1"/>
  <c r="AM587" i="45"/>
  <c r="AM586" i="45"/>
  <c r="AK318" i="45"/>
  <c r="AK305" i="45"/>
  <c r="S81" i="3"/>
  <c r="O56" i="12"/>
  <c r="AN517" i="45"/>
  <c r="AO515" i="45"/>
  <c r="AL602" i="45"/>
  <c r="AL239" i="45" s="1"/>
  <c r="AL240" i="45" s="1"/>
  <c r="AL621" i="45"/>
  <c r="Q515" i="45"/>
  <c r="R517" i="45"/>
  <c r="S587" i="45"/>
  <c r="S586" i="45"/>
  <c r="T62" i="44"/>
  <c r="T65" i="44"/>
  <c r="Q291" i="45"/>
  <c r="M291" i="45"/>
  <c r="F36" i="56"/>
  <c r="F37" i="56" s="1"/>
  <c r="P86" i="1"/>
  <c r="P87" i="1" s="1"/>
  <c r="K35" i="48"/>
  <c r="L35" i="48" s="1"/>
  <c r="AQ628" i="45"/>
  <c r="AP628" i="45"/>
  <c r="N242" i="45"/>
  <c r="M242" i="45"/>
  <c r="M307" i="45"/>
  <c r="N291" i="45"/>
  <c r="N304" i="45"/>
  <c r="O240" i="45"/>
  <c r="S241" i="45"/>
  <c r="R306" i="45"/>
  <c r="R291" i="45"/>
  <c r="X241" i="45"/>
  <c r="W306" i="45"/>
  <c r="W241" i="45"/>
  <c r="X240" i="45"/>
  <c r="W304" i="45"/>
  <c r="W240" i="45"/>
  <c r="Y294" i="45"/>
  <c r="Y295" i="45"/>
  <c r="O89" i="3"/>
  <c r="Y253" i="45"/>
  <c r="Y196" i="45"/>
  <c r="Y314" i="45"/>
  <c r="Y209" i="45"/>
  <c r="Y212" i="45" s="1"/>
  <c r="Y213" i="45" s="1"/>
  <c r="Y392" i="45"/>
  <c r="Y395" i="45" s="1"/>
  <c r="V305" i="45"/>
  <c r="V318" i="45"/>
  <c r="X307" i="45"/>
  <c r="W225" i="45"/>
  <c r="W254" i="45"/>
  <c r="K78" i="12"/>
  <c r="Y67" i="12"/>
  <c r="Y12" i="12" s="1"/>
  <c r="K39" i="12"/>
  <c r="K79" i="12" s="1"/>
  <c r="Q100" i="45"/>
  <c r="R237" i="45"/>
  <c r="Q304" i="45"/>
  <c r="R240" i="45"/>
  <c r="N307" i="45"/>
  <c r="O242" i="45"/>
  <c r="R307" i="45"/>
  <c r="S242" i="45"/>
  <c r="X222" i="45"/>
  <c r="P241" i="45"/>
  <c r="O306" i="45"/>
  <c r="P240" i="45"/>
  <c r="O304" i="45"/>
  <c r="Y101" i="45"/>
  <c r="Y223" i="45" s="1"/>
  <c r="Y287" i="45"/>
  <c r="Y290" i="45" s="1"/>
  <c r="Y98" i="45"/>
  <c r="Y103" i="45"/>
  <c r="Y224" i="45" s="1"/>
  <c r="Y236" i="45"/>
  <c r="Q305" i="45"/>
  <c r="Q318" i="45"/>
  <c r="T100" i="45"/>
  <c r="U237" i="45"/>
  <c r="T237" i="45"/>
  <c r="U240" i="45"/>
  <c r="T304" i="45"/>
  <c r="T240" i="45"/>
  <c r="T291" i="45"/>
  <c r="M42" i="4"/>
  <c r="M142" i="4"/>
  <c r="M75" i="3"/>
  <c r="M46" i="4" s="1"/>
  <c r="I50" i="12"/>
  <c r="M141" i="4"/>
  <c r="P242" i="45"/>
  <c r="O307" i="45"/>
  <c r="N306" i="45"/>
  <c r="O241" i="45"/>
  <c r="O237" i="45"/>
  <c r="N100" i="45"/>
  <c r="S237" i="45"/>
  <c r="R100" i="45"/>
  <c r="S240" i="45"/>
  <c r="R304" i="45"/>
  <c r="W100" i="45"/>
  <c r="X237" i="45"/>
  <c r="W237" i="45"/>
  <c r="W291" i="45"/>
  <c r="O68" i="3"/>
  <c r="K47" i="12"/>
  <c r="K43" i="12" s="1"/>
  <c r="P222" i="45"/>
  <c r="Q238" i="45"/>
  <c r="Q306" i="45"/>
  <c r="R241" i="45"/>
  <c r="Q307" i="45"/>
  <c r="R242" i="45"/>
  <c r="U242" i="45"/>
  <c r="T307" i="45"/>
  <c r="M240" i="45"/>
  <c r="N240" i="45"/>
  <c r="M304" i="45"/>
  <c r="N237" i="45"/>
  <c r="M100" i="45"/>
  <c r="M237" i="45"/>
  <c r="M241" i="45"/>
  <c r="M306" i="45"/>
  <c r="N241" i="45"/>
  <c r="O291" i="45"/>
  <c r="P237" i="45"/>
  <c r="O100" i="45"/>
  <c r="Y249" i="45"/>
  <c r="Z233" i="45"/>
  <c r="Y313" i="45"/>
  <c r="U222" i="45"/>
  <c r="V238" i="45"/>
  <c r="U241" i="45"/>
  <c r="T306" i="45"/>
  <c r="T241" i="45"/>
  <c r="BE628" i="45"/>
  <c r="BR101" i="45"/>
  <c r="BR223" i="45" s="1"/>
  <c r="BR98" i="45"/>
  <c r="BR100" i="45" s="1"/>
  <c r="BR636" i="45"/>
  <c r="BR600" i="45"/>
  <c r="BR236" i="45" s="1"/>
  <c r="BR103" i="45"/>
  <c r="BR224" i="45" s="1"/>
  <c r="BR607" i="45"/>
  <c r="BE609" i="45"/>
  <c r="AH628" i="45"/>
  <c r="AG628" i="45"/>
  <c r="BK609" i="45"/>
  <c r="AN609" i="45"/>
  <c r="AJ628" i="45"/>
  <c r="AJ609" i="45"/>
  <c r="BO609" i="45"/>
  <c r="BD609" i="45"/>
  <c r="BD628" i="45"/>
  <c r="BL628" i="45"/>
  <c r="BJ628" i="45"/>
  <c r="BI609" i="45"/>
  <c r="BI628" i="45"/>
  <c r="AY609" i="45"/>
  <c r="AY628" i="45"/>
  <c r="AS628" i="45"/>
  <c r="AW609" i="45"/>
  <c r="AT628" i="45"/>
  <c r="AZ628" i="45"/>
  <c r="AZ609" i="45"/>
  <c r="AM628" i="45"/>
  <c r="AN628" i="45"/>
  <c r="AM609" i="45"/>
  <c r="AL628" i="45"/>
  <c r="AL609" i="45"/>
  <c r="AP609" i="45"/>
  <c r="BC609" i="45"/>
  <c r="BC628" i="45"/>
  <c r="BB609" i="45"/>
  <c r="AX609" i="45"/>
  <c r="AX628" i="45"/>
  <c r="L74" i="12"/>
  <c r="L20" i="12"/>
  <c r="Z40" i="45"/>
  <c r="Z283" i="45"/>
  <c r="Z38" i="45"/>
  <c r="P10" i="2"/>
  <c r="P109" i="1"/>
  <c r="L116" i="28"/>
  <c r="L125" i="28" s="1"/>
  <c r="P61" i="2"/>
  <c r="E3" i="53"/>
  <c r="D3" i="53"/>
  <c r="G10" i="54"/>
  <c r="K21" i="48"/>
  <c r="K28" i="48"/>
  <c r="BQ635" i="45"/>
  <c r="BR626" i="45" s="1"/>
  <c r="BQ251" i="45"/>
  <c r="BQ92" i="45"/>
  <c r="BR619" i="45" s="1"/>
  <c r="BQ599" i="45"/>
  <c r="BQ235" i="45" s="1"/>
  <c r="BQ618" i="45"/>
  <c r="AN91" i="29"/>
  <c r="K22" i="48"/>
  <c r="T81" i="3" l="1"/>
  <c r="P56" i="12"/>
  <c r="AN587" i="45"/>
  <c r="AN586" i="45"/>
  <c r="AO517" i="45"/>
  <c r="AP515" i="45"/>
  <c r="AL305" i="45"/>
  <c r="AL318" i="45"/>
  <c r="AM602" i="45"/>
  <c r="AM239" i="45" s="1"/>
  <c r="AM240" i="45" s="1"/>
  <c r="AM621" i="45"/>
  <c r="W602" i="45"/>
  <c r="T621" i="45"/>
  <c r="R587" i="45"/>
  <c r="R586" i="45"/>
  <c r="P11" i="2"/>
  <c r="Z22" i="12" s="1"/>
  <c r="P63" i="2"/>
  <c r="Q517" i="45"/>
  <c r="P515" i="45"/>
  <c r="K36" i="48"/>
  <c r="L36" i="48" s="1"/>
  <c r="V239" i="45"/>
  <c r="U255" i="45"/>
  <c r="P238" i="45"/>
  <c r="O222" i="45"/>
  <c r="N305" i="45"/>
  <c r="N318" i="45"/>
  <c r="R222" i="45"/>
  <c r="S238" i="45"/>
  <c r="N222" i="45"/>
  <c r="O238" i="45"/>
  <c r="T305" i="45"/>
  <c r="T318" i="45"/>
  <c r="U318" i="45"/>
  <c r="U305" i="45"/>
  <c r="Y291" i="45"/>
  <c r="X255" i="45"/>
  <c r="R305" i="45"/>
  <c r="R318" i="45"/>
  <c r="X242" i="45"/>
  <c r="W307" i="45"/>
  <c r="W242" i="45"/>
  <c r="Y254" i="45"/>
  <c r="Y225" i="45"/>
  <c r="O305" i="45"/>
  <c r="O318" i="45"/>
  <c r="M238" i="45"/>
  <c r="M222" i="45"/>
  <c r="N238" i="45"/>
  <c r="M305" i="45"/>
  <c r="M318" i="45"/>
  <c r="P255" i="45"/>
  <c r="Q239" i="45"/>
  <c r="O142" i="4"/>
  <c r="K50" i="12"/>
  <c r="O42" i="4"/>
  <c r="O141" i="4"/>
  <c r="O75" i="3"/>
  <c r="O46" i="4" s="1"/>
  <c r="X238" i="45"/>
  <c r="W222" i="45"/>
  <c r="W238" i="45"/>
  <c r="S318" i="45"/>
  <c r="S305" i="45"/>
  <c r="U238" i="45"/>
  <c r="T222" i="45"/>
  <c r="T238" i="45"/>
  <c r="Y306" i="45"/>
  <c r="Y241" i="45"/>
  <c r="Y100" i="45"/>
  <c r="Y237" i="45"/>
  <c r="Y304" i="45"/>
  <c r="Y240" i="45"/>
  <c r="P305" i="45"/>
  <c r="P318" i="45"/>
  <c r="Q222" i="45"/>
  <c r="R238" i="45"/>
  <c r="W305" i="45"/>
  <c r="W318" i="45"/>
  <c r="X305" i="45"/>
  <c r="X318" i="45"/>
  <c r="BR608" i="45"/>
  <c r="BR222" i="45"/>
  <c r="BR255" i="45" s="1"/>
  <c r="BR637" i="45"/>
  <c r="BR601" i="45"/>
  <c r="BR237" i="45" s="1"/>
  <c r="BR238" i="45" s="1"/>
  <c r="G8" i="54"/>
  <c r="Z164" i="45"/>
  <c r="Z162" i="45" s="1"/>
  <c r="Z187" i="45" s="1"/>
  <c r="Z44" i="45"/>
  <c r="Z43" i="45" s="1"/>
  <c r="P12" i="4"/>
  <c r="P11" i="1"/>
  <c r="P110" i="1"/>
  <c r="P142" i="2"/>
  <c r="Q142" i="2" s="1"/>
  <c r="L75" i="12"/>
  <c r="Z20" i="12"/>
  <c r="P161" i="4"/>
  <c r="Z160" i="45"/>
  <c r="P129" i="4"/>
  <c r="Z54" i="12" s="1"/>
  <c r="F17" i="56" s="1"/>
  <c r="Z230" i="45"/>
  <c r="Z416" i="45" s="1"/>
  <c r="Z41" i="45"/>
  <c r="BQ101" i="45"/>
  <c r="BQ223" i="45" s="1"/>
  <c r="BQ98" i="45"/>
  <c r="BQ100" i="45" s="1"/>
  <c r="BR620" i="45" s="1"/>
  <c r="BQ103" i="45"/>
  <c r="BQ224" i="45" s="1"/>
  <c r="BQ636" i="45"/>
  <c r="BR627" i="45" s="1"/>
  <c r="BQ619" i="45"/>
  <c r="BQ600" i="45"/>
  <c r="BQ236" i="45" s="1"/>
  <c r="BQ607" i="45"/>
  <c r="BQ626" i="45"/>
  <c r="AM318" i="45" l="1"/>
  <c r="AM305" i="45"/>
  <c r="AO586" i="45"/>
  <c r="AO587" i="45"/>
  <c r="AQ515" i="45"/>
  <c r="AP517" i="45"/>
  <c r="AN602" i="45"/>
  <c r="AN239" i="45" s="1"/>
  <c r="AN240" i="45" s="1"/>
  <c r="AN621" i="45"/>
  <c r="P517" i="45"/>
  <c r="O515" i="45"/>
  <c r="Q587" i="45"/>
  <c r="Q586" i="45"/>
  <c r="V602" i="45"/>
  <c r="S621" i="45"/>
  <c r="Y305" i="45"/>
  <c r="Y318" i="45"/>
  <c r="X239" i="45"/>
  <c r="W255" i="45"/>
  <c r="W239" i="45"/>
  <c r="M255" i="45"/>
  <c r="M239" i="45"/>
  <c r="N239" i="45"/>
  <c r="Y307" i="45"/>
  <c r="Y242" i="45"/>
  <c r="P239" i="45"/>
  <c r="O255" i="45"/>
  <c r="R239" i="45"/>
  <c r="Q255" i="45"/>
  <c r="Y222" i="45"/>
  <c r="Y238" i="45"/>
  <c r="U239" i="45"/>
  <c r="T255" i="45"/>
  <c r="T239" i="45"/>
  <c r="N255" i="45"/>
  <c r="O239" i="45"/>
  <c r="R255" i="45"/>
  <c r="S239" i="45"/>
  <c r="BR609" i="45"/>
  <c r="P13" i="4"/>
  <c r="Z65" i="45"/>
  <c r="Z47" i="45" s="1"/>
  <c r="Z42" i="45" s="1"/>
  <c r="Z77" i="45" s="1"/>
  <c r="P9" i="2"/>
  <c r="Z275" i="45"/>
  <c r="Z185" i="45"/>
  <c r="V11" i="1"/>
  <c r="P68" i="4"/>
  <c r="P52" i="4"/>
  <c r="P21" i="1"/>
  <c r="F56" i="56" s="1"/>
  <c r="BQ627" i="45"/>
  <c r="BQ608" i="45"/>
  <c r="BQ637" i="45"/>
  <c r="BR628" i="45" s="1"/>
  <c r="BQ222" i="45"/>
  <c r="BQ255" i="45" s="1"/>
  <c r="BQ620" i="45"/>
  <c r="BQ601" i="45"/>
  <c r="BQ237" i="45" s="1"/>
  <c r="BQ238" i="45" s="1"/>
  <c r="AO602" i="45" l="1"/>
  <c r="AO239" i="45" s="1"/>
  <c r="AO240" i="45" s="1"/>
  <c r="AO621" i="45"/>
  <c r="AP586" i="45"/>
  <c r="AP587" i="45"/>
  <c r="AN318" i="45"/>
  <c r="AN305" i="45"/>
  <c r="AR515" i="45"/>
  <c r="AQ517" i="45"/>
  <c r="U602" i="45"/>
  <c r="R621" i="45"/>
  <c r="N515" i="45"/>
  <c r="O517" i="45"/>
  <c r="P587" i="45"/>
  <c r="P586" i="45"/>
  <c r="F57" i="56"/>
  <c r="F54" i="56"/>
  <c r="Q5" i="49"/>
  <c r="Q7" i="49"/>
  <c r="Q3" i="49"/>
  <c r="Y255" i="45"/>
  <c r="Y239" i="45"/>
  <c r="C7" i="53"/>
  <c r="C8" i="53" s="1"/>
  <c r="P69" i="4"/>
  <c r="L21" i="12"/>
  <c r="L22" i="12" s="1"/>
  <c r="L117" i="28"/>
  <c r="L126" i="28" s="1"/>
  <c r="C11" i="18"/>
  <c r="P22" i="1"/>
  <c r="V21" i="1"/>
  <c r="P6" i="1"/>
  <c r="G11" i="54"/>
  <c r="P53" i="4"/>
  <c r="P25" i="1"/>
  <c r="P130" i="4"/>
  <c r="Z56" i="12" s="1"/>
  <c r="F18" i="56" s="1"/>
  <c r="Z31" i="12"/>
  <c r="P140" i="2"/>
  <c r="P163" i="4"/>
  <c r="P162" i="4"/>
  <c r="Z21" i="12"/>
  <c r="P128" i="4"/>
  <c r="Z159" i="45"/>
  <c r="Z247" i="45"/>
  <c r="Z231" i="45"/>
  <c r="Z81" i="45"/>
  <c r="BQ628" i="45"/>
  <c r="BQ609" i="45"/>
  <c r="AQ586" i="45" l="1"/>
  <c r="AQ587" i="45"/>
  <c r="AS515" i="45"/>
  <c r="AR517" i="45"/>
  <c r="AP621" i="45"/>
  <c r="AP602" i="45"/>
  <c r="AP239" i="45" s="1"/>
  <c r="AP240" i="45" s="1"/>
  <c r="AO318" i="45"/>
  <c r="AO305" i="45"/>
  <c r="T602" i="45"/>
  <c r="M515" i="45"/>
  <c r="N517" i="45"/>
  <c r="Q621" i="45"/>
  <c r="O587" i="45"/>
  <c r="O586" i="45"/>
  <c r="F58" i="56"/>
  <c r="F55" i="56"/>
  <c r="Z248" i="45"/>
  <c r="Z232" i="45"/>
  <c r="Z83" i="45"/>
  <c r="Z186" i="45"/>
  <c r="Z276" i="45"/>
  <c r="P23" i="2"/>
  <c r="Z32" i="12"/>
  <c r="P26" i="3"/>
  <c r="G27" i="54" s="1"/>
  <c r="E8" i="53"/>
  <c r="E7" i="53" s="1"/>
  <c r="D8" i="53"/>
  <c r="D7" i="53" s="1"/>
  <c r="Z55" i="12"/>
  <c r="F16" i="56" s="1"/>
  <c r="F19" i="56" s="1"/>
  <c r="P131" i="4"/>
  <c r="L24" i="12"/>
  <c r="L25" i="12" s="1"/>
  <c r="P151" i="4"/>
  <c r="L86" i="12" s="1"/>
  <c r="P111" i="4"/>
  <c r="P30" i="1"/>
  <c r="P70" i="4"/>
  <c r="Z49" i="12" s="1"/>
  <c r="Z75" i="12" s="1"/>
  <c r="P54" i="4"/>
  <c r="P110" i="4"/>
  <c r="Z62" i="12" s="1"/>
  <c r="G16" i="54"/>
  <c r="G12" i="54"/>
  <c r="P160" i="4"/>
  <c r="Z48" i="12"/>
  <c r="AR586" i="45" l="1"/>
  <c r="AR587" i="45"/>
  <c r="AT515" i="45"/>
  <c r="AS517" i="45"/>
  <c r="AP318" i="45"/>
  <c r="AP305" i="45"/>
  <c r="AQ621" i="45"/>
  <c r="AQ602" i="45"/>
  <c r="AQ239" i="45" s="1"/>
  <c r="AQ240" i="45" s="1"/>
  <c r="M517" i="45"/>
  <c r="L515" i="45"/>
  <c r="L517" i="45" s="1"/>
  <c r="O602" i="45"/>
  <c r="S602" i="45"/>
  <c r="N587" i="45"/>
  <c r="O621" i="45" s="1"/>
  <c r="N586" i="45"/>
  <c r="P621" i="45"/>
  <c r="P169" i="4"/>
  <c r="P170" i="4" s="1"/>
  <c r="G17" i="54"/>
  <c r="G25" i="54"/>
  <c r="P55" i="4"/>
  <c r="P71" i="4"/>
  <c r="J60" i="26"/>
  <c r="J62" i="26" s="1"/>
  <c r="J63" i="26" s="1"/>
  <c r="J65" i="26" s="1"/>
  <c r="P139" i="4"/>
  <c r="L28" i="12"/>
  <c r="P150" i="4"/>
  <c r="L85" i="12" s="1"/>
  <c r="V30" i="1"/>
  <c r="Z168" i="45"/>
  <c r="Z167" i="45" s="1"/>
  <c r="P118" i="4"/>
  <c r="P117" i="4"/>
  <c r="Z58" i="12" s="1"/>
  <c r="Z74" i="12"/>
  <c r="Z87" i="45"/>
  <c r="Z300" i="45"/>
  <c r="AQ305" i="45" l="1"/>
  <c r="AQ318" i="45"/>
  <c r="AU515" i="45"/>
  <c r="AT517" i="45"/>
  <c r="AR602" i="45"/>
  <c r="AR239" i="45" s="1"/>
  <c r="AR240" i="45" s="1"/>
  <c r="AR621" i="45"/>
  <c r="AS587" i="45"/>
  <c r="AS586" i="45"/>
  <c r="N602" i="45"/>
  <c r="R602" i="45"/>
  <c r="L587" i="45"/>
  <c r="L586" i="45"/>
  <c r="M587" i="45"/>
  <c r="N621" i="45" s="1"/>
  <c r="M586" i="45"/>
  <c r="Z180" i="45"/>
  <c r="Z250" i="45"/>
  <c r="Z412" i="45" s="1"/>
  <c r="Z234" i="45"/>
  <c r="Z166" i="45"/>
  <c r="Z190" i="45"/>
  <c r="Z184" i="45" s="1"/>
  <c r="P66" i="3" s="1"/>
  <c r="L49" i="12" s="1"/>
  <c r="Z277" i="45"/>
  <c r="AS602" i="45" l="1"/>
  <c r="AS239" i="45" s="1"/>
  <c r="AS240" i="45" s="1"/>
  <c r="AS621" i="45"/>
  <c r="AU517" i="45"/>
  <c r="AV515" i="45"/>
  <c r="AT586" i="45"/>
  <c r="AT587" i="45"/>
  <c r="AR318" i="45"/>
  <c r="AR305" i="45"/>
  <c r="L602" i="45"/>
  <c r="L621" i="45"/>
  <c r="P602" i="45"/>
  <c r="Q602" i="45"/>
  <c r="M602" i="45"/>
  <c r="M621" i="45"/>
  <c r="AN243" i="29"/>
  <c r="AN244" i="29" s="1"/>
  <c r="AU586" i="45" l="1"/>
  <c r="AU587" i="45"/>
  <c r="AV517" i="45"/>
  <c r="AW515" i="45"/>
  <c r="AT621" i="45"/>
  <c r="AT602" i="45"/>
  <c r="AT239" i="45" s="1"/>
  <c r="AT240" i="45" s="1"/>
  <c r="AS305" i="45"/>
  <c r="AS318" i="45"/>
  <c r="AN241" i="29"/>
  <c r="AR242" i="29" l="1"/>
  <c r="AQ241" i="29"/>
  <c r="AP241" i="29"/>
  <c r="AW517" i="45"/>
  <c r="AX515" i="45"/>
  <c r="AV586" i="45"/>
  <c r="AV587" i="45"/>
  <c r="AU602" i="45"/>
  <c r="AU239" i="45" s="1"/>
  <c r="AU240" i="45" s="1"/>
  <c r="AU621" i="45"/>
  <c r="AT318" i="45"/>
  <c r="AT305" i="45"/>
  <c r="AN242" i="29"/>
  <c r="AN247" i="29"/>
  <c r="AO213" i="29"/>
  <c r="AO209" i="29"/>
  <c r="AP215" i="29" l="1"/>
  <c r="AS214" i="29"/>
  <c r="AU242" i="29"/>
  <c r="AQ242" i="29"/>
  <c r="AT242" i="29"/>
  <c r="AP242" i="29"/>
  <c r="AV602" i="45"/>
  <c r="AV239" i="45" s="1"/>
  <c r="AV240" i="45" s="1"/>
  <c r="AV621" i="45"/>
  <c r="AY515" i="45"/>
  <c r="AX517" i="45"/>
  <c r="AU318" i="45"/>
  <c r="AU305" i="45"/>
  <c r="AW586" i="45"/>
  <c r="AW587" i="45"/>
  <c r="AO214" i="29"/>
  <c r="AO215" i="29"/>
  <c r="AW621" i="45" l="1"/>
  <c r="AW602" i="45"/>
  <c r="AW239" i="45" s="1"/>
  <c r="AW240" i="45" s="1"/>
  <c r="AX587" i="45"/>
  <c r="AX586" i="45"/>
  <c r="AY517" i="45"/>
  <c r="AZ515" i="45"/>
  <c r="AV318" i="45"/>
  <c r="AV305" i="45"/>
  <c r="AP209" i="29"/>
  <c r="AY209" i="29" s="1"/>
  <c r="AW318" i="45" l="1"/>
  <c r="AW305" i="45"/>
  <c r="AX602" i="45"/>
  <c r="AX239" i="45" s="1"/>
  <c r="AX240" i="45" s="1"/>
  <c r="AX621" i="45"/>
  <c r="BA515" i="45"/>
  <c r="AZ517" i="45"/>
  <c r="AY587" i="45"/>
  <c r="AY586" i="45"/>
  <c r="AV210" i="29"/>
  <c r="AY602" i="45" l="1"/>
  <c r="AY239" i="45" s="1"/>
  <c r="AY240" i="45" s="1"/>
  <c r="AY621" i="45"/>
  <c r="AZ586" i="45"/>
  <c r="AZ587" i="45"/>
  <c r="AX318" i="45"/>
  <c r="AX305" i="45"/>
  <c r="BB515" i="45"/>
  <c r="BA517" i="45"/>
  <c r="AP313" i="29"/>
  <c r="AP312" i="29"/>
  <c r="BA586" i="45" l="1"/>
  <c r="BA587" i="45"/>
  <c r="AZ602" i="45"/>
  <c r="AZ239" i="45" s="1"/>
  <c r="AZ240" i="45" s="1"/>
  <c r="AZ621" i="45"/>
  <c r="BC515" i="45"/>
  <c r="BB517" i="45"/>
  <c r="AY305" i="45"/>
  <c r="AY318" i="45"/>
  <c r="BS35" i="45"/>
  <c r="BS37" i="45" s="1"/>
  <c r="BB587" i="45" l="1"/>
  <c r="BB586" i="45"/>
  <c r="BA602" i="45"/>
  <c r="BA239" i="45" s="1"/>
  <c r="BA240" i="45" s="1"/>
  <c r="BA621" i="45"/>
  <c r="AZ318" i="45"/>
  <c r="AZ305" i="45"/>
  <c r="BD515" i="45"/>
  <c r="BC517" i="45"/>
  <c r="Y60" i="58"/>
  <c r="Y66" i="58" s="1"/>
  <c r="AY14" i="29"/>
  <c r="M10" i="48"/>
  <c r="AP316" i="29"/>
  <c r="BS40" i="45"/>
  <c r="BS593" i="45"/>
  <c r="BS612" i="45"/>
  <c r="BS38" i="45"/>
  <c r="M8" i="48"/>
  <c r="BS50" i="45"/>
  <c r="M6" i="48"/>
  <c r="M3" i="48"/>
  <c r="R6" i="48" l="1"/>
  <c r="U6" i="48"/>
  <c r="V6" i="48" s="1"/>
  <c r="R8" i="48"/>
  <c r="U8" i="48"/>
  <c r="V8" i="48" s="1"/>
  <c r="BC587" i="45"/>
  <c r="BC586" i="45"/>
  <c r="BA318" i="45"/>
  <c r="BA305" i="45"/>
  <c r="BE515" i="45"/>
  <c r="BD517" i="45"/>
  <c r="BB602" i="45"/>
  <c r="BB239" i="45" s="1"/>
  <c r="BB240" i="45" s="1"/>
  <c r="BB621" i="45"/>
  <c r="U10" i="48"/>
  <c r="R10" i="48"/>
  <c r="U3" i="48"/>
  <c r="R3" i="48"/>
  <c r="BS65" i="45"/>
  <c r="BS47" i="45" s="1"/>
  <c r="Y61" i="58"/>
  <c r="Y62" i="58" s="1"/>
  <c r="AP315" i="29"/>
  <c r="M7" i="48"/>
  <c r="M4" i="48"/>
  <c r="R4" i="48" s="1"/>
  <c r="BS254" i="45"/>
  <c r="BS253" i="45"/>
  <c r="BS249" i="45"/>
  <c r="BS594" i="45"/>
  <c r="BS230" i="45" s="1"/>
  <c r="BS613" i="45"/>
  <c r="BS41" i="45"/>
  <c r="M11" i="48"/>
  <c r="BS44" i="45"/>
  <c r="BS43" i="45" s="1"/>
  <c r="M9" i="48"/>
  <c r="BB318" i="45" l="1"/>
  <c r="BB305" i="45"/>
  <c r="BE517" i="45"/>
  <c r="BF515" i="45"/>
  <c r="BC621" i="45"/>
  <c r="BC602" i="45"/>
  <c r="BC239" i="45" s="1"/>
  <c r="BC240" i="45" s="1"/>
  <c r="BD586" i="45"/>
  <c r="BD587" i="45"/>
  <c r="U4" i="48"/>
  <c r="V4" i="48" s="1"/>
  <c r="V10" i="48"/>
  <c r="U12" i="48"/>
  <c r="U9" i="48"/>
  <c r="U7" i="48"/>
  <c r="U11" i="48"/>
  <c r="U5" i="48"/>
  <c r="M12" i="48"/>
  <c r="R12" i="48" s="1"/>
  <c r="BS42" i="45"/>
  <c r="BS77" i="45" s="1"/>
  <c r="BS631" i="45" s="1"/>
  <c r="T11" i="48"/>
  <c r="M5" i="48"/>
  <c r="V3" i="48"/>
  <c r="N40" i="48"/>
  <c r="L40" i="48"/>
  <c r="T9" i="48"/>
  <c r="T7" i="48"/>
  <c r="BC318" i="45" l="1"/>
  <c r="BC305" i="45"/>
  <c r="BD621" i="45"/>
  <c r="BD602" i="45"/>
  <c r="BD239" i="45" s="1"/>
  <c r="BD240" i="45" s="1"/>
  <c r="BF517" i="45"/>
  <c r="BG515" i="45"/>
  <c r="BE587" i="45"/>
  <c r="BE586" i="45"/>
  <c r="U14" i="48"/>
  <c r="V12" i="48"/>
  <c r="U25" i="48"/>
  <c r="M14" i="48"/>
  <c r="M25" i="48"/>
  <c r="R25" i="48" s="1"/>
  <c r="M34" i="48"/>
  <c r="O34" i="48" s="1"/>
  <c r="BS81" i="45"/>
  <c r="BS83" i="45" s="1"/>
  <c r="BS595" i="45"/>
  <c r="BS231" i="45" s="1"/>
  <c r="BS614" i="45"/>
  <c r="BS247" i="45"/>
  <c r="N41" i="48"/>
  <c r="J42" i="48"/>
  <c r="L41" i="48"/>
  <c r="BS603" i="45"/>
  <c r="BS622" i="45"/>
  <c r="T5" i="48"/>
  <c r="BG517" i="45" l="1"/>
  <c r="BH515" i="45"/>
  <c r="BF587" i="45"/>
  <c r="BF586" i="45"/>
  <c r="BD318" i="45"/>
  <c r="BD305" i="45"/>
  <c r="BE621" i="45"/>
  <c r="BE602" i="45"/>
  <c r="BE239" i="45" s="1"/>
  <c r="BE240" i="45" s="1"/>
  <c r="M26" i="48"/>
  <c r="R26" i="48" s="1"/>
  <c r="R14" i="48"/>
  <c r="U17" i="48"/>
  <c r="U26" i="48"/>
  <c r="V14" i="48"/>
  <c r="M17" i="48"/>
  <c r="R17" i="48" s="1"/>
  <c r="BS596" i="45"/>
  <c r="BS232" i="45" s="1"/>
  <c r="BS632" i="45"/>
  <c r="BS604" i="45" s="1"/>
  <c r="BS248" i="45"/>
  <c r="BS615" i="45"/>
  <c r="T25" i="48"/>
  <c r="V25" i="48" s="1"/>
  <c r="T26" i="48"/>
  <c r="V26" i="48" s="1"/>
  <c r="N42" i="48"/>
  <c r="L42" i="48"/>
  <c r="BS633" i="45"/>
  <c r="BS87" i="45"/>
  <c r="BS597" i="45"/>
  <c r="BS616" i="45"/>
  <c r="BF602" i="45" l="1"/>
  <c r="BF239" i="45" s="1"/>
  <c r="BF240" i="45" s="1"/>
  <c r="BF621" i="45"/>
  <c r="BE318" i="45"/>
  <c r="BE305" i="45"/>
  <c r="BI515" i="45"/>
  <c r="BH517" i="45"/>
  <c r="BG587" i="45"/>
  <c r="BG586" i="45"/>
  <c r="U27" i="48"/>
  <c r="V17" i="48"/>
  <c r="M27" i="48"/>
  <c r="R27" i="48" s="1"/>
  <c r="BS623" i="45"/>
  <c r="BS250" i="45"/>
  <c r="BS634" i="45"/>
  <c r="BS598" i="45"/>
  <c r="BS234" i="45" s="1"/>
  <c r="BS617" i="45"/>
  <c r="BS605" i="45"/>
  <c r="BS624" i="45"/>
  <c r="T27" i="48"/>
  <c r="BF318" i="45" l="1"/>
  <c r="BF305" i="45"/>
  <c r="BH587" i="45"/>
  <c r="BH586" i="45"/>
  <c r="BJ515" i="45"/>
  <c r="BI517" i="45"/>
  <c r="BG602" i="45"/>
  <c r="BG239" i="45" s="1"/>
  <c r="BG240" i="45" s="1"/>
  <c r="BG621" i="45"/>
  <c r="V27" i="48"/>
  <c r="M18" i="48"/>
  <c r="BS105" i="45"/>
  <c r="BS104" i="45" s="1"/>
  <c r="BS88" i="45" s="1"/>
  <c r="BS606" i="45"/>
  <c r="BS625" i="45"/>
  <c r="BH621" i="45" l="1"/>
  <c r="BL602" i="45"/>
  <c r="BL239" i="45" s="1"/>
  <c r="BL240" i="45" s="1"/>
  <c r="BH602" i="45"/>
  <c r="BH239" i="45" s="1"/>
  <c r="BH240" i="45" s="1"/>
  <c r="BG318" i="45"/>
  <c r="BG305" i="45"/>
  <c r="BI586" i="45"/>
  <c r="BI587" i="45"/>
  <c r="BK515" i="45"/>
  <c r="BK517" i="45" s="1"/>
  <c r="BJ517" i="45"/>
  <c r="U18" i="48"/>
  <c r="R18" i="48"/>
  <c r="BS252" i="45"/>
  <c r="BS89" i="45"/>
  <c r="M29" i="48"/>
  <c r="R29" i="48" s="1"/>
  <c r="M19" i="48"/>
  <c r="R19" i="48" s="1"/>
  <c r="BJ587" i="45" l="1"/>
  <c r="BJ586" i="45"/>
  <c r="BK587" i="45"/>
  <c r="BK586" i="45"/>
  <c r="BI621" i="45"/>
  <c r="BM602" i="45"/>
  <c r="BM239" i="45" s="1"/>
  <c r="BM240" i="45" s="1"/>
  <c r="BI602" i="45"/>
  <c r="BI239" i="45" s="1"/>
  <c r="BI240" i="45" s="1"/>
  <c r="BH318" i="45"/>
  <c r="BH305" i="45"/>
  <c r="V18" i="48"/>
  <c r="U19" i="48"/>
  <c r="U29" i="48"/>
  <c r="M28" i="48"/>
  <c r="R28" i="48" s="1"/>
  <c r="M21" i="48"/>
  <c r="R21" i="48" s="1"/>
  <c r="T29" i="48"/>
  <c r="BS635" i="45"/>
  <c r="BS251" i="45"/>
  <c r="BS92" i="45"/>
  <c r="BS599" i="45"/>
  <c r="BS235" i="45" s="1"/>
  <c r="BS618" i="45"/>
  <c r="M22" i="48"/>
  <c r="BI305" i="45" l="1"/>
  <c r="BI318" i="45"/>
  <c r="BK602" i="45"/>
  <c r="BK239" i="45" s="1"/>
  <c r="BK240" i="45" s="1"/>
  <c r="BO602" i="45"/>
  <c r="BO239" i="45" s="1"/>
  <c r="BO240" i="45" s="1"/>
  <c r="BK621" i="45"/>
  <c r="BL621" i="45"/>
  <c r="BN602" i="45"/>
  <c r="BN239" i="45" s="1"/>
  <c r="BN240" i="45" s="1"/>
  <c r="BJ602" i="45"/>
  <c r="BJ239" i="45" s="1"/>
  <c r="BJ240" i="45" s="1"/>
  <c r="BJ621" i="45"/>
  <c r="V29" i="48"/>
  <c r="U21" i="48"/>
  <c r="V21" i="48" s="1"/>
  <c r="V19" i="48"/>
  <c r="U28" i="48"/>
  <c r="U22" i="48"/>
  <c r="R22" i="48"/>
  <c r="BS607" i="45"/>
  <c r="BS626" i="45"/>
  <c r="T28" i="48"/>
  <c r="V28" i="48" s="1"/>
  <c r="BS103" i="45"/>
  <c r="BS224" i="45" s="1"/>
  <c r="BS636" i="45"/>
  <c r="BS101" i="45"/>
  <c r="BS223" i="45" s="1"/>
  <c r="BS98" i="45"/>
  <c r="BS100" i="45" s="1"/>
  <c r="BS600" i="45"/>
  <c r="BS236" i="45" s="1"/>
  <c r="BS619" i="45"/>
  <c r="N43" i="48"/>
  <c r="L43" i="48"/>
  <c r="BJ305" i="45" l="1"/>
  <c r="BJ318" i="45"/>
  <c r="BK305" i="45"/>
  <c r="BK318" i="45"/>
  <c r="BS222" i="45"/>
  <c r="BS255" i="45" s="1"/>
  <c r="BS637" i="45"/>
  <c r="BS601" i="45"/>
  <c r="BS237" i="45" s="1"/>
  <c r="BS238" i="45" s="1"/>
  <c r="BS620" i="45"/>
  <c r="BS608" i="45"/>
  <c r="BS627" i="45"/>
  <c r="BS609" i="45" l="1"/>
  <c r="BS628" i="45"/>
  <c r="P175" i="1" l="1"/>
  <c r="P173" i="1" l="1"/>
  <c r="P36" i="1" l="1"/>
  <c r="P54" i="1" s="1"/>
  <c r="C10" i="53" s="1"/>
  <c r="C13" i="53" s="1"/>
  <c r="P176" i="1"/>
  <c r="P87" i="4" s="1"/>
  <c r="Z105" i="45"/>
  <c r="Z104" i="45" s="1"/>
  <c r="Z88" i="45" s="1"/>
  <c r="P29" i="3"/>
  <c r="P53" i="3" s="1"/>
  <c r="P83" i="3" s="1"/>
  <c r="L29" i="12"/>
  <c r="L30" i="12" s="1"/>
  <c r="P18" i="4"/>
  <c r="P40" i="1" l="1"/>
  <c r="V40" i="1" s="1"/>
  <c r="P53" i="1"/>
  <c r="P52" i="1" s="1"/>
  <c r="P144" i="4"/>
  <c r="V36" i="1"/>
  <c r="P57" i="4"/>
  <c r="L33" i="12"/>
  <c r="P65" i="1"/>
  <c r="P140" i="4"/>
  <c r="P73" i="4"/>
  <c r="P56" i="3"/>
  <c r="Q55" i="3" s="1"/>
  <c r="Z192" i="45"/>
  <c r="P63" i="3" s="1"/>
  <c r="G18" i="54"/>
  <c r="P57" i="1"/>
  <c r="P149" i="4"/>
  <c r="P186" i="2"/>
  <c r="Z252" i="45"/>
  <c r="Z89" i="45"/>
  <c r="L59" i="12"/>
  <c r="P44" i="4"/>
  <c r="L35" i="12" l="1"/>
  <c r="L76" i="12" s="1"/>
  <c r="P72" i="4"/>
  <c r="Z50" i="12" s="1"/>
  <c r="Z76" i="12" s="1"/>
  <c r="P56" i="4"/>
  <c r="P41" i="1"/>
  <c r="L118" i="28"/>
  <c r="L127" i="28" s="1"/>
  <c r="C9" i="53"/>
  <c r="E9" i="53" s="1"/>
  <c r="E10" i="53" s="1"/>
  <c r="E13" i="53" s="1"/>
  <c r="E14" i="53" s="1"/>
  <c r="P56" i="1"/>
  <c r="P85" i="3"/>
  <c r="L60" i="12" s="1"/>
  <c r="P81" i="2"/>
  <c r="P13" i="2" s="1"/>
  <c r="Z19" i="12" s="1"/>
  <c r="Z194" i="45"/>
  <c r="P89" i="3" s="1"/>
  <c r="Z37" i="12"/>
  <c r="Z38" i="12" s="1"/>
  <c r="Z39" i="12" s="1"/>
  <c r="P188" i="2"/>
  <c r="Z118" i="45"/>
  <c r="Z114" i="45" s="1"/>
  <c r="Z119" i="45" s="1"/>
  <c r="P92" i="4"/>
  <c r="P80" i="4"/>
  <c r="P68" i="3"/>
  <c r="L47" i="12"/>
  <c r="L43" i="12" s="1"/>
  <c r="L84" i="12"/>
  <c r="P85" i="4"/>
  <c r="V57" i="1"/>
  <c r="C3" i="18"/>
  <c r="L38" i="12"/>
  <c r="Z235" i="45"/>
  <c r="Z251" i="45"/>
  <c r="Z92" i="45"/>
  <c r="Z385" i="45"/>
  <c r="Z393" i="45"/>
  <c r="Z348" i="45"/>
  <c r="Z413" i="45"/>
  <c r="Q84" i="3"/>
  <c r="D9" i="53"/>
  <c r="D10" i="53" s="1"/>
  <c r="D13" i="53" s="1"/>
  <c r="D14" i="53" s="1"/>
  <c r="L36" i="12"/>
  <c r="L77" i="12" s="1"/>
  <c r="Z51" i="12" l="1"/>
  <c r="Z77" i="12" s="1"/>
  <c r="Z262" i="45"/>
  <c r="Z294" i="45"/>
  <c r="Z392" i="45"/>
  <c r="Z253" i="45"/>
  <c r="P58" i="3"/>
  <c r="P87" i="3"/>
  <c r="Z161" i="45"/>
  <c r="AA210" i="45" s="1"/>
  <c r="P14" i="2"/>
  <c r="G19" i="54"/>
  <c r="P36" i="2"/>
  <c r="C12" i="18" s="1"/>
  <c r="C14" i="18" s="1"/>
  <c r="AA233" i="45"/>
  <c r="Z249" i="45"/>
  <c r="L78" i="12"/>
  <c r="L39" i="12"/>
  <c r="L79" i="12" s="1"/>
  <c r="Z67" i="12"/>
  <c r="Z12" i="12" s="1"/>
  <c r="P142" i="4"/>
  <c r="P42" i="4"/>
  <c r="L50" i="12"/>
  <c r="P141" i="4"/>
  <c r="Z141" i="45"/>
  <c r="Z120" i="45"/>
  <c r="Z382" i="45"/>
  <c r="Z337" i="45"/>
  <c r="Z236" i="45"/>
  <c r="Z98" i="45"/>
  <c r="Z101" i="45"/>
  <c r="Z223" i="45" s="1"/>
  <c r="Z287" i="45"/>
  <c r="Z103" i="45"/>
  <c r="Z224" i="45" s="1"/>
  <c r="Z42" i="12"/>
  <c r="L42" i="12"/>
  <c r="P63" i="4"/>
  <c r="P29" i="2"/>
  <c r="P62" i="4"/>
  <c r="Z40" i="12" s="1"/>
  <c r="Z68" i="12" s="1"/>
  <c r="Z158" i="45" l="1"/>
  <c r="Z299" i="45" s="1"/>
  <c r="P134" i="4"/>
  <c r="G13" i="54"/>
  <c r="K14" i="12"/>
  <c r="K15" i="12" s="1"/>
  <c r="T65" i="12" s="1"/>
  <c r="P116" i="4"/>
  <c r="Z57" i="12" s="1"/>
  <c r="P133" i="4"/>
  <c r="Z327" i="45"/>
  <c r="Z329" i="45" s="1"/>
  <c r="Z295" i="45" s="1"/>
  <c r="P108" i="4"/>
  <c r="P104" i="4"/>
  <c r="G22" i="54"/>
  <c r="P103" i="4"/>
  <c r="P100" i="4"/>
  <c r="P101" i="4"/>
  <c r="P107" i="4"/>
  <c r="Z63" i="12" s="1"/>
  <c r="P30" i="2"/>
  <c r="P79" i="4"/>
  <c r="P84" i="4"/>
  <c r="Z241" i="45"/>
  <c r="Z306" i="45"/>
  <c r="Z304" i="45"/>
  <c r="Z240" i="45"/>
  <c r="Z338" i="45"/>
  <c r="Z296" i="45"/>
  <c r="Z227" i="45"/>
  <c r="Z308" i="45" s="1"/>
  <c r="Z339" i="45"/>
  <c r="Z173" i="45"/>
  <c r="Z237" i="45"/>
  <c r="Z100" i="45"/>
  <c r="Z383" i="45"/>
  <c r="Z384" i="45" s="1"/>
  <c r="Z266" i="45" s="1"/>
  <c r="Z52" i="12" l="1"/>
  <c r="Z79" i="12" s="1"/>
  <c r="Z261" i="45"/>
  <c r="Y65" i="12"/>
  <c r="V66" i="12"/>
  <c r="V14" i="12" s="1"/>
  <c r="Z65" i="12"/>
  <c r="W66" i="12"/>
  <c r="W14" i="12" s="1"/>
  <c r="V65" i="12"/>
  <c r="U66" i="12"/>
  <c r="U14" i="12" s="1"/>
  <c r="R66" i="12"/>
  <c r="R14" i="12" s="1"/>
  <c r="S65" i="12"/>
  <c r="W65" i="12"/>
  <c r="Z66" i="12"/>
  <c r="Z14" i="12" s="1"/>
  <c r="T66" i="12"/>
  <c r="T14" i="12" s="1"/>
  <c r="S66" i="12"/>
  <c r="S14" i="12" s="1"/>
  <c r="Y66" i="12"/>
  <c r="Y14" i="12" s="1"/>
  <c r="X65" i="12"/>
  <c r="R65" i="12"/>
  <c r="X66" i="12"/>
  <c r="X14" i="12" s="1"/>
  <c r="U65" i="12"/>
  <c r="Z298" i="45"/>
  <c r="Z346" i="45"/>
  <c r="Z315" i="45" s="1"/>
  <c r="Z297" i="45"/>
  <c r="Z401" i="45"/>
  <c r="Z402" i="45" s="1"/>
  <c r="Z404" i="45" s="1"/>
  <c r="Z415" i="45"/>
  <c r="Z238" i="45"/>
  <c r="Z222" i="45"/>
  <c r="P35" i="4"/>
  <c r="P36" i="4"/>
  <c r="P33" i="4"/>
  <c r="P34" i="4"/>
  <c r="P31" i="4"/>
  <c r="P32" i="4"/>
  <c r="P37" i="4"/>
  <c r="Z278" i="45"/>
  <c r="Z334" i="45"/>
  <c r="Z335" i="45"/>
  <c r="Z340" i="45"/>
  <c r="Z305" i="45"/>
  <c r="Z318" i="45"/>
  <c r="Z310" i="45" l="1"/>
  <c r="Z314" i="45"/>
  <c r="Z312" i="45"/>
  <c r="Z313" i="45"/>
  <c r="Z311" i="45"/>
  <c r="Z267" i="45"/>
  <c r="Z289" i="45"/>
  <c r="Z271" i="45"/>
  <c r="Z274" i="45"/>
  <c r="Z336" i="45"/>
  <c r="Z272" i="45" s="1"/>
  <c r="Z255" i="45"/>
  <c r="Z239" i="45"/>
  <c r="Z411" i="45" l="1"/>
  <c r="Z288" i="45"/>
  <c r="Z290" i="45" s="1"/>
  <c r="Z291" i="45" s="1"/>
  <c r="I92" i="56" l="1"/>
  <c r="Q55" i="44"/>
  <c r="R102" i="44" l="1"/>
  <c r="Q105" i="44"/>
  <c r="Q102" i="44"/>
  <c r="U102" i="44" s="1"/>
  <c r="R105" i="44" l="1"/>
  <c r="Q100" i="44"/>
  <c r="Q103" i="44" s="1"/>
  <c r="Q93" i="44"/>
  <c r="Q54" i="44"/>
  <c r="Q66" i="44" s="1"/>
  <c r="M83" i="28"/>
  <c r="S105" i="44" l="1"/>
  <c r="S102" i="44"/>
  <c r="N83" i="28"/>
  <c r="R69" i="44" s="1"/>
  <c r="R100" i="44"/>
  <c r="R103" i="44" s="1"/>
  <c r="M99" i="28"/>
  <c r="M100" i="28" s="1"/>
  <c r="Q75" i="44"/>
  <c r="Q69" i="44" s="1"/>
  <c r="Q95" i="44"/>
  <c r="Q73" i="1"/>
  <c r="Q74" i="1" s="1"/>
  <c r="R66" i="44"/>
  <c r="S66" i="44" l="1"/>
  <c r="S73" i="1"/>
  <c r="S100" i="44"/>
  <c r="S103" i="44" s="1"/>
  <c r="O83" i="28"/>
  <c r="T102" i="44"/>
  <c r="T105" i="44"/>
  <c r="R95" i="44"/>
  <c r="R73" i="1"/>
  <c r="R74" i="1" s="1"/>
  <c r="Z69" i="44"/>
  <c r="Z73" i="44"/>
  <c r="Z72" i="44"/>
  <c r="Z71" i="44"/>
  <c r="Z75" i="44"/>
  <c r="Z74" i="44"/>
  <c r="Z70" i="44"/>
  <c r="AA74" i="44"/>
  <c r="AA69" i="44"/>
  <c r="AA73" i="44"/>
  <c r="AA72" i="44"/>
  <c r="AA71" i="44"/>
  <c r="AA75" i="44"/>
  <c r="AA70" i="44"/>
  <c r="N99" i="28"/>
  <c r="R57" i="44"/>
  <c r="R79" i="44"/>
  <c r="Q57" i="44"/>
  <c r="Q67" i="44" s="1"/>
  <c r="Q79" i="44"/>
  <c r="S74" i="1" l="1"/>
  <c r="S69" i="44"/>
  <c r="O99" i="28"/>
  <c r="O100" i="28" s="1"/>
  <c r="T100" i="44"/>
  <c r="T103" i="44" s="1"/>
  <c r="T66" i="44"/>
  <c r="P83" i="28"/>
  <c r="S95" i="44"/>
  <c r="N100" i="28"/>
  <c r="Q80" i="44"/>
  <c r="Q78" i="44"/>
  <c r="R80" i="44"/>
  <c r="R78" i="44"/>
  <c r="R67" i="44"/>
  <c r="T73" i="1" l="1"/>
  <c r="T74" i="1" s="1"/>
  <c r="T95" i="44"/>
  <c r="S79" i="44"/>
  <c r="S57" i="44"/>
  <c r="S67" i="44" s="1"/>
  <c r="P99" i="28"/>
  <c r="P100" i="28" s="1"/>
  <c r="T69" i="44"/>
  <c r="Q83" i="44"/>
  <c r="U101" i="44" s="1"/>
  <c r="N84" i="28"/>
  <c r="M84" i="28"/>
  <c r="S78" i="44" l="1"/>
  <c r="S80" i="44"/>
  <c r="T57" i="44"/>
  <c r="T67" i="44" s="1"/>
  <c r="T79" i="44"/>
  <c r="Q86" i="44"/>
  <c r="Q68" i="1" s="1"/>
  <c r="Q75" i="1" s="1"/>
  <c r="M85" i="28"/>
  <c r="M102" i="28"/>
  <c r="M103" i="28" s="1"/>
  <c r="M82" i="28"/>
  <c r="M96" i="28" s="1"/>
  <c r="M97" i="28" s="1"/>
  <c r="M87" i="28"/>
  <c r="N85" i="28"/>
  <c r="N102" i="28"/>
  <c r="N82" i="28"/>
  <c r="N96" i="28" s="1"/>
  <c r="T80" i="44" l="1"/>
  <c r="T78" i="44"/>
  <c r="M114" i="28"/>
  <c r="M123" i="28" s="1"/>
  <c r="O84" i="28"/>
  <c r="Q87" i="44"/>
  <c r="Q96" i="44"/>
  <c r="Q98" i="44" s="1"/>
  <c r="Q99" i="44" s="1"/>
  <c r="N97" i="28"/>
  <c r="M88" i="28"/>
  <c r="N103" i="28"/>
  <c r="Q95" i="1"/>
  <c r="Q76" i="1"/>
  <c r="M115" i="28"/>
  <c r="M124" i="28" s="1"/>
  <c r="M90" i="28"/>
  <c r="O102" i="28" l="1"/>
  <c r="O103" i="28" s="1"/>
  <c r="O82" i="28"/>
  <c r="O96" i="28" s="1"/>
  <c r="O97" i="28" s="1"/>
  <c r="O85" i="28"/>
  <c r="P87" i="28"/>
  <c r="P84" i="28"/>
  <c r="Q97" i="44"/>
  <c r="H9" i="54"/>
  <c r="H7" i="54" s="1"/>
  <c r="AC9" i="1"/>
  <c r="K33" i="26"/>
  <c r="M91" i="28"/>
  <c r="M105" i="28"/>
  <c r="M106" i="28" s="1"/>
  <c r="M92" i="28"/>
  <c r="Q51" i="4"/>
  <c r="Q15" i="4"/>
  <c r="W9" i="1"/>
  <c r="M19" i="12"/>
  <c r="Q17" i="4"/>
  <c r="Q16" i="4"/>
  <c r="Q103" i="1"/>
  <c r="Q100" i="1"/>
  <c r="Q101" i="1"/>
  <c r="Q102" i="1"/>
  <c r="K49" i="48"/>
  <c r="L49" i="48" s="1"/>
  <c r="Q1" i="1"/>
  <c r="Q2" i="1" s="1"/>
  <c r="Q56" i="2"/>
  <c r="Q99" i="1"/>
  <c r="Q48" i="2"/>
  <c r="Q51" i="2" s="1"/>
  <c r="Q165" i="4"/>
  <c r="AA35" i="45"/>
  <c r="AA37" i="45" s="1"/>
  <c r="Q84" i="1"/>
  <c r="H8" i="54" l="1"/>
  <c r="H15" i="54"/>
  <c r="H20" i="54" s="1"/>
  <c r="U84" i="1"/>
  <c r="Q86" i="1"/>
  <c r="Q87" i="1" s="1"/>
  <c r="T86" i="44"/>
  <c r="T96" i="44" s="1"/>
  <c r="T98" i="44" s="1"/>
  <c r="P90" i="28"/>
  <c r="P102" i="28"/>
  <c r="P103" i="28" s="1"/>
  <c r="P85" i="28"/>
  <c r="P82" i="28"/>
  <c r="P96" i="28" s="1"/>
  <c r="P97" i="28" s="1"/>
  <c r="H27" i="54"/>
  <c r="H10" i="54"/>
  <c r="Q109" i="1"/>
  <c r="M116" i="28"/>
  <c r="M125" i="28" s="1"/>
  <c r="AA283" i="45"/>
  <c r="AA38" i="45"/>
  <c r="AA40" i="45"/>
  <c r="Q20" i="3"/>
  <c r="Q10" i="2"/>
  <c r="Q168" i="4"/>
  <c r="Q22" i="3"/>
  <c r="Q61" i="2"/>
  <c r="Q11" i="2" s="1"/>
  <c r="M74" i="12"/>
  <c r="AA65" i="12"/>
  <c r="M20" i="12"/>
  <c r="T68" i="1" l="1"/>
  <c r="P114" i="28" s="1"/>
  <c r="P105" i="28"/>
  <c r="P92" i="28"/>
  <c r="P88" i="28"/>
  <c r="Q110" i="1"/>
  <c r="AA22" i="12"/>
  <c r="AA164" i="45"/>
  <c r="AA162" i="45" s="1"/>
  <c r="AA187" i="45" s="1"/>
  <c r="AA65" i="45"/>
  <c r="AA47" i="45" s="1"/>
  <c r="Q13" i="4"/>
  <c r="AA20" i="12"/>
  <c r="Q161" i="4"/>
  <c r="Q129" i="4"/>
  <c r="AA54" i="12" s="1"/>
  <c r="AA160" i="45"/>
  <c r="AA41" i="45"/>
  <c r="AA230" i="45"/>
  <c r="AA416" i="45" s="1"/>
  <c r="Q12" i="4"/>
  <c r="AA44" i="45"/>
  <c r="AA43" i="45" s="1"/>
  <c r="Q135" i="2"/>
  <c r="Q39" i="2"/>
  <c r="Q43" i="2" s="1"/>
  <c r="Q11" i="1"/>
  <c r="M75" i="12"/>
  <c r="M49" i="48"/>
  <c r="T75" i="1" l="1"/>
  <c r="T95" i="1" s="1"/>
  <c r="AA42" i="45"/>
  <c r="AA77" i="45" s="1"/>
  <c r="AA247" i="45" s="1"/>
  <c r="Q52" i="4"/>
  <c r="Q68" i="4"/>
  <c r="W11" i="1"/>
  <c r="Q21" i="1"/>
  <c r="Q130" i="4"/>
  <c r="AA56" i="12" s="1"/>
  <c r="Q163" i="4"/>
  <c r="AA31" i="12"/>
  <c r="Q140" i="2"/>
  <c r="Q21" i="3"/>
  <c r="Q9" i="2"/>
  <c r="AA275" i="45"/>
  <c r="AA185" i="45"/>
  <c r="T9" i="1" l="1"/>
  <c r="P115" i="28"/>
  <c r="H11" i="54"/>
  <c r="H12" i="54" s="1"/>
  <c r="AA231" i="45"/>
  <c r="AA21" i="12"/>
  <c r="Q162" i="4"/>
  <c r="Q128" i="4"/>
  <c r="AA159" i="45"/>
  <c r="AA32" i="12"/>
  <c r="Q24" i="3"/>
  <c r="Q26" i="3" s="1"/>
  <c r="Q23" i="2"/>
  <c r="Q53" i="4"/>
  <c r="Q22" i="1"/>
  <c r="Q6" i="1"/>
  <c r="W21" i="1"/>
  <c r="K50" i="48"/>
  <c r="Q69" i="4"/>
  <c r="M117" i="28"/>
  <c r="M126" i="28" s="1"/>
  <c r="M21" i="12"/>
  <c r="D11" i="18"/>
  <c r="T80" i="1" l="1"/>
  <c r="T84" i="1" s="1"/>
  <c r="T10" i="1" s="1"/>
  <c r="T61" i="2"/>
  <c r="T11" i="2" s="1"/>
  <c r="AD164" i="45" s="1"/>
  <c r="AD162" i="45" s="1"/>
  <c r="T51" i="2"/>
  <c r="T10" i="2" s="1"/>
  <c r="AD160" i="45" s="1"/>
  <c r="AD35" i="45"/>
  <c r="AD37" i="45" s="1"/>
  <c r="AD283" i="45" s="1"/>
  <c r="P19" i="12"/>
  <c r="AD65" i="12" s="1"/>
  <c r="T1" i="1"/>
  <c r="AA48" i="12"/>
  <c r="Q160" i="4"/>
  <c r="AA186" i="45"/>
  <c r="AA276" i="45"/>
  <c r="Q131" i="4"/>
  <c r="AA55" i="12"/>
  <c r="M22" i="12"/>
  <c r="M50" i="48" s="1"/>
  <c r="AA66" i="12"/>
  <c r="AA14" i="12" s="1"/>
  <c r="Q118" i="4"/>
  <c r="AA168" i="45"/>
  <c r="AA167" i="45" s="1"/>
  <c r="Q117" i="4"/>
  <c r="AA58" i="12" s="1"/>
  <c r="L50" i="48"/>
  <c r="K51" i="48"/>
  <c r="L51" i="48" s="1"/>
  <c r="AD40" i="45" l="1"/>
  <c r="AD20" i="12"/>
  <c r="P116" i="28"/>
  <c r="AD22" i="12"/>
  <c r="P74" i="12"/>
  <c r="T109" i="1"/>
  <c r="T15" i="1" s="1"/>
  <c r="AD44" i="45"/>
  <c r="AD43" i="45" s="1"/>
  <c r="T43" i="2"/>
  <c r="T9" i="2" s="1"/>
  <c r="T11" i="1"/>
  <c r="Q169" i="4"/>
  <c r="Q170" i="4" s="1"/>
  <c r="AA277" i="45"/>
  <c r="AA166" i="45"/>
  <c r="AA190" i="45"/>
  <c r="AA184" i="45" s="1"/>
  <c r="Q66" i="3" s="1"/>
  <c r="M49" i="12" s="1"/>
  <c r="M51" i="48"/>
  <c r="AA74" i="12"/>
  <c r="AD275" i="45" l="1"/>
  <c r="T110" i="1"/>
  <c r="AD65" i="45"/>
  <c r="AD159" i="45"/>
  <c r="AD276" i="45" s="1"/>
  <c r="AD21" i="12"/>
  <c r="Q32" i="6" l="1"/>
  <c r="P86" i="2" s="1"/>
  <c r="P123" i="4" s="1"/>
  <c r="Z60" i="12" s="1"/>
  <c r="Q33" i="6"/>
  <c r="Q69" i="6"/>
  <c r="Q70" i="6" s="1"/>
  <c r="Q83" i="6"/>
  <c r="Q84" i="6" s="1"/>
  <c r="G28" i="54" s="1"/>
  <c r="G29" i="54" s="1"/>
  <c r="G31" i="54" s="1"/>
  <c r="P161" i="1"/>
  <c r="Z146" i="45"/>
  <c r="Z147" i="45" s="1"/>
  <c r="Z143" i="45" s="1"/>
  <c r="P88" i="2" l="1"/>
  <c r="P90" i="2" s="1"/>
  <c r="G14" i="54"/>
  <c r="Z24" i="12"/>
  <c r="P15" i="2"/>
  <c r="P21" i="2" s="1"/>
  <c r="P27" i="4" s="1"/>
  <c r="P143" i="4"/>
  <c r="P78" i="4"/>
  <c r="Z153" i="45"/>
  <c r="Z341" i="45" s="1"/>
  <c r="Z332" i="45"/>
  <c r="Z333" i="45" s="1"/>
  <c r="Z273" i="45" s="1"/>
  <c r="Z25" i="12"/>
  <c r="Z30" i="12" s="1"/>
  <c r="Z43" i="12" s="1"/>
  <c r="P124" i="4"/>
  <c r="P83" i="4"/>
  <c r="Z260" i="45" s="1"/>
  <c r="P26" i="4"/>
  <c r="Z243" i="45"/>
  <c r="Z417" i="45" s="1"/>
  <c r="Z316" i="45"/>
  <c r="Z175" i="45"/>
  <c r="Z176" i="45" s="1"/>
  <c r="Z195" i="45"/>
  <c r="R31" i="6"/>
  <c r="P28" i="4" l="1"/>
  <c r="P97" i="4"/>
  <c r="P98" i="4"/>
  <c r="P25" i="4"/>
  <c r="P105" i="4"/>
  <c r="P153" i="4" s="1"/>
  <c r="L88" i="12" s="1"/>
  <c r="P125" i="4"/>
  <c r="P152" i="4" s="1"/>
  <c r="L87" i="12" s="1"/>
  <c r="P24" i="4"/>
  <c r="P29" i="4"/>
  <c r="P32" i="2"/>
  <c r="P6" i="3" s="1"/>
  <c r="P88" i="4"/>
  <c r="P23" i="4"/>
  <c r="Z342" i="45"/>
  <c r="Z343" i="45"/>
  <c r="P70" i="3"/>
  <c r="Z196" i="45"/>
  <c r="Z178" i="45"/>
  <c r="Z179" i="45" s="1"/>
  <c r="Z202" i="45"/>
  <c r="P90" i="3" s="1"/>
  <c r="Z280" i="45"/>
  <c r="Z394" i="45"/>
  <c r="Z395" i="45" s="1"/>
  <c r="Z279" i="45"/>
  <c r="Z281" i="45"/>
  <c r="R32" i="6"/>
  <c r="R83" i="6"/>
  <c r="R84" i="6" s="1"/>
  <c r="H28" i="54" s="1"/>
  <c r="Z61" i="12" l="1"/>
  <c r="P155" i="4"/>
  <c r="L89" i="12" s="1"/>
  <c r="P89" i="4"/>
  <c r="P126" i="4"/>
  <c r="Z209" i="45"/>
  <c r="Z212" i="45" s="1"/>
  <c r="Z213" i="45" s="1"/>
  <c r="Z225" i="45"/>
  <c r="Z254" i="45"/>
  <c r="Q86" i="2"/>
  <c r="S31" i="6"/>
  <c r="T31" i="6" s="1"/>
  <c r="P75" i="3"/>
  <c r="P46" i="4" s="1"/>
  <c r="P73" i="3"/>
  <c r="L51" i="12"/>
  <c r="Z78" i="12" l="1"/>
  <c r="Z263" i="45"/>
  <c r="Q31" i="3"/>
  <c r="Q41" i="3" s="1"/>
  <c r="AA177" i="45" s="1"/>
  <c r="Q159" i="1"/>
  <c r="AC23" i="1" s="1"/>
  <c r="Q123" i="4"/>
  <c r="AA60" i="12" s="1"/>
  <c r="AA24" i="12"/>
  <c r="AA146" i="45"/>
  <c r="AA147" i="45" s="1"/>
  <c r="AA143" i="45" s="1"/>
  <c r="Z242" i="45"/>
  <c r="Z307" i="45"/>
  <c r="P43" i="4"/>
  <c r="L54" i="12"/>
  <c r="S32" i="6"/>
  <c r="S83" i="6"/>
  <c r="S84" i="6" s="1"/>
  <c r="I28" i="54" s="1"/>
  <c r="I14" i="54" s="1"/>
  <c r="R86" i="2" l="1"/>
  <c r="AB24" i="12" s="1"/>
  <c r="Z264" i="45"/>
  <c r="Z317" i="45" s="1"/>
  <c r="Z265" i="45"/>
  <c r="Z414" i="45"/>
  <c r="Z418" i="45" s="1"/>
  <c r="Q10" i="3"/>
  <c r="R55" i="6"/>
  <c r="Q25" i="1"/>
  <c r="Q14" i="4"/>
  <c r="M23" i="12"/>
  <c r="AA353" i="45"/>
  <c r="AA355" i="45" s="1"/>
  <c r="AA79" i="45" s="1"/>
  <c r="AA78" i="45" s="1"/>
  <c r="R31" i="3"/>
  <c r="R41" i="3" s="1"/>
  <c r="AB177" i="45" s="1"/>
  <c r="AB146" i="45"/>
  <c r="AB147" i="45" s="1"/>
  <c r="AB143" i="45" s="1"/>
  <c r="AA332" i="45"/>
  <c r="R23" i="1"/>
  <c r="T83" i="6" l="1"/>
  <c r="T84" i="6" s="1"/>
  <c r="T32" i="6"/>
  <c r="R10" i="3"/>
  <c r="N23" i="12"/>
  <c r="AB353" i="45"/>
  <c r="AB355" i="45" s="1"/>
  <c r="AB79" i="45" s="1"/>
  <c r="AB78" i="45" s="1"/>
  <c r="AB332" i="45"/>
  <c r="AA81" i="45"/>
  <c r="AA181" i="45"/>
  <c r="Q64" i="3" s="1"/>
  <c r="R56" i="6"/>
  <c r="R69" i="6"/>
  <c r="R70" i="6" s="1"/>
  <c r="AB333" i="45"/>
  <c r="AA333" i="45"/>
  <c r="AA273" i="45" s="1"/>
  <c r="Q30" i="1"/>
  <c r="Q54" i="4"/>
  <c r="Q70" i="4"/>
  <c r="AA49" i="12" s="1"/>
  <c r="AA75" i="12" s="1"/>
  <c r="Q151" i="4"/>
  <c r="M86" i="12" s="1"/>
  <c r="Q110" i="4"/>
  <c r="AA62" i="12" s="1"/>
  <c r="Q111" i="4"/>
  <c r="M24" i="12"/>
  <c r="M25" i="12" s="1"/>
  <c r="Q88" i="2" l="1"/>
  <c r="H14" i="54"/>
  <c r="S86" i="2"/>
  <c r="Q175" i="1"/>
  <c r="Q87" i="2"/>
  <c r="AA152" i="45" s="1"/>
  <c r="AA153" i="45" s="1"/>
  <c r="S55" i="6"/>
  <c r="AA248" i="45"/>
  <c r="AA83" i="45"/>
  <c r="AA232" i="45"/>
  <c r="Q9" i="3"/>
  <c r="W30" i="1"/>
  <c r="Q55" i="4"/>
  <c r="Q71" i="4"/>
  <c r="K60" i="26"/>
  <c r="K62" i="26" s="1"/>
  <c r="K63" i="26" s="1"/>
  <c r="K65" i="26" s="1"/>
  <c r="Q150" i="4"/>
  <c r="M85" i="12" s="1"/>
  <c r="Q139" i="4"/>
  <c r="M28" i="12"/>
  <c r="Q90" i="2"/>
  <c r="AA25" i="12"/>
  <c r="AB181" i="45"/>
  <c r="R64" i="3" s="1"/>
  <c r="S31" i="3" l="1"/>
  <c r="S41" i="3" s="1"/>
  <c r="AC177" i="45" s="1"/>
  <c r="AC24" i="12"/>
  <c r="AC146" i="45"/>
  <c r="AC147" i="45" s="1"/>
  <c r="AC143" i="45" s="1"/>
  <c r="AC332" i="45" s="1"/>
  <c r="S23" i="1"/>
  <c r="U32" i="6"/>
  <c r="T86" i="2" s="1"/>
  <c r="T23" i="1" s="1"/>
  <c r="U83" i="6"/>
  <c r="U84" i="6" s="1"/>
  <c r="Q15" i="2"/>
  <c r="Q143" i="4"/>
  <c r="AA195" i="45"/>
  <c r="Q173" i="1"/>
  <c r="Q176" i="1" s="1"/>
  <c r="Q87" i="4" s="1"/>
  <c r="AA87" i="45"/>
  <c r="AA300" i="45"/>
  <c r="S56" i="6"/>
  <c r="S69" i="6"/>
  <c r="S70" i="6" s="1"/>
  <c r="R88" i="2" s="1"/>
  <c r="T10" i="3" l="1"/>
  <c r="AD353" i="45"/>
  <c r="AD355" i="45" s="1"/>
  <c r="AD79" i="45" s="1"/>
  <c r="AD78" i="45" s="1"/>
  <c r="AD181" i="45" s="1"/>
  <c r="T64" i="3" s="1"/>
  <c r="P23" i="12"/>
  <c r="AD24" i="12"/>
  <c r="AD146" i="45"/>
  <c r="AD147" i="45" s="1"/>
  <c r="AD143" i="45" s="1"/>
  <c r="AD332" i="45" s="1"/>
  <c r="AD333" i="45" s="1"/>
  <c r="AD273" i="45" s="1"/>
  <c r="T31" i="3"/>
  <c r="T41" i="3" s="1"/>
  <c r="AD177" i="45" s="1"/>
  <c r="AC333" i="45"/>
  <c r="O23" i="12"/>
  <c r="AC353" i="45"/>
  <c r="AC355" i="45" s="1"/>
  <c r="AC79" i="45" s="1"/>
  <c r="AC78" i="45" s="1"/>
  <c r="AC181" i="45" s="1"/>
  <c r="S64" i="3" s="1"/>
  <c r="S10" i="3"/>
  <c r="AD60" i="12"/>
  <c r="R87" i="2"/>
  <c r="AB152" i="45" s="1"/>
  <c r="AB153" i="45" s="1"/>
  <c r="AB195" i="45" s="1"/>
  <c r="R90" i="2"/>
  <c r="AB25" i="12"/>
  <c r="AA234" i="45"/>
  <c r="AA250" i="45"/>
  <c r="AA412" i="45" s="1"/>
  <c r="AA180" i="45"/>
  <c r="Q27" i="3"/>
  <c r="Q29" i="3" s="1"/>
  <c r="Q53" i="3" s="1"/>
  <c r="Q18" i="4"/>
  <c r="M29" i="12"/>
  <c r="M30" i="12" s="1"/>
  <c r="AA105" i="45"/>
  <c r="AA104" i="45" s="1"/>
  <c r="Q36" i="1"/>
  <c r="Q70" i="3"/>
  <c r="AA178" i="45"/>
  <c r="AA179" i="45" s="1"/>
  <c r="AA202" i="45"/>
  <c r="Q90" i="3" s="1"/>
  <c r="AA279" i="45"/>
  <c r="AA281" i="45"/>
  <c r="AA280" i="45"/>
  <c r="AA394" i="45"/>
  <c r="Q124" i="4"/>
  <c r="T69" i="6" l="1"/>
  <c r="T70" i="6" s="1"/>
  <c r="S88" i="2" s="1"/>
  <c r="T56" i="6"/>
  <c r="R70" i="3"/>
  <c r="AB178" i="45"/>
  <c r="AB179" i="45" s="1"/>
  <c r="AB202" i="45"/>
  <c r="R90" i="3" s="1"/>
  <c r="AB394" i="45"/>
  <c r="AB279" i="45"/>
  <c r="Q185" i="2"/>
  <c r="W36" i="1"/>
  <c r="Q40" i="1"/>
  <c r="Q53" i="1"/>
  <c r="Q54" i="1"/>
  <c r="Q65" i="1"/>
  <c r="Q57" i="4"/>
  <c r="Q73" i="4"/>
  <c r="Q144" i="4"/>
  <c r="M33" i="12"/>
  <c r="Q140" i="4"/>
  <c r="Q56" i="3"/>
  <c r="Q83" i="3"/>
  <c r="Q73" i="3"/>
  <c r="M51" i="12"/>
  <c r="AA88" i="45"/>
  <c r="AA192" i="45"/>
  <c r="Q63" i="3" s="1"/>
  <c r="R15" i="2"/>
  <c r="S90" i="2" l="1"/>
  <c r="AC25" i="12"/>
  <c r="S87" i="2"/>
  <c r="AC152" i="45" s="1"/>
  <c r="AC153" i="45" s="1"/>
  <c r="K53" i="48"/>
  <c r="L53" i="48" s="1"/>
  <c r="Q52" i="1"/>
  <c r="Q68" i="3"/>
  <c r="M47" i="12"/>
  <c r="M43" i="12" s="1"/>
  <c r="AA194" i="45"/>
  <c r="Q44" i="4"/>
  <c r="M59" i="12"/>
  <c r="M118" i="28"/>
  <c r="M127" i="28" s="1"/>
  <c r="W40" i="1"/>
  <c r="Q41" i="1"/>
  <c r="Q56" i="1"/>
  <c r="Q57" i="1"/>
  <c r="Q56" i="4"/>
  <c r="Q72" i="4"/>
  <c r="AA50" i="12" s="1"/>
  <c r="AA76" i="12" s="1"/>
  <c r="K52" i="48"/>
  <c r="L52" i="48" s="1"/>
  <c r="Q149" i="4"/>
  <c r="M35" i="12"/>
  <c r="Q186" i="2"/>
  <c r="AA252" i="45"/>
  <c r="AA89" i="45"/>
  <c r="Q43" i="4"/>
  <c r="M54" i="12"/>
  <c r="Q85" i="3"/>
  <c r="M60" i="12" s="1"/>
  <c r="Q80" i="2"/>
  <c r="Q81" i="2" s="1"/>
  <c r="Q13" i="2" s="1"/>
  <c r="R55" i="3"/>
  <c r="R84" i="3" s="1"/>
  <c r="R73" i="3"/>
  <c r="N51" i="12"/>
  <c r="U56" i="6" l="1"/>
  <c r="T87" i="2" s="1"/>
  <c r="AD152" i="45" s="1"/>
  <c r="AD153" i="45" s="1"/>
  <c r="AD195" i="45" s="1"/>
  <c r="U69" i="6"/>
  <c r="U70" i="6" s="1"/>
  <c r="T88" i="2" s="1"/>
  <c r="AC195" i="45"/>
  <c r="S15" i="2"/>
  <c r="Q14" i="2"/>
  <c r="Q58" i="3"/>
  <c r="Q87" i="3"/>
  <c r="Q36" i="2"/>
  <c r="AA19" i="12"/>
  <c r="AA161" i="45"/>
  <c r="AA235" i="45"/>
  <c r="AA251" i="45"/>
  <c r="AA92" i="45"/>
  <c r="M36" i="12"/>
  <c r="M76" i="12"/>
  <c r="D3" i="18"/>
  <c r="W57" i="1"/>
  <c r="M38" i="12"/>
  <c r="N54" i="12"/>
  <c r="AA385" i="45"/>
  <c r="AA393" i="45"/>
  <c r="AA413" i="45"/>
  <c r="AA348" i="45"/>
  <c r="Q188" i="2"/>
  <c r="AA37" i="12"/>
  <c r="AA38" i="12" s="1"/>
  <c r="AA39" i="12" s="1"/>
  <c r="AA118" i="45"/>
  <c r="AA114" i="45" s="1"/>
  <c r="AA119" i="45" s="1"/>
  <c r="Q80" i="4"/>
  <c r="Q92" i="4"/>
  <c r="M84" i="12"/>
  <c r="Q85" i="4"/>
  <c r="Q89" i="3"/>
  <c r="AA253" i="45"/>
  <c r="AA196" i="45"/>
  <c r="AA209" i="45"/>
  <c r="AA212" i="45" s="1"/>
  <c r="AA294" i="45"/>
  <c r="AA392" i="45"/>
  <c r="Q75" i="3"/>
  <c r="Q46" i="4" s="1"/>
  <c r="Q42" i="4"/>
  <c r="Q141" i="4"/>
  <c r="Q142" i="4"/>
  <c r="M50" i="12"/>
  <c r="AA51" i="12" l="1"/>
  <c r="AA77" i="12" s="1"/>
  <c r="AA262" i="45"/>
  <c r="AD178" i="45"/>
  <c r="AD179" i="45" s="1"/>
  <c r="AD202" i="45"/>
  <c r="T90" i="3" s="1"/>
  <c r="T70" i="3"/>
  <c r="AD394" i="45"/>
  <c r="AD279" i="45"/>
  <c r="AD280" i="45"/>
  <c r="S70" i="3"/>
  <c r="AC394" i="45"/>
  <c r="AC279" i="45"/>
  <c r="AC178" i="45"/>
  <c r="AC179" i="45" s="1"/>
  <c r="AC202" i="45"/>
  <c r="S90" i="3" s="1"/>
  <c r="T90" i="2"/>
  <c r="AD25" i="12"/>
  <c r="AA395" i="45"/>
  <c r="AA225" i="45"/>
  <c r="AA254" i="45"/>
  <c r="AA120" i="45"/>
  <c r="AA141" i="45"/>
  <c r="AA382" i="45"/>
  <c r="AA337" i="45"/>
  <c r="Q29" i="2"/>
  <c r="Q62" i="4"/>
  <c r="AA40" i="12" s="1"/>
  <c r="AA68" i="12" s="1"/>
  <c r="Q63" i="4"/>
  <c r="M39" i="12"/>
  <c r="AA67" i="12"/>
  <c r="AA12" i="12" s="1"/>
  <c r="M78" i="12"/>
  <c r="M52" i="48"/>
  <c r="M77" i="12"/>
  <c r="AA213" i="45"/>
  <c r="AA158" i="45"/>
  <c r="AB210" i="45"/>
  <c r="AA327" i="45"/>
  <c r="AA329" i="45" s="1"/>
  <c r="D12" i="18"/>
  <c r="D14" i="18" s="1"/>
  <c r="AA249" i="45"/>
  <c r="AB233" i="45"/>
  <c r="AA236" i="45"/>
  <c r="AA98" i="45"/>
  <c r="AA101" i="45"/>
  <c r="AA223" i="45" s="1"/>
  <c r="AA103" i="45"/>
  <c r="AA224" i="45" s="1"/>
  <c r="AA287" i="45"/>
  <c r="AA30" i="12"/>
  <c r="AA43" i="12" s="1"/>
  <c r="M42" i="12"/>
  <c r="AA42" i="12"/>
  <c r="Q21" i="2"/>
  <c r="Q24" i="4" s="1"/>
  <c r="H13" i="54"/>
  <c r="H26" i="54" s="1"/>
  <c r="H16" i="54" s="1"/>
  <c r="Q116" i="4"/>
  <c r="AA57" i="12" s="1"/>
  <c r="Q133" i="4"/>
  <c r="Q134" i="4"/>
  <c r="P51" i="12" l="1"/>
  <c r="T73" i="3"/>
  <c r="P54" i="12" s="1"/>
  <c r="O51" i="12"/>
  <c r="S73" i="3"/>
  <c r="O54" i="12" s="1"/>
  <c r="T15" i="2"/>
  <c r="Q25" i="4"/>
  <c r="H17" i="54"/>
  <c r="H25" i="54"/>
  <c r="H29" i="54" s="1"/>
  <c r="H31" i="54" s="1"/>
  <c r="AA241" i="45"/>
  <c r="AA306" i="45"/>
  <c r="AA237" i="45"/>
  <c r="AA100" i="45"/>
  <c r="Q30" i="2"/>
  <c r="Q37" i="4" s="1"/>
  <c r="Q100" i="4"/>
  <c r="Q101" i="4"/>
  <c r="Q103" i="4"/>
  <c r="Q104" i="4"/>
  <c r="Q107" i="4"/>
  <c r="AA63" i="12" s="1"/>
  <c r="Q108" i="4"/>
  <c r="Q79" i="4"/>
  <c r="Q84" i="4"/>
  <c r="AA383" i="45"/>
  <c r="AA384" i="45" s="1"/>
  <c r="AA266" i="45" s="1"/>
  <c r="AA307" i="45"/>
  <c r="AA242" i="45"/>
  <c r="Q23" i="4"/>
  <c r="Q27" i="4"/>
  <c r="Q29" i="4"/>
  <c r="Q28" i="4"/>
  <c r="Q88" i="4"/>
  <c r="Q98" i="4"/>
  <c r="Q125" i="4"/>
  <c r="Q97" i="4"/>
  <c r="Q105" i="4"/>
  <c r="Q153" i="4" s="1"/>
  <c r="M88" i="12" s="1"/>
  <c r="Q26" i="4"/>
  <c r="Q78" i="4"/>
  <c r="Q83" i="4"/>
  <c r="AA260" i="45" s="1"/>
  <c r="AA240" i="45"/>
  <c r="AA304" i="45"/>
  <c r="AA295" i="45"/>
  <c r="AA297" i="45"/>
  <c r="AA298" i="45"/>
  <c r="AA346" i="45"/>
  <c r="AA401" i="45"/>
  <c r="AA402" i="45" s="1"/>
  <c r="AA404" i="45" s="1"/>
  <c r="AA173" i="45"/>
  <c r="AA299" i="45"/>
  <c r="M53" i="48"/>
  <c r="M79" i="12"/>
  <c r="AA227" i="45"/>
  <c r="AA308" i="45" s="1"/>
  <c r="AA296" i="45"/>
  <c r="AA338" i="45"/>
  <c r="AA339" i="45"/>
  <c r="AA52" i="12" l="1"/>
  <c r="AA79" i="12" s="1"/>
  <c r="AA261" i="45"/>
  <c r="Q32" i="2"/>
  <c r="Q6" i="3" s="1"/>
  <c r="AA278" i="45"/>
  <c r="AA334" i="45"/>
  <c r="AA175" i="45"/>
  <c r="AA176" i="45" s="1"/>
  <c r="AA310" i="45"/>
  <c r="AA311" i="45"/>
  <c r="AA312" i="45"/>
  <c r="AA313" i="45"/>
  <c r="AA314" i="45"/>
  <c r="AA315" i="45"/>
  <c r="AA415" i="45"/>
  <c r="AA335" i="45"/>
  <c r="AA340" i="45"/>
  <c r="AA305" i="45"/>
  <c r="AA318" i="45"/>
  <c r="Q152" i="4"/>
  <c r="AA61" i="12"/>
  <c r="Q126" i="4"/>
  <c r="Q89" i="4"/>
  <c r="Q31" i="4"/>
  <c r="Q32" i="4"/>
  <c r="Q33" i="4"/>
  <c r="Q34" i="4"/>
  <c r="Q35" i="4"/>
  <c r="Q36" i="4"/>
  <c r="AA222" i="45"/>
  <c r="AA238" i="45"/>
  <c r="AA78" i="12" l="1"/>
  <c r="AA263" i="45"/>
  <c r="AA239" i="45"/>
  <c r="AA255" i="45"/>
  <c r="AA271" i="45"/>
  <c r="AA289" i="45"/>
  <c r="AA267" i="45"/>
  <c r="AA274" i="45"/>
  <c r="AA341" i="45"/>
  <c r="M87" i="12"/>
  <c r="Q155" i="4"/>
  <c r="M89" i="12" s="1"/>
  <c r="AA336" i="45"/>
  <c r="AA272" i="45" s="1"/>
  <c r="AA288" i="45" l="1"/>
  <c r="AA290" i="45" s="1"/>
  <c r="AA291" i="45" s="1"/>
  <c r="AA411" i="45"/>
  <c r="AA342" i="45"/>
  <c r="AA243" i="45"/>
  <c r="AA417" i="45" s="1"/>
  <c r="AA343" i="45"/>
  <c r="AA316" i="45"/>
  <c r="AA265" i="45" l="1"/>
  <c r="AA264" i="45"/>
  <c r="AA317" i="45" s="1"/>
  <c r="AA414" i="45"/>
  <c r="AA418" i="45" s="1"/>
  <c r="AY35" i="29" l="1"/>
  <c r="BU36" i="45"/>
  <c r="BT37" i="45" l="1"/>
  <c r="BT40" i="45" s="1"/>
  <c r="BU35" i="45"/>
  <c r="BU37" i="45" s="1"/>
  <c r="AR137" i="29"/>
  <c r="AR136" i="29"/>
  <c r="AR313" i="29"/>
  <c r="AR312" i="29"/>
  <c r="BU40" i="45" l="1"/>
  <c r="BV41" i="45" s="1"/>
  <c r="BV38" i="45"/>
  <c r="BT38" i="45"/>
  <c r="BU41" i="45"/>
  <c r="BU253" i="45"/>
  <c r="BU249" i="45"/>
  <c r="BU254" i="45"/>
  <c r="BU38" i="45"/>
  <c r="BT249" i="45"/>
  <c r="BT253" i="45"/>
  <c r="BT254" i="45"/>
  <c r="BT41" i="45"/>
  <c r="BU44" i="45"/>
  <c r="BU43" i="45" s="1"/>
  <c r="BU50" i="45" l="1"/>
  <c r="BU65" i="45"/>
  <c r="BT47" i="45"/>
  <c r="BT43" i="45"/>
  <c r="BU47" i="45" l="1"/>
  <c r="BU42" i="45" s="1"/>
  <c r="BU77" i="45" s="1"/>
  <c r="BU247" i="45" s="1"/>
  <c r="BT42" i="45"/>
  <c r="BT77" i="45" s="1"/>
  <c r="BT247" i="45" s="1"/>
  <c r="AR86" i="29"/>
  <c r="AR36" i="29"/>
  <c r="Z21" i="1" l="1"/>
  <c r="AS38" i="29"/>
  <c r="AR47" i="29"/>
  <c r="AS49" i="29" s="1"/>
  <c r="AR110" i="29"/>
  <c r="BU81" i="45"/>
  <c r="BU83" i="45" s="1"/>
  <c r="BU87" i="45" s="1"/>
  <c r="BU250" i="45" s="1"/>
  <c r="BT81" i="45"/>
  <c r="BT83" i="45" s="1"/>
  <c r="BT87" i="45" s="1"/>
  <c r="AR37" i="29"/>
  <c r="AR38" i="29"/>
  <c r="AR87" i="29"/>
  <c r="AR39" i="29" s="1"/>
  <c r="AA21" i="1" l="1"/>
  <c r="AA22" i="1" s="1"/>
  <c r="Z22" i="1"/>
  <c r="BU248" i="45"/>
  <c r="AR49" i="29"/>
  <c r="AR48" i="29"/>
  <c r="AR55" i="29"/>
  <c r="AR111" i="29"/>
  <c r="AR112" i="29"/>
  <c r="BT248" i="45"/>
  <c r="BT250" i="45"/>
  <c r="AR88" i="29"/>
  <c r="AB21" i="1" l="1"/>
  <c r="AB22" i="1" s="1"/>
  <c r="AR62" i="29"/>
  <c r="AR116" i="29"/>
  <c r="AR89" i="29"/>
  <c r="AC21" i="1" l="1"/>
  <c r="AR73" i="29"/>
  <c r="AR63" i="29"/>
  <c r="AR64" i="29"/>
  <c r="AR72" i="29"/>
  <c r="AR117" i="29"/>
  <c r="AR118" i="29"/>
  <c r="BT104" i="45"/>
  <c r="BT88" i="45" s="1"/>
  <c r="BT252" i="45" l="1"/>
  <c r="BT89" i="45"/>
  <c r="BT251" i="45" l="1"/>
  <c r="BT92" i="45"/>
  <c r="BT103" i="45" l="1"/>
  <c r="BT224" i="45" s="1"/>
  <c r="BT98" i="45"/>
  <c r="BT100" i="45" s="1"/>
  <c r="BT222" i="45" s="1"/>
  <c r="BT255" i="45" s="1"/>
  <c r="BT101" i="45"/>
  <c r="BT223" i="45" s="1"/>
  <c r="AR58" i="29"/>
  <c r="AR67" i="29"/>
  <c r="AR90" i="29"/>
  <c r="BU105" i="45"/>
  <c r="BU104" i="45" s="1"/>
  <c r="BU88" i="45" s="1"/>
  <c r="AV68" i="29" l="1"/>
  <c r="AV67" i="29"/>
  <c r="AR69" i="29"/>
  <c r="AR68" i="29"/>
  <c r="AR122" i="29"/>
  <c r="AR77" i="29"/>
  <c r="AR76" i="29"/>
  <c r="AR91" i="29"/>
  <c r="BU252" i="45"/>
  <c r="BU89" i="45"/>
  <c r="O22" i="48" l="1"/>
  <c r="N36" i="48"/>
  <c r="O36" i="48" s="1"/>
  <c r="AR124" i="29"/>
  <c r="AR123" i="29"/>
  <c r="BU92" i="45"/>
  <c r="BU251" i="45"/>
  <c r="BU103" i="45" l="1"/>
  <c r="BU224" i="45" s="1"/>
  <c r="BU98" i="45"/>
  <c r="BU100" i="45" s="1"/>
  <c r="BU222" i="45" s="1"/>
  <c r="BU255" i="45" s="1"/>
  <c r="BU101" i="45"/>
  <c r="BU223" i="45" s="1"/>
  <c r="R86" i="44" l="1"/>
  <c r="R96" i="44" l="1"/>
  <c r="R87" i="44"/>
  <c r="R68" i="1"/>
  <c r="V83" i="44"/>
  <c r="N87" i="28"/>
  <c r="N114" i="28" l="1"/>
  <c r="R75" i="1"/>
  <c r="R98" i="44"/>
  <c r="R97" i="44"/>
  <c r="N90" i="28"/>
  <c r="N88" i="28"/>
  <c r="N105" i="28" l="1"/>
  <c r="N91" i="28"/>
  <c r="N92" i="28"/>
  <c r="R99" i="44"/>
  <c r="R95" i="1"/>
  <c r="N115" i="28"/>
  <c r="R76" i="1"/>
  <c r="R9" i="1"/>
  <c r="R80" i="1" s="1"/>
  <c r="N123" i="28"/>
  <c r="O49" i="48" l="1"/>
  <c r="R1" i="1"/>
  <c r="R99" i="1"/>
  <c r="X9" i="1"/>
  <c r="N19" i="12"/>
  <c r="AB60" i="12"/>
  <c r="R84" i="1"/>
  <c r="R51" i="2"/>
  <c r="AB35" i="45"/>
  <c r="AB37" i="45" s="1"/>
  <c r="I9" i="54"/>
  <c r="N124" i="28"/>
  <c r="N106" i="28"/>
  <c r="V84" i="1" l="1"/>
  <c r="N116" i="28"/>
  <c r="R10" i="1"/>
  <c r="I10" i="54"/>
  <c r="I27" i="54"/>
  <c r="I7" i="54"/>
  <c r="R2" i="1"/>
  <c r="AB283" i="45"/>
  <c r="AB38" i="45"/>
  <c r="AB40" i="45"/>
  <c r="AB65" i="12"/>
  <c r="N74" i="12"/>
  <c r="N20" i="12"/>
  <c r="N75" i="12" s="1"/>
  <c r="Q49" i="48"/>
  <c r="P49" i="48"/>
  <c r="R20" i="3"/>
  <c r="R10" i="2"/>
  <c r="R109" i="1"/>
  <c r="R22" i="3"/>
  <c r="R61" i="2"/>
  <c r="R11" i="2" s="1"/>
  <c r="AB22" i="12" l="1"/>
  <c r="AB164" i="45"/>
  <c r="AB162" i="45" s="1"/>
  <c r="AB20" i="12"/>
  <c r="AB54" i="12"/>
  <c r="AB160" i="45"/>
  <c r="AB280" i="45"/>
  <c r="AB273" i="45"/>
  <c r="AB41" i="45"/>
  <c r="AB230" i="45"/>
  <c r="AB416" i="45" s="1"/>
  <c r="AB44" i="45"/>
  <c r="AB43" i="45" s="1"/>
  <c r="R43" i="2"/>
  <c r="R11" i="1"/>
  <c r="R15" i="1"/>
  <c r="R110" i="1"/>
  <c r="I8" i="54"/>
  <c r="N125" i="28"/>
  <c r="X11" i="1" l="1"/>
  <c r="R21" i="3"/>
  <c r="R9" i="2"/>
  <c r="AB187" i="45"/>
  <c r="AB65" i="45"/>
  <c r="J9" i="54"/>
  <c r="AB275" i="45"/>
  <c r="AB185" i="45"/>
  <c r="K9" i="54" l="1"/>
  <c r="J10" i="54"/>
  <c r="AB21" i="12"/>
  <c r="AB159" i="45"/>
  <c r="AB55" i="12" l="1"/>
  <c r="AB276" i="45"/>
  <c r="AB186" i="45"/>
  <c r="L9" i="54"/>
  <c r="K10" i="54"/>
  <c r="M9" i="54" l="1"/>
  <c r="L10" i="54"/>
  <c r="M10" i="54" l="1"/>
  <c r="N9" i="54"/>
  <c r="P9" i="54" l="1"/>
  <c r="O9" i="54"/>
  <c r="N10" i="54"/>
  <c r="O10" i="54" l="1"/>
  <c r="P10" i="54"/>
  <c r="AR160" i="29" l="1"/>
  <c r="AR131" i="29"/>
  <c r="AR130" i="29"/>
  <c r="AR147" i="29"/>
  <c r="AS149" i="29" s="1"/>
  <c r="AR156" i="29"/>
  <c r="AR157" i="29" l="1"/>
  <c r="AR310" i="29" s="1"/>
  <c r="AR309" i="29"/>
  <c r="AS158" i="29"/>
  <c r="AR148" i="29"/>
  <c r="AR307" i="29" s="1"/>
  <c r="AR158" i="29"/>
  <c r="AR239" i="29" s="1"/>
  <c r="AR149" i="29"/>
  <c r="AR306" i="29"/>
  <c r="AR214" i="29"/>
  <c r="O87" i="28" l="1"/>
  <c r="S86" i="44"/>
  <c r="S96" i="44" l="1"/>
  <c r="T87" i="44"/>
  <c r="S87" i="44"/>
  <c r="S68" i="1"/>
  <c r="O90" i="28"/>
  <c r="O88" i="28"/>
  <c r="AS239" i="29" l="1"/>
  <c r="O114" i="28"/>
  <c r="S75" i="1"/>
  <c r="O92" i="28"/>
  <c r="P91" i="28"/>
  <c r="O105" i="28"/>
  <c r="O91" i="28"/>
  <c r="T97" i="44"/>
  <c r="S97" i="44"/>
  <c r="S98" i="44"/>
  <c r="T99" i="44" l="1"/>
  <c r="S99" i="44"/>
  <c r="O106" i="28"/>
  <c r="P106" i="28"/>
  <c r="O115" i="28"/>
  <c r="T76" i="1"/>
  <c r="S95" i="1"/>
  <c r="S76" i="1"/>
  <c r="C20" i="53" s="1"/>
  <c r="C21" i="53" s="1"/>
  <c r="S9" i="1"/>
  <c r="P123" i="28"/>
  <c r="O123" i="28"/>
  <c r="S49" i="48" l="1"/>
  <c r="U49" i="48" s="1"/>
  <c r="C19" i="53"/>
  <c r="S1" i="1"/>
  <c r="O19" i="12"/>
  <c r="O16" i="12" s="1"/>
  <c r="AC60" i="12"/>
  <c r="AC35" i="45"/>
  <c r="AC37" i="45" s="1"/>
  <c r="S51" i="2"/>
  <c r="S80" i="1"/>
  <c r="S84" i="1" s="1"/>
  <c r="P124" i="28"/>
  <c r="O124" i="28"/>
  <c r="T49" i="48" l="1"/>
  <c r="AC38" i="45"/>
  <c r="AC283" i="45"/>
  <c r="AD38" i="45"/>
  <c r="AC40" i="45"/>
  <c r="O116" i="28"/>
  <c r="S10" i="1"/>
  <c r="O74" i="12"/>
  <c r="P20" i="12"/>
  <c r="P75" i="12" s="1"/>
  <c r="AC65" i="12"/>
  <c r="O20" i="12"/>
  <c r="O75" i="12" s="1"/>
  <c r="S20" i="3"/>
  <c r="S10" i="2"/>
  <c r="T20" i="3"/>
  <c r="S2" i="1"/>
  <c r="T2" i="1"/>
  <c r="S22" i="3"/>
  <c r="T22" i="3"/>
  <c r="S61" i="2"/>
  <c r="S11" i="2" s="1"/>
  <c r="S109" i="1"/>
  <c r="AC164" i="45" l="1"/>
  <c r="AC162" i="45" s="1"/>
  <c r="AC22" i="12"/>
  <c r="S15" i="1"/>
  <c r="S110" i="1"/>
  <c r="AC280" i="45"/>
  <c r="AD41" i="45"/>
  <c r="AC41" i="45"/>
  <c r="AC230" i="45"/>
  <c r="AC416" i="45" s="1"/>
  <c r="AC273" i="45"/>
  <c r="AD230" i="45"/>
  <c r="AD416" i="45" s="1"/>
  <c r="AC44" i="45"/>
  <c r="AC43" i="45" s="1"/>
  <c r="S43" i="2"/>
  <c r="S11" i="1"/>
  <c r="AC20" i="12"/>
  <c r="AC54" i="12"/>
  <c r="AD54" i="12"/>
  <c r="AC160" i="45"/>
  <c r="O125" i="28"/>
  <c r="P125" i="28"/>
  <c r="AC275" i="45" l="1"/>
  <c r="AD185" i="45"/>
  <c r="AC185" i="45"/>
  <c r="T21" i="3"/>
  <c r="S21" i="3"/>
  <c r="S9" i="2"/>
  <c r="AC65" i="45"/>
  <c r="AD187" i="45"/>
  <c r="AC187" i="45"/>
  <c r="AC21" i="12" l="1"/>
  <c r="AC159" i="45"/>
  <c r="AC55" i="12" l="1"/>
  <c r="AC186" i="45"/>
  <c r="AC276" i="45"/>
  <c r="AD186" i="45"/>
  <c r="AD55" i="12"/>
  <c r="BV50" i="45" l="1"/>
  <c r="BV65" i="45"/>
  <c r="BV47" i="45" l="1"/>
  <c r="AS99" i="29"/>
  <c r="AS316" i="29" s="1"/>
  <c r="AS100" i="29"/>
  <c r="AS107" i="29"/>
  <c r="AT109" i="29" s="1"/>
  <c r="BV44" i="45" l="1"/>
  <c r="BV43" i="45" s="1"/>
  <c r="BV42" i="45" s="1"/>
  <c r="BV77" i="45" s="1"/>
  <c r="AS105" i="29"/>
  <c r="AS106" i="29"/>
  <c r="AS102" i="29"/>
  <c r="AS103" i="29"/>
  <c r="AS108" i="29"/>
  <c r="AS109" i="29"/>
  <c r="BV247" i="45" l="1"/>
  <c r="BV81" i="45"/>
  <c r="AS110" i="29"/>
  <c r="AT112" i="29" s="1"/>
  <c r="AS39" i="29"/>
  <c r="BV248" i="45" l="1"/>
  <c r="BV83" i="45"/>
  <c r="BV87" i="45" s="1"/>
  <c r="AS112" i="29"/>
  <c r="AS111" i="29"/>
  <c r="AS55" i="29"/>
  <c r="Z30" i="1" s="1"/>
  <c r="AA30" i="1" s="1"/>
  <c r="AB30" i="1" s="1"/>
  <c r="AC30" i="1" s="1"/>
  <c r="AS89" i="29" l="1"/>
  <c r="AS62" i="29"/>
  <c r="AT64" i="29" s="1"/>
  <c r="BV250" i="45"/>
  <c r="AS116" i="29"/>
  <c r="AT118" i="29" s="1"/>
  <c r="Z36" i="1" l="1"/>
  <c r="AA36" i="1" s="1"/>
  <c r="AB36" i="1" s="1"/>
  <c r="AC36" i="1" s="1"/>
  <c r="AS64" i="29"/>
  <c r="AS73" i="29"/>
  <c r="AS67" i="29"/>
  <c r="AT69" i="29" s="1"/>
  <c r="AS72" i="29"/>
  <c r="AS90" i="29"/>
  <c r="AS63" i="29"/>
  <c r="AS117" i="29"/>
  <c r="AS118" i="29"/>
  <c r="Z40" i="1" l="1"/>
  <c r="AA40" i="1" s="1"/>
  <c r="AB40" i="1" s="1"/>
  <c r="AC40" i="1" s="1"/>
  <c r="AS69" i="29"/>
  <c r="AS76" i="29"/>
  <c r="AS91" i="29"/>
  <c r="AS77" i="29"/>
  <c r="AS68" i="29"/>
  <c r="AS119" i="29"/>
  <c r="AT121" i="29" s="1"/>
  <c r="AS58" i="29"/>
  <c r="BV105" i="45"/>
  <c r="BV104" i="45" s="1"/>
  <c r="BV88" i="45" s="1"/>
  <c r="AS121" i="29" l="1"/>
  <c r="P22" i="48"/>
  <c r="Z48" i="1"/>
  <c r="AA48" i="1" s="1"/>
  <c r="AB48" i="1" s="1"/>
  <c r="AC48" i="1" s="1"/>
  <c r="AS120" i="29"/>
  <c r="BV252" i="45"/>
  <c r="BV89" i="45"/>
  <c r="AS122" i="29"/>
  <c r="AT124" i="29" s="1"/>
  <c r="S22" i="48" l="1"/>
  <c r="T22" i="48"/>
  <c r="V22" i="48"/>
  <c r="L44" i="48"/>
  <c r="N44" i="48"/>
  <c r="AS123" i="29"/>
  <c r="AS124" i="29"/>
  <c r="BV251" i="45"/>
  <c r="BV92" i="45"/>
  <c r="BV101" i="45" l="1"/>
  <c r="BV223" i="45" s="1"/>
  <c r="BV98" i="45"/>
  <c r="BV100" i="45" s="1"/>
  <c r="BV222" i="45" s="1"/>
  <c r="BV255" i="45" s="1"/>
  <c r="BV103" i="45"/>
  <c r="BV224" i="45" s="1"/>
  <c r="AU16" i="29"/>
  <c r="AU137" i="29" l="1"/>
  <c r="AU21" i="29"/>
  <c r="AU100" i="29"/>
  <c r="AU131" i="29"/>
  <c r="BW65" i="45" l="1"/>
  <c r="AU34" i="29"/>
  <c r="BW50" i="45"/>
  <c r="AU30" i="29"/>
  <c r="AU106" i="29"/>
  <c r="AU109" i="29"/>
  <c r="AU103" i="29"/>
  <c r="AU149" i="29"/>
  <c r="AU158" i="29"/>
  <c r="AU239" i="29" s="1"/>
  <c r="BW47" i="45" l="1"/>
  <c r="AU38" i="29"/>
  <c r="BW44" i="45"/>
  <c r="BW43" i="45" s="1"/>
  <c r="AU112" i="29"/>
  <c r="AU49" i="29"/>
  <c r="BW42" i="45" l="1"/>
  <c r="BW77" i="45" s="1"/>
  <c r="BW247" i="45" s="1"/>
  <c r="BW81" i="45" l="1"/>
  <c r="BW83" i="45" s="1"/>
  <c r="BW87" i="45" s="1"/>
  <c r="BW250" i="45" s="1"/>
  <c r="BW248" i="45"/>
  <c r="BW105" i="45"/>
  <c r="BW104" i="45" s="1"/>
  <c r="BW88" i="45" s="1"/>
  <c r="AU64" i="29"/>
  <c r="AU118" i="29"/>
  <c r="AU121" i="29" l="1"/>
  <c r="BW89" i="45"/>
  <c r="BW252" i="45"/>
  <c r="AU69" i="29"/>
  <c r="BW92" i="45" l="1"/>
  <c r="BW251" i="45"/>
  <c r="AU124" i="29"/>
  <c r="BW98" i="45" l="1"/>
  <c r="BW100" i="45" s="1"/>
  <c r="BW222" i="45" s="1"/>
  <c r="BW255" i="45" s="1"/>
  <c r="BW103" i="45"/>
  <c r="BW224" i="45" s="1"/>
  <c r="BW101" i="45"/>
  <c r="BW223" i="45" s="1"/>
  <c r="Q92" i="1"/>
  <c r="Q93" i="1"/>
  <c r="R92" i="1"/>
  <c r="S14" i="1" l="1"/>
  <c r="AC50" i="45" s="1"/>
  <c r="AC47" i="45" s="1"/>
  <c r="AC42" i="45" s="1"/>
  <c r="AC77" i="45" s="1"/>
  <c r="S92" i="1"/>
  <c r="R14" i="1"/>
  <c r="S21" i="1" l="1"/>
  <c r="T92" i="1"/>
  <c r="R21" i="1"/>
  <c r="AB50" i="45"/>
  <c r="AB47" i="45" s="1"/>
  <c r="AB42" i="45" s="1"/>
  <c r="AB77" i="45" s="1"/>
  <c r="AC31" i="12"/>
  <c r="S140" i="2"/>
  <c r="AC281" i="45"/>
  <c r="AC247" i="45"/>
  <c r="AC81" i="45"/>
  <c r="S6" i="1" l="1"/>
  <c r="T14" i="1"/>
  <c r="C23" i="53"/>
  <c r="C24" i="53" s="1"/>
  <c r="O21" i="12"/>
  <c r="AC66" i="12" s="1"/>
  <c r="AC14" i="12" s="1"/>
  <c r="S25" i="1"/>
  <c r="O117" i="28"/>
  <c r="S22" i="1"/>
  <c r="S50" i="48"/>
  <c r="T50" i="48" s="1"/>
  <c r="AC32" i="12"/>
  <c r="S23" i="2"/>
  <c r="R6" i="1"/>
  <c r="X21" i="1"/>
  <c r="R22" i="1"/>
  <c r="E11" i="18"/>
  <c r="O50" i="48"/>
  <c r="N117" i="28"/>
  <c r="N126" i="28" s="1"/>
  <c r="N21" i="12"/>
  <c r="I11" i="54"/>
  <c r="R25" i="1"/>
  <c r="AC48" i="12"/>
  <c r="AC74" i="12" s="1"/>
  <c r="AC248" i="45"/>
  <c r="AC83" i="45"/>
  <c r="AB247" i="45"/>
  <c r="AB281" i="45"/>
  <c r="AC231" i="45"/>
  <c r="AB231" i="45"/>
  <c r="AB81" i="45"/>
  <c r="T21" i="1"/>
  <c r="AD50" i="45"/>
  <c r="AD47" i="45" s="1"/>
  <c r="AD42" i="45" s="1"/>
  <c r="AD77" i="45" s="1"/>
  <c r="AB31" i="12"/>
  <c r="R140" i="2"/>
  <c r="AC49" i="12" l="1"/>
  <c r="AC75" i="12" s="1"/>
  <c r="O86" i="12"/>
  <c r="S30" i="1"/>
  <c r="O85" i="12" s="1"/>
  <c r="AC62" i="12"/>
  <c r="U50" i="48"/>
  <c r="S51" i="48"/>
  <c r="T51" i="48" s="1"/>
  <c r="O22" i="12"/>
  <c r="O24" i="12"/>
  <c r="AB56" i="12"/>
  <c r="T22" i="1"/>
  <c r="T6" i="1"/>
  <c r="P117" i="28"/>
  <c r="P126" i="28" s="1"/>
  <c r="P21" i="12"/>
  <c r="T25" i="1"/>
  <c r="AD281" i="45"/>
  <c r="AD247" i="45"/>
  <c r="AD81" i="45"/>
  <c r="AD231" i="45"/>
  <c r="O126" i="28"/>
  <c r="AC232" i="45"/>
  <c r="AB232" i="45"/>
  <c r="AB248" i="45"/>
  <c r="AB83" i="45"/>
  <c r="N22" i="12"/>
  <c r="AB66" i="12"/>
  <c r="AB14" i="12" s="1"/>
  <c r="AC300" i="45"/>
  <c r="AC87" i="45"/>
  <c r="AC168" i="45"/>
  <c r="AC167" i="45" s="1"/>
  <c r="AC58" i="12"/>
  <c r="N24" i="12"/>
  <c r="N25" i="12" s="1"/>
  <c r="N86" i="12"/>
  <c r="AB62" i="12"/>
  <c r="AB49" i="12"/>
  <c r="AB75" i="12" s="1"/>
  <c r="R30" i="1"/>
  <c r="AB48" i="12"/>
  <c r="AB74" i="12" s="1"/>
  <c r="AB32" i="12"/>
  <c r="R23" i="2"/>
  <c r="R24" i="3"/>
  <c r="R26" i="3" s="1"/>
  <c r="AD31" i="12"/>
  <c r="T140" i="2"/>
  <c r="AC56" i="12"/>
  <c r="I12" i="54"/>
  <c r="P50" i="48"/>
  <c r="O51" i="48"/>
  <c r="Q50" i="48"/>
  <c r="S24" i="3"/>
  <c r="S26" i="3" s="1"/>
  <c r="S9" i="3" l="1"/>
  <c r="O28" i="12"/>
  <c r="O25" i="12"/>
  <c r="AB58" i="12"/>
  <c r="AB168" i="45"/>
  <c r="AB167" i="45" s="1"/>
  <c r="AC190" i="45" s="1"/>
  <c r="AC184" i="45" s="1"/>
  <c r="S66" i="3" s="1"/>
  <c r="O49" i="12" s="1"/>
  <c r="AD248" i="45"/>
  <c r="AD83" i="45"/>
  <c r="AD232" i="45"/>
  <c r="P22" i="12"/>
  <c r="AD66" i="12"/>
  <c r="AD14" i="12" s="1"/>
  <c r="AD56" i="12"/>
  <c r="AC250" i="45"/>
  <c r="AC412" i="45" s="1"/>
  <c r="AC180" i="45"/>
  <c r="AB300" i="45"/>
  <c r="AB87" i="45"/>
  <c r="S175" i="1"/>
  <c r="S173" i="1"/>
  <c r="S32" i="1" s="1"/>
  <c r="P51" i="48"/>
  <c r="Q51" i="48"/>
  <c r="AC277" i="45"/>
  <c r="AC166" i="45"/>
  <c r="AD48" i="12"/>
  <c r="AD74" i="12" s="1"/>
  <c r="T24" i="3"/>
  <c r="T26" i="3" s="1"/>
  <c r="AD32" i="12"/>
  <c r="T23" i="2"/>
  <c r="N85" i="12"/>
  <c r="X30" i="1"/>
  <c r="N28" i="12"/>
  <c r="R9" i="3"/>
  <c r="U51" i="48"/>
  <c r="P86" i="12"/>
  <c r="AD49" i="12"/>
  <c r="AD75" i="12" s="1"/>
  <c r="AD62" i="12"/>
  <c r="P24" i="12"/>
  <c r="P25" i="12" s="1"/>
  <c r="T30" i="1"/>
  <c r="P85" i="12" l="1"/>
  <c r="P28" i="12"/>
  <c r="T9" i="3"/>
  <c r="R173" i="1"/>
  <c r="R32" i="1" s="1"/>
  <c r="R175" i="1"/>
  <c r="O29" i="12"/>
  <c r="O30" i="12" s="1"/>
  <c r="S27" i="3"/>
  <c r="S29" i="3" s="1"/>
  <c r="S53" i="3" s="1"/>
  <c r="AC105" i="45"/>
  <c r="AC104" i="45" s="1"/>
  <c r="S36" i="1"/>
  <c r="AB166" i="45"/>
  <c r="AB190" i="45"/>
  <c r="AB184" i="45" s="1"/>
  <c r="R66" i="3" s="1"/>
  <c r="N49" i="12" s="1"/>
  <c r="AB277" i="45"/>
  <c r="AD300" i="45"/>
  <c r="AD87" i="45"/>
  <c r="AD58" i="12"/>
  <c r="AD168" i="45"/>
  <c r="AD167" i="45" s="1"/>
  <c r="AB234" i="45"/>
  <c r="AB250" i="45"/>
  <c r="AB412" i="45" s="1"/>
  <c r="AC234" i="45"/>
  <c r="AB180" i="45"/>
  <c r="AD250" i="45" l="1"/>
  <c r="AD412" i="45" s="1"/>
  <c r="AD180" i="45"/>
  <c r="AD234" i="45"/>
  <c r="O33" i="12"/>
  <c r="S65" i="1"/>
  <c r="C26" i="53"/>
  <c r="S40" i="1"/>
  <c r="AC192" i="45"/>
  <c r="AC88" i="45"/>
  <c r="AD166" i="45"/>
  <c r="AD277" i="45"/>
  <c r="AD190" i="45"/>
  <c r="AD184" i="45" s="1"/>
  <c r="T66" i="3" s="1"/>
  <c r="P49" i="12" s="1"/>
  <c r="S83" i="3"/>
  <c r="T175" i="1"/>
  <c r="T173" i="1"/>
  <c r="T32" i="1" s="1"/>
  <c r="R27" i="3"/>
  <c r="R29" i="3" s="1"/>
  <c r="R53" i="3" s="1"/>
  <c r="N29" i="12"/>
  <c r="N30" i="12" s="1"/>
  <c r="AB105" i="45"/>
  <c r="AB104" i="45" s="1"/>
  <c r="R36" i="1"/>
  <c r="AC252" i="45" l="1"/>
  <c r="AC89" i="45"/>
  <c r="S53" i="48"/>
  <c r="X36" i="1"/>
  <c r="R65" i="1"/>
  <c r="S52" i="1"/>
  <c r="N33" i="12"/>
  <c r="R40" i="1"/>
  <c r="O59" i="12"/>
  <c r="S44" i="4"/>
  <c r="S43" i="4"/>
  <c r="R83" i="3"/>
  <c r="R56" i="3"/>
  <c r="AB88" i="45"/>
  <c r="AB192" i="45"/>
  <c r="T27" i="3"/>
  <c r="T29" i="3" s="1"/>
  <c r="T53" i="3" s="1"/>
  <c r="AD105" i="45"/>
  <c r="AD104" i="45" s="1"/>
  <c r="P29" i="12"/>
  <c r="P30" i="12" s="1"/>
  <c r="T36" i="1"/>
  <c r="S63" i="3"/>
  <c r="AC194" i="45"/>
  <c r="S52" i="48"/>
  <c r="O118" i="28"/>
  <c r="O35" i="12"/>
  <c r="C25" i="53"/>
  <c r="AC50" i="12"/>
  <c r="AC76" i="12" s="1"/>
  <c r="S41" i="1" l="1"/>
  <c r="O84" i="12"/>
  <c r="T65" i="1"/>
  <c r="P33" i="12"/>
  <c r="T40" i="1"/>
  <c r="AC413" i="45"/>
  <c r="AC385" i="45"/>
  <c r="AC393" i="45"/>
  <c r="AC348" i="45"/>
  <c r="T52" i="48"/>
  <c r="R63" i="3"/>
  <c r="AB194" i="45"/>
  <c r="T53" i="48"/>
  <c r="O76" i="12"/>
  <c r="O17" i="12"/>
  <c r="AC294" i="45"/>
  <c r="S89" i="3"/>
  <c r="AC253" i="45"/>
  <c r="AC209" i="45"/>
  <c r="AC392" i="45"/>
  <c r="AC395" i="45" s="1"/>
  <c r="AC196" i="45"/>
  <c r="AB252" i="45"/>
  <c r="AB89" i="45"/>
  <c r="O52" i="48"/>
  <c r="U52" i="48" s="1"/>
  <c r="N35" i="12"/>
  <c r="O36" i="12" s="1"/>
  <c r="O77" i="12" s="1"/>
  <c r="AB50" i="12"/>
  <c r="AB76" i="12" s="1"/>
  <c r="R41" i="1"/>
  <c r="X40" i="1"/>
  <c r="N118" i="28"/>
  <c r="N127" i="28" s="1"/>
  <c r="T83" i="3"/>
  <c r="N59" i="12"/>
  <c r="R43" i="4"/>
  <c r="R44" i="4"/>
  <c r="O38" i="12"/>
  <c r="F3" i="18"/>
  <c r="O47" i="12"/>
  <c r="O43" i="12" s="1"/>
  <c r="S68" i="3"/>
  <c r="AD192" i="45"/>
  <c r="AD88" i="45"/>
  <c r="S55" i="3"/>
  <c r="R85" i="3"/>
  <c r="N60" i="12" s="1"/>
  <c r="R81" i="2"/>
  <c r="R13" i="2" s="1"/>
  <c r="R186" i="2"/>
  <c r="R52" i="1"/>
  <c r="O53" i="48"/>
  <c r="AC251" i="45"/>
  <c r="AC92" i="45"/>
  <c r="O127" i="28" l="1"/>
  <c r="AB51" i="12"/>
  <c r="AB77" i="12" s="1"/>
  <c r="AB262" i="45"/>
  <c r="S84" i="3"/>
  <c r="S56" i="3"/>
  <c r="Q53" i="48"/>
  <c r="P53" i="48"/>
  <c r="N38" i="12"/>
  <c r="O39" i="12" s="1"/>
  <c r="O79" i="12" s="1"/>
  <c r="X57" i="1"/>
  <c r="E3" i="18"/>
  <c r="E7" i="18" s="1"/>
  <c r="AC101" i="45"/>
  <c r="AC223" i="45" s="1"/>
  <c r="AC98" i="45"/>
  <c r="AC287" i="45"/>
  <c r="AC103" i="45"/>
  <c r="AC224" i="45" s="1"/>
  <c r="S42" i="4"/>
  <c r="O50" i="12"/>
  <c r="S75" i="3"/>
  <c r="S46" i="4" s="1"/>
  <c r="N84" i="12"/>
  <c r="AB251" i="45"/>
  <c r="AB235" i="45"/>
  <c r="AC235" i="45"/>
  <c r="AB92" i="45"/>
  <c r="U53" i="48"/>
  <c r="N76" i="12"/>
  <c r="N36" i="12"/>
  <c r="N77" i="12" s="1"/>
  <c r="AC249" i="45"/>
  <c r="T41" i="1"/>
  <c r="P38" i="12"/>
  <c r="P118" i="28"/>
  <c r="P127" i="28" s="1"/>
  <c r="P35" i="12"/>
  <c r="AD50" i="12"/>
  <c r="AD76" i="12" s="1"/>
  <c r="S186" i="2"/>
  <c r="T186" i="2"/>
  <c r="O78" i="12"/>
  <c r="AC67" i="12"/>
  <c r="AC12" i="12" s="1"/>
  <c r="AB385" i="45"/>
  <c r="AB393" i="45"/>
  <c r="AB413" i="45"/>
  <c r="AB348" i="45"/>
  <c r="AB209" i="45"/>
  <c r="AB212" i="45" s="1"/>
  <c r="AB294" i="45"/>
  <c r="AB253" i="45"/>
  <c r="R89" i="3"/>
  <c r="AB196" i="45"/>
  <c r="AB392" i="45"/>
  <c r="AB37" i="12"/>
  <c r="AB38" i="12" s="1"/>
  <c r="AB39" i="12" s="1"/>
  <c r="R188" i="2"/>
  <c r="AB118" i="45"/>
  <c r="AB114" i="45" s="1"/>
  <c r="AB119" i="45" s="1"/>
  <c r="AD252" i="45"/>
  <c r="AD89" i="45"/>
  <c r="T43" i="4"/>
  <c r="P59" i="12"/>
  <c r="T44" i="4"/>
  <c r="Q52" i="48"/>
  <c r="P52" i="48"/>
  <c r="AC225" i="45"/>
  <c r="AC254" i="45"/>
  <c r="N47" i="12"/>
  <c r="N43" i="12" s="1"/>
  <c r="R68" i="3"/>
  <c r="R58" i="3"/>
  <c r="AB19" i="12"/>
  <c r="R87" i="3"/>
  <c r="R36" i="2"/>
  <c r="E12" i="18" s="1"/>
  <c r="E14" i="18" s="1"/>
  <c r="E15" i="18" s="1"/>
  <c r="AB161" i="45"/>
  <c r="R14" i="2"/>
  <c r="AD194" i="45"/>
  <c r="T63" i="3"/>
  <c r="AB395" i="45" l="1"/>
  <c r="AD262" i="45"/>
  <c r="AD253" i="45"/>
  <c r="AD294" i="45"/>
  <c r="T89" i="3"/>
  <c r="AD209" i="45"/>
  <c r="AD196" i="45"/>
  <c r="AD392" i="45"/>
  <c r="AD251" i="45"/>
  <c r="AD92" i="45"/>
  <c r="AD235" i="45"/>
  <c r="R29" i="2"/>
  <c r="AB40" i="12"/>
  <c r="AB68" i="12" s="1"/>
  <c r="AB249" i="45"/>
  <c r="AC233" i="45"/>
  <c r="S188" i="2"/>
  <c r="AC37" i="12"/>
  <c r="AC38" i="12" s="1"/>
  <c r="AC39" i="12" s="1"/>
  <c r="AC118" i="45"/>
  <c r="AC114" i="45" s="1"/>
  <c r="AC119" i="45" s="1"/>
  <c r="AC100" i="45"/>
  <c r="S85" i="3"/>
  <c r="O60" i="12" s="1"/>
  <c r="T55" i="3"/>
  <c r="S81" i="2"/>
  <c r="S13" i="2" s="1"/>
  <c r="AC304" i="45"/>
  <c r="AB67" i="12"/>
  <c r="AB12" i="12" s="1"/>
  <c r="N78" i="12"/>
  <c r="N39" i="12"/>
  <c r="N79" i="12" s="1"/>
  <c r="AB57" i="12"/>
  <c r="I13" i="54"/>
  <c r="R21" i="2"/>
  <c r="AD413" i="45"/>
  <c r="AD385" i="45"/>
  <c r="AD393" i="45"/>
  <c r="AD348" i="45"/>
  <c r="AC306" i="45"/>
  <c r="N42" i="12"/>
  <c r="AB30" i="12"/>
  <c r="AB43" i="12" s="1"/>
  <c r="AB42" i="12"/>
  <c r="AC210" i="45"/>
  <c r="AC212" i="45" s="1"/>
  <c r="AB213" i="45"/>
  <c r="AB158" i="45"/>
  <c r="AB327" i="45"/>
  <c r="AB329" i="45" s="1"/>
  <c r="AC307" i="45"/>
  <c r="P76" i="12"/>
  <c r="P36" i="12"/>
  <c r="P77" i="12" s="1"/>
  <c r="P47" i="12"/>
  <c r="P43" i="12" s="1"/>
  <c r="T68" i="3"/>
  <c r="N50" i="12"/>
  <c r="R75" i="3"/>
  <c r="R46" i="4" s="1"/>
  <c r="R42" i="4"/>
  <c r="AB141" i="45"/>
  <c r="AB120" i="45"/>
  <c r="AB382" i="45"/>
  <c r="AB337" i="45"/>
  <c r="AB225" i="45"/>
  <c r="AB254" i="45"/>
  <c r="AD37" i="12"/>
  <c r="AD38" i="12" s="1"/>
  <c r="AD39" i="12" s="1"/>
  <c r="T188" i="2"/>
  <c r="AD118" i="45"/>
  <c r="AD114" i="45" s="1"/>
  <c r="AD119" i="45" s="1"/>
  <c r="P84" i="12"/>
  <c r="P78" i="12"/>
  <c r="P39" i="12"/>
  <c r="P79" i="12" s="1"/>
  <c r="AD67" i="12"/>
  <c r="AD12" i="12" s="1"/>
  <c r="AB236" i="45"/>
  <c r="AC236" i="45"/>
  <c r="AB103" i="45"/>
  <c r="AB224" i="45" s="1"/>
  <c r="AB98" i="45"/>
  <c r="AB287" i="45"/>
  <c r="AB101" i="45"/>
  <c r="AB223" i="45" s="1"/>
  <c r="AD249" i="45" l="1"/>
  <c r="AD233" i="45"/>
  <c r="Y25" i="2"/>
  <c r="I15" i="54"/>
  <c r="I16" i="54" s="1"/>
  <c r="I25" i="54" s="1"/>
  <c r="AD51" i="12"/>
  <c r="AD77" i="12" s="1"/>
  <c r="AD395" i="45"/>
  <c r="AB241" i="45"/>
  <c r="AB306" i="45"/>
  <c r="AC241" i="45"/>
  <c r="AB383" i="45"/>
  <c r="AB384" i="45" s="1"/>
  <c r="AB266" i="45" s="1"/>
  <c r="AB298" i="45"/>
  <c r="AB401" i="45"/>
  <c r="AB402" i="45" s="1"/>
  <c r="AB404" i="45" s="1"/>
  <c r="AB297" i="45"/>
  <c r="AB295" i="45"/>
  <c r="AB346" i="45"/>
  <c r="I26" i="54"/>
  <c r="T84" i="3"/>
  <c r="T56" i="3"/>
  <c r="AC40" i="12"/>
  <c r="AC68" i="12" s="1"/>
  <c r="S29" i="2"/>
  <c r="AD103" i="45"/>
  <c r="AD224" i="45" s="1"/>
  <c r="AD101" i="45"/>
  <c r="AD223" i="45" s="1"/>
  <c r="AD98" i="45"/>
  <c r="AD287" i="45"/>
  <c r="AD236" i="45"/>
  <c r="T42" i="4"/>
  <c r="P50" i="12"/>
  <c r="T75" i="3"/>
  <c r="T46" i="4" s="1"/>
  <c r="AB299" i="45"/>
  <c r="AB173" i="45"/>
  <c r="AD120" i="45"/>
  <c r="AD141" i="45"/>
  <c r="AD337" i="45"/>
  <c r="AD382" i="45"/>
  <c r="AC222" i="45"/>
  <c r="AC237" i="45"/>
  <c r="AB237" i="45"/>
  <c r="AB100" i="45"/>
  <c r="AB307" i="45"/>
  <c r="AB242" i="45"/>
  <c r="AC242" i="45"/>
  <c r="AC120" i="45"/>
  <c r="AC382" i="45"/>
  <c r="AC141" i="45"/>
  <c r="AC337" i="45"/>
  <c r="AC338" i="45" s="1"/>
  <c r="AB63" i="12"/>
  <c r="R30" i="2"/>
  <c r="R32" i="2" s="1"/>
  <c r="R6" i="3" s="1"/>
  <c r="AB304" i="45"/>
  <c r="AB240" i="45"/>
  <c r="AC240" i="45"/>
  <c r="AD40" i="12"/>
  <c r="AD68" i="12" s="1"/>
  <c r="T29" i="2"/>
  <c r="AB296" i="45"/>
  <c r="AB227" i="45"/>
  <c r="AB308" i="45" s="1"/>
  <c r="AB338" i="45"/>
  <c r="AB339" i="45"/>
  <c r="AC51" i="12"/>
  <c r="AC77" i="12" s="1"/>
  <c r="AC262" i="45"/>
  <c r="N88" i="12"/>
  <c r="AB260" i="45"/>
  <c r="S87" i="3"/>
  <c r="S58" i="3"/>
  <c r="S36" i="2"/>
  <c r="AC161" i="45"/>
  <c r="AC213" i="45" s="1"/>
  <c r="AC19" i="12"/>
  <c r="S14" i="2"/>
  <c r="AD254" i="45"/>
  <c r="AD225" i="45"/>
  <c r="T398" i="45" l="1"/>
  <c r="T399" i="45" s="1"/>
  <c r="T397" i="45"/>
  <c r="AC52" i="12"/>
  <c r="AC79" i="12" s="1"/>
  <c r="AC261" i="45"/>
  <c r="AD307" i="45"/>
  <c r="AD242" i="45"/>
  <c r="AB261" i="45"/>
  <c r="AB267" i="45" s="1"/>
  <c r="AB52" i="12"/>
  <c r="AB79" i="12" s="1"/>
  <c r="AC296" i="45"/>
  <c r="AC339" i="45"/>
  <c r="AC340" i="45" s="1"/>
  <c r="AC227" i="45"/>
  <c r="AC308" i="45" s="1"/>
  <c r="AD338" i="45"/>
  <c r="AD304" i="45"/>
  <c r="AD240" i="45"/>
  <c r="I17" i="54"/>
  <c r="I29" i="54"/>
  <c r="I31" i="54" s="1"/>
  <c r="AC57" i="12"/>
  <c r="S21" i="2"/>
  <c r="AC42" i="12"/>
  <c r="O42" i="12"/>
  <c r="AC30" i="12"/>
  <c r="AC43" i="12" s="1"/>
  <c r="AB61" i="12"/>
  <c r="AB335" i="45"/>
  <c r="AB340" i="45"/>
  <c r="AC318" i="45"/>
  <c r="AC305" i="45"/>
  <c r="AD383" i="45"/>
  <c r="AD384" i="45" s="1"/>
  <c r="AD266" i="45" s="1"/>
  <c r="AB175" i="45"/>
  <c r="AB176" i="45" s="1"/>
  <c r="AB334" i="45"/>
  <c r="AB278" i="45"/>
  <c r="AD306" i="45"/>
  <c r="AD241" i="45"/>
  <c r="T85" i="3"/>
  <c r="P60" i="12" s="1"/>
  <c r="T81" i="2"/>
  <c r="T13" i="2" s="1"/>
  <c r="AB313" i="45"/>
  <c r="AB314" i="45"/>
  <c r="AB310" i="45"/>
  <c r="AB312" i="45"/>
  <c r="AB315" i="45"/>
  <c r="AB311" i="45"/>
  <c r="AD63" i="12"/>
  <c r="T30" i="2"/>
  <c r="AB305" i="45"/>
  <c r="AB318" i="45"/>
  <c r="AC383" i="45"/>
  <c r="AC384" i="45" s="1"/>
  <c r="AC266" i="45" s="1"/>
  <c r="AD296" i="45"/>
  <c r="AD227" i="45"/>
  <c r="AD308" i="45" s="1"/>
  <c r="AD339" i="45"/>
  <c r="AD335" i="45" s="1"/>
  <c r="AC63" i="12"/>
  <c r="S30" i="2"/>
  <c r="AB415" i="45"/>
  <c r="AD210" i="45"/>
  <c r="AD212" i="45" s="1"/>
  <c r="AC327" i="45"/>
  <c r="AC329" i="45" s="1"/>
  <c r="AC158" i="45"/>
  <c r="AB238" i="45"/>
  <c r="AC238" i="45"/>
  <c r="AB222" i="45"/>
  <c r="AC255" i="45"/>
  <c r="AD100" i="45"/>
  <c r="AD237" i="45"/>
  <c r="J26" i="54"/>
  <c r="T400" i="45" l="1"/>
  <c r="T402" i="45" s="1"/>
  <c r="T404" i="45" s="1"/>
  <c r="AC415" i="45"/>
  <c r="AD415" i="45"/>
  <c r="K26" i="54"/>
  <c r="AB255" i="45"/>
  <c r="AB239" i="45"/>
  <c r="AC239" i="45"/>
  <c r="AC299" i="45"/>
  <c r="AC173" i="45"/>
  <c r="AB336" i="45"/>
  <c r="AB272" i="45" s="1"/>
  <c r="AB263" i="45"/>
  <c r="AB78" i="12"/>
  <c r="AD222" i="45"/>
  <c r="AD238" i="45"/>
  <c r="AC298" i="45"/>
  <c r="AC297" i="45"/>
  <c r="AC346" i="45"/>
  <c r="AC295" i="45"/>
  <c r="AC401" i="45"/>
  <c r="AC402" i="45" s="1"/>
  <c r="AC404" i="45" s="1"/>
  <c r="AD52" i="12"/>
  <c r="AD79" i="12" s="1"/>
  <c r="AD261" i="45"/>
  <c r="AD267" i="45" s="1"/>
  <c r="N87" i="12"/>
  <c r="N89" i="12"/>
  <c r="T87" i="3"/>
  <c r="T36" i="2"/>
  <c r="T14" i="2"/>
  <c r="AD161" i="45"/>
  <c r="T58" i="3"/>
  <c r="AD19" i="12"/>
  <c r="AD340" i="45"/>
  <c r="AC335" i="45"/>
  <c r="AD336" i="45" s="1"/>
  <c r="AD272" i="45" s="1"/>
  <c r="AC267" i="45"/>
  <c r="AC289" i="45"/>
  <c r="AC271" i="45"/>
  <c r="S32" i="2"/>
  <c r="S6" i="3" s="1"/>
  <c r="O88" i="12"/>
  <c r="AC260" i="45"/>
  <c r="AD305" i="45"/>
  <c r="AD318" i="45"/>
  <c r="J29" i="54"/>
  <c r="J31" i="54" s="1"/>
  <c r="AB274" i="45"/>
  <c r="AB341" i="45"/>
  <c r="AB271" i="45"/>
  <c r="AB289" i="45"/>
  <c r="AD289" i="45" l="1"/>
  <c r="AD271" i="45"/>
  <c r="AC61" i="12"/>
  <c r="AC411" i="45"/>
  <c r="AC288" i="45"/>
  <c r="AC290" i="45" s="1"/>
  <c r="AC291" i="45" s="1"/>
  <c r="AD158" i="45"/>
  <c r="AD327" i="45"/>
  <c r="AD329" i="45" s="1"/>
  <c r="AB264" i="45"/>
  <c r="AB265" i="45"/>
  <c r="AB414" i="45"/>
  <c r="AB418" i="45" s="1"/>
  <c r="AC278" i="45"/>
  <c r="AC175" i="45"/>
  <c r="AC176" i="45" s="1"/>
  <c r="AC334" i="45"/>
  <c r="L26" i="54"/>
  <c r="AB288" i="45"/>
  <c r="AB290" i="45" s="1"/>
  <c r="AB291" i="45" s="1"/>
  <c r="AB411" i="45"/>
  <c r="AD57" i="12"/>
  <c r="T21" i="2"/>
  <c r="AB342" i="45"/>
  <c r="AB243" i="45"/>
  <c r="AB417" i="45" s="1"/>
  <c r="AB316" i="45"/>
  <c r="AB343" i="45"/>
  <c r="AD42" i="12"/>
  <c r="AD30" i="12"/>
  <c r="AD43" i="12" s="1"/>
  <c r="P42" i="12"/>
  <c r="AC315" i="45"/>
  <c r="AC311" i="45"/>
  <c r="AC310" i="45"/>
  <c r="AC312" i="45"/>
  <c r="AC313" i="45"/>
  <c r="AC314" i="45"/>
  <c r="AD255" i="45"/>
  <c r="AD239" i="45"/>
  <c r="AC336" i="45"/>
  <c r="AC272" i="45" s="1"/>
  <c r="K29" i="54"/>
  <c r="K31" i="54" s="1"/>
  <c r="AB317" i="45" l="1"/>
  <c r="P88" i="12"/>
  <c r="T32" i="2"/>
  <c r="T6" i="3" s="1"/>
  <c r="AD260" i="45"/>
  <c r="M26" i="54"/>
  <c r="AD298" i="45"/>
  <c r="AD297" i="45"/>
  <c r="AD295" i="45"/>
  <c r="AD346" i="45"/>
  <c r="AD401" i="45"/>
  <c r="AD402" i="45" s="1"/>
  <c r="AD404" i="45" s="1"/>
  <c r="AC263" i="45"/>
  <c r="AC78" i="12"/>
  <c r="AC274" i="45"/>
  <c r="AC341" i="45"/>
  <c r="AD411" i="45"/>
  <c r="AD288" i="45"/>
  <c r="AD290" i="45" s="1"/>
  <c r="AD291" i="45" s="1"/>
  <c r="L29" i="54"/>
  <c r="L31" i="54" s="1"/>
  <c r="AD299" i="45"/>
  <c r="AD173" i="45"/>
  <c r="O87" i="12"/>
  <c r="O89" i="12"/>
  <c r="AC343" i="45" l="1"/>
  <c r="AC342" i="45"/>
  <c r="AC243" i="45"/>
  <c r="AC417" i="45" s="1"/>
  <c r="AC316" i="45"/>
  <c r="AD61" i="12"/>
  <c r="AD334" i="45"/>
  <c r="AD278" i="45"/>
  <c r="AD175" i="45"/>
  <c r="AD176" i="45" s="1"/>
  <c r="AD315" i="45"/>
  <c r="AD313" i="45"/>
  <c r="AD310" i="45"/>
  <c r="AD311" i="45"/>
  <c r="AD312" i="45"/>
  <c r="AD314" i="45"/>
  <c r="N26" i="54"/>
  <c r="M29" i="54"/>
  <c r="M31" i="54" s="1"/>
  <c r="AC264" i="45"/>
  <c r="AC265" i="45"/>
  <c r="AC414" i="45"/>
  <c r="AC418" i="45" s="1"/>
  <c r="O26" i="54" l="1"/>
  <c r="P87" i="12"/>
  <c r="P89" i="12"/>
  <c r="N29" i="54"/>
  <c r="N31" i="54" s="1"/>
  <c r="AD78" i="12"/>
  <c r="AD263" i="45"/>
  <c r="AC317" i="45"/>
  <c r="AD274" i="45"/>
  <c r="AD341" i="45"/>
  <c r="P26" i="54" l="1"/>
  <c r="AD265" i="45"/>
  <c r="AD414" i="45"/>
  <c r="AD418" i="45" s="1"/>
  <c r="AD264" i="45"/>
  <c r="AD343" i="45"/>
  <c r="AD243" i="45"/>
  <c r="AD417" i="45" s="1"/>
  <c r="AD316" i="45"/>
  <c r="AD342" i="45"/>
  <c r="O29" i="54"/>
  <c r="O31" i="54" s="1"/>
  <c r="P29" i="54" l="1"/>
  <c r="P31" i="54" s="1"/>
  <c r="AD317" i="45"/>
  <c r="I45" i="54" l="1"/>
  <c r="I55" i="54" s="1"/>
  <c r="I61" i="54" s="1"/>
  <c r="I63" i="54" l="1"/>
  <c r="I66" i="54" s="1"/>
  <c r="I71" i="54" l="1"/>
</calcChain>
</file>

<file path=xl/comments1.xml><?xml version="1.0" encoding="utf-8"?>
<comments xmlns="http://schemas.openxmlformats.org/spreadsheetml/2006/main">
  <authors>
    <author>admin</author>
    <author>User</author>
  </authors>
  <commentList>
    <comment ref="AA31" authorId="0" shapeId="0">
      <text>
        <r>
          <rPr>
            <b/>
            <sz val="8"/>
            <color indexed="81"/>
            <rFont val="Tahoma"/>
            <family val="2"/>
          </rPr>
          <t>admin:</t>
        </r>
        <r>
          <rPr>
            <sz val="8"/>
            <color indexed="81"/>
            <rFont val="Tahoma"/>
            <family val="2"/>
          </rPr>
          <t xml:space="preserve">
Charge of Rs 17 cr for Q1 and Rs 19 cr for Q2 on loss on excess hedge covers given exports are below expectations</t>
        </r>
      </text>
    </comment>
    <comment ref="Z51" authorId="0" shapeId="0">
      <text>
        <r>
          <rPr>
            <b/>
            <sz val="8"/>
            <color indexed="81"/>
            <rFont val="Tahoma"/>
            <family val="2"/>
          </rPr>
          <t>admin:</t>
        </r>
        <r>
          <rPr>
            <sz val="8"/>
            <color indexed="81"/>
            <rFont val="Tahoma"/>
            <family val="2"/>
          </rPr>
          <t xml:space="preserve">
88 cr treasury</t>
        </r>
      </text>
    </comment>
    <comment ref="AA51" authorId="0" shapeId="0">
      <text>
        <r>
          <rPr>
            <b/>
            <sz val="8"/>
            <color indexed="81"/>
            <rFont val="Tahoma"/>
            <family val="2"/>
          </rPr>
          <t>admin:</t>
        </r>
        <r>
          <rPr>
            <sz val="8"/>
            <color indexed="81"/>
            <rFont val="Tahoma"/>
            <family val="2"/>
          </rPr>
          <t xml:space="preserve">
33 cr reversal of FY12; 100 cr to come in remaining quarters</t>
        </r>
      </text>
    </comment>
    <comment ref="AB51" authorId="0" shapeId="0">
      <text>
        <r>
          <rPr>
            <b/>
            <sz val="8"/>
            <color indexed="81"/>
            <rFont val="Tahoma"/>
            <family val="2"/>
          </rPr>
          <t>admin:</t>
        </r>
        <r>
          <rPr>
            <sz val="8"/>
            <color indexed="81"/>
            <rFont val="Tahoma"/>
            <family val="2"/>
          </rPr>
          <t xml:space="preserve">
33 cr reversal of FY12; 100 cr to come in remaining quarters</t>
        </r>
      </text>
    </comment>
    <comment ref="AE211" authorId="1" shapeId="0">
      <text>
        <r>
          <rPr>
            <b/>
            <sz val="8"/>
            <color indexed="81"/>
            <rFont val="Tahoma"/>
            <family val="2"/>
          </rPr>
          <t>User:</t>
        </r>
        <r>
          <rPr>
            <sz val="8"/>
            <color indexed="81"/>
            <rFont val="Tahoma"/>
            <family val="2"/>
          </rPr>
          <t xml:space="preserve">
As per company as exports to Iran and Nepal are in Rupees, realization cannot be taken by dividing rupee vs $ nos.</t>
        </r>
      </text>
    </comment>
  </commentList>
</comments>
</file>

<file path=xl/comments2.xml><?xml version="1.0" encoding="utf-8"?>
<comments xmlns="http://schemas.openxmlformats.org/spreadsheetml/2006/main">
  <authors>
    <author>Religare</author>
    <author>vora.keyur</author>
    <author>admin</author>
    <author>Kaushal Maroo</author>
    <author>Mr.Piyush</author>
    <author>User</author>
  </authors>
  <commentList>
    <comment ref="B29" authorId="0" shapeId="0">
      <text>
        <r>
          <rPr>
            <b/>
            <sz val="8"/>
            <color indexed="81"/>
            <rFont val="Tahoma"/>
            <family val="2"/>
          </rPr>
          <t>Religare:</t>
        </r>
        <r>
          <rPr>
            <sz val="8"/>
            <color indexed="81"/>
            <rFont val="Tahoma"/>
            <family val="2"/>
          </rPr>
          <t xml:space="preserve">
Negative if expenses else positive.</t>
        </r>
      </text>
    </comment>
    <comment ref="B39" authorId="0" shapeId="0">
      <text>
        <r>
          <rPr>
            <b/>
            <sz val="8"/>
            <color indexed="81"/>
            <rFont val="Tahoma"/>
            <family val="2"/>
          </rPr>
          <t>Religare:</t>
        </r>
        <r>
          <rPr>
            <sz val="8"/>
            <color indexed="81"/>
            <rFont val="Tahoma"/>
            <family val="2"/>
          </rPr>
          <t xml:space="preserve">
Positive if income; negative if expense</t>
        </r>
      </text>
    </comment>
    <comment ref="B61" authorId="0" shapeId="0">
      <text>
        <r>
          <rPr>
            <b/>
            <sz val="8"/>
            <color indexed="81"/>
            <rFont val="Tahoma"/>
            <family val="2"/>
          </rPr>
          <t>Religare:</t>
        </r>
        <r>
          <rPr>
            <sz val="8"/>
            <color indexed="81"/>
            <rFont val="Tahoma"/>
            <family val="2"/>
          </rPr>
          <t xml:space="preserve">
Include interim + final dividends.</t>
        </r>
      </text>
    </comment>
    <comment ref="G72" authorId="0" shapeId="0">
      <text>
        <r>
          <rPr>
            <b/>
            <sz val="8"/>
            <color indexed="81"/>
            <rFont val="Tahoma"/>
            <family val="2"/>
          </rPr>
          <t>Religare:</t>
        </r>
        <r>
          <rPr>
            <sz val="8"/>
            <color indexed="81"/>
            <rFont val="Tahoma"/>
            <family val="2"/>
          </rPr>
          <t xml:space="preserve">
wind power generated, captively consumed.</t>
        </r>
      </text>
    </comment>
    <comment ref="B73" authorId="1" shapeId="0">
      <text>
        <r>
          <rPr>
            <b/>
            <sz val="9"/>
            <color indexed="81"/>
            <rFont val="Tahoma"/>
            <family val="2"/>
          </rPr>
          <t>vora.keyur:</t>
        </r>
        <r>
          <rPr>
            <sz val="9"/>
            <color indexed="81"/>
            <rFont val="Tahoma"/>
            <family val="2"/>
          </rPr>
          <t xml:space="preserve">
Export Incentives
</t>
        </r>
      </text>
    </comment>
    <comment ref="L73" authorId="2" shapeId="0">
      <text>
        <r>
          <rPr>
            <b/>
            <sz val="8"/>
            <color indexed="81"/>
            <rFont val="Tahoma"/>
            <family val="2"/>
          </rPr>
          <t>admin:</t>
        </r>
        <r>
          <rPr>
            <sz val="8"/>
            <color indexed="81"/>
            <rFont val="Tahoma"/>
            <family val="2"/>
          </rPr>
          <t xml:space="preserve">
Royalty + export incentive + scrap sales</t>
        </r>
      </text>
    </comment>
    <comment ref="Q86" authorId="3" shapeId="0">
      <text>
        <r>
          <rPr>
            <b/>
            <sz val="9"/>
            <color indexed="81"/>
            <rFont val="Tahoma"/>
            <family val="2"/>
          </rPr>
          <t>Kaushal Maroo:</t>
        </r>
        <r>
          <rPr>
            <sz val="9"/>
            <color indexed="81"/>
            <rFont val="Tahoma"/>
            <family val="2"/>
          </rPr>
          <t xml:space="preserve">
Revenues grossed up for excise; cost increase added in COGS</t>
        </r>
      </text>
    </comment>
    <comment ref="I108" authorId="4" shapeId="0">
      <text>
        <r>
          <rPr>
            <b/>
            <sz val="8"/>
            <color indexed="81"/>
            <rFont val="Tahoma"/>
            <family val="2"/>
          </rPr>
          <t>Mr.Piyush:</t>
        </r>
        <r>
          <rPr>
            <sz val="8"/>
            <color indexed="81"/>
            <rFont val="Tahoma"/>
            <family val="2"/>
          </rPr>
          <t xml:space="preserve">
Rs170mn = 120mn(Cancelation of Forward cover in aniticipation of higher exports+Rs 50mn (Acturial valuations)</t>
        </r>
      </text>
    </comment>
    <comment ref="R138" authorId="3" shapeId="0">
      <text>
        <r>
          <rPr>
            <b/>
            <sz val="9"/>
            <color indexed="81"/>
            <rFont val="Tahoma"/>
            <family val="2"/>
          </rPr>
          <t>Kaushal Maroo:</t>
        </r>
        <r>
          <rPr>
            <sz val="9"/>
            <color indexed="81"/>
            <rFont val="Tahoma"/>
            <family val="2"/>
          </rPr>
          <t xml:space="preserve">
FMP maturity </t>
        </r>
      </text>
    </comment>
    <comment ref="N139" authorId="5" shapeId="0">
      <text>
        <r>
          <rPr>
            <b/>
            <sz val="8"/>
            <color indexed="81"/>
            <rFont val="Tahoma"/>
            <family val="2"/>
          </rPr>
          <t>User:</t>
        </r>
        <r>
          <rPr>
            <sz val="8"/>
            <color indexed="81"/>
            <rFont val="Tahoma"/>
            <family val="2"/>
          </rPr>
          <t xml:space="preserve">
Dividend from KTM of Euro 3.6mn </t>
        </r>
      </text>
    </comment>
    <comment ref="O139" authorId="5" shapeId="0">
      <text>
        <r>
          <rPr>
            <b/>
            <sz val="8"/>
            <color indexed="81"/>
            <rFont val="Tahoma"/>
            <family val="2"/>
          </rPr>
          <t>User:</t>
        </r>
        <r>
          <rPr>
            <sz val="8"/>
            <color indexed="81"/>
            <rFont val="Tahoma"/>
            <family val="2"/>
          </rPr>
          <t xml:space="preserve">
Dividend from KTM of Euro 3.6mn </t>
        </r>
      </text>
    </comment>
    <comment ref="P139" authorId="5" shapeId="0">
      <text>
        <r>
          <rPr>
            <b/>
            <sz val="8"/>
            <color indexed="81"/>
            <rFont val="Tahoma"/>
            <family val="2"/>
          </rPr>
          <t>User:</t>
        </r>
        <r>
          <rPr>
            <sz val="8"/>
            <color indexed="81"/>
            <rFont val="Tahoma"/>
            <family val="2"/>
          </rPr>
          <t xml:space="preserve">
Dividend from KTM of Euro 3.6mn </t>
        </r>
      </text>
    </comment>
    <comment ref="Q139" authorId="5" shapeId="0">
      <text>
        <r>
          <rPr>
            <b/>
            <sz val="8"/>
            <color indexed="81"/>
            <rFont val="Tahoma"/>
            <family val="2"/>
          </rPr>
          <t>User:</t>
        </r>
        <r>
          <rPr>
            <sz val="8"/>
            <color indexed="81"/>
            <rFont val="Tahoma"/>
            <family val="2"/>
          </rPr>
          <t xml:space="preserve">
Dividend from KTM of Euro 3.6mn </t>
        </r>
      </text>
    </comment>
    <comment ref="R139" authorId="5" shapeId="0">
      <text>
        <r>
          <rPr>
            <b/>
            <sz val="8"/>
            <color indexed="81"/>
            <rFont val="Tahoma"/>
            <family val="2"/>
          </rPr>
          <t>User:</t>
        </r>
        <r>
          <rPr>
            <sz val="8"/>
            <color indexed="81"/>
            <rFont val="Tahoma"/>
            <family val="2"/>
          </rPr>
          <t xml:space="preserve">
Dividend from KTM of Euro 3.6mn </t>
        </r>
      </text>
    </comment>
    <comment ref="M140" authorId="2" shapeId="0">
      <text>
        <r>
          <rPr>
            <b/>
            <sz val="8"/>
            <color indexed="81"/>
            <rFont val="Tahoma"/>
            <family val="2"/>
          </rPr>
          <t>admin:</t>
        </r>
        <r>
          <rPr>
            <sz val="8"/>
            <color indexed="81"/>
            <rFont val="Tahoma"/>
            <family val="2"/>
          </rPr>
          <t xml:space="preserve">
134 cr reversal of MTM forex in FY13</t>
        </r>
      </text>
    </comment>
    <comment ref="M142" authorId="5" shapeId="0">
      <text>
        <r>
          <rPr>
            <b/>
            <sz val="8"/>
            <color indexed="81"/>
            <rFont val="Tahoma"/>
            <family val="2"/>
          </rPr>
          <t>User:</t>
        </r>
        <r>
          <rPr>
            <sz val="8"/>
            <color indexed="81"/>
            <rFont val="Tahoma"/>
            <family val="2"/>
          </rPr>
          <t xml:space="preserve">
Adjusted for forex gains/ loss and repayment of sales tax deferral loans</t>
        </r>
      </text>
    </comment>
    <comment ref="N142" authorId="5" shapeId="0">
      <text>
        <r>
          <rPr>
            <b/>
            <sz val="8"/>
            <color indexed="81"/>
            <rFont val="Tahoma"/>
            <family val="2"/>
          </rPr>
          <t>User:</t>
        </r>
        <r>
          <rPr>
            <sz val="8"/>
            <color indexed="81"/>
            <rFont val="Tahoma"/>
            <family val="2"/>
          </rPr>
          <t xml:space="preserve">
Adjusted for forex gains/ loss and repayment of sales tax deferral loans</t>
        </r>
      </text>
    </comment>
    <comment ref="O142" authorId="5" shapeId="0">
      <text>
        <r>
          <rPr>
            <b/>
            <sz val="8"/>
            <color indexed="81"/>
            <rFont val="Tahoma"/>
            <family val="2"/>
          </rPr>
          <t>User:</t>
        </r>
        <r>
          <rPr>
            <sz val="8"/>
            <color indexed="81"/>
            <rFont val="Tahoma"/>
            <family val="2"/>
          </rPr>
          <t xml:space="preserve">
Adjusted for forex gains/ loss and repayment of sales tax deferral loans</t>
        </r>
      </text>
    </comment>
    <comment ref="P142" authorId="5" shapeId="0">
      <text>
        <r>
          <rPr>
            <b/>
            <sz val="8"/>
            <color indexed="81"/>
            <rFont val="Tahoma"/>
            <family val="2"/>
          </rPr>
          <t>User:</t>
        </r>
        <r>
          <rPr>
            <sz val="8"/>
            <color indexed="81"/>
            <rFont val="Tahoma"/>
            <family val="2"/>
          </rPr>
          <t xml:space="preserve">
Adjusted for forex gains/ loss and repayment of sales tax deferral loans</t>
        </r>
      </text>
    </comment>
    <comment ref="H150" authorId="0" shapeId="0">
      <text>
        <r>
          <rPr>
            <b/>
            <sz val="8"/>
            <color indexed="81"/>
            <rFont val="Tahoma"/>
            <family val="2"/>
          </rPr>
          <t>Religare:</t>
        </r>
        <r>
          <rPr>
            <sz val="8"/>
            <color indexed="81"/>
            <rFont val="Tahoma"/>
            <family val="2"/>
          </rPr>
          <t xml:space="preserve">
VRS</t>
        </r>
      </text>
    </comment>
    <comment ref="I150" authorId="4" shapeId="0">
      <text>
        <r>
          <rPr>
            <b/>
            <sz val="8"/>
            <color indexed="81"/>
            <rFont val="Tahoma"/>
            <family val="2"/>
          </rPr>
          <t>Mr.Piyush:</t>
        </r>
        <r>
          <rPr>
            <sz val="8"/>
            <color indexed="81"/>
            <rFont val="Tahoma"/>
            <family val="2"/>
          </rPr>
          <t xml:space="preserve">
VRS: 1833mn
Valuation Losses on Hedging derivative instrument: 218mn </t>
        </r>
      </text>
    </comment>
    <comment ref="O159" authorId="5" shapeId="0">
      <text>
        <r>
          <rPr>
            <b/>
            <sz val="8"/>
            <color indexed="81"/>
            <rFont val="Tahoma"/>
            <family val="2"/>
          </rPr>
          <t>User:</t>
        </r>
        <r>
          <rPr>
            <sz val="8"/>
            <color indexed="81"/>
            <rFont val="Tahoma"/>
            <family val="2"/>
          </rPr>
          <t xml:space="preserve">
New Cos Act recommends lesser useful life of assets leadign to higher depreciation</t>
        </r>
      </text>
    </comment>
  </commentList>
</comments>
</file>

<file path=xl/comments3.xml><?xml version="1.0" encoding="utf-8"?>
<comments xmlns="http://schemas.openxmlformats.org/spreadsheetml/2006/main">
  <authors>
    <author>Kaushal Maroo</author>
    <author>Bibhishan Jagtap</author>
  </authors>
  <commentList>
    <comment ref="P6" authorId="0" shapeId="0">
      <text>
        <r>
          <rPr>
            <b/>
            <sz val="9"/>
            <color indexed="81"/>
            <rFont val="Tahoma"/>
            <family val="2"/>
          </rPr>
          <t>Kaushal Maroo:</t>
        </r>
        <r>
          <rPr>
            <sz val="9"/>
            <color indexed="81"/>
            <rFont val="Tahoma"/>
            <family val="2"/>
          </rPr>
          <t xml:space="preserve">
Benefits from launch of CT100 in March '15</t>
        </r>
      </text>
    </comment>
    <comment ref="O9" authorId="0" shapeId="0">
      <text>
        <r>
          <rPr>
            <b/>
            <sz val="9"/>
            <color indexed="81"/>
            <rFont val="Tahoma"/>
            <family val="2"/>
          </rPr>
          <t>Kaushal Maroo:</t>
        </r>
        <r>
          <rPr>
            <sz val="9"/>
            <color indexed="81"/>
            <rFont val="Tahoma"/>
            <family val="2"/>
          </rPr>
          <t xml:space="preserve">
Full year no from SIAM March sheet</t>
        </r>
      </text>
    </comment>
    <comment ref="Q10" authorId="1" shapeId="0">
      <text>
        <r>
          <rPr>
            <b/>
            <sz val="9"/>
            <color indexed="81"/>
            <rFont val="Tahoma"/>
            <family val="2"/>
          </rPr>
          <t>Bibhishan Jagtap:</t>
        </r>
        <r>
          <rPr>
            <sz val="9"/>
            <color indexed="81"/>
            <rFont val="Tahoma"/>
            <family val="2"/>
          </rPr>
          <t xml:space="preserve">
Companny guidance 300,000</t>
        </r>
      </text>
    </comment>
    <comment ref="Q16" authorId="1" shapeId="0">
      <text>
        <r>
          <rPr>
            <b/>
            <sz val="9"/>
            <color indexed="81"/>
            <rFont val="Tahoma"/>
            <family val="2"/>
          </rPr>
          <t>Bibhishan Jagtap:</t>
        </r>
        <r>
          <rPr>
            <sz val="9"/>
            <color indexed="81"/>
            <rFont val="Tahoma"/>
            <family val="2"/>
          </rPr>
          <t xml:space="preserve">
1.6mn</t>
        </r>
      </text>
    </comment>
    <comment ref="Q17" authorId="1" shapeId="0">
      <text>
        <r>
          <rPr>
            <b/>
            <sz val="9"/>
            <color indexed="81"/>
            <rFont val="Tahoma"/>
            <family val="2"/>
          </rPr>
          <t>Bibhishan Jagtap:</t>
        </r>
        <r>
          <rPr>
            <sz val="9"/>
            <color indexed="81"/>
            <rFont val="Tahoma"/>
            <family val="2"/>
          </rPr>
          <t xml:space="preserve">
Company guidance of 4.6mn</t>
        </r>
      </text>
    </comment>
    <comment ref="Q56" authorId="0" shapeId="0">
      <text>
        <r>
          <rPr>
            <b/>
            <sz val="9"/>
            <color indexed="81"/>
            <rFont val="Tahoma"/>
            <family val="2"/>
          </rPr>
          <t>Kaushal Maroo:</t>
        </r>
        <r>
          <rPr>
            <sz val="9"/>
            <color indexed="81"/>
            <rFont val="Tahoma"/>
            <family val="2"/>
          </rPr>
          <t xml:space="preserve">
As 3w sales collapsed, have taken decline in ASPs</t>
        </r>
      </text>
    </comment>
    <comment ref="P59" authorId="0" shapeId="0">
      <text>
        <r>
          <rPr>
            <b/>
            <sz val="9"/>
            <color indexed="81"/>
            <rFont val="Tahoma"/>
            <family val="2"/>
          </rPr>
          <t>Kaushal Maroo:</t>
        </r>
        <r>
          <rPr>
            <sz val="9"/>
            <color indexed="81"/>
            <rFont val="Tahoma"/>
            <family val="2"/>
          </rPr>
          <t xml:space="preserve">
Impact of CT100 launch more than offsets excise hike</t>
        </r>
      </text>
    </comment>
    <comment ref="Q83" authorId="0" shapeId="0">
      <text>
        <r>
          <rPr>
            <b/>
            <sz val="9"/>
            <color indexed="81"/>
            <rFont val="Tahoma"/>
            <family val="2"/>
          </rPr>
          <t>Kaushal Maroo:</t>
        </r>
        <r>
          <rPr>
            <sz val="9"/>
            <color indexed="81"/>
            <rFont val="Tahoma"/>
            <family val="2"/>
          </rPr>
          <t xml:space="preserve">
Excise grossed up.. Hence removing
</t>
        </r>
      </text>
    </comment>
    <comment ref="R83" authorId="0" shapeId="0">
      <text>
        <r>
          <rPr>
            <b/>
            <sz val="9"/>
            <color indexed="81"/>
            <rFont val="Tahoma"/>
            <family val="2"/>
          </rPr>
          <t>Kaushal Maroo:</t>
        </r>
        <r>
          <rPr>
            <sz val="9"/>
            <color indexed="81"/>
            <rFont val="Tahoma"/>
            <family val="2"/>
          </rPr>
          <t xml:space="preserve">
Excise grossed up.. Hence removing
</t>
        </r>
      </text>
    </comment>
    <comment ref="S83" authorId="0" shapeId="0">
      <text>
        <r>
          <rPr>
            <b/>
            <sz val="9"/>
            <color indexed="81"/>
            <rFont val="Tahoma"/>
            <family val="2"/>
          </rPr>
          <t>Kaushal Maroo:</t>
        </r>
        <r>
          <rPr>
            <sz val="9"/>
            <color indexed="81"/>
            <rFont val="Tahoma"/>
            <family val="2"/>
          </rPr>
          <t xml:space="preserve">
Excise grossed up.. Hence removing
</t>
        </r>
      </text>
    </comment>
    <comment ref="T83" authorId="0" shapeId="0">
      <text>
        <r>
          <rPr>
            <b/>
            <sz val="9"/>
            <color indexed="81"/>
            <rFont val="Tahoma"/>
            <family val="2"/>
          </rPr>
          <t>Kaushal Maroo:</t>
        </r>
        <r>
          <rPr>
            <sz val="9"/>
            <color indexed="81"/>
            <rFont val="Tahoma"/>
            <family val="2"/>
          </rPr>
          <t xml:space="preserve">
Excise grossed up.. Hence removing
</t>
        </r>
      </text>
    </comment>
    <comment ref="Q98" authorId="0" shapeId="0">
      <text>
        <r>
          <rPr>
            <b/>
            <sz val="9"/>
            <color indexed="81"/>
            <rFont val="Tahoma"/>
            <family val="2"/>
          </rPr>
          <t>Kaushal Maroo:</t>
        </r>
        <r>
          <rPr>
            <sz val="9"/>
            <color indexed="81"/>
            <rFont val="Tahoma"/>
            <family val="2"/>
          </rPr>
          <t xml:space="preserve">
Grossing up of excise under INdAS</t>
        </r>
      </text>
    </comment>
    <comment ref="R98" authorId="0" shapeId="0">
      <text>
        <r>
          <rPr>
            <b/>
            <sz val="9"/>
            <color indexed="81"/>
            <rFont val="Tahoma"/>
            <family val="2"/>
          </rPr>
          <t>Kaushal Maroo:</t>
        </r>
        <r>
          <rPr>
            <sz val="9"/>
            <color indexed="81"/>
            <rFont val="Tahoma"/>
            <family val="2"/>
          </rPr>
          <t xml:space="preserve">
Grossing up of excise under INdAS</t>
        </r>
      </text>
    </comment>
  </commentList>
</comments>
</file>

<file path=xl/comments4.xml><?xml version="1.0" encoding="utf-8"?>
<comments xmlns="http://schemas.openxmlformats.org/spreadsheetml/2006/main">
  <authors>
    <author>Religare</author>
    <author>Venil Shah</author>
    <author>admin</author>
  </authors>
  <commentList>
    <comment ref="D20" authorId="0" shapeId="0">
      <text>
        <r>
          <rPr>
            <b/>
            <sz val="8"/>
            <color indexed="81"/>
            <rFont val="Tahoma"/>
            <family val="2"/>
          </rPr>
          <t>Religare:</t>
        </r>
        <r>
          <rPr>
            <sz val="8"/>
            <color indexed="81"/>
            <rFont val="Tahoma"/>
            <family val="2"/>
          </rPr>
          <t xml:space="preserve">
lease adjustment account - plant and machinery</t>
        </r>
      </text>
    </comment>
    <comment ref="H20" authorId="0" shapeId="0">
      <text>
        <r>
          <rPr>
            <b/>
            <sz val="8"/>
            <color indexed="81"/>
            <rFont val="Tahoma"/>
            <family val="2"/>
          </rPr>
          <t>Religare:</t>
        </r>
        <r>
          <rPr>
            <sz val="8"/>
            <color indexed="81"/>
            <rFont val="Tahoma"/>
            <family val="2"/>
          </rPr>
          <t xml:space="preserve">
Goodwill on investments in associates</t>
        </r>
      </text>
    </comment>
    <comment ref="B92" authorId="0" shapeId="0">
      <text>
        <r>
          <rPr>
            <b/>
            <sz val="8"/>
            <color indexed="81"/>
            <rFont val="Tahoma"/>
            <family val="2"/>
          </rPr>
          <t>Religare:</t>
        </r>
        <r>
          <rPr>
            <sz val="8"/>
            <color indexed="81"/>
            <rFont val="Tahoma"/>
            <family val="2"/>
          </rPr>
          <t xml:space="preserve">
Describe with a comment in relevant peiod.</t>
        </r>
      </text>
    </comment>
    <comment ref="B102" authorId="0" shapeId="0">
      <text>
        <r>
          <rPr>
            <b/>
            <sz val="8"/>
            <color indexed="81"/>
            <rFont val="Tahoma"/>
            <family val="2"/>
          </rPr>
          <t>Religare:</t>
        </r>
        <r>
          <rPr>
            <sz val="8"/>
            <color indexed="81"/>
            <rFont val="Tahoma"/>
            <family val="2"/>
          </rPr>
          <t xml:space="preserve">
Describe with a comment in relevant peiod.</t>
        </r>
      </text>
    </comment>
    <comment ref="O111" authorId="1" shapeId="0">
      <text>
        <r>
          <rPr>
            <b/>
            <sz val="9"/>
            <color indexed="81"/>
            <rFont val="Tahoma"/>
            <family val="2"/>
          </rPr>
          <t>Venil Shah:</t>
        </r>
        <r>
          <rPr>
            <sz val="9"/>
            <color indexed="81"/>
            <rFont val="Tahoma"/>
            <family val="2"/>
          </rPr>
          <t xml:space="preserve">
Added bank balance related to unclaimed dividend. Deducted the same from Cash &amp; Equivalents</t>
        </r>
      </text>
    </comment>
    <comment ref="L148" authorId="2" shapeId="0">
      <text>
        <r>
          <rPr>
            <b/>
            <sz val="8"/>
            <color indexed="81"/>
            <rFont val="Tahoma"/>
            <family val="2"/>
          </rPr>
          <t>admin:</t>
        </r>
        <r>
          <rPr>
            <sz val="8"/>
            <color indexed="81"/>
            <rFont val="Tahoma"/>
            <family val="2"/>
          </rPr>
          <t xml:space="preserve">
includes valuation loss on hedging instrutment of Rs 4689.8 m</t>
        </r>
      </text>
    </comment>
  </commentList>
</comments>
</file>

<file path=xl/comments5.xml><?xml version="1.0" encoding="utf-8"?>
<comments xmlns="http://schemas.openxmlformats.org/spreadsheetml/2006/main">
  <authors>
    <author>Venil Shah</author>
  </authors>
  <commentList>
    <comment ref="L22" authorId="0" shapeId="0">
      <text>
        <r>
          <rPr>
            <b/>
            <sz val="9"/>
            <color indexed="81"/>
            <rFont val="Tahoma"/>
            <family val="2"/>
          </rPr>
          <t>Venil Shah:</t>
        </r>
        <r>
          <rPr>
            <sz val="9"/>
            <color indexed="81"/>
            <rFont val="Tahoma"/>
            <family val="2"/>
          </rPr>
          <t xml:space="preserve">
Quadricycle volumes added</t>
        </r>
      </text>
    </comment>
    <comment ref="L41" authorId="0" shapeId="0">
      <text>
        <r>
          <rPr>
            <b/>
            <sz val="9"/>
            <color indexed="81"/>
            <rFont val="Tahoma"/>
            <family val="2"/>
          </rPr>
          <t>Venil Shah:</t>
        </r>
        <r>
          <rPr>
            <sz val="9"/>
            <color indexed="81"/>
            <rFont val="Tahoma"/>
            <family val="2"/>
          </rPr>
          <t xml:space="preserve">
Quadricycle volumes added</t>
        </r>
      </text>
    </comment>
  </commentList>
</comments>
</file>

<file path=xl/comments6.xml><?xml version="1.0" encoding="utf-8"?>
<comments xmlns="http://schemas.openxmlformats.org/spreadsheetml/2006/main">
  <authors>
    <author>Venil Shah</author>
  </authors>
  <commentList>
    <comment ref="V20" authorId="0" shapeId="0">
      <text>
        <r>
          <rPr>
            <b/>
            <sz val="9"/>
            <color indexed="81"/>
            <rFont val="Tahoma"/>
            <family val="2"/>
          </rPr>
          <t>Venil Shah:</t>
        </r>
        <r>
          <rPr>
            <sz val="9"/>
            <color indexed="81"/>
            <rFont val="Tahoma"/>
            <family val="2"/>
          </rPr>
          <t xml:space="preserve">
Benchmarked in this quarter
</t>
        </r>
      </text>
    </comment>
  </commentList>
</comments>
</file>

<file path=xl/comments7.xml><?xml version="1.0" encoding="utf-8"?>
<comments xmlns="http://schemas.openxmlformats.org/spreadsheetml/2006/main">
  <authors>
    <author>user</author>
    <author>admin</author>
  </authors>
  <commentList>
    <comment ref="K72" authorId="0" shapeId="0">
      <text>
        <r>
          <rPr>
            <b/>
            <sz val="8"/>
            <color indexed="81"/>
            <rFont val="Tahoma"/>
            <family val="2"/>
          </rPr>
          <t>user:</t>
        </r>
        <r>
          <rPr>
            <sz val="8"/>
            <color indexed="81"/>
            <rFont val="Tahoma"/>
            <family val="2"/>
          </rPr>
          <t xml:space="preserve">
market share of 33%, vaslue segment market shre of 23%</t>
        </r>
      </text>
    </comment>
    <comment ref="E85" authorId="0" shapeId="0">
      <text>
        <r>
          <rPr>
            <b/>
            <sz val="8"/>
            <color indexed="81"/>
            <rFont val="Tahoma"/>
            <family val="2"/>
          </rPr>
          <t>user:</t>
        </r>
        <r>
          <rPr>
            <sz val="8"/>
            <color indexed="81"/>
            <rFont val="Tahoma"/>
            <family val="2"/>
          </rPr>
          <t xml:space="preserve">
Company facing production constraints due to unavilaibilty of Tyre , which is expected to continue till Oct 2005. Till then the max vol wil lbe 75K</t>
        </r>
      </text>
    </comment>
    <comment ref="F85" authorId="0" shapeId="0">
      <text>
        <r>
          <rPr>
            <b/>
            <sz val="8"/>
            <color indexed="81"/>
            <rFont val="Tahoma"/>
            <family val="2"/>
          </rPr>
          <t>user:</t>
        </r>
        <r>
          <rPr>
            <sz val="8"/>
            <color indexed="81"/>
            <rFont val="Tahoma"/>
            <family val="2"/>
          </rPr>
          <t xml:space="preserve">
capacity constraints of tyre will be overcome by Oct05
</t>
        </r>
      </text>
    </comment>
    <comment ref="E86" authorId="0" shapeId="0">
      <text>
        <r>
          <rPr>
            <b/>
            <sz val="8"/>
            <color indexed="81"/>
            <rFont val="Tahoma"/>
            <family val="2"/>
          </rPr>
          <t>user:</t>
        </r>
        <r>
          <rPr>
            <sz val="8"/>
            <color indexed="81"/>
            <rFont val="Tahoma"/>
            <family val="2"/>
          </rPr>
          <t xml:space="preserve">
expected volumes 30k in august and 40k till october</t>
        </r>
      </text>
    </comment>
    <comment ref="K86" authorId="0" shapeId="0">
      <text>
        <r>
          <rPr>
            <b/>
            <sz val="8"/>
            <color indexed="81"/>
            <rFont val="Tahoma"/>
            <family val="2"/>
          </rPr>
          <t>user:</t>
        </r>
        <r>
          <rPr>
            <sz val="8"/>
            <color indexed="81"/>
            <rFont val="Tahoma"/>
            <family val="2"/>
          </rPr>
          <t xml:space="preserve">
capacity expansded to 75000 units per month</t>
        </r>
      </text>
    </comment>
    <comment ref="E88" authorId="0" shapeId="0">
      <text>
        <r>
          <rPr>
            <b/>
            <sz val="8"/>
            <color indexed="81"/>
            <rFont val="Tahoma"/>
            <family val="2"/>
          </rPr>
          <t>user:</t>
        </r>
        <r>
          <rPr>
            <sz val="8"/>
            <color indexed="81"/>
            <rFont val="Tahoma"/>
            <family val="2"/>
          </rPr>
          <t xml:space="preserve">
expected volume 2500 in august and 4000 from october</t>
        </r>
      </text>
    </comment>
    <comment ref="E89" authorId="0" shapeId="0">
      <text>
        <r>
          <rPr>
            <b/>
            <sz val="8"/>
            <color indexed="81"/>
            <rFont val="Tahoma"/>
            <family val="2"/>
          </rPr>
          <t>user:</t>
        </r>
        <r>
          <rPr>
            <sz val="8"/>
            <color indexed="81"/>
            <rFont val="Tahoma"/>
            <family val="2"/>
          </rPr>
          <t xml:space="preserve">
running at full capacity in fo 5000 units in just three months of launch. Capacity is to be doubled to 10,000 units by Oct 2005</t>
        </r>
      </text>
    </comment>
    <comment ref="F89" authorId="0" shapeId="0">
      <text>
        <r>
          <rPr>
            <b/>
            <sz val="8"/>
            <color indexed="81"/>
            <rFont val="Tahoma"/>
            <family val="2"/>
          </rPr>
          <t>user:</t>
        </r>
        <r>
          <rPr>
            <sz val="8"/>
            <color indexed="81"/>
            <rFont val="Tahoma"/>
            <family val="2"/>
          </rPr>
          <t xml:space="preserve">
expected to reach to 10,000 by october</t>
        </r>
      </text>
    </comment>
    <comment ref="E90" authorId="0" shapeId="0">
      <text>
        <r>
          <rPr>
            <b/>
            <sz val="8"/>
            <color indexed="81"/>
            <rFont val="Tahoma"/>
            <family val="2"/>
          </rPr>
          <t>user:</t>
        </r>
        <r>
          <rPr>
            <sz val="8"/>
            <color indexed="81"/>
            <rFont val="Tahoma"/>
            <family val="2"/>
          </rPr>
          <t xml:space="preserve">
27% increase in demand by replacemt of three wheeler in Ahmedabad by CNG ones, LPG vehicles to be introduced in Chennai and Calcutta soon</t>
        </r>
      </text>
    </comment>
    <comment ref="F90" authorId="0" shapeId="0">
      <text>
        <r>
          <rPr>
            <b/>
            <sz val="8"/>
            <color indexed="81"/>
            <rFont val="Tahoma"/>
            <family val="2"/>
          </rPr>
          <t>user:</t>
        </r>
        <r>
          <rPr>
            <sz val="8"/>
            <color indexed="81"/>
            <rFont val="Tahoma"/>
            <family val="2"/>
          </rPr>
          <t xml:space="preserve">
driven by LPG and CNG based vehicles</t>
        </r>
      </text>
    </comment>
    <comment ref="H202" authorId="1" shapeId="0">
      <text>
        <r>
          <rPr>
            <b/>
            <sz val="8"/>
            <color indexed="81"/>
            <rFont val="Tahoma"/>
            <family val="2"/>
          </rPr>
          <t>admin:</t>
        </r>
        <r>
          <rPr>
            <sz val="8"/>
            <color indexed="81"/>
            <rFont val="Tahoma"/>
            <family val="2"/>
          </rPr>
          <t xml:space="preserve">
Diwali in this month vs Nov last year. Bike retail sales up 17% to 350k. 25k units lost due to unrest at Pantnagar</t>
        </r>
      </text>
    </comment>
    <comment ref="H219" authorId="1" shapeId="0">
      <text>
        <r>
          <rPr>
            <b/>
            <sz val="8"/>
            <color indexed="81"/>
            <rFont val="Tahoma"/>
            <family val="2"/>
          </rPr>
          <t>admin:</t>
        </r>
        <r>
          <rPr>
            <sz val="8"/>
            <color indexed="81"/>
            <rFont val="Tahoma"/>
            <family val="2"/>
          </rPr>
          <t xml:space="preserve">
Diwali in this month vs Nov last year. Bike retail sales up 17% to 350k. 25k units lost due to unrest at Pantnagar</t>
        </r>
      </text>
    </comment>
  </commentList>
</comments>
</file>

<file path=xl/comments8.xml><?xml version="1.0" encoding="utf-8"?>
<comments xmlns="http://schemas.openxmlformats.org/spreadsheetml/2006/main">
  <authors>
    <author>User</author>
  </authors>
  <commentList>
    <comment ref="F14" authorId="0" shapeId="0">
      <text>
        <r>
          <rPr>
            <b/>
            <sz val="8"/>
            <color indexed="81"/>
            <rFont val="Tahoma"/>
            <family val="2"/>
          </rPr>
          <t>User:</t>
        </r>
        <r>
          <rPr>
            <sz val="8"/>
            <color indexed="81"/>
            <rFont val="Tahoma"/>
            <family val="2"/>
          </rPr>
          <t xml:space="preserve">
All Debt</t>
        </r>
      </text>
    </comment>
    <comment ref="G14" authorId="0" shapeId="0">
      <text>
        <r>
          <rPr>
            <b/>
            <sz val="8"/>
            <color indexed="81"/>
            <rFont val="Tahoma"/>
            <family val="2"/>
          </rPr>
          <t>User:</t>
        </r>
        <r>
          <rPr>
            <sz val="8"/>
            <color indexed="81"/>
            <rFont val="Tahoma"/>
            <family val="2"/>
          </rPr>
          <t xml:space="preserve">
All Debt</t>
        </r>
      </text>
    </comment>
    <comment ref="F27" authorId="0" shapeId="0">
      <text>
        <r>
          <rPr>
            <b/>
            <sz val="8"/>
            <color indexed="81"/>
            <rFont val="Tahoma"/>
            <family val="2"/>
          </rPr>
          <t>User:</t>
        </r>
        <r>
          <rPr>
            <sz val="8"/>
            <color indexed="81"/>
            <rFont val="Tahoma"/>
            <family val="2"/>
          </rPr>
          <t xml:space="preserve">
Bajaj to receive Euro 3.64mn as dividends from KTM</t>
        </r>
      </text>
    </comment>
  </commentList>
</comments>
</file>

<file path=xl/comments9.xml><?xml version="1.0" encoding="utf-8"?>
<comments xmlns="http://schemas.openxmlformats.org/spreadsheetml/2006/main">
  <authors>
    <author>admin</author>
    <author>Kaushal Maroo</author>
    <author>vora.keyur</author>
  </authors>
  <commentList>
    <comment ref="L11" authorId="0" shapeId="0">
      <text>
        <r>
          <rPr>
            <b/>
            <sz val="8"/>
            <color indexed="81"/>
            <rFont val="Tahoma"/>
            <family val="2"/>
          </rPr>
          <t>admin:</t>
        </r>
        <r>
          <rPr>
            <sz val="8"/>
            <color indexed="81"/>
            <rFont val="Tahoma"/>
            <family val="2"/>
          </rPr>
          <t xml:space="preserve">
Valuation loss of Rs 1343 mn</t>
        </r>
      </text>
    </comment>
    <comment ref="Q40" authorId="1" shapeId="0">
      <text>
        <r>
          <rPr>
            <b/>
            <sz val="9"/>
            <color indexed="81"/>
            <rFont val="Tahoma"/>
            <family val="2"/>
          </rPr>
          <t>Kaushal Maroo:</t>
        </r>
        <r>
          <rPr>
            <sz val="9"/>
            <color indexed="81"/>
            <rFont val="Tahoma"/>
            <family val="2"/>
          </rPr>
          <t xml:space="preserve">
To be eliminated when AR is out</t>
        </r>
      </text>
    </comment>
    <comment ref="L49" authorId="0" shapeId="0">
      <text>
        <r>
          <rPr>
            <b/>
            <sz val="8"/>
            <color indexed="81"/>
            <rFont val="Tahoma"/>
            <family val="2"/>
          </rPr>
          <t>admin:</t>
        </r>
        <r>
          <rPr>
            <sz val="8"/>
            <color indexed="81"/>
            <rFont val="Tahoma"/>
            <family val="2"/>
          </rPr>
          <t xml:space="preserve">
prepayment of sales tax deferral loan</t>
        </r>
      </text>
    </comment>
    <comment ref="K54" authorId="2" shapeId="0">
      <text>
        <r>
          <rPr>
            <b/>
            <sz val="9"/>
            <color indexed="81"/>
            <rFont val="Tahoma"/>
            <family val="2"/>
          </rPr>
          <t>vora.keyur:</t>
        </r>
        <r>
          <rPr>
            <sz val="9"/>
            <color indexed="81"/>
            <rFont val="Tahoma"/>
            <family val="2"/>
          </rPr>
          <t xml:space="preserve">
Fixed deposits shown separately</t>
        </r>
      </text>
    </comment>
    <comment ref="L55" authorId="0" shapeId="0">
      <text>
        <r>
          <rPr>
            <b/>
            <sz val="8"/>
            <color indexed="81"/>
            <rFont val="Tahoma"/>
            <family val="2"/>
          </rPr>
          <t>admin:</t>
        </r>
        <r>
          <rPr>
            <sz val="8"/>
            <color indexed="81"/>
            <rFont val="Tahoma"/>
            <family val="2"/>
          </rPr>
          <t xml:space="preserve">
Opening balance restated</t>
        </r>
      </text>
    </comment>
  </commentList>
</comments>
</file>

<file path=xl/comments10.xml><?xml version="1.0" encoding="utf-8"?>
<comments xmlns="http://schemas.openxmlformats.org/spreadsheetml/2006/main">
  <authors>
    <author>chirag.shah</author>
  </authors>
  <commentList>
    <comment ref="B37" authorId="0" shapeId="0">
      <text>
        <r>
          <rPr>
            <b/>
            <sz val="8"/>
            <color indexed="81"/>
            <rFont val="Tahoma"/>
            <family val="2"/>
          </rPr>
          <t>chirag.shah:</t>
        </r>
        <r>
          <rPr>
            <sz val="8"/>
            <color indexed="81"/>
            <rFont val="Tahoma"/>
            <family val="2"/>
          </rPr>
          <t xml:space="preserve">
three -wheleler launched in Indonesia</t>
        </r>
      </text>
    </comment>
    <comment ref="B38" authorId="0" shapeId="0">
      <text>
        <r>
          <rPr>
            <b/>
            <sz val="8"/>
            <color indexed="81"/>
            <rFont val="Tahoma"/>
            <family val="2"/>
          </rPr>
          <t>chirag.shah:</t>
        </r>
        <r>
          <rPr>
            <sz val="8"/>
            <color indexed="81"/>
            <rFont val="Tahoma"/>
            <family val="2"/>
          </rPr>
          <t xml:space="preserve">
Launched in Jakarta</t>
        </r>
      </text>
    </comment>
  </commentList>
</comments>
</file>

<file path=xl/comments11.xml><?xml version="1.0" encoding="utf-8"?>
<comments xmlns="http://schemas.openxmlformats.org/spreadsheetml/2006/main">
  <authors>
    <author>Ronak Sarda</author>
  </authors>
  <commentList>
    <comment ref="B28" authorId="0" shapeId="0">
      <text>
        <r>
          <rPr>
            <b/>
            <sz val="8"/>
            <color indexed="81"/>
            <rFont val="Tahoma"/>
            <family val="2"/>
          </rPr>
          <t>Ronak Sarda:</t>
        </r>
        <r>
          <rPr>
            <sz val="8"/>
            <color indexed="81"/>
            <rFont val="Tahoma"/>
            <family val="2"/>
          </rPr>
          <t xml:space="preserve">
key market is Egypt</t>
        </r>
      </text>
    </comment>
  </commentList>
</comments>
</file>

<file path=xl/comments12.xml><?xml version="1.0" encoding="utf-8"?>
<comments xmlns="http://schemas.openxmlformats.org/spreadsheetml/2006/main">
  <authors>
    <author>User</author>
  </authors>
  <commentList>
    <comment ref="G63" authorId="0" shapeId="0">
      <text>
        <r>
          <rPr>
            <b/>
            <sz val="8"/>
            <color indexed="81"/>
            <rFont val="Tahoma"/>
            <family val="2"/>
          </rPr>
          <t>User:</t>
        </r>
        <r>
          <rPr>
            <sz val="8"/>
            <color indexed="81"/>
            <rFont val="Tahoma"/>
            <family val="2"/>
          </rPr>
          <t xml:space="preserve">
1.81mn m/cycle, 0.45mn 3W. Exports - 1.13mn m/cycle and 0.26mn 3W</t>
        </r>
      </text>
    </comment>
    <comment ref="I63" authorId="0" shapeId="0">
      <text>
        <r>
          <rPr>
            <b/>
            <sz val="8"/>
            <color indexed="81"/>
            <rFont val="Tahoma"/>
            <family val="2"/>
          </rPr>
          <t>User:</t>
        </r>
        <r>
          <rPr>
            <sz val="8"/>
            <color indexed="81"/>
            <rFont val="Tahoma"/>
            <family val="2"/>
          </rPr>
          <t xml:space="preserve">
1.81mn m/cycle, 0.45mn 3W. Exports - 1.13mn m/cycle and 0.26mn 3W</t>
        </r>
      </text>
    </comment>
    <comment ref="J63" authorId="0" shapeId="0">
      <text>
        <r>
          <rPr>
            <b/>
            <sz val="8"/>
            <color indexed="81"/>
            <rFont val="Tahoma"/>
            <family val="2"/>
          </rPr>
          <t>User:</t>
        </r>
        <r>
          <rPr>
            <sz val="8"/>
            <color indexed="81"/>
            <rFont val="Tahoma"/>
            <family val="2"/>
          </rPr>
          <t xml:space="preserve">
1.78 mn m/cycle, 0.52 mn 3W. Exports - 1.3 mn m/cycle and 0.28 mn 3W</t>
        </r>
      </text>
    </comment>
  </commentList>
</comments>
</file>

<file path=xl/sharedStrings.xml><?xml version="1.0" encoding="utf-8"?>
<sst xmlns="http://schemas.openxmlformats.org/spreadsheetml/2006/main" count="5181" uniqueCount="2648">
  <si>
    <t>Earlier</t>
  </si>
  <si>
    <t>Non Cash</t>
  </si>
  <si>
    <t>Non Op.</t>
  </si>
  <si>
    <t>Change in WC</t>
  </si>
  <si>
    <t>Debtors</t>
  </si>
  <si>
    <t>Cash Flow from Operations</t>
  </si>
  <si>
    <t>Debentures/bonds</t>
  </si>
  <si>
    <t>Commercial Papers</t>
  </si>
  <si>
    <t>Revised</t>
  </si>
  <si>
    <t>% Change</t>
  </si>
  <si>
    <t>TVS Motor</t>
  </si>
  <si>
    <t>TVS 50</t>
  </si>
  <si>
    <t>100 cc motorcycle</t>
  </si>
  <si>
    <t>TVS Scooty</t>
  </si>
  <si>
    <t>Showgun</t>
  </si>
  <si>
    <t>Shaolin</t>
  </si>
  <si>
    <t>Fiero</t>
  </si>
  <si>
    <t>Victor</t>
  </si>
  <si>
    <t>Centra</t>
  </si>
  <si>
    <t>Victor GLX 125 CC</t>
  </si>
  <si>
    <t>Star</t>
  </si>
  <si>
    <t>Victor GX 110 CC</t>
  </si>
  <si>
    <t>Victor Edge</t>
  </si>
  <si>
    <t>Apache</t>
  </si>
  <si>
    <t>Star Deluxe</t>
  </si>
  <si>
    <t>Star CITY</t>
  </si>
  <si>
    <t>Star City ES</t>
  </si>
  <si>
    <t>Scooty Pep +</t>
  </si>
  <si>
    <t>Scooty ES</t>
  </si>
  <si>
    <t>TVS Fiero F2</t>
  </si>
  <si>
    <t xml:space="preserve">Scooty Pep </t>
  </si>
  <si>
    <t>Prices</t>
  </si>
  <si>
    <t>Overdrive</t>
  </si>
  <si>
    <t>HH</t>
  </si>
  <si>
    <t>CC</t>
  </si>
  <si>
    <t xml:space="preserve">Rs </t>
  </si>
  <si>
    <t>CD Dawn</t>
  </si>
  <si>
    <t>CD Deluxe</t>
  </si>
  <si>
    <t>CT 100 DX</t>
  </si>
  <si>
    <t>Star City</t>
  </si>
  <si>
    <t>Star DLX</t>
  </si>
  <si>
    <t>Splendor +</t>
  </si>
  <si>
    <t>Platina DX</t>
  </si>
  <si>
    <t xml:space="preserve">Passion </t>
  </si>
  <si>
    <t>Discover 112</t>
  </si>
  <si>
    <t>Passion +</t>
  </si>
  <si>
    <t>Discover ES</t>
  </si>
  <si>
    <t>Victor GLX 125</t>
  </si>
  <si>
    <t>Discover</t>
  </si>
  <si>
    <t>Super Splendor DS ES</t>
  </si>
  <si>
    <t>CBZ Star</t>
  </si>
  <si>
    <t>Avenger</t>
  </si>
  <si>
    <t>CBZ Star ES</t>
  </si>
  <si>
    <t>Achiever ES</t>
  </si>
  <si>
    <t>KariZma</t>
  </si>
  <si>
    <t>Goodwill</t>
  </si>
  <si>
    <t>IPRs / Technical know-how</t>
  </si>
  <si>
    <t>Other intangible assets</t>
  </si>
  <si>
    <t>Accumulated amortisation</t>
  </si>
  <si>
    <t>Impairment of intangible assets</t>
  </si>
  <si>
    <t>Investments</t>
  </si>
  <si>
    <t>Investment in subsidiaries &amp; JVs</t>
  </si>
  <si>
    <t>Quoted investments</t>
  </si>
  <si>
    <t>Equity</t>
  </si>
  <si>
    <t>Mutual fund</t>
  </si>
  <si>
    <t>Debt</t>
  </si>
  <si>
    <t>Unquoted investments</t>
  </si>
  <si>
    <t>Deferred Tax Assets, Net</t>
  </si>
  <si>
    <t>Deferred tax liability</t>
  </si>
  <si>
    <t>Current liabilities</t>
  </si>
  <si>
    <t>Provisions</t>
  </si>
  <si>
    <t>Short-term debt</t>
  </si>
  <si>
    <t>Long-term debt</t>
  </si>
  <si>
    <t>Current Liabilities</t>
  </si>
  <si>
    <t>Sundry creditors</t>
  </si>
  <si>
    <t>Advances from customers</t>
  </si>
  <si>
    <t>Unearned revenues</t>
  </si>
  <si>
    <t>Current portion of debt</t>
  </si>
  <si>
    <t>Other current liabilities</t>
  </si>
  <si>
    <t>For income taxes</t>
  </si>
  <si>
    <t>For dividend</t>
  </si>
  <si>
    <t>For warranties</t>
  </si>
  <si>
    <t>Other provisions</t>
  </si>
  <si>
    <t>Long Term Debt</t>
  </si>
  <si>
    <t>Term loans</t>
  </si>
  <si>
    <t>Fixed deposits</t>
  </si>
  <si>
    <t>Non-convertible debentures</t>
  </si>
  <si>
    <t>Short Term Debt</t>
  </si>
  <si>
    <t>Cash credit</t>
  </si>
  <si>
    <t>Working capital loans</t>
  </si>
  <si>
    <t>Short term debt</t>
  </si>
  <si>
    <t>Bank overdraft</t>
  </si>
  <si>
    <t>Minority interests</t>
  </si>
  <si>
    <t>Other liabilities</t>
  </si>
  <si>
    <t>Shareholder's equity</t>
  </si>
  <si>
    <t>Total liabilities &amp; equity</t>
  </si>
  <si>
    <t>Shareholder's Equity</t>
  </si>
  <si>
    <t>Outstanding no. of shares (mn)</t>
  </si>
  <si>
    <t>Face value</t>
  </si>
  <si>
    <t>*</t>
  </si>
  <si>
    <t>Equity capital</t>
  </si>
  <si>
    <t>Share premium account</t>
  </si>
  <si>
    <t>General reserve</t>
  </si>
  <si>
    <t>Debenture redemption reserve</t>
  </si>
  <si>
    <t>Revaluation reserve</t>
  </si>
  <si>
    <t>Profit and loss account</t>
  </si>
  <si>
    <t>Other reserves</t>
  </si>
  <si>
    <t>CHECK</t>
  </si>
  <si>
    <t>Historical &amp; Projected Cashflow Statement</t>
  </si>
  <si>
    <t>Purchase of fixed assets</t>
  </si>
  <si>
    <t>Q3FY13</t>
  </si>
  <si>
    <t>Proceeds from sale of fixed assets</t>
  </si>
  <si>
    <t>Purchase of investments</t>
  </si>
  <si>
    <t>Proceeds from sale of investments</t>
  </si>
  <si>
    <t>Purchase of business</t>
  </si>
  <si>
    <t>Sale of business/subsidiary/JV</t>
  </si>
  <si>
    <t>Investment in subsidiary/JV</t>
  </si>
  <si>
    <t>Cashflow from investing</t>
  </si>
  <si>
    <t>Interest paid</t>
  </si>
  <si>
    <t>Proceeds from borrowings</t>
  </si>
  <si>
    <t>Repayment of borrowings</t>
  </si>
  <si>
    <t>Issue of equity</t>
  </si>
  <si>
    <t>Issue of preference capital</t>
  </si>
  <si>
    <t>Dividend paid, including taxes</t>
  </si>
  <si>
    <t>Gross Revenue</t>
  </si>
  <si>
    <t>Gross Domestic realisation</t>
  </si>
  <si>
    <t>Gross realisation</t>
  </si>
  <si>
    <t>Net Vehicle Revenue</t>
  </si>
  <si>
    <t>Any other financing cashflow</t>
  </si>
  <si>
    <t>Cashflow from financing</t>
  </si>
  <si>
    <t>Profit before taxes</t>
  </si>
  <si>
    <t>Amortization</t>
  </si>
  <si>
    <t>Interest expense</t>
  </si>
  <si>
    <t>Interest income</t>
  </si>
  <si>
    <t>Profit on sale of investments</t>
  </si>
  <si>
    <t>Change in sundry debtors</t>
  </si>
  <si>
    <t>Change in inventories</t>
  </si>
  <si>
    <t>Change in loans &amp; advances</t>
  </si>
  <si>
    <t>Change in other current assets</t>
  </si>
  <si>
    <t>Change in current liabilities</t>
  </si>
  <si>
    <t>Change in provisions</t>
  </si>
  <si>
    <t>Direct taxes paid</t>
  </si>
  <si>
    <t>Change in working capital</t>
  </si>
  <si>
    <t>Cashflow from operations</t>
  </si>
  <si>
    <t>Dividend income</t>
  </si>
  <si>
    <t>PL</t>
  </si>
  <si>
    <t>PL-BS</t>
  </si>
  <si>
    <t>BS</t>
  </si>
  <si>
    <t>Other non-cash adjustments</t>
  </si>
  <si>
    <t>NS</t>
  </si>
  <si>
    <t>Other operating cashflow</t>
  </si>
  <si>
    <t>Other investing cashflow</t>
  </si>
  <si>
    <t>Pl-BS</t>
  </si>
  <si>
    <t>Miscellaneous expenditure</t>
  </si>
  <si>
    <t>Miscellaneous Expenditure</t>
  </si>
  <si>
    <t>Opening balance</t>
  </si>
  <si>
    <t>Added during the year</t>
  </si>
  <si>
    <t>Amortised during the year</t>
  </si>
  <si>
    <t>Closing balance</t>
  </si>
  <si>
    <t>Advance tax</t>
  </si>
  <si>
    <t>Provisions for doubtful debts/adv</t>
  </si>
  <si>
    <t>Common-sized P&amp;L</t>
  </si>
  <si>
    <t>Other operating costs</t>
  </si>
  <si>
    <t>%</t>
  </si>
  <si>
    <t>Common-sized Balance Sheet</t>
  </si>
  <si>
    <t>Current assets - Cash</t>
  </si>
  <si>
    <t>Assets</t>
  </si>
  <si>
    <t>Liabilities &amp;  equity</t>
  </si>
  <si>
    <t>Profit Margins</t>
  </si>
  <si>
    <t>Reported PAT</t>
  </si>
  <si>
    <t>Adjusted PAT</t>
  </si>
  <si>
    <t>Growth Ratios</t>
  </si>
  <si>
    <t>Return Ratios</t>
  </si>
  <si>
    <t>Earnings Quality</t>
  </si>
  <si>
    <t>Cash at beginning of year</t>
  </si>
  <si>
    <t>Cash at end of year</t>
  </si>
  <si>
    <t>Net cash generated during year</t>
  </si>
  <si>
    <t>Forex gain/(loss) impact</t>
  </si>
  <si>
    <t>Leverage Ratios</t>
  </si>
  <si>
    <t>Liquidity Ratios</t>
  </si>
  <si>
    <t>Current ratio</t>
  </si>
  <si>
    <t>Quick ratio</t>
  </si>
  <si>
    <t>Cash ratio</t>
  </si>
  <si>
    <t>x</t>
  </si>
  <si>
    <t>Debt/Assets</t>
  </si>
  <si>
    <t>Long-term debt/Assets</t>
  </si>
  <si>
    <t>Debt/Capital</t>
  </si>
  <si>
    <t>Debt/Equity</t>
  </si>
  <si>
    <t>Debt/Tangible equity</t>
  </si>
  <si>
    <t>Interest coverage ratio</t>
  </si>
  <si>
    <t>Debt service coverage ratio</t>
  </si>
  <si>
    <t>Return on assets</t>
  </si>
  <si>
    <t>Return on capital employed</t>
  </si>
  <si>
    <t>Long-term debt/Long-term funds</t>
  </si>
  <si>
    <t>Product</t>
  </si>
  <si>
    <t>FY11</t>
  </si>
  <si>
    <t>Return on equity</t>
  </si>
  <si>
    <t>Common equity</t>
  </si>
  <si>
    <t>On adjusted net profit</t>
  </si>
  <si>
    <t>Deferred tax adjustments</t>
  </si>
  <si>
    <t>Turnover Ratios</t>
  </si>
  <si>
    <t>Total asset turnover</t>
  </si>
  <si>
    <t>Q3FY10</t>
  </si>
  <si>
    <t>Days</t>
  </si>
  <si>
    <t>Days of inventory on hand</t>
  </si>
  <si>
    <t>Days of sales outstanding</t>
  </si>
  <si>
    <t>Number of days payable</t>
  </si>
  <si>
    <t>Cash credit cycle</t>
  </si>
  <si>
    <t>Working capital/Sales</t>
  </si>
  <si>
    <t>Net profit</t>
  </si>
  <si>
    <t>Depreciaiton</t>
  </si>
  <si>
    <t>Capital expenditure</t>
  </si>
  <si>
    <t>Change in investments</t>
  </si>
  <si>
    <t>Change in borrowings</t>
  </si>
  <si>
    <t>Dividend paid</t>
  </si>
  <si>
    <t>Other financing cashflow</t>
  </si>
  <si>
    <t>Operating cashflow</t>
  </si>
  <si>
    <t>Investing cashflow</t>
  </si>
  <si>
    <t>Financing cashflow</t>
  </si>
  <si>
    <t>Other income/PBT</t>
  </si>
  <si>
    <t>Operating cashflow/Sales</t>
  </si>
  <si>
    <t>Free cashflow to firm</t>
  </si>
  <si>
    <t>EBITDA margin</t>
  </si>
  <si>
    <t>Receivables/Sales</t>
  </si>
  <si>
    <t>Inventory/Sales</t>
  </si>
  <si>
    <t>Payables/Sales</t>
  </si>
  <si>
    <t>Sales</t>
  </si>
  <si>
    <t>Of growth</t>
  </si>
  <si>
    <t>Of profitability and effeciency</t>
  </si>
  <si>
    <t>Rs mn</t>
  </si>
  <si>
    <t>Total</t>
  </si>
  <si>
    <t>Excess cash margin</t>
  </si>
  <si>
    <t>Other income/Reported PAT</t>
  </si>
  <si>
    <t>Short-term debt/Working capital</t>
  </si>
  <si>
    <t>Impairmnt/(fixed+intangible assets)</t>
  </si>
  <si>
    <t>Common-sized Cashflow</t>
  </si>
  <si>
    <t>Deferred taxes/Reported PAT</t>
  </si>
  <si>
    <t>Growth &amp; Efficiency Analysis</t>
  </si>
  <si>
    <t>Effect on Cash</t>
  </si>
  <si>
    <t>Du Pont Analysis</t>
  </si>
  <si>
    <t>Tax burden (Net income/PBT)</t>
  </si>
  <si>
    <t>Interest burden (PBT/EBIT)</t>
  </si>
  <si>
    <t>EBIT margin (EBIT/Revenues)</t>
  </si>
  <si>
    <t>Asset Turnover (Revenues/Avg TA)</t>
  </si>
  <si>
    <t>Leverage (Avg TA/Avg equtiy)</t>
  </si>
  <si>
    <t>Du Pont RoE</t>
  </si>
  <si>
    <t>Religare Cashflow Statement</t>
  </si>
  <si>
    <t>Gross financial leverage</t>
  </si>
  <si>
    <t>Return on invested capital</t>
  </si>
  <si>
    <t>Fixed asset turnover, gross</t>
  </si>
  <si>
    <t>Fixed asset turnover, net</t>
  </si>
  <si>
    <t>Land</t>
  </si>
  <si>
    <t>Building</t>
  </si>
  <si>
    <t>Plant and Machinery</t>
  </si>
  <si>
    <t>Office equipment</t>
  </si>
  <si>
    <t>Bajaj Auto Indonesia</t>
  </si>
  <si>
    <t>Computer / Software</t>
  </si>
  <si>
    <t>Furniture and fixtures</t>
  </si>
  <si>
    <t>Vehicles</t>
  </si>
  <si>
    <t>Total gross block</t>
  </si>
  <si>
    <t>Net Additions to Gross Block</t>
  </si>
  <si>
    <t>Total net additions</t>
  </si>
  <si>
    <t>Net Accumulated Depreciation</t>
  </si>
  <si>
    <t>Net accumulated depreciation</t>
  </si>
  <si>
    <t>Depreciation Rates</t>
  </si>
  <si>
    <t>SLM</t>
  </si>
  <si>
    <t>Average</t>
  </si>
  <si>
    <t>Motorcycle 75cc-125cc</t>
  </si>
  <si>
    <t xml:space="preserve">Domestic </t>
  </si>
  <si>
    <t>Motorcycle 125cc-250cc</t>
  </si>
  <si>
    <t>Three-Wheelers Pass carrier</t>
  </si>
  <si>
    <t>Three-Wheelers Goods Carrier</t>
  </si>
  <si>
    <t>Total Motorcycles</t>
  </si>
  <si>
    <t>Total Three-wheelers</t>
  </si>
  <si>
    <t>Total Domestic</t>
  </si>
  <si>
    <t>Total Exports</t>
  </si>
  <si>
    <t>Total Scooters</t>
  </si>
  <si>
    <t>Segment-wise Total</t>
  </si>
  <si>
    <t>Domestic-Export Mix Total</t>
  </si>
  <si>
    <t>FY13</t>
  </si>
  <si>
    <t>Per-month run-rate</t>
  </si>
  <si>
    <t>Motorcycle Exports</t>
  </si>
  <si>
    <t>Three-wheeler Exports</t>
  </si>
  <si>
    <t>Motorcycle Domestic</t>
  </si>
  <si>
    <t>Three-wheeler Domestic</t>
  </si>
  <si>
    <t>Gross, Net Revenue and Excise</t>
  </si>
  <si>
    <t>Monthly Run Rates</t>
  </si>
  <si>
    <t>Gross Export Revenue</t>
  </si>
  <si>
    <t>Gross Domestic Revenue</t>
  </si>
  <si>
    <t>Excise as % of Domestic</t>
  </si>
  <si>
    <t>Export Realization</t>
  </si>
  <si>
    <t>Total Gross Revenue</t>
  </si>
  <si>
    <t>Net Realization</t>
  </si>
  <si>
    <t>Realizations</t>
  </si>
  <si>
    <t>Gross Domestic Realization</t>
  </si>
  <si>
    <t>Excise Savings Margins</t>
  </si>
  <si>
    <t>Total Revenue</t>
  </si>
  <si>
    <t>Savings in Excise Duty</t>
  </si>
  <si>
    <t>Margin Boost (%)</t>
  </si>
  <si>
    <t>Excise Duty (with Uttaranchal Benefits)</t>
  </si>
  <si>
    <t>Common-sized</t>
  </si>
  <si>
    <t>Net Block</t>
  </si>
  <si>
    <t>Date</t>
  </si>
  <si>
    <t>Net debt</t>
  </si>
  <si>
    <t>Book Value per Share</t>
  </si>
  <si>
    <t>Nominal BVPS</t>
  </si>
  <si>
    <t>Tangible BVPS</t>
  </si>
  <si>
    <t>Rs</t>
  </si>
  <si>
    <t>EV/EBITDA</t>
  </si>
  <si>
    <t>Depreciation &amp; amortisation</t>
  </si>
  <si>
    <t>Convertible debt</t>
  </si>
  <si>
    <t>Invested capital</t>
  </si>
  <si>
    <t>ROIC</t>
  </si>
  <si>
    <t>Sales/ROIC</t>
  </si>
  <si>
    <t>FY09</t>
  </si>
  <si>
    <t>NOPAT [EBIT*(1-T)]</t>
  </si>
  <si>
    <t>To TOP</t>
  </si>
  <si>
    <t>To subs/JV companies</t>
  </si>
  <si>
    <t>Other cash items</t>
  </si>
  <si>
    <t>Provision for dimunition in value</t>
  </si>
  <si>
    <t>Financial Ratios Analysis</t>
  </si>
  <si>
    <t>Tangible Assets Schedule</t>
  </si>
  <si>
    <t>Adjusted Debt/Equity</t>
  </si>
  <si>
    <t>Adjusted Debt/Tangible equity</t>
  </si>
  <si>
    <t>Historical &amp; Projected Income Statement</t>
  </si>
  <si>
    <t>*Consolidated Nos.</t>
  </si>
  <si>
    <t>Operating expenses</t>
  </si>
  <si>
    <t>Employee expenses</t>
  </si>
  <si>
    <t>SG&amp;A expenses</t>
  </si>
  <si>
    <t>Operating expense #1</t>
  </si>
  <si>
    <t>Operating expense #2</t>
  </si>
  <si>
    <t>Operating expense #3</t>
  </si>
  <si>
    <t>Operating expense #4</t>
  </si>
  <si>
    <t>Operating expense #5</t>
  </si>
  <si>
    <t>Minority interest</t>
  </si>
  <si>
    <t>Income from JV/Associates</t>
  </si>
  <si>
    <t>Non-recurring items, if any</t>
  </si>
  <si>
    <t>Number of shares (in mn)</t>
  </si>
  <si>
    <t>At end of year</t>
  </si>
  <si>
    <t>Weighted avg during year</t>
  </si>
  <si>
    <t>Reported EPS (in Rs)</t>
  </si>
  <si>
    <t>Adjusted EPS (in Rs)</t>
  </si>
  <si>
    <t>Dividend Details</t>
  </si>
  <si>
    <t>Dividend on preference shares</t>
  </si>
  <si>
    <t>Dividend on equity shares</t>
  </si>
  <si>
    <t>Dividend per share</t>
  </si>
  <si>
    <t>Tax on dividend</t>
  </si>
  <si>
    <t>Sale of manufactured goods</t>
  </si>
  <si>
    <t>Export Incentive</t>
  </si>
  <si>
    <t>Sale from scraps</t>
  </si>
  <si>
    <t>Income from services</t>
  </si>
  <si>
    <t>Other operating revenues</t>
  </si>
  <si>
    <t>Cost of Revenues</t>
  </si>
  <si>
    <t>Raw material consumed</t>
  </si>
  <si>
    <t>(Inc)/dec in stock</t>
  </si>
  <si>
    <t>Cost of traded goods</t>
  </si>
  <si>
    <t>RM as a % of Net Sales</t>
  </si>
  <si>
    <t>SG&amp;A Expenses</t>
  </si>
  <si>
    <t>Other administrative expenses</t>
  </si>
  <si>
    <t>SGA As a % of Net Sales</t>
  </si>
  <si>
    <t>Interest on term loans</t>
  </si>
  <si>
    <t>Interest on debentures</t>
  </si>
  <si>
    <t>Interest on other loans</t>
  </si>
  <si>
    <t>Rs 500 in domestic motorcycles; 500 - 1000 in domestic 3 wheelers</t>
  </si>
  <si>
    <t>Amort. of FCCB premium</t>
  </si>
  <si>
    <t>Other finance charges</t>
  </si>
  <si>
    <t>Int. exp/Loan Book (%)</t>
  </si>
  <si>
    <t>Other Income</t>
  </si>
  <si>
    <t>Interest on deposits</t>
  </si>
  <si>
    <t>Dividend from investments</t>
  </si>
  <si>
    <t>Profit on sale of curr invsmnts</t>
  </si>
  <si>
    <t>Miscellaneous income</t>
  </si>
  <si>
    <t>Exceptional Items</t>
  </si>
  <si>
    <t>Profit on sale of long-term invsmnts</t>
  </si>
  <si>
    <t>Other unusual or infrequent items</t>
  </si>
  <si>
    <t>% of gross block</t>
  </si>
  <si>
    <t>Income Taxes</t>
  </si>
  <si>
    <t>Current taxes</t>
  </si>
  <si>
    <t>Deferred taxes</t>
  </si>
  <si>
    <t>Fringe benefit taxes</t>
  </si>
  <si>
    <t>MAT credit</t>
  </si>
  <si>
    <t>Income tax of earlier years</t>
  </si>
  <si>
    <t>Wealth tax</t>
  </si>
  <si>
    <t>Current tax rate</t>
  </si>
  <si>
    <t>Effective tax rate</t>
  </si>
  <si>
    <t>Full Year Guidance at 1mn units</t>
  </si>
  <si>
    <t>Per Vehicle Metric (From Inc Stmt)</t>
  </si>
  <si>
    <t>Gross Realization/Unit</t>
  </si>
  <si>
    <t>RM Cost/Unit</t>
  </si>
  <si>
    <t>EBITDA/Unit</t>
  </si>
  <si>
    <t>PAT/Unit</t>
  </si>
  <si>
    <t>Net Realization/Unit (Incl Other op inc)</t>
  </si>
  <si>
    <t>% of investment</t>
  </si>
  <si>
    <t>Assumed EBITDA margins</t>
  </si>
  <si>
    <t>FYG - 1.5 mn units</t>
  </si>
  <si>
    <t>FY12</t>
  </si>
  <si>
    <t>Export Realizations</t>
  </si>
  <si>
    <t>Interest Expense</t>
  </si>
  <si>
    <t>Net Profit</t>
  </si>
  <si>
    <t>RMC/vehicle (Rs/vehicle)</t>
  </si>
  <si>
    <t>Year</t>
  </si>
  <si>
    <t>CMP</t>
  </si>
  <si>
    <t>Income statement (Rs mn)</t>
  </si>
  <si>
    <t>Balance sheet (Rs mn)</t>
  </si>
  <si>
    <t>Revenues</t>
  </si>
  <si>
    <t>Cash and cash eq</t>
  </si>
  <si>
    <t>Growth (%)</t>
  </si>
  <si>
    <t>Accounts receivable</t>
  </si>
  <si>
    <t>Others current assets</t>
  </si>
  <si>
    <t>Interest</t>
  </si>
  <si>
    <t>Intangible assets</t>
  </si>
  <si>
    <t>Deferred tax assets, net</t>
  </si>
  <si>
    <t>Effective tax rate (%)</t>
  </si>
  <si>
    <t>Adjusted net income</t>
  </si>
  <si>
    <t>Accounts payable</t>
  </si>
  <si>
    <t>Extra-ordinary items</t>
  </si>
  <si>
    <t>Debt funds</t>
  </si>
  <si>
    <t>Reported net income</t>
  </si>
  <si>
    <t>Shares outstanding (mn)</t>
  </si>
  <si>
    <t>Shareholder's funds</t>
  </si>
  <si>
    <t>Total liabilities</t>
  </si>
  <si>
    <t>DPS (Rs)</t>
  </si>
  <si>
    <t>BVPS (Rs)</t>
  </si>
  <si>
    <t>Pulsar 200NS; to manufacture Duke 390 too</t>
  </si>
  <si>
    <t>R&amp;D Total</t>
  </si>
  <si>
    <t>Capacity</t>
  </si>
  <si>
    <t>Waluj - Motorcycles</t>
  </si>
  <si>
    <t>Waluj - 3 Ws</t>
  </si>
  <si>
    <t>Exports hub (1.28 mn exported)</t>
  </si>
  <si>
    <t>mn units</t>
  </si>
  <si>
    <t>Remarks</t>
  </si>
  <si>
    <t>Quarterly Summary</t>
  </si>
  <si>
    <t>Cash CHECK</t>
  </si>
  <si>
    <t>Balance CHECK</t>
  </si>
  <si>
    <t>Cash flow statement(Rs mn)</t>
  </si>
  <si>
    <t>Ratio analysis</t>
  </si>
  <si>
    <t>EBITDA margin (%)</t>
  </si>
  <si>
    <t>Net profit margin (%)</t>
  </si>
  <si>
    <t>Changes in working capital</t>
  </si>
  <si>
    <t>Receivables (days)</t>
  </si>
  <si>
    <t>Inventory (days)</t>
  </si>
  <si>
    <t>Payables (days)</t>
  </si>
  <si>
    <t>Current ratio (x)</t>
  </si>
  <si>
    <t>Quick ratio (x)</t>
  </si>
  <si>
    <t>Interest coverage ratio (x)</t>
  </si>
  <si>
    <t>Issue/repay debt</t>
  </si>
  <si>
    <t>ROE (%)</t>
  </si>
  <si>
    <t>Dividends paid</t>
  </si>
  <si>
    <t>ROCE (%)</t>
  </si>
  <si>
    <t>EV/Sales (x)</t>
  </si>
  <si>
    <t>Change in cash &amp; cash eq</t>
  </si>
  <si>
    <t>EV/EBITDA (x)</t>
  </si>
  <si>
    <t>P/E (x)</t>
  </si>
  <si>
    <t>P/BV (x)</t>
  </si>
  <si>
    <t>FYE March</t>
  </si>
  <si>
    <t>ROIC (%)</t>
  </si>
  <si>
    <t>Adjusted debt/equity (x)</t>
  </si>
  <si>
    <t>Gross fixed assets</t>
  </si>
  <si>
    <t>EBT</t>
  </si>
  <si>
    <t>Reserves &amp; surplus</t>
  </si>
  <si>
    <t>Non-cash adjustments</t>
  </si>
  <si>
    <t>EVA spread (%)</t>
  </si>
  <si>
    <t>WACC (%)</t>
  </si>
  <si>
    <t>Invested capital (Rs mn)</t>
  </si>
  <si>
    <t>Gross asset turnover (x)</t>
  </si>
  <si>
    <t>Total asset turnover (x)</t>
  </si>
  <si>
    <t>Working capital &amp; Liquidity ratios</t>
  </si>
  <si>
    <t>Profitability &amp; Return ratios</t>
  </si>
  <si>
    <t>Turnover &amp; Leverage ratios</t>
  </si>
  <si>
    <t>Valuation ratios</t>
  </si>
  <si>
    <t>EVA (Rs mn)</t>
  </si>
  <si>
    <t>Closing cash &amp; cash eq</t>
  </si>
  <si>
    <t>Min int / inc from assoc</t>
  </si>
  <si>
    <t>Quarterly Financial Statements</t>
  </si>
  <si>
    <t>Domestic Quadricycles</t>
  </si>
  <si>
    <t>Exports - Quadricycles</t>
  </si>
  <si>
    <t>Quadricycles</t>
  </si>
  <si>
    <t>Q1FY07</t>
  </si>
  <si>
    <t>Q2FY07</t>
  </si>
  <si>
    <t>Q3FY07</t>
  </si>
  <si>
    <t>Q4FY07</t>
  </si>
  <si>
    <t>Q1FY08</t>
  </si>
  <si>
    <t>Q2FY08</t>
  </si>
  <si>
    <t>Q3FY08</t>
  </si>
  <si>
    <t>Q4FY08</t>
  </si>
  <si>
    <t>Gross revenues</t>
  </si>
  <si>
    <t>Other operating expenses</t>
  </si>
  <si>
    <t>Interest expenses, gross</t>
  </si>
  <si>
    <t>Income from JV/associates</t>
  </si>
  <si>
    <t>Profit Margin Trend</t>
  </si>
  <si>
    <t>BSE Code</t>
  </si>
  <si>
    <t>NSE Code</t>
  </si>
  <si>
    <t>Bloomberg Code</t>
  </si>
  <si>
    <t>Outstanding equity shares (mn)</t>
  </si>
  <si>
    <t>Free float (%)</t>
  </si>
  <si>
    <t>Dividend yield (%)</t>
  </si>
  <si>
    <t>52-week high/low (Rs)</t>
  </si>
  <si>
    <t>Valuation Matrix</t>
  </si>
  <si>
    <t>Company Data</t>
  </si>
  <si>
    <t>(x)</t>
  </si>
  <si>
    <t>P/E @ CMP</t>
  </si>
  <si>
    <t>P/E @ Target</t>
  </si>
  <si>
    <t>Financial Highlights</t>
  </si>
  <si>
    <t>(Rs mn)</t>
  </si>
  <si>
    <t>Revenue</t>
  </si>
  <si>
    <t>Profitability and Return Ratios</t>
  </si>
  <si>
    <t>(%)</t>
  </si>
  <si>
    <t>EBIT margin</t>
  </si>
  <si>
    <t>Adj PAT margin</t>
  </si>
  <si>
    <t>ROE</t>
  </si>
  <si>
    <t>ROCE</t>
  </si>
  <si>
    <t>Return on equity (%)</t>
  </si>
  <si>
    <t>Enterprise Value</t>
  </si>
  <si>
    <t>Market cap</t>
  </si>
  <si>
    <t>Enterprise value</t>
  </si>
  <si>
    <t>Dividends income</t>
  </si>
  <si>
    <t>YoY growth</t>
  </si>
  <si>
    <t>QoQ growth</t>
  </si>
  <si>
    <t>Quarterly Trend</t>
  </si>
  <si>
    <t>YoY growth (%)</t>
  </si>
  <si>
    <t>FYE March, Rs mn</t>
  </si>
  <si>
    <t>QoQ growth (%)</t>
  </si>
  <si>
    <t>EBIT margin (%)</t>
  </si>
  <si>
    <t>Shareholding Pattern</t>
  </si>
  <si>
    <t>Promoters</t>
  </si>
  <si>
    <t>FIIs</t>
  </si>
  <si>
    <t>Banks &amp; Fis</t>
  </si>
  <si>
    <t>Public</t>
  </si>
  <si>
    <t>Analyst Name</t>
  </si>
  <si>
    <t>Associate 1</t>
  </si>
  <si>
    <t>Financial Year</t>
  </si>
  <si>
    <t>Sector Name</t>
  </si>
  <si>
    <t>Lead Analyst</t>
  </si>
  <si>
    <t>UPDATE HISTORY</t>
  </si>
  <si>
    <t>Key Changes</t>
  </si>
  <si>
    <t>Contact Number</t>
  </si>
  <si>
    <t>Email</t>
  </si>
  <si>
    <t>To Dashboard</t>
  </si>
  <si>
    <t>Waluj</t>
  </si>
  <si>
    <t>Chakan</t>
  </si>
  <si>
    <t>Pantnagar</t>
  </si>
  <si>
    <t>Market cap (Rs mn )</t>
  </si>
  <si>
    <t>Market cap (US$ mn )</t>
  </si>
  <si>
    <t>RECO</t>
  </si>
  <si>
    <t>TARGET</t>
  </si>
  <si>
    <t>RISK</t>
  </si>
  <si>
    <t>Valuation Method</t>
  </si>
  <si>
    <t>2-month average daily volume</t>
  </si>
  <si>
    <t>Factory equipment</t>
  </si>
  <si>
    <t>Dies &amp; Jigs</t>
  </si>
  <si>
    <t>Export Incentives receivables</t>
  </si>
  <si>
    <t>Wind Energy Generators</t>
  </si>
  <si>
    <t>Dies &amp; jigs</t>
  </si>
  <si>
    <t>FDEPS (Rs)</t>
  </si>
  <si>
    <t>Tax</t>
  </si>
  <si>
    <t>Inventory Days</t>
  </si>
  <si>
    <t>as a % of Net Sales</t>
  </si>
  <si>
    <t>Creditors</t>
  </si>
  <si>
    <t>CAPEX</t>
  </si>
  <si>
    <t>Bajaj Auto</t>
  </si>
  <si>
    <t>Target Price</t>
  </si>
  <si>
    <t>FY16E scenario analysis</t>
  </si>
  <si>
    <t>For instance, (In FY14) Bajaj Auto’s market share for motorcycles in Nigeria (where the Boxer is the prime brand) has gone up in the last year from 34 to 44 per cent, while in Bangladesh it is up to 53 per cent (from 46 per cent). Likewise, in Sri Lanka, its market share has moved up from 74 to 82 per cent and in Uganda, from 81 to 88 per cent.</t>
  </si>
  <si>
    <t>Q1FY09</t>
  </si>
  <si>
    <t xml:space="preserve">       Raw Material Consumed</t>
  </si>
  <si>
    <t xml:space="preserve">       Stock Adjustment</t>
  </si>
  <si>
    <t>Adj. RMC</t>
  </si>
  <si>
    <t xml:space="preserve">       Employee Expenses</t>
  </si>
  <si>
    <t xml:space="preserve">       Other Expenses</t>
  </si>
  <si>
    <t>Paid up equity capital (Rs mn)</t>
  </si>
  <si>
    <t>No. of shares (mn)</t>
  </si>
  <si>
    <t>FV</t>
  </si>
  <si>
    <t>Earnings per share (Rs) (Reported)</t>
  </si>
  <si>
    <t>Earnings per share (Rs) (Adjusted)</t>
  </si>
  <si>
    <t>Mix</t>
  </si>
  <si>
    <t>Volumes</t>
  </si>
  <si>
    <t>Motorcycles</t>
  </si>
  <si>
    <t>Scooters</t>
  </si>
  <si>
    <t>Net Realizations</t>
  </si>
  <si>
    <t>% YoY</t>
  </si>
  <si>
    <t>% Sales</t>
  </si>
  <si>
    <t>% of Sales</t>
  </si>
  <si>
    <t>% of PBT</t>
  </si>
  <si>
    <t>Domestic/Overseas Realisations</t>
  </si>
  <si>
    <t>Exports volumes</t>
  </si>
  <si>
    <t xml:space="preserve">Total volumes </t>
  </si>
  <si>
    <t>Export realisation</t>
  </si>
  <si>
    <t>Exports</t>
  </si>
  <si>
    <t>Q2FY09</t>
  </si>
  <si>
    <t>Net sales</t>
  </si>
  <si>
    <t>Three-Wheelers</t>
  </si>
  <si>
    <t>Adj. Net Income</t>
  </si>
  <si>
    <t>BAJAJAUTO</t>
  </si>
  <si>
    <t>BJAUT IN</t>
  </si>
  <si>
    <t>HIGH</t>
  </si>
  <si>
    <t>Total Volumes</t>
  </si>
  <si>
    <t>Q3FY09</t>
  </si>
  <si>
    <t>CPS</t>
  </si>
  <si>
    <t>CEPS</t>
  </si>
  <si>
    <t>Q2FY10</t>
  </si>
  <si>
    <t>Adj net income</t>
  </si>
  <si>
    <t>Volumes (units)</t>
  </si>
  <si>
    <t>Employee cost/Vehicle</t>
  </si>
  <si>
    <t>Other expenditure/Vehicle</t>
  </si>
  <si>
    <t>EBITDA/vehicle (Rs/vehicle)</t>
  </si>
  <si>
    <t>Depericiation/Vehicle (Rs/vehicle)</t>
  </si>
  <si>
    <t>PBT/Vehicle (Rs/vehicle)</t>
  </si>
  <si>
    <t>Tax/Vehicle (Rs/vehicle)</t>
  </si>
  <si>
    <t>PAT/Vehicle (Rs/vehicle)</t>
  </si>
  <si>
    <t>Three wheelers</t>
  </si>
  <si>
    <t>Actual</t>
  </si>
  <si>
    <t>Emkay Est</t>
  </si>
  <si>
    <t>FY10</t>
  </si>
  <si>
    <t>Diluted no. of shares</t>
  </si>
  <si>
    <t>Plant</t>
  </si>
  <si>
    <t>Models</t>
  </si>
  <si>
    <t>Domestic volumes</t>
  </si>
  <si>
    <t>Pulsar 135cc</t>
  </si>
  <si>
    <t>EPS</t>
  </si>
  <si>
    <t>Pulsar</t>
  </si>
  <si>
    <t>Production</t>
  </si>
  <si>
    <t>Platina</t>
  </si>
  <si>
    <t>XCD 135</t>
  </si>
  <si>
    <t>New Discover 100</t>
  </si>
  <si>
    <t>Discover/ 100T</t>
  </si>
  <si>
    <t>% QoQ</t>
  </si>
  <si>
    <t>Bike Production from Uttaranchal</t>
  </si>
  <si>
    <t>Blended EBITDA Margins</t>
  </si>
  <si>
    <t>New Discover 100cc</t>
  </si>
  <si>
    <t>% of gross Sale</t>
  </si>
  <si>
    <t>Pointers</t>
  </si>
  <si>
    <t>Exports: 6.5k 2w and 6k 3w in SL</t>
  </si>
  <si>
    <t>Nigeria – from 35k have moved upto 40k</t>
  </si>
  <si>
    <t>Egypt picks from 7k 3w and 5-6k mcycle a month</t>
  </si>
  <si>
    <t>Export 2w</t>
  </si>
  <si>
    <t>Export 3w</t>
  </si>
  <si>
    <t>Domestic 3w</t>
  </si>
  <si>
    <t>EBITDA Share</t>
  </si>
  <si>
    <t>Volume Share</t>
  </si>
  <si>
    <t>Avg Monthly Vol</t>
  </si>
  <si>
    <t>Est Margin</t>
  </si>
  <si>
    <t xml:space="preserve">§          Africa – 48%; Latam – 18%; SAARC – 21%; rest is phillipines and indonesia </t>
  </si>
  <si>
    <t>ASP</t>
  </si>
  <si>
    <t>Domestic 2w</t>
  </si>
  <si>
    <t>Domestic  3w</t>
  </si>
  <si>
    <t>Duty Drawback Scheme redcued to 1.7% from Sep '13; FMS remains at 1%</t>
  </si>
  <si>
    <t>~1.5% across products</t>
  </si>
  <si>
    <t>Est. gross revenue from models</t>
  </si>
  <si>
    <t>Gross Ex-factory price</t>
  </si>
  <si>
    <t>(in Rs. Mn)</t>
  </si>
  <si>
    <t>Total EBITDA</t>
  </si>
  <si>
    <t>Total EBT</t>
  </si>
  <si>
    <t>Total BAL EBT</t>
  </si>
  <si>
    <t>EBT from Uttaranchal</t>
  </si>
  <si>
    <t>Taxable EBT</t>
  </si>
  <si>
    <t>Effective Tax Rate</t>
  </si>
  <si>
    <t>Q1FY10</t>
  </si>
  <si>
    <t>Net revenues</t>
  </si>
  <si>
    <t>Cost of revenues</t>
  </si>
  <si>
    <t>EBITDA</t>
  </si>
  <si>
    <t>Depreciation</t>
  </si>
  <si>
    <t>Amortisation</t>
  </si>
  <si>
    <t>Gross profit</t>
  </si>
  <si>
    <t>EBIT</t>
  </si>
  <si>
    <t>Interest expenses</t>
  </si>
  <si>
    <t>Other income</t>
  </si>
  <si>
    <t>Exceptional items</t>
  </si>
  <si>
    <t>PBT</t>
  </si>
  <si>
    <t>FY08</t>
  </si>
  <si>
    <t>FY07</t>
  </si>
  <si>
    <t>FY06</t>
  </si>
  <si>
    <t>FY05</t>
  </si>
  <si>
    <t>FY03</t>
  </si>
  <si>
    <t>FY04</t>
  </si>
  <si>
    <t>FYE Mar, in Rs millions</t>
  </si>
  <si>
    <t>Income taxes</t>
  </si>
  <si>
    <t>Extraordinary items</t>
  </si>
  <si>
    <t>Reported net profit</t>
  </si>
  <si>
    <t>+</t>
  </si>
  <si>
    <t>-</t>
  </si>
  <si>
    <t>Basic</t>
  </si>
  <si>
    <t>Diluted</t>
  </si>
  <si>
    <t>Net Revenues</t>
  </si>
  <si>
    <t>Excise duty</t>
  </si>
  <si>
    <t>Provisions written back</t>
  </si>
  <si>
    <t>Profit on sale of fixed assets</t>
  </si>
  <si>
    <t>Adjustments</t>
  </si>
  <si>
    <t>Adjusted net profit</t>
  </si>
  <si>
    <t>FY09E</t>
  </si>
  <si>
    <t>FY10E</t>
  </si>
  <si>
    <t>FY11E</t>
  </si>
  <si>
    <t>FY12E</t>
  </si>
  <si>
    <t>FY13E</t>
  </si>
  <si>
    <t>FY14E</t>
  </si>
  <si>
    <t>Historical &amp; Projected Balance Sheet</t>
  </si>
  <si>
    <t>Inventories</t>
  </si>
  <si>
    <t>Sundry debtors</t>
  </si>
  <si>
    <t>Loans &amp; advances</t>
  </si>
  <si>
    <t>Other current assets</t>
  </si>
  <si>
    <t>Current assets</t>
  </si>
  <si>
    <t>Raw materials</t>
  </si>
  <si>
    <t>Finished goods</t>
  </si>
  <si>
    <t>Work-in-progress</t>
  </si>
  <si>
    <t>Other inventory</t>
  </si>
  <si>
    <t>Sundry Debtors</t>
  </si>
  <si>
    <t>Outstanding over six months</t>
  </si>
  <si>
    <t>Other debts</t>
  </si>
  <si>
    <t>Provision for doubtful debts</t>
  </si>
  <si>
    <t>Loans and Advances</t>
  </si>
  <si>
    <t>Interest accrued but not due</t>
  </si>
  <si>
    <t>Recoverable in cash or kind</t>
  </si>
  <si>
    <t>Provision for doubtful advances</t>
  </si>
  <si>
    <t>Gross Realization</t>
  </si>
  <si>
    <t>Other loans &amp; advances</t>
  </si>
  <si>
    <t>Loans and advances</t>
  </si>
  <si>
    <t>Other Current Assets</t>
  </si>
  <si>
    <t>Cash &amp; cash equivalents</t>
  </si>
  <si>
    <t>Prepaid expenses</t>
  </si>
  <si>
    <t>Cash &amp; Cash Equivalents</t>
  </si>
  <si>
    <t>Cash &amp; cheques in hand</t>
  </si>
  <si>
    <t>In current account</t>
  </si>
  <si>
    <t>In deposit account</t>
  </si>
  <si>
    <t>Q4FY10</t>
  </si>
  <si>
    <t>As margin money</t>
  </si>
  <si>
    <t>Liquid investments</t>
  </si>
  <si>
    <t>Net fixed assets</t>
  </si>
  <si>
    <t>CWIP</t>
  </si>
  <si>
    <t>Net block</t>
  </si>
  <si>
    <t>Net intangible assets</t>
  </si>
  <si>
    <t>Deferred tax asset</t>
  </si>
  <si>
    <t>Deferred tax asset, net</t>
  </si>
  <si>
    <t>Other assets</t>
  </si>
  <si>
    <t>Total assets</t>
  </si>
  <si>
    <t>Gross block</t>
  </si>
  <si>
    <t>Accumulated depreciation</t>
  </si>
  <si>
    <t>Net Intangible Assets</t>
  </si>
  <si>
    <t>Net Fixed Assets</t>
  </si>
  <si>
    <t>Impairment of fixed assets</t>
  </si>
  <si>
    <t>Net Realisation (Rs/vehicle)</t>
  </si>
  <si>
    <t>Net Domestic realisation</t>
  </si>
  <si>
    <t>Excise Duty as a % of domestic rev</t>
  </si>
  <si>
    <t>Others</t>
  </si>
  <si>
    <t>Capital Employed</t>
  </si>
  <si>
    <t>EBIT Margin</t>
  </si>
  <si>
    <t>Domestic</t>
  </si>
  <si>
    <t>Domestic realisation</t>
  </si>
  <si>
    <t>Economic Value Added (EVA) Analysis</t>
  </si>
  <si>
    <t>Exchange Rate (1$=xx rs)</t>
  </si>
  <si>
    <t>Standalone Rs mn</t>
  </si>
  <si>
    <t>FY02</t>
  </si>
  <si>
    <t>Modelwise Schedule</t>
  </si>
  <si>
    <t xml:space="preserve">Vehicle units </t>
  </si>
  <si>
    <t>Exports - 2 wheelers</t>
  </si>
  <si>
    <t>Exports - three wheelers</t>
  </si>
  <si>
    <t>Total exports</t>
  </si>
  <si>
    <t>Dom two wheelers</t>
  </si>
  <si>
    <t>Average realizations</t>
  </si>
  <si>
    <t>Avg Dom two wheelers</t>
  </si>
  <si>
    <t>Revenue mix (Vehicle sales modelwise)</t>
  </si>
  <si>
    <t>% of exports</t>
  </si>
  <si>
    <t>Sales Schedule</t>
  </si>
  <si>
    <t>Gross Sales</t>
  </si>
  <si>
    <t>YoY</t>
  </si>
  <si>
    <t>Spares</t>
  </si>
  <si>
    <t>Net Sales</t>
  </si>
  <si>
    <t>Royalty</t>
  </si>
  <si>
    <t>Scrap sales</t>
  </si>
  <si>
    <t>Net Operating Income</t>
  </si>
  <si>
    <t>Motorcycle</t>
  </si>
  <si>
    <t>Gross Sales of Vehicles Rs. Mn</t>
  </si>
  <si>
    <t>% of Export</t>
  </si>
  <si>
    <t>Full balance date (don't use text format)</t>
  </si>
  <si>
    <t>Year end</t>
  </si>
  <si>
    <t>Mar</t>
  </si>
  <si>
    <t>Number of months in year</t>
  </si>
  <si>
    <t>Actual/Estimate</t>
  </si>
  <si>
    <t>COMPANY DATA</t>
  </si>
  <si>
    <t>Bloomberg code</t>
  </si>
  <si>
    <t>bbt</t>
  </si>
  <si>
    <t>BJAUT IB</t>
  </si>
  <si>
    <t>Company Name</t>
  </si>
  <si>
    <t>fullname</t>
  </si>
  <si>
    <t>Sector</t>
  </si>
  <si>
    <t>sector</t>
  </si>
  <si>
    <t>cmp</t>
  </si>
  <si>
    <t>Target</t>
  </si>
  <si>
    <t>target</t>
  </si>
  <si>
    <t>Target Date</t>
  </si>
  <si>
    <t>targetdt</t>
  </si>
  <si>
    <t>Recommendation</t>
  </si>
  <si>
    <t>rec</t>
  </si>
  <si>
    <t>Standalone/Consolidated</t>
  </si>
  <si>
    <t>type</t>
  </si>
  <si>
    <t>Standalone</t>
  </si>
  <si>
    <t>Date of results</t>
  </si>
  <si>
    <t>resultdt</t>
  </si>
  <si>
    <t>Segment Names</t>
  </si>
  <si>
    <t>Segment Name 1</t>
  </si>
  <si>
    <t>seg1</t>
  </si>
  <si>
    <t>Segment Name 2</t>
  </si>
  <si>
    <t>seg2</t>
  </si>
  <si>
    <t>Segment Name 3</t>
  </si>
  <si>
    <t>seg3</t>
  </si>
  <si>
    <t>Segment Name 4</t>
  </si>
  <si>
    <t>seg4</t>
  </si>
  <si>
    <t>Segment Name 5</t>
  </si>
  <si>
    <t>seg5</t>
  </si>
  <si>
    <t>Face Value</t>
  </si>
  <si>
    <t>ANNUAL FINANCIALS</t>
  </si>
  <si>
    <t>Income Statement (Rs mn)</t>
  </si>
  <si>
    <t>gsl</t>
  </si>
  <si>
    <t>excise</t>
  </si>
  <si>
    <t>Less: Excise Duty</t>
  </si>
  <si>
    <t>nsl</t>
  </si>
  <si>
    <t>gt</t>
  </si>
  <si>
    <t>ooi</t>
  </si>
  <si>
    <t>Other operating income</t>
  </si>
  <si>
    <t>toi</t>
  </si>
  <si>
    <t>gth</t>
  </si>
  <si>
    <t>opex</t>
  </si>
  <si>
    <t>Total Expenditure</t>
  </si>
  <si>
    <t>mcd</t>
  </si>
  <si>
    <t>Raw-Materials</t>
  </si>
  <si>
    <t>rms</t>
  </si>
  <si>
    <t>Raw Material Consumed</t>
  </si>
  <si>
    <t>sa</t>
  </si>
  <si>
    <t xml:space="preserve">Stock Adjustment </t>
  </si>
  <si>
    <t>Q1FY11</t>
  </si>
  <si>
    <t>Domestic Vols</t>
  </si>
  <si>
    <t>Export Vols</t>
  </si>
  <si>
    <t>poftp</t>
  </si>
  <si>
    <t>Purchase of finished/traded products</t>
  </si>
  <si>
    <t>opexp</t>
  </si>
  <si>
    <t>Operating Expenses</t>
  </si>
  <si>
    <t>frt</t>
  </si>
  <si>
    <t>Freight</t>
  </si>
  <si>
    <t>pwr</t>
  </si>
  <si>
    <t>Power&amp;Fuel</t>
  </si>
  <si>
    <t>emct</t>
  </si>
  <si>
    <t>Employee Cost</t>
  </si>
  <si>
    <t>mnct</t>
  </si>
  <si>
    <t>Mining Cost</t>
  </si>
  <si>
    <t>exct</t>
  </si>
  <si>
    <t>Exploration costs</t>
  </si>
  <si>
    <t>scnexp</t>
  </si>
  <si>
    <t>Sub-contracting Expenses</t>
  </si>
  <si>
    <t>conexp</t>
  </si>
  <si>
    <t>Construction Expense</t>
  </si>
  <si>
    <t>mnlexp</t>
  </si>
  <si>
    <t>Masonry &amp; Labour Expense</t>
  </si>
  <si>
    <t>ctexp</t>
  </si>
  <si>
    <t>Contract Expenses</t>
  </si>
  <si>
    <t>odexp</t>
  </si>
  <si>
    <t>Other Direct Expenses</t>
  </si>
  <si>
    <t>snscn</t>
  </si>
  <si>
    <t>Store &amp; Spares Consumed</t>
  </si>
  <si>
    <t>accgs</t>
  </si>
  <si>
    <t>Access Charges</t>
  </si>
  <si>
    <t>nopexp</t>
  </si>
  <si>
    <t>Network Operating Expenses</t>
  </si>
  <si>
    <t>licfee</t>
  </si>
  <si>
    <t>License Fee</t>
  </si>
  <si>
    <t>rtmach</t>
  </si>
  <si>
    <t xml:space="preserve">   Rentals To Machinery</t>
  </si>
  <si>
    <t>rnm</t>
  </si>
  <si>
    <t>Repairs And Maintenance</t>
  </si>
  <si>
    <t>enprexp</t>
  </si>
  <si>
    <t>Engineering Project Expenses</t>
  </si>
  <si>
    <t>oopexp</t>
  </si>
  <si>
    <t>Other Operating Expenses</t>
  </si>
  <si>
    <t>sga</t>
  </si>
  <si>
    <t>Selling, General &amp; Admin Expenses</t>
  </si>
  <si>
    <t>mkt</t>
  </si>
  <si>
    <t>Selling &amp; Marketing Expenses</t>
  </si>
  <si>
    <t>snaexp</t>
  </si>
  <si>
    <t>General &amp; Administration Expenses</t>
  </si>
  <si>
    <t>other_exp</t>
  </si>
  <si>
    <t>Other Expenses</t>
  </si>
  <si>
    <t>ins</t>
  </si>
  <si>
    <t>Insurance</t>
  </si>
  <si>
    <t>rnd</t>
  </si>
  <si>
    <t>R&amp;D Expenes</t>
  </si>
  <si>
    <t>bdp</t>
  </si>
  <si>
    <t>Bad Debts Provision</t>
  </si>
  <si>
    <t>orp</t>
  </si>
  <si>
    <t>Other Provisions</t>
  </si>
  <si>
    <t>forex</t>
  </si>
  <si>
    <t>Forex Gains/(Losses)</t>
  </si>
  <si>
    <t>rlty</t>
  </si>
  <si>
    <t>expoth</t>
  </si>
  <si>
    <t>Interest capitalized</t>
  </si>
  <si>
    <t>ebitda</t>
  </si>
  <si>
    <t>tda</t>
  </si>
  <si>
    <t>Total depreciation &amp; amortisation</t>
  </si>
  <si>
    <t>dep</t>
  </si>
  <si>
    <t>amort</t>
  </si>
  <si>
    <t>ebit</t>
  </si>
  <si>
    <t>oti</t>
  </si>
  <si>
    <t>pbit</t>
  </si>
  <si>
    <t>PBIT</t>
  </si>
  <si>
    <t>net_int</t>
  </si>
  <si>
    <t>Net Interest</t>
  </si>
  <si>
    <t>int_recd</t>
  </si>
  <si>
    <t>Interest received</t>
  </si>
  <si>
    <t>interest_paid</t>
  </si>
  <si>
    <t>pre_tax_pft</t>
  </si>
  <si>
    <t>Pre-tax Profit</t>
  </si>
  <si>
    <t>tax</t>
  </si>
  <si>
    <t>Tax provided</t>
  </si>
  <si>
    <t>emkay_pat</t>
  </si>
  <si>
    <t>Emkay PAT</t>
  </si>
  <si>
    <t>asso</t>
  </si>
  <si>
    <t>Profit from Associates</t>
  </si>
  <si>
    <t>mini</t>
  </si>
  <si>
    <t>Minorities</t>
  </si>
  <si>
    <t>epat_am</t>
  </si>
  <si>
    <t>Emkay PAT after associates &amp; minorities</t>
  </si>
  <si>
    <t>eo</t>
  </si>
  <si>
    <t>Net Extra-ordinary items</t>
  </si>
  <si>
    <t>forex_gains</t>
  </si>
  <si>
    <t>Forex gains/(losses)</t>
  </si>
  <si>
    <t>nci</t>
  </si>
  <si>
    <t>Packing/forwarding</t>
  </si>
  <si>
    <t>Vehicle service charge</t>
  </si>
  <si>
    <t>Stores &amp; Tools</t>
  </si>
  <si>
    <t>Power &amp; Fuel</t>
  </si>
  <si>
    <t>Repairs</t>
  </si>
  <si>
    <t>% of net sales</t>
  </si>
  <si>
    <t>Non-recurring items</t>
  </si>
  <si>
    <t>other_eo</t>
  </si>
  <si>
    <t>tax_eoi</t>
  </si>
  <si>
    <t>Tax on extraordinary items</t>
  </si>
  <si>
    <t>rep_pat</t>
  </si>
  <si>
    <t>Reported PAT After Minorities &amp; Associates</t>
  </si>
  <si>
    <t>pref_div</t>
  </si>
  <si>
    <t>Preference dividend</t>
  </si>
  <si>
    <t>net_pft</t>
  </si>
  <si>
    <t>Reported Net profit</t>
  </si>
  <si>
    <t>(Nos)</t>
  </si>
  <si>
    <t>Scooters-Geared</t>
  </si>
  <si>
    <t>Scooters-Ungeared</t>
  </si>
  <si>
    <t>Step thrus</t>
  </si>
  <si>
    <t>(% YoY change)</t>
  </si>
  <si>
    <t>1QFY03</t>
  </si>
  <si>
    <t>1QFY04</t>
  </si>
  <si>
    <t>Boxer, Platina, Discover and 3-wheelers (enite export motorcyle from here), RE</t>
  </si>
  <si>
    <t>Pulsar, Avenger, Ninja, KTM</t>
  </si>
  <si>
    <t>Platina, Discover</t>
  </si>
  <si>
    <t>Boxer, Platina, Discover and 3-wheelers (entire export motorcyle from here), RE</t>
  </si>
  <si>
    <t>KTM</t>
  </si>
  <si>
    <t>Total Investment (Euro mn)</t>
  </si>
  <si>
    <t>Total Investment (Rs mn)</t>
  </si>
  <si>
    <t>Value/Share (Rs)</t>
  </si>
  <si>
    <t>Stake held (%</t>
  </si>
  <si>
    <t>KTM Financials</t>
  </si>
  <si>
    <t>Revenues (Euro mn)</t>
  </si>
  <si>
    <t>Bajaj' Share</t>
  </si>
  <si>
    <t>Dividend/Share (Euro)</t>
  </si>
  <si>
    <t>Bajaj Sales of KTM Bikes</t>
  </si>
  <si>
    <t>CY 2013</t>
  </si>
  <si>
    <t>KTM Bikes Made in India</t>
  </si>
  <si>
    <t>Sold through Pro-Biking</t>
  </si>
  <si>
    <t>Exported to KTM</t>
  </si>
  <si>
    <t>KTM Mcap</t>
  </si>
  <si>
    <t>(Euro mn)</t>
  </si>
  <si>
    <t>Bajaj Auto (INR cr)</t>
  </si>
  <si>
    <t xml:space="preserve">Total </t>
  </si>
  <si>
    <t>Short term</t>
  </si>
  <si>
    <t>Long term</t>
  </si>
  <si>
    <t>Property</t>
  </si>
  <si>
    <t>Govt. &amp; trust Securities</t>
  </si>
  <si>
    <t>Equity in subsidiary</t>
  </si>
  <si>
    <t>Bonds &amp; debentures - Quoted</t>
  </si>
  <si>
    <t>Mutual Funds/ FMP - Unquoted</t>
  </si>
  <si>
    <t>CP</t>
  </si>
  <si>
    <t>CD</t>
  </si>
  <si>
    <t>Mutual Funds - Unquoted</t>
  </si>
  <si>
    <t>FY2014</t>
  </si>
  <si>
    <t>Cash</t>
  </si>
  <si>
    <t>Revenues (in USD)</t>
  </si>
  <si>
    <t>FY15 Mix Revenue</t>
  </si>
  <si>
    <t>Advertising</t>
  </si>
  <si>
    <t xml:space="preserve">Sales/Discounts/Incentives/Sales Promotion commission &amp; incentive </t>
  </si>
  <si>
    <t>change</t>
  </si>
  <si>
    <t>2QFY03</t>
  </si>
  <si>
    <t>2QFY04</t>
  </si>
  <si>
    <t>3QFY03</t>
  </si>
  <si>
    <t>3QFY04</t>
  </si>
  <si>
    <t>4QFY04</t>
  </si>
  <si>
    <t>% increase YoY motorcycle</t>
  </si>
  <si>
    <t>variant with 110 cc engine in Dec05 - sales 113,000 units</t>
  </si>
  <si>
    <t xml:space="preserve">Discover </t>
  </si>
  <si>
    <t>125 cc clocked a sales of 337,000 units</t>
  </si>
  <si>
    <t>Bajaj Wave</t>
  </si>
  <si>
    <t>Three wheeler</t>
  </si>
  <si>
    <t>Discover cumulative sales 200,000 units since launch in september 2004</t>
  </si>
  <si>
    <t>CT 100 sales crossed 1 mn mark in 12 months period.</t>
  </si>
  <si>
    <t>CT 100 under upgradation hence production constraints, expected to normalise by september 2005</t>
  </si>
  <si>
    <t>Exports affected due to rains in maharashtra exected to recoup in August</t>
  </si>
  <si>
    <t>Turnover</t>
  </si>
  <si>
    <t>Total Equity</t>
  </si>
  <si>
    <t>Total Assets</t>
  </si>
  <si>
    <t>Bajaj Auto International Holdings BV (cons.)</t>
  </si>
  <si>
    <t>Bajaj Auto Indonesia (INR mn)</t>
  </si>
  <si>
    <t xml:space="preserve"> Notional </t>
  </si>
  <si>
    <t xml:space="preserve"> MTM </t>
  </si>
  <si>
    <t xml:space="preserve">Gain (Loss) </t>
  </si>
  <si>
    <t xml:space="preserve"> USD mn </t>
  </si>
  <si>
    <t xml:space="preserve"> Rs mn </t>
  </si>
  <si>
    <t xml:space="preserve"> Apr – Jun</t>
  </si>
  <si>
    <t xml:space="preserve"> July – Sep </t>
  </si>
  <si>
    <t xml:space="preserve"> Oct - Mar</t>
  </si>
  <si>
    <t>later than one year</t>
  </si>
  <si>
    <t>Derivative hedging for export transactions</t>
  </si>
  <si>
    <t>Derivative hedging instruments</t>
  </si>
  <si>
    <t>Simple forward and par contracts</t>
  </si>
  <si>
    <t>Range forward contracts</t>
  </si>
  <si>
    <t>Contingent liabilities</t>
  </si>
  <si>
    <t>Claims against company</t>
  </si>
  <si>
    <t>Guarantees given on behalf of Indonesia</t>
  </si>
  <si>
    <t>Guarantees given on behalf of employees</t>
  </si>
  <si>
    <t>Excise and Customs demand</t>
  </si>
  <si>
    <t>Income tax matters</t>
  </si>
  <si>
    <t>Value added tax</t>
  </si>
  <si>
    <t>Waluj - 3 Ws/ RE 60</t>
  </si>
  <si>
    <t>Capacity of 3 m motorcycles by April06, launching a new bike in value segment in April 2006</t>
  </si>
  <si>
    <t>Bhumi Poojan” was performed at Pantnagar (Uttaranchal) site on April 22nd and the plant will go into production in the last quarter of 2006-07.</t>
  </si>
  <si>
    <t>Capacity creation plans are on target</t>
  </si>
  <si>
    <t>YoY change</t>
  </si>
  <si>
    <t>Q2FY13</t>
  </si>
  <si>
    <t>Motorcycles sales</t>
  </si>
  <si>
    <t>Oct/Nov 07</t>
  </si>
  <si>
    <t>Oct/Nov06</t>
  </si>
  <si>
    <t>Bajaj</t>
  </si>
  <si>
    <t>Hero Honda (inc gearless scooter)</t>
  </si>
  <si>
    <t>TVS</t>
  </si>
  <si>
    <t>YTD07</t>
  </si>
  <si>
    <t>YTD06</t>
  </si>
  <si>
    <t>Other two wheelers</t>
  </si>
  <si>
    <t>Total two wheelers</t>
  </si>
  <si>
    <t>emkay_net_profit</t>
  </si>
  <si>
    <t>Emkay Net profit</t>
  </si>
  <si>
    <t>cap_int</t>
  </si>
  <si>
    <t>Capitalised Interest</t>
  </si>
  <si>
    <t>adj_cash_earn</t>
  </si>
  <si>
    <t>Adjusted Cash Earnings</t>
  </si>
  <si>
    <t>total_tax</t>
  </si>
  <si>
    <t>Total Tax</t>
  </si>
  <si>
    <t>current_tax</t>
  </si>
  <si>
    <t>Current Tax</t>
  </si>
  <si>
    <t>deffered_tax</t>
  </si>
  <si>
    <t>Deffered Tax</t>
  </si>
  <si>
    <t>fbt</t>
  </si>
  <si>
    <t>FBT</t>
  </si>
  <si>
    <t>other_tax</t>
  </si>
  <si>
    <t>Balance Sheet (Rs mn)</t>
  </si>
  <si>
    <t>equity_capital</t>
  </si>
  <si>
    <t>reserves_and_surplus</t>
  </si>
  <si>
    <t>Reserves &amp; Surplus</t>
  </si>
  <si>
    <t>Base</t>
  </si>
  <si>
    <t xml:space="preserve">Bull </t>
  </si>
  <si>
    <t>Bear</t>
  </si>
  <si>
    <t>Sales growth (%)</t>
  </si>
  <si>
    <t>Volume growth (%)</t>
  </si>
  <si>
    <t>ASP (%)</t>
  </si>
  <si>
    <t>EBITDA %</t>
  </si>
  <si>
    <t>APAT</t>
  </si>
  <si>
    <t>Multiple (x)</t>
  </si>
  <si>
    <t>Upside/(downside) (%)</t>
  </si>
  <si>
    <t>share_prem</t>
  </si>
  <si>
    <t>Share Premium</t>
  </si>
  <si>
    <t>ret_earn</t>
  </si>
  <si>
    <t>Retained Earnings</t>
  </si>
  <si>
    <t>reval_res</t>
  </si>
  <si>
    <t>Revaluation Reserve</t>
  </si>
  <si>
    <t>other_res</t>
  </si>
  <si>
    <t>Other Reserve</t>
  </si>
  <si>
    <t>shf_funds</t>
  </si>
  <si>
    <t>Shareholders funds</t>
  </si>
  <si>
    <t>ntwt</t>
  </si>
  <si>
    <t>Net worth (Ex Revaluation reserve &amp; Misc.Exp)</t>
  </si>
  <si>
    <t>min_interest</t>
  </si>
  <si>
    <t>Minority Interests</t>
  </si>
  <si>
    <t>sec</t>
  </si>
  <si>
    <t>Secured loans</t>
  </si>
  <si>
    <t>tls</t>
  </si>
  <si>
    <t>short_loans</t>
  </si>
  <si>
    <t>Short term loans</t>
  </si>
  <si>
    <t>fln</t>
  </si>
  <si>
    <t>Forex loan</t>
  </si>
  <si>
    <t>con_bonds</t>
  </si>
  <si>
    <t>Convertible bonds</t>
  </si>
  <si>
    <t>pfshcp</t>
  </si>
  <si>
    <t>Preference Share Capital</t>
  </si>
  <si>
    <t>bonds_deb</t>
  </si>
  <si>
    <t>Bonds/Debentures</t>
  </si>
  <si>
    <t>oth</t>
  </si>
  <si>
    <t>unsec</t>
  </si>
  <si>
    <t>Unsecured loans</t>
  </si>
  <si>
    <t>tlns</t>
  </si>
  <si>
    <t>Term Loans</t>
  </si>
  <si>
    <t>stlns</t>
  </si>
  <si>
    <t>forex_loan</t>
  </si>
  <si>
    <t>cvt_bonds</t>
  </si>
  <si>
    <t>bonds</t>
  </si>
  <si>
    <t>oer</t>
  </si>
  <si>
    <t>lfd</t>
  </si>
  <si>
    <t>Total LoanFunds</t>
  </si>
  <si>
    <t>ndta</t>
  </si>
  <si>
    <t>Net Deffered taxes</t>
  </si>
  <si>
    <t>dtl</t>
  </si>
  <si>
    <t>Apr - Jun 2013</t>
  </si>
  <si>
    <t>July - Sep 2013</t>
  </si>
  <si>
    <t>Oct - Mar 2014</t>
  </si>
  <si>
    <t>USD mn</t>
  </si>
  <si>
    <t>Notional</t>
  </si>
  <si>
    <t>MTM Gain (Loss)</t>
  </si>
  <si>
    <t>Deffered tax liability</t>
  </si>
  <si>
    <t>dta</t>
  </si>
  <si>
    <t>Deffered tax asset</t>
  </si>
  <si>
    <t>Q2FY14</t>
  </si>
  <si>
    <t>tce</t>
  </si>
  <si>
    <t>Total Capital Employed</t>
  </si>
  <si>
    <t>gb</t>
  </si>
  <si>
    <t>Gross Block</t>
  </si>
  <si>
    <t>land</t>
  </si>
  <si>
    <t>Land &amp; Buildings</t>
  </si>
  <si>
    <t>palnt</t>
  </si>
  <si>
    <t>Plant &amp; Equipment</t>
  </si>
  <si>
    <t>other_tang</t>
  </si>
  <si>
    <t>Other tangible assets</t>
  </si>
  <si>
    <t>Q4FY13</t>
  </si>
  <si>
    <t>toatl_tang_assets</t>
  </si>
  <si>
    <t>Total Tangible assets</t>
  </si>
  <si>
    <t>goodwill</t>
  </si>
  <si>
    <t>brands</t>
  </si>
  <si>
    <t>Brands/Patents/Rights</t>
  </si>
  <si>
    <t>other_intang</t>
  </si>
  <si>
    <t>total_intang</t>
  </si>
  <si>
    <t>Total Intangible assets</t>
  </si>
  <si>
    <t>acdep</t>
  </si>
  <si>
    <t>Less: Acc. Depreciation</t>
  </si>
  <si>
    <t>nb</t>
  </si>
  <si>
    <t>cwip</t>
  </si>
  <si>
    <t>Capital WIP</t>
  </si>
  <si>
    <t>investments</t>
  </si>
  <si>
    <t>stra_inv</t>
  </si>
  <si>
    <t>Strategic/ group Investments</t>
  </si>
  <si>
    <t>mky_sec_cost</t>
  </si>
  <si>
    <t>Marketable securities at cost</t>
  </si>
  <si>
    <t>ca</t>
  </si>
  <si>
    <t>inventories</t>
  </si>
  <si>
    <t>acc_receivable</t>
  </si>
  <si>
    <t>cnc_equity</t>
  </si>
  <si>
    <t>Cash and Bank</t>
  </si>
  <si>
    <t>loan_adv</t>
  </si>
  <si>
    <t>Loans &amp; Advances</t>
  </si>
  <si>
    <t>related_part</t>
  </si>
  <si>
    <t xml:space="preserve"> Advance tax / deposits with Govt.</t>
  </si>
  <si>
    <t>loans_othr</t>
  </si>
  <si>
    <t>other_curr_assets</t>
  </si>
  <si>
    <t xml:space="preserve">Other current assets </t>
  </si>
  <si>
    <t>cl_prov</t>
  </si>
  <si>
    <t>Current liabilities &amp; Prov</t>
  </si>
  <si>
    <t>cl</t>
  </si>
  <si>
    <t>creditors</t>
  </si>
  <si>
    <t>other_pay</t>
  </si>
  <si>
    <t>Other payables</t>
  </si>
  <si>
    <t>prov</t>
  </si>
  <si>
    <t>tax_prov</t>
  </si>
  <si>
    <t>Tax provision</t>
  </si>
  <si>
    <t>other_prov</t>
  </si>
  <si>
    <t>nca</t>
  </si>
  <si>
    <t>Net Current Assets</t>
  </si>
  <si>
    <t>mis_exp</t>
  </si>
  <si>
    <t>Misc.Expenditures</t>
  </si>
  <si>
    <t>tcd</t>
  </si>
  <si>
    <t>Total Capital Deployed</t>
  </si>
  <si>
    <t>chk</t>
  </si>
  <si>
    <t>Check</t>
  </si>
  <si>
    <t>Cash Flow Statement (Rs mn)</t>
  </si>
  <si>
    <t>ptpc</t>
  </si>
  <si>
    <t>Pre-tax Profit (Ex-Other income)</t>
  </si>
  <si>
    <t>depc</t>
  </si>
  <si>
    <t>intc</t>
  </si>
  <si>
    <t>Interest provided</t>
  </si>
  <si>
    <t>oncic</t>
  </si>
  <si>
    <t>Other Non-Cash items</t>
  </si>
  <si>
    <t>ciwcc</t>
  </si>
  <si>
    <t>Changes in WC</t>
  </si>
  <si>
    <t>chg_deb</t>
  </si>
  <si>
    <t>Chg in debtors</t>
  </si>
  <si>
    <t>chg_inven</t>
  </si>
  <si>
    <t>Chg in inventory</t>
  </si>
  <si>
    <t>Export break up</t>
  </si>
  <si>
    <t>FY</t>
  </si>
  <si>
    <t>Africa</t>
  </si>
  <si>
    <t>Latin America</t>
  </si>
  <si>
    <t>Asia &amp; Middle East</t>
  </si>
  <si>
    <t>Europe</t>
  </si>
  <si>
    <t>2011 and earlier - difference in reporting</t>
  </si>
  <si>
    <t>Africa and Middle East</t>
  </si>
  <si>
    <t>South Asia (excl. India)</t>
  </si>
  <si>
    <t>South East Asia</t>
  </si>
  <si>
    <t>26-08-13</t>
  </si>
  <si>
    <t>In USD terms</t>
  </si>
  <si>
    <t xml:space="preserve">India </t>
  </si>
  <si>
    <t>INR</t>
  </si>
  <si>
    <t>SriLanka</t>
  </si>
  <si>
    <t>LKR</t>
  </si>
  <si>
    <t>Indonesia</t>
  </si>
  <si>
    <t>IDR</t>
  </si>
  <si>
    <t>Vietnam</t>
  </si>
  <si>
    <t>VND</t>
  </si>
  <si>
    <t>Columbia</t>
  </si>
  <si>
    <t>COP</t>
  </si>
  <si>
    <t>Egypt</t>
  </si>
  <si>
    <t>EGP</t>
  </si>
  <si>
    <t>Nigeria</t>
  </si>
  <si>
    <t>NGN</t>
  </si>
  <si>
    <t>YoY change - depr (appr) (%)</t>
  </si>
  <si>
    <t>Two wheelers</t>
  </si>
  <si>
    <t>Current presence</t>
  </si>
  <si>
    <t>Will enter in next two years</t>
  </si>
  <si>
    <t>With kawazaki</t>
  </si>
  <si>
    <t>Global</t>
  </si>
  <si>
    <t>Asia</t>
  </si>
  <si>
    <t>Mkt size (mn pa)</t>
  </si>
  <si>
    <t>Penetration popn (%)</t>
  </si>
  <si>
    <t>N</t>
  </si>
  <si>
    <t>Y</t>
  </si>
  <si>
    <t>Thailand</t>
  </si>
  <si>
    <t>India</t>
  </si>
  <si>
    <t>China</t>
  </si>
  <si>
    <t>LatAm</t>
  </si>
  <si>
    <t>Brazil</t>
  </si>
  <si>
    <t>Argentina</t>
  </si>
  <si>
    <t>Colombia</t>
  </si>
  <si>
    <t>Peru</t>
  </si>
  <si>
    <t>Venezuela</t>
  </si>
  <si>
    <t>Guatem</t>
  </si>
  <si>
    <t>Chile</t>
  </si>
  <si>
    <t>Dominican</t>
  </si>
  <si>
    <t>Paraguay</t>
  </si>
  <si>
    <t>Overall</t>
  </si>
  <si>
    <t>5 year CAGR growth</t>
  </si>
  <si>
    <t>East &amp; Central Africa</t>
  </si>
  <si>
    <t>West Africa</t>
  </si>
  <si>
    <t>North &amp; Southern Africa</t>
  </si>
  <si>
    <t>Laos</t>
  </si>
  <si>
    <t>Kenya</t>
  </si>
  <si>
    <t>Ivory Cost</t>
  </si>
  <si>
    <t>Tanzania</t>
  </si>
  <si>
    <t>Ghana</t>
  </si>
  <si>
    <t>Three</t>
  </si>
  <si>
    <t>Other key markets</t>
  </si>
  <si>
    <t>monthly Units in 1000</t>
  </si>
  <si>
    <t>Sri Laanka</t>
  </si>
  <si>
    <t>Myanmar</t>
  </si>
  <si>
    <t>Cambodia</t>
  </si>
  <si>
    <t>Bangladesh</t>
  </si>
  <si>
    <t>Market size and share (%)</t>
  </si>
  <si>
    <t>Chinese</t>
  </si>
  <si>
    <t>Japanese</t>
  </si>
  <si>
    <t>Indians</t>
  </si>
  <si>
    <t>LatAm (ex Brazil)</t>
  </si>
  <si>
    <t>3 mn market</t>
  </si>
  <si>
    <t>South East Asia + Brazil</t>
  </si>
  <si>
    <t>16 mn market</t>
  </si>
  <si>
    <t>South Asia</t>
  </si>
  <si>
    <t>15 mn market</t>
  </si>
  <si>
    <t>17 mn market</t>
  </si>
  <si>
    <r>
      <t xml:space="preserve">LatAm (Peru, Gautmala, </t>
    </r>
    <r>
      <rPr>
        <sz val="11"/>
        <color indexed="10"/>
        <rFont val="Calibri"/>
        <family val="2"/>
      </rPr>
      <t>Cambodia/Chile)</t>
    </r>
  </si>
  <si>
    <t>chg_loans</t>
  </si>
  <si>
    <t>Chg in loans &amp; advances</t>
  </si>
  <si>
    <t>chg_ca</t>
  </si>
  <si>
    <t>Chg in other current assets</t>
  </si>
  <si>
    <t>chg_def</t>
  </si>
  <si>
    <t>Chg in net deferred liabilities</t>
  </si>
  <si>
    <t>chg_cl</t>
  </si>
  <si>
    <t>Chg in current liabilities</t>
  </si>
  <si>
    <t>chg_prov</t>
  </si>
  <si>
    <t>Chg in provisions</t>
  </si>
  <si>
    <t>taxc</t>
  </si>
  <si>
    <t>Tax paid</t>
  </si>
  <si>
    <t>oocf</t>
  </si>
  <si>
    <t>Other operating cash flow</t>
  </si>
  <si>
    <t>coa</t>
  </si>
  <si>
    <t>Cash flow from Operating activities</t>
  </si>
  <si>
    <t>capex</t>
  </si>
  <si>
    <t>fcf</t>
  </si>
  <si>
    <t>Free Cash flow</t>
  </si>
  <si>
    <t>oincc</t>
  </si>
  <si>
    <t>chg_inv</t>
  </si>
  <si>
    <t>Chg in investments</t>
  </si>
  <si>
    <t>stg_invc</t>
  </si>
  <si>
    <t>Strategic Investments</t>
  </si>
  <si>
    <t>sur_invc</t>
  </si>
  <si>
    <t>Surplus investments</t>
  </si>
  <si>
    <t>oicf</t>
  </si>
  <si>
    <t>Other investing cash flow</t>
  </si>
  <si>
    <t>cfia</t>
  </si>
  <si>
    <t>Cash flow from investing activities</t>
  </si>
  <si>
    <t>eqy_cap</t>
  </si>
  <si>
    <t>Equity Capital raised/(repaid)</t>
  </si>
  <si>
    <t>Q1FY14</t>
  </si>
  <si>
    <t>debt_rais</t>
  </si>
  <si>
    <t>Debt raised/(repaid)</t>
  </si>
  <si>
    <t>int_paid</t>
  </si>
  <si>
    <t>divc</t>
  </si>
  <si>
    <t>Dividend (incl.tax)</t>
  </si>
  <si>
    <t>ofa</t>
  </si>
  <si>
    <t>Other financing activities</t>
  </si>
  <si>
    <t>cfc</t>
  </si>
  <si>
    <t>Casf flow from financing Cash flow</t>
  </si>
  <si>
    <t>net_chg</t>
  </si>
  <si>
    <t>Net chg in cash</t>
  </si>
  <si>
    <t>open_cash</t>
  </si>
  <si>
    <t>Opening Cash Balance</t>
  </si>
  <si>
    <t>cce</t>
  </si>
  <si>
    <t>clsg_cash</t>
  </si>
  <si>
    <t>Closing Cash Balance as per Balance Sheet</t>
  </si>
  <si>
    <t>chk1</t>
  </si>
  <si>
    <t>rep_shares</t>
  </si>
  <si>
    <t>across products</t>
  </si>
  <si>
    <t>2-3%</t>
  </si>
  <si>
    <t>domestic</t>
  </si>
  <si>
    <t>exports</t>
  </si>
  <si>
    <t>~1% across products</t>
  </si>
  <si>
    <t>Reported Equity shares (m)</t>
  </si>
  <si>
    <t>adj_shares</t>
  </si>
  <si>
    <t>Adjusted Equity Shares</t>
  </si>
  <si>
    <t>rep_sharesb</t>
  </si>
  <si>
    <t>Reported Equity shares (m) Bloomberg</t>
  </si>
  <si>
    <t>wtd_avg_shares</t>
  </si>
  <si>
    <t>Fully diluted shares (m)</t>
  </si>
  <si>
    <t>RATIOS</t>
  </si>
  <si>
    <t>Per Share Data (Rs)</t>
  </si>
  <si>
    <t>eps</t>
  </si>
  <si>
    <t>Reported EPS</t>
  </si>
  <si>
    <t>deps</t>
  </si>
  <si>
    <t>Emkay EPS</t>
  </si>
  <si>
    <t>ceps</t>
  </si>
  <si>
    <t>fcf_share</t>
  </si>
  <si>
    <t>FCF / Share</t>
  </si>
  <si>
    <t>dps</t>
  </si>
  <si>
    <t>DPS</t>
  </si>
  <si>
    <t>bvps</t>
  </si>
  <si>
    <t>Book Value / Share</t>
  </si>
  <si>
    <t>Growth ratios</t>
  </si>
  <si>
    <t>sales_gt</t>
  </si>
  <si>
    <t>Total Revenue growth (%)</t>
  </si>
  <si>
    <t>ebitda_gt</t>
  </si>
  <si>
    <t>EBITDA growth (%)</t>
  </si>
  <si>
    <t>ebit_gt</t>
  </si>
  <si>
    <t>EBIT growth (%)</t>
  </si>
  <si>
    <t>noplat_gt</t>
  </si>
  <si>
    <t>NOPLAT growth (%)</t>
  </si>
  <si>
    <t>pbt_gt</t>
  </si>
  <si>
    <t>PBT growth (%)</t>
  </si>
  <si>
    <t>pat_gt</t>
  </si>
  <si>
    <t>epam_gt</t>
  </si>
  <si>
    <t>Emkay net profit after mi</t>
  </si>
  <si>
    <t>rep_pat_gt</t>
  </si>
  <si>
    <t>Reported Profit after tax</t>
  </si>
  <si>
    <t>npft_gt</t>
  </si>
  <si>
    <t>eps_gt</t>
  </si>
  <si>
    <t xml:space="preserve">Reported EPS </t>
  </si>
  <si>
    <t>emeps_gt</t>
  </si>
  <si>
    <t xml:space="preserve">EMKAY EPS </t>
  </si>
  <si>
    <t>ceps_gt</t>
  </si>
  <si>
    <t xml:space="preserve">CEPS </t>
  </si>
  <si>
    <t>fcf_gt</t>
  </si>
  <si>
    <t xml:space="preserve">FCF / Share </t>
  </si>
  <si>
    <t>inv_cap</t>
  </si>
  <si>
    <t xml:space="preserve">Invested capital growth </t>
  </si>
  <si>
    <t>Profitability ratios(%)</t>
  </si>
  <si>
    <t>ebm</t>
  </si>
  <si>
    <t>EBITDA Margin</t>
  </si>
  <si>
    <t>ebitm</t>
  </si>
  <si>
    <t>noplatm</t>
  </si>
  <si>
    <t>NOPLAT Margin</t>
  </si>
  <si>
    <t>prem</t>
  </si>
  <si>
    <t>Pre-tax Margin</t>
  </si>
  <si>
    <t>npftm</t>
  </si>
  <si>
    <t>Emkay PAT Margin</t>
  </si>
  <si>
    <t>trate</t>
  </si>
  <si>
    <t xml:space="preserve">Tax rate </t>
  </si>
  <si>
    <t>cfo_rev</t>
  </si>
  <si>
    <t>CFO/Total Revenue</t>
  </si>
  <si>
    <t>fcf_rev</t>
  </si>
  <si>
    <t>FCF/Total Revenue</t>
  </si>
  <si>
    <t>divi_pay</t>
  </si>
  <si>
    <t xml:space="preserve">Dividend payout ratio </t>
  </si>
  <si>
    <t>dividend</t>
  </si>
  <si>
    <t>Dividend %</t>
  </si>
  <si>
    <t>Performance ratios (%)</t>
  </si>
  <si>
    <t>roa</t>
  </si>
  <si>
    <t xml:space="preserve">ROA </t>
  </si>
  <si>
    <t>roce</t>
  </si>
  <si>
    <t xml:space="preserve">ROCE </t>
  </si>
  <si>
    <t>roe</t>
  </si>
  <si>
    <t xml:space="preserve">ROE </t>
  </si>
  <si>
    <t>roic</t>
  </si>
  <si>
    <t xml:space="preserve">ROIC </t>
  </si>
  <si>
    <t>roic_coc</t>
  </si>
  <si>
    <t>RoIC/Cost of capital (x)</t>
  </si>
  <si>
    <t>roic_cofc</t>
  </si>
  <si>
    <t xml:space="preserve">ROIC - Cost of capital </t>
  </si>
  <si>
    <t>waac</t>
  </si>
  <si>
    <t xml:space="preserve">Wtd avg cost of cap </t>
  </si>
  <si>
    <t>rowa</t>
  </si>
  <si>
    <t xml:space="preserve">ROCE - WACC </t>
  </si>
  <si>
    <t>Efficiency ratios</t>
  </si>
  <si>
    <t>asset_turn</t>
  </si>
  <si>
    <t>Asset turnover (x)</t>
  </si>
  <si>
    <t>sales_ta</t>
  </si>
  <si>
    <t>Sales/Total assets (x)</t>
  </si>
  <si>
    <t>sales_gb</t>
  </si>
  <si>
    <t>FY14</t>
  </si>
  <si>
    <t>Sales/Gross Block (x)</t>
  </si>
  <si>
    <t>Other op income</t>
  </si>
  <si>
    <t>wor_sales</t>
  </si>
  <si>
    <t>Working capital/Sales (x)</t>
  </si>
  <si>
    <t>rec_days</t>
  </si>
  <si>
    <t>Receivable days</t>
  </si>
  <si>
    <t>inv_days</t>
  </si>
  <si>
    <t>Inventory days</t>
  </si>
  <si>
    <t>pay_days</t>
  </si>
  <si>
    <t>Payable days</t>
  </si>
  <si>
    <t>wor_days</t>
  </si>
  <si>
    <t>Net Working Capital Days</t>
  </si>
  <si>
    <t>capex_gb</t>
  </si>
  <si>
    <t>Capex/Gross Block (%)</t>
  </si>
  <si>
    <t>capex_sales</t>
  </si>
  <si>
    <t>Capex/Sales</t>
  </si>
  <si>
    <t>capex_ebitda</t>
  </si>
  <si>
    <t>Capex/Ebidta</t>
  </si>
  <si>
    <t>imports_rwmtrl</t>
  </si>
  <si>
    <t>Imports/Raw material (%)</t>
  </si>
  <si>
    <t>exp_sales</t>
  </si>
  <si>
    <t>Exports/Net sales (%)</t>
  </si>
  <si>
    <t>Du pont</t>
  </si>
  <si>
    <t>dupont1</t>
  </si>
  <si>
    <t>Net Profit Margin</t>
  </si>
  <si>
    <t>dupont2</t>
  </si>
  <si>
    <t>Aset Turnover Ratio</t>
  </si>
  <si>
    <t>dupont3</t>
  </si>
  <si>
    <t xml:space="preserve">Equity multiplier </t>
  </si>
  <si>
    <t>dupont4</t>
  </si>
  <si>
    <t>RoE (%)</t>
  </si>
  <si>
    <t>Financial stability ratios</t>
  </si>
  <si>
    <t>debt_ocf</t>
  </si>
  <si>
    <t>Total debt/Operating cash flow (X)</t>
  </si>
  <si>
    <t>ndebt_ocf</t>
  </si>
  <si>
    <t>Net debt/Operating cash flow (X)</t>
  </si>
  <si>
    <t>debt_eqy</t>
  </si>
  <si>
    <t>Total debt/Equity (X)</t>
  </si>
  <si>
    <t>net_eqy</t>
  </si>
  <si>
    <t>Net debt/Equity (X)</t>
  </si>
  <si>
    <t>net_ebitda</t>
  </si>
  <si>
    <t>Net debt/EBIDTA (X)</t>
  </si>
  <si>
    <t>crt</t>
  </si>
  <si>
    <t>int_cov</t>
  </si>
  <si>
    <t>Interest cover (x)</t>
  </si>
  <si>
    <t>Valuations (x)</t>
  </si>
  <si>
    <t>per</t>
  </si>
  <si>
    <t>PER (x)</t>
  </si>
  <si>
    <t>peg</t>
  </si>
  <si>
    <t>PEG (x) - y-o-y growth</t>
  </si>
  <si>
    <t>pce</t>
  </si>
  <si>
    <t>PCE (x)</t>
  </si>
  <si>
    <t>pcf</t>
  </si>
  <si>
    <t>PCF (x)</t>
  </si>
  <si>
    <t>price_book</t>
  </si>
  <si>
    <t>Price/Book (x)</t>
  </si>
  <si>
    <t>divi_yield</t>
  </si>
  <si>
    <t>Dividend Yield (%)</t>
  </si>
  <si>
    <t>ev_sales</t>
  </si>
  <si>
    <t>EV/Net sales (x)</t>
  </si>
  <si>
    <t>ev_ebitda</t>
  </si>
  <si>
    <t>ev_ebit</t>
  </si>
  <si>
    <t>EV/EBIT (x)</t>
  </si>
  <si>
    <t>ev_noplat</t>
  </si>
  <si>
    <t>EV/NOPLAT (x)</t>
  </si>
  <si>
    <t>ev_cfo</t>
  </si>
  <si>
    <t>EV/CFO (X)</t>
  </si>
  <si>
    <t>ev_ce</t>
  </si>
  <si>
    <t>EV/CE (X)</t>
  </si>
  <si>
    <t>ev_ic</t>
  </si>
  <si>
    <t>EV/IC (x)</t>
  </si>
  <si>
    <t>emkay_rep</t>
  </si>
  <si>
    <t>EMKAY REP (x)</t>
  </si>
  <si>
    <t>gem</t>
  </si>
  <si>
    <t>GEM (x) - y-o-y growth</t>
  </si>
  <si>
    <t>Rs m</t>
  </si>
  <si>
    <t>Domestic 3 Wheelers</t>
  </si>
  <si>
    <t>DEBT STRUCTURE</t>
  </si>
  <si>
    <t>sec_deb</t>
  </si>
  <si>
    <t>Secured Loans</t>
  </si>
  <si>
    <t>unsec_deb</t>
  </si>
  <si>
    <t>Unsecured Loans</t>
  </si>
  <si>
    <t>total_debt</t>
  </si>
  <si>
    <t>Q4FY14</t>
  </si>
  <si>
    <t>Total debt</t>
  </si>
  <si>
    <t>cbk</t>
  </si>
  <si>
    <t>Cash &amp; bank</t>
  </si>
  <si>
    <t>msmv</t>
  </si>
  <si>
    <t>Marketable securities at market value</t>
  </si>
  <si>
    <t>ndt</t>
  </si>
  <si>
    <t>Net debt/(cash)</t>
  </si>
  <si>
    <t>Supporting Calculations</t>
  </si>
  <si>
    <t>gbc</t>
  </si>
  <si>
    <t>gbc_avg</t>
  </si>
  <si>
    <t>Forex gain</t>
  </si>
  <si>
    <t>Q1FY13</t>
  </si>
  <si>
    <t>Units</t>
  </si>
  <si>
    <t>Volume Mix Analysis</t>
  </si>
  <si>
    <t>Economy</t>
  </si>
  <si>
    <t>XCD</t>
  </si>
  <si>
    <t>Discover 100</t>
  </si>
  <si>
    <t>Discover 125</t>
  </si>
  <si>
    <t>Executive</t>
  </si>
  <si>
    <t>Premium</t>
  </si>
  <si>
    <t>3 wheelers</t>
  </si>
  <si>
    <t>Grand Total</t>
  </si>
  <si>
    <t>Total Mix</t>
  </si>
  <si>
    <t>3Wheelers</t>
  </si>
  <si>
    <t>Exports Analysis</t>
  </si>
  <si>
    <t>Gross Block(avg)</t>
  </si>
  <si>
    <t>wctl</t>
  </si>
  <si>
    <t>Working capital</t>
  </si>
  <si>
    <t>tac</t>
  </si>
  <si>
    <t>tac_avg</t>
  </si>
  <si>
    <t>Total assets (avg)</t>
  </si>
  <si>
    <t>ntwtc</t>
  </si>
  <si>
    <t>Networth (ex RR &amp; Misc Exp)</t>
  </si>
  <si>
    <t>ntwtc_avg</t>
  </si>
  <si>
    <t>Networth (ex RR &amp; Misc Exp) - Average</t>
  </si>
  <si>
    <t>cec</t>
  </si>
  <si>
    <t>Capital Employed ex Rev Res</t>
  </si>
  <si>
    <t>cec_avg</t>
  </si>
  <si>
    <t>Capital Employed ex Rev Res (avg)</t>
  </si>
  <si>
    <t>iclc</t>
  </si>
  <si>
    <t>Invested Capital ex Rev Res</t>
  </si>
  <si>
    <t>iclc_avg</t>
  </si>
  <si>
    <t>FY16EPS</t>
  </si>
  <si>
    <t>Invested Capital ex Rev Res (avg)</t>
  </si>
  <si>
    <t>eri</t>
  </si>
  <si>
    <t>Avg. USD/INR</t>
  </si>
  <si>
    <t>Economic residual income (ERI)</t>
  </si>
  <si>
    <t>CMP (Rs)</t>
  </si>
  <si>
    <t>mkt_cap</t>
  </si>
  <si>
    <t>Market capitalisation (year end)</t>
  </si>
  <si>
    <t>ev</t>
  </si>
  <si>
    <t>Total enterprise value</t>
  </si>
  <si>
    <t>noplatc</t>
  </si>
  <si>
    <t>NOPLAT</t>
  </si>
  <si>
    <t>DEPRECIATION + AMORTISATION (For the Year)</t>
  </si>
  <si>
    <t>dep_fa</t>
  </si>
  <si>
    <t>Depreciation: Fixed assets</t>
  </si>
  <si>
    <t>dap_or</t>
  </si>
  <si>
    <t>Depreciation: Other</t>
  </si>
  <si>
    <t>tdep</t>
  </si>
  <si>
    <t>Total depreciation</t>
  </si>
  <si>
    <t>amor_good</t>
  </si>
  <si>
    <t>Amortisation: Goodwill</t>
  </si>
  <si>
    <t>amort_or</t>
  </si>
  <si>
    <t>Amortisation: Other intangibles</t>
  </si>
  <si>
    <t>tatr</t>
  </si>
  <si>
    <t>Total amortisation</t>
  </si>
  <si>
    <t>DIVIDENDS/ASSOCIATES</t>
  </si>
  <si>
    <t>div_paid</t>
  </si>
  <si>
    <t>todp</t>
  </si>
  <si>
    <t>Tax on dividend paid</t>
  </si>
  <si>
    <t>adrc</t>
  </si>
  <si>
    <t>Associate dividends received</t>
  </si>
  <si>
    <t>IMPORTS/EXPORTS</t>
  </si>
  <si>
    <t>imp</t>
  </si>
  <si>
    <t>Imports</t>
  </si>
  <si>
    <t>rtrl</t>
  </si>
  <si>
    <t>Raw Material</t>
  </si>
  <si>
    <t>ssrs</t>
  </si>
  <si>
    <t>Store  Spares</t>
  </si>
  <si>
    <t>cg</t>
  </si>
  <si>
    <t>Capital Goods</t>
  </si>
  <si>
    <t>exp</t>
  </si>
  <si>
    <t>Details for ratios</t>
  </si>
  <si>
    <t>p_lr</t>
  </si>
  <si>
    <t>PLR</t>
  </si>
  <si>
    <t>add_c_g</t>
  </si>
  <si>
    <t>Additional charge</t>
  </si>
  <si>
    <t>cod</t>
  </si>
  <si>
    <t>Cost of debt</t>
  </si>
  <si>
    <t>rft</t>
  </si>
  <si>
    <t>Risk-free rate</t>
  </si>
  <si>
    <t>beta</t>
  </si>
  <si>
    <t>Beta (x)</t>
  </si>
  <si>
    <t>erp</t>
  </si>
  <si>
    <t>Equity risk premium</t>
  </si>
  <si>
    <t>coe</t>
  </si>
  <si>
    <t>Cost of equity</t>
  </si>
  <si>
    <t>wod</t>
  </si>
  <si>
    <t>Weight of Debt</t>
  </si>
  <si>
    <t>woe</t>
  </si>
  <si>
    <t>Weight of Equity</t>
  </si>
  <si>
    <t>wacoc</t>
  </si>
  <si>
    <t>srot</t>
  </si>
  <si>
    <t>Statutory rate of tax (%)</t>
  </si>
  <si>
    <t>mon</t>
  </si>
  <si>
    <t>Months adjustment for tax rate</t>
  </si>
  <si>
    <t>DCF Calculations</t>
  </si>
  <si>
    <t>Net profit (forcasts exclude other income component)</t>
  </si>
  <si>
    <t>yeard</t>
  </si>
  <si>
    <t>dcfo</t>
  </si>
  <si>
    <t>Casf flow from operations</t>
  </si>
  <si>
    <t>dint</t>
  </si>
  <si>
    <t>Interest(1-T)</t>
  </si>
  <si>
    <t>dcapex</t>
  </si>
  <si>
    <t>Capex</t>
  </si>
  <si>
    <t>dfcff</t>
  </si>
  <si>
    <t>FCFF</t>
  </si>
  <si>
    <t>ddr</t>
  </si>
  <si>
    <t>Discount Rate</t>
  </si>
  <si>
    <t>dpv</t>
  </si>
  <si>
    <t>PV of Free Cash Flow</t>
  </si>
  <si>
    <t>dtcf</t>
  </si>
  <si>
    <t>Terminal Cash Flow</t>
  </si>
  <si>
    <t>ddtv</t>
  </si>
  <si>
    <t>Discounted Terminal Value</t>
  </si>
  <si>
    <t>dtfv</t>
  </si>
  <si>
    <t>(All figures in Rs mn, unless specified)</t>
  </si>
  <si>
    <t>FY12A</t>
  </si>
  <si>
    <t>FY17E</t>
  </si>
  <si>
    <t>FY18E</t>
  </si>
  <si>
    <t>FY19E</t>
  </si>
  <si>
    <t>FY20E</t>
  </si>
  <si>
    <t>FY21E</t>
  </si>
  <si>
    <t>FY22E</t>
  </si>
  <si>
    <t>FY23E</t>
  </si>
  <si>
    <t>FY24E</t>
  </si>
  <si>
    <t>FY25E</t>
  </si>
  <si>
    <t>Key financial data</t>
  </si>
  <si>
    <t>Q1FY15</t>
  </si>
  <si>
    <t>Volumes ('000)</t>
  </si>
  <si>
    <t>Avg. realisation</t>
  </si>
  <si>
    <t xml:space="preserve">Revenues </t>
  </si>
  <si>
    <t xml:space="preserve">Net income </t>
  </si>
  <si>
    <t>Cash &amp; cash equivalent</t>
  </si>
  <si>
    <t>Shareholder’s equity</t>
  </si>
  <si>
    <t>Free cash flow (FCF) analysis</t>
  </si>
  <si>
    <t>Depreciation and amortization</t>
  </si>
  <si>
    <t xml:space="preserve">Change in working capital </t>
  </si>
  <si>
    <t>FCF</t>
  </si>
  <si>
    <t>Discount factor</t>
  </si>
  <si>
    <t>PV of FCF</t>
  </si>
  <si>
    <t>Terminal Growth Rate</t>
  </si>
  <si>
    <t>WACC</t>
  </si>
  <si>
    <t>Valuation date</t>
  </si>
  <si>
    <t>Year fraction</t>
  </si>
  <si>
    <t>Valuation year</t>
  </si>
  <si>
    <t>ROIC in FY16</t>
  </si>
  <si>
    <t>Terminal cash flow calculation</t>
  </si>
  <si>
    <t>Assumptions</t>
  </si>
  <si>
    <t>Debt Premium</t>
  </si>
  <si>
    <t>Continuing Value - Last FCF</t>
  </si>
  <si>
    <t>Debt in FY 2012</t>
  </si>
  <si>
    <t>FCF - Next Year</t>
  </si>
  <si>
    <t>share price - Rs</t>
  </si>
  <si>
    <t>Terminal Value</t>
  </si>
  <si>
    <t>No. Shares (mn)</t>
  </si>
  <si>
    <t>Market cap - Rs mn</t>
  </si>
  <si>
    <t>Total Equity Rs mn</t>
  </si>
  <si>
    <t>DCF valuation</t>
  </si>
  <si>
    <t>Risk free rate</t>
  </si>
  <si>
    <t>Sum of Present Value of UFCF</t>
  </si>
  <si>
    <t>Expected market return =</t>
  </si>
  <si>
    <t>Present Value of Terminal Value</t>
  </si>
  <si>
    <t>Beta</t>
  </si>
  <si>
    <t>Cost of Equity</t>
  </si>
  <si>
    <t>Marginal cost of Debt</t>
  </si>
  <si>
    <t>Marginal Tax rate</t>
  </si>
  <si>
    <t>Net equity value</t>
  </si>
  <si>
    <t>No. of share (Cr)</t>
  </si>
  <si>
    <t>12-month fair value (Rs/share)</t>
  </si>
  <si>
    <t>Current market price (US$)</t>
  </si>
  <si>
    <t>Upside/(Downside)</t>
  </si>
  <si>
    <t>DCF sensitivity analysis of share price (INR)</t>
  </si>
  <si>
    <t>Provision for Dimuinution in value</t>
  </si>
  <si>
    <t>% Payout</t>
  </si>
  <si>
    <t>Employee Cost (Rs mn)</t>
  </si>
  <si>
    <t>No of Employees</t>
  </si>
  <si>
    <t>Revenue/Employee (Rs mn)</t>
  </si>
  <si>
    <t>Total Firm Value</t>
  </si>
  <si>
    <t>dnd</t>
  </si>
  <si>
    <t>Net Debt</t>
  </si>
  <si>
    <t>dtmv</t>
  </si>
  <si>
    <t>Target Market Value</t>
  </si>
  <si>
    <t>des</t>
  </si>
  <si>
    <t>Equity Shares O/s</t>
  </si>
  <si>
    <t>dvps</t>
  </si>
  <si>
    <t>Value per Share</t>
  </si>
  <si>
    <t>DCF Drivers</t>
  </si>
  <si>
    <t>dtg</t>
  </si>
  <si>
    <t>Terminal Growth rate</t>
  </si>
  <si>
    <t>dtt</t>
  </si>
  <si>
    <t>Asset Turn</t>
  </si>
  <si>
    <t>dptm</t>
  </si>
  <si>
    <t>Pre-tax margin</t>
  </si>
  <si>
    <t>dte</t>
  </si>
  <si>
    <t>Tax effect</t>
  </si>
  <si>
    <t>droic</t>
  </si>
  <si>
    <t>ROIC (RHS)</t>
  </si>
  <si>
    <t>dcoc</t>
  </si>
  <si>
    <t>Cost of capital (RHS)</t>
  </si>
  <si>
    <t>dtgt</t>
  </si>
  <si>
    <t>Turnover growth</t>
  </si>
  <si>
    <t>dic</t>
  </si>
  <si>
    <t>IC growth</t>
  </si>
  <si>
    <t>dcoct</t>
  </si>
  <si>
    <t>ROIC - Cost of capital</t>
  </si>
  <si>
    <t>DCF Details</t>
  </si>
  <si>
    <t>Valuation Base</t>
  </si>
  <si>
    <t>Valuation Base3</t>
  </si>
  <si>
    <t>Q3FY14</t>
  </si>
  <si>
    <t>Valuation Base4</t>
  </si>
  <si>
    <t>Valuation Base (avg)</t>
  </si>
  <si>
    <t>Base Year</t>
  </si>
  <si>
    <t>Multiple/Premium (1)</t>
  </si>
  <si>
    <t>Multiple/Premium (2)</t>
  </si>
  <si>
    <t>Multiple/Premium (3)</t>
  </si>
  <si>
    <t>Multiple/Premium (4)</t>
  </si>
  <si>
    <t>Multiple/Premium (avg)</t>
  </si>
  <si>
    <t>Total Value</t>
  </si>
  <si>
    <t>Risk free rate (%)</t>
  </si>
  <si>
    <t>Cost of Equity (%)</t>
  </si>
  <si>
    <t>Terminal Growth (%)</t>
  </si>
  <si>
    <t>Core Business</t>
  </si>
  <si>
    <t>Business1</t>
  </si>
  <si>
    <t>Business2</t>
  </si>
  <si>
    <t>Business3</t>
  </si>
  <si>
    <t>Business4</t>
  </si>
  <si>
    <t>Upside/Downside</t>
  </si>
  <si>
    <t>Quarter</t>
  </si>
  <si>
    <t>Q4FY09</t>
  </si>
  <si>
    <t>Q2FY11</t>
  </si>
  <si>
    <t>Q3FY11</t>
  </si>
  <si>
    <t>Q4FY11</t>
  </si>
  <si>
    <t>Q1FY12</t>
  </si>
  <si>
    <t>Q2FY12</t>
  </si>
  <si>
    <t>Q3FY12</t>
  </si>
  <si>
    <t>Q4FY12</t>
  </si>
  <si>
    <t>Quarterly Performance</t>
  </si>
  <si>
    <t>Income Statement (Rs in mn)</t>
  </si>
  <si>
    <t>net_sales_Q</t>
  </si>
  <si>
    <t>operating_income_Q</t>
  </si>
  <si>
    <t xml:space="preserve"> Other Operating Income</t>
  </si>
  <si>
    <t>total_revenue_Q</t>
  </si>
  <si>
    <t xml:space="preserve"> Total Revenue</t>
  </si>
  <si>
    <t>total_expenditure_q</t>
  </si>
  <si>
    <t>raw_mat_Q</t>
  </si>
  <si>
    <t>raw_mat_consumed_Q</t>
  </si>
  <si>
    <t>stock_adj_Q</t>
  </si>
  <si>
    <t>pur_finished_goods_Q</t>
  </si>
  <si>
    <t>operating_expenses_Q</t>
  </si>
  <si>
    <t>freight_Q</t>
  </si>
  <si>
    <t>power_oil_fuel_Q</t>
  </si>
  <si>
    <t>employee_exp_Q</t>
  </si>
  <si>
    <t>mining_cost_Q</t>
  </si>
  <si>
    <t>exploration_costs_Q</t>
  </si>
  <si>
    <t>sub_contracting_exp_Q</t>
  </si>
  <si>
    <t>construction_exp_Q</t>
  </si>
  <si>
    <t>masnlabour_exp_Q</t>
  </si>
  <si>
    <t>contract_exp_Q</t>
  </si>
  <si>
    <t>other_dir_exp_Q</t>
  </si>
  <si>
    <t>st_sp_cons_Q</t>
  </si>
  <si>
    <t>acc_chrg_Q</t>
  </si>
  <si>
    <t>net_opr_exp_Q</t>
  </si>
  <si>
    <t>lic_fee_Q</t>
  </si>
  <si>
    <t>rent_to_mach_Q</t>
  </si>
  <si>
    <t>repair_maint_Q</t>
  </si>
  <si>
    <t>engg_pro_exp_Q</t>
  </si>
  <si>
    <t>other_op_exp_Q</t>
  </si>
  <si>
    <t>sgae_Q</t>
  </si>
  <si>
    <t>snmexp_Q</t>
  </si>
  <si>
    <t>gndexp_Q</t>
  </si>
  <si>
    <t>other_expe_Q</t>
  </si>
  <si>
    <t>insurance_Q</t>
  </si>
  <si>
    <t>rnd_exp_Q</t>
  </si>
  <si>
    <t>bad_debts_pro_Q</t>
  </si>
  <si>
    <t>provisions_write_offs_Q</t>
  </si>
  <si>
    <t>Other Provisions &amp; Write offs</t>
  </si>
  <si>
    <t>forex_loss_gain_Q</t>
  </si>
  <si>
    <t>royalty_Q</t>
  </si>
  <si>
    <t>other_exp_Q</t>
  </si>
  <si>
    <t>Expenses Others</t>
  </si>
  <si>
    <t>ebitda_core_Q</t>
  </si>
  <si>
    <t>depreciation_Q</t>
  </si>
  <si>
    <t>impairment_of_assets_Q</t>
  </si>
  <si>
    <t>Impairment of Assets</t>
  </si>
  <si>
    <t>ebit_core_Q</t>
  </si>
  <si>
    <t>other_income_Q</t>
  </si>
  <si>
    <t>pbit_Q</t>
  </si>
  <si>
    <t>interest_Q</t>
  </si>
  <si>
    <t>intiq</t>
  </si>
  <si>
    <t>Interest Income</t>
  </si>
  <si>
    <t>inteq</t>
  </si>
  <si>
    <t>recurring_pbt_Q</t>
  </si>
  <si>
    <t>tax_provided_Q</t>
  </si>
  <si>
    <t>Tax Provided</t>
  </si>
  <si>
    <t>current_tax_Q</t>
  </si>
  <si>
    <t>Current  Tax</t>
  </si>
  <si>
    <t>fringe_benefit_tax_Q</t>
  </si>
  <si>
    <t>Fringe Benefit Tax</t>
  </si>
  <si>
    <t>deferred_tax_Q</t>
  </si>
  <si>
    <t>Deferred Tax</t>
  </si>
  <si>
    <t>adj_net_profit_ex_eo_Q</t>
  </si>
  <si>
    <t>profit_from_associates_Q</t>
  </si>
  <si>
    <t>Minority_Interest_Q</t>
  </si>
  <si>
    <t>Minority Interest</t>
  </si>
  <si>
    <t>rpat_after_MI_Q</t>
  </si>
  <si>
    <t>extra_ordinary_items_Q</t>
  </si>
  <si>
    <t>Extra-ordinary Items</t>
  </si>
  <si>
    <t>loss</t>
  </si>
  <si>
    <t>Forex (Loss)/Gain</t>
  </si>
  <si>
    <t>non_rec_items</t>
  </si>
  <si>
    <t>other_eo_items_Q</t>
  </si>
  <si>
    <t>Other Extra-ordinary income / (expense)</t>
  </si>
  <si>
    <t>tax_on_eo_Q</t>
  </si>
  <si>
    <t>Loss on hedges</t>
  </si>
  <si>
    <t>Tax on Extra-ordinary Items</t>
  </si>
  <si>
    <t>reported_profit_after_tax_Q</t>
  </si>
  <si>
    <t>Reported Profit After Tax</t>
  </si>
  <si>
    <t>Calculation of Tax rate on Recurring Profit for determining tax on forex</t>
  </si>
  <si>
    <t>ctorp</t>
  </si>
  <si>
    <t>Tax on recuriing Profit</t>
  </si>
  <si>
    <t>crpbt</t>
  </si>
  <si>
    <t>Recurring PBT</t>
  </si>
  <si>
    <t>cretr</t>
  </si>
  <si>
    <t>Recurring Effective Tax Rate</t>
  </si>
  <si>
    <t>hedge_resq</t>
  </si>
  <si>
    <t>Forex Hedging Reserves - Loss/Gain</t>
  </si>
  <si>
    <t>equity_capital_Q</t>
  </si>
  <si>
    <t>Equity Capital</t>
  </si>
  <si>
    <t>face_value_Q</t>
  </si>
  <si>
    <t>shares_outstanding_Q</t>
  </si>
  <si>
    <t>No of Shares o/s</t>
  </si>
  <si>
    <t>Balance Sheet</t>
  </si>
  <si>
    <t>equity_capitalq</t>
  </si>
  <si>
    <t>Equity share capital</t>
  </si>
  <si>
    <t>resv_surpq</t>
  </si>
  <si>
    <t>share_premq</t>
  </si>
  <si>
    <t>Share premium</t>
  </si>
  <si>
    <t>ret_earnq</t>
  </si>
  <si>
    <t>Retained earnings</t>
  </si>
  <si>
    <t>reval_resq</t>
  </si>
  <si>
    <t>Revaluation reserves</t>
  </si>
  <si>
    <t>FY15</t>
  </si>
  <si>
    <t>FY16</t>
  </si>
  <si>
    <t>Forex translation reserve/Hedge Reserve</t>
  </si>
  <si>
    <t>other_resq</t>
  </si>
  <si>
    <t>shf_fundsq</t>
  </si>
  <si>
    <t>Shareholders Funds</t>
  </si>
  <si>
    <t>ntwtq</t>
  </si>
  <si>
    <t>Networth (Ex revaluation Reserves &amp; Misc exp)</t>
  </si>
  <si>
    <t>min_interestq</t>
  </si>
  <si>
    <t>secq</t>
  </si>
  <si>
    <t>tlsq</t>
  </si>
  <si>
    <t>short_loansq</t>
  </si>
  <si>
    <t>Short Term loans</t>
  </si>
  <si>
    <t>flnq</t>
  </si>
  <si>
    <t>con_bondsq</t>
  </si>
  <si>
    <t>pfshcpq</t>
  </si>
  <si>
    <t>Preference share capital</t>
  </si>
  <si>
    <t>bonds_debq</t>
  </si>
  <si>
    <t>othq</t>
  </si>
  <si>
    <t>unsecq</t>
  </si>
  <si>
    <t xml:space="preserve">Unsecured Loans </t>
  </si>
  <si>
    <t>tlnsq</t>
  </si>
  <si>
    <t>stlnsq</t>
  </si>
  <si>
    <t>forex_loanq</t>
  </si>
  <si>
    <t>cvt_bondsq</t>
  </si>
  <si>
    <t>bondsq</t>
  </si>
  <si>
    <t>oerq</t>
  </si>
  <si>
    <t>lfdq</t>
  </si>
  <si>
    <t>Total Loan Funds</t>
  </si>
  <si>
    <t>ndtaq</t>
  </si>
  <si>
    <t>Net Deferred Taxes</t>
  </si>
  <si>
    <t>dtlqq</t>
  </si>
  <si>
    <t>Deferred Taxes Liability</t>
  </si>
  <si>
    <t>dtaq</t>
  </si>
  <si>
    <t>Deferred Taxes Asset</t>
  </si>
  <si>
    <t>tceq</t>
  </si>
  <si>
    <t>gbq</t>
  </si>
  <si>
    <t>landq</t>
  </si>
  <si>
    <t>Land + buildings</t>
  </si>
  <si>
    <t>plantq</t>
  </si>
  <si>
    <t>Plant + equipment</t>
  </si>
  <si>
    <t>other_tangq</t>
  </si>
  <si>
    <t>Other tangible fixed assets</t>
  </si>
  <si>
    <t>total_tang_assetsq</t>
  </si>
  <si>
    <t xml:space="preserve"> Total </t>
  </si>
  <si>
    <t xml:space="preserve"> Change in WC </t>
  </si>
  <si>
    <t xml:space="preserve"> Tax </t>
  </si>
  <si>
    <t xml:space="preserve"> Cash Flow from Operations </t>
  </si>
  <si>
    <t xml:space="preserve"> Capex </t>
  </si>
  <si>
    <t xml:space="preserve"> Free Cash flow </t>
  </si>
  <si>
    <t>Inventory</t>
  </si>
  <si>
    <t>WC (Inv. + Debtor - Creditor)</t>
  </si>
  <si>
    <t>Investment Portfolio</t>
  </si>
  <si>
    <t xml:space="preserve"> Subsidiaries </t>
  </si>
  <si>
    <t xml:space="preserve"> Mutual Funds </t>
  </si>
  <si>
    <t xml:space="preserve"> Debentures/bonds </t>
  </si>
  <si>
    <t xml:space="preserve"> Commercial Papers </t>
  </si>
  <si>
    <t xml:space="preserve"> Others </t>
  </si>
  <si>
    <t>R&amp; D Investments</t>
  </si>
  <si>
    <t xml:space="preserve"> R&amp;D Total </t>
  </si>
  <si>
    <t xml:space="preserve"> % of net sales </t>
  </si>
  <si>
    <t>Cost of Raw Materials</t>
  </si>
  <si>
    <t>% sales</t>
  </si>
  <si>
    <t>Employee Costs</t>
  </si>
  <si>
    <t>Power &amp; Fuel Cost</t>
  </si>
  <si>
    <t>Advertising/marketing</t>
  </si>
  <si>
    <t>Packing / Forwarding</t>
  </si>
  <si>
    <t>Other Manufacturing Expenses</t>
  </si>
  <si>
    <t>Cost Structure</t>
  </si>
  <si>
    <t>Domestic M/cycle</t>
  </si>
  <si>
    <t>75-110</t>
  </si>
  <si>
    <t>110-125</t>
  </si>
  <si>
    <t>125-150</t>
  </si>
  <si>
    <t>&gt; 150</t>
  </si>
  <si>
    <t>Industry</t>
  </si>
  <si>
    <t>Total - Bajaj domestic</t>
  </si>
  <si>
    <t>Total - Industry domestic</t>
  </si>
  <si>
    <t>Total - Bajaj Exports</t>
  </si>
  <si>
    <t>Exports M/cycle</t>
  </si>
  <si>
    <t>Total - Industry dom. exports</t>
  </si>
  <si>
    <t>Total domestic market share (%)</t>
  </si>
  <si>
    <t>Bajaj Auto Market share (%)</t>
  </si>
  <si>
    <t>Domestic three-wheelers</t>
  </si>
  <si>
    <t>Total tangible fixed assets</t>
  </si>
  <si>
    <t>goodwillq</t>
  </si>
  <si>
    <t>brandsq</t>
  </si>
  <si>
    <t>other_intangq</t>
  </si>
  <si>
    <t>Other intangible fixed assets</t>
  </si>
  <si>
    <t>total_intangq</t>
  </si>
  <si>
    <t>Total intangible fixed assets</t>
  </si>
  <si>
    <t>acdepq</t>
  </si>
  <si>
    <t>Less: Acc Depreciation</t>
  </si>
  <si>
    <t>nbq</t>
  </si>
  <si>
    <t>cwipq</t>
  </si>
  <si>
    <t>investmentsq</t>
  </si>
  <si>
    <t>Investment</t>
  </si>
  <si>
    <t>stra_invq</t>
  </si>
  <si>
    <t>Strategic/group inv</t>
  </si>
  <si>
    <t>mky_sec_costq</t>
  </si>
  <si>
    <t>caq</t>
  </si>
  <si>
    <t>Current Assets</t>
  </si>
  <si>
    <t>inventoriesq</t>
  </si>
  <si>
    <t>acc_receivableq</t>
  </si>
  <si>
    <t>cnc_equityq</t>
  </si>
  <si>
    <t>loan_advq</t>
  </si>
  <si>
    <t>related_partq</t>
  </si>
  <si>
    <t xml:space="preserve">     Advances tax/deposits with Govt</t>
  </si>
  <si>
    <t>loans_othrq</t>
  </si>
  <si>
    <t xml:space="preserve">     Others</t>
  </si>
  <si>
    <t>other_curr_assetsq</t>
  </si>
  <si>
    <t>cl_provq</t>
  </si>
  <si>
    <t>Current Liab &amp; Prov</t>
  </si>
  <si>
    <t>clq</t>
  </si>
  <si>
    <t>creditorsq</t>
  </si>
  <si>
    <t>other_payq</t>
  </si>
  <si>
    <t>% variance</t>
  </si>
  <si>
    <t>Per unit Realizations</t>
  </si>
  <si>
    <t>Domestic 2w Mix</t>
  </si>
  <si>
    <t>3w Mix</t>
  </si>
  <si>
    <t>Exports Revenue (INR mn)</t>
  </si>
  <si>
    <t>USD/INR Realized</t>
  </si>
  <si>
    <t>Exports Revenue (USD mn)</t>
  </si>
  <si>
    <t>Avg. realisation (USD/unit)</t>
  </si>
  <si>
    <t>Motorcycle 75cc-110cc</t>
  </si>
  <si>
    <t>Motorcycle 110cc-250cc</t>
  </si>
  <si>
    <t>FY16E</t>
  </si>
  <si>
    <t>Other Payables</t>
  </si>
  <si>
    <t>provq</t>
  </si>
  <si>
    <t>tax_provq</t>
  </si>
  <si>
    <t>YoY (%)</t>
  </si>
  <si>
    <t>QoQ(%)</t>
  </si>
  <si>
    <t>YoY(%)</t>
  </si>
  <si>
    <t>Expenditure</t>
  </si>
  <si>
    <t xml:space="preserve">   as % of sales</t>
  </si>
  <si>
    <t>Consumption of RM</t>
  </si>
  <si>
    <t>Other expenditure</t>
  </si>
  <si>
    <t>Adjusted PAT after MI</t>
  </si>
  <si>
    <t>Extra ordinary items Loss/(Gain)</t>
  </si>
  <si>
    <t>Adjusted EPS</t>
  </si>
  <si>
    <t>Margins (%)</t>
  </si>
  <si>
    <t>(bps)</t>
  </si>
  <si>
    <t>EBIDTA</t>
  </si>
  <si>
    <t xml:space="preserve">Effective Tax rate </t>
  </si>
  <si>
    <t xml:space="preserve">    Tax provisions</t>
  </si>
  <si>
    <t>other_provq</t>
  </si>
  <si>
    <t xml:space="preserve">    Others</t>
  </si>
  <si>
    <t>ncaq</t>
  </si>
  <si>
    <t>Net current assets</t>
  </si>
  <si>
    <t>mis_expq</t>
  </si>
  <si>
    <t>Miscellaneous Exps</t>
  </si>
  <si>
    <t>tcdq</t>
  </si>
  <si>
    <t>RATIOS: FUNDAMENTALS</t>
  </si>
  <si>
    <t>rep_epsq</t>
  </si>
  <si>
    <t>Reported EPS (Rs)</t>
  </si>
  <si>
    <t>adj_epsq</t>
  </si>
  <si>
    <t>Adjusted EPS (Rs) (Ex Extra-Ordinaries)</t>
  </si>
  <si>
    <t>ttm_reported_eps</t>
  </si>
  <si>
    <t>TTM Reported EPS (Rs)</t>
  </si>
  <si>
    <t>ttm_eps_ex_eo</t>
  </si>
  <si>
    <t>TTM Adjusted EPS (Rs) (Ex Extra-Ordinaries)</t>
  </si>
  <si>
    <t>tax_rateq</t>
  </si>
  <si>
    <t>Tax rate (%)</t>
  </si>
  <si>
    <t>Growth ratios yoy</t>
  </si>
  <si>
    <t>yoy1</t>
  </si>
  <si>
    <t>Net sales growth (%)</t>
  </si>
  <si>
    <t>yoy_3</t>
  </si>
  <si>
    <t>Consensus</t>
  </si>
  <si>
    <t>Variance</t>
  </si>
  <si>
    <t>Margin (%)</t>
  </si>
  <si>
    <t>yoy_2</t>
  </si>
  <si>
    <t>EBITDA Core growth (%)</t>
  </si>
  <si>
    <t>yoy4</t>
  </si>
  <si>
    <t>EBIT Core growth (%)</t>
  </si>
  <si>
    <t>yoy5</t>
  </si>
  <si>
    <t xml:space="preserve">PBIT growth (%) </t>
  </si>
  <si>
    <t>yoy6</t>
  </si>
  <si>
    <t>Pre-tax Profit growth (%)</t>
  </si>
  <si>
    <t>yoy7</t>
  </si>
  <si>
    <t>Emkay PAT growth (%)</t>
  </si>
  <si>
    <t>yoy_9</t>
  </si>
  <si>
    <t>Emkay PAT after associates &amp; minorities growth (%)</t>
  </si>
  <si>
    <t>yoy_8</t>
  </si>
  <si>
    <t>Reported PAT growth (%)</t>
  </si>
  <si>
    <t>yoy10</t>
  </si>
  <si>
    <t>Adjusted EPS growth (%)</t>
  </si>
  <si>
    <t>yoy12</t>
  </si>
  <si>
    <t>EBITDA Core margin growth (bps)</t>
  </si>
  <si>
    <t>yoy13</t>
  </si>
  <si>
    <t>EBIT Core margin growth (bps)</t>
  </si>
  <si>
    <t>yoy14</t>
  </si>
  <si>
    <t>PBIT margin growth (bps)</t>
  </si>
  <si>
    <t>yoy15</t>
  </si>
  <si>
    <t>Pre-tax margin growth (bps)</t>
  </si>
  <si>
    <t>yoy16</t>
  </si>
  <si>
    <t>Emkay PAT margin growth (bps)</t>
  </si>
  <si>
    <t>yoy17</t>
  </si>
  <si>
    <t>Emkay PAT after associates &amp; minorities margin growth (bps)</t>
  </si>
  <si>
    <t>yoy18</t>
  </si>
  <si>
    <t>Reported PAT margin growth (bps)</t>
  </si>
  <si>
    <t>Growth ratios qoq</t>
  </si>
  <si>
    <t>qoq1</t>
  </si>
  <si>
    <t>qoq2</t>
  </si>
  <si>
    <t>New Format</t>
  </si>
  <si>
    <t>Shareholders’ funds</t>
  </si>
  <si>
    <t>(a) Share capital</t>
  </si>
  <si>
    <t>(b) Reserves and surplus</t>
  </si>
  <si>
    <t>Sub-total - Shareholders' funds</t>
  </si>
  <si>
    <t>Non-current liabilities</t>
  </si>
  <si>
    <t>(a) Long-term borrowings</t>
  </si>
  <si>
    <t>(b) Deferred tax liabilities (net)</t>
  </si>
  <si>
    <t>(c) Other long term liabilities</t>
  </si>
  <si>
    <t>(d) Long-term provisions</t>
  </si>
  <si>
    <t>Sub-total - Non-current liabilities</t>
  </si>
  <si>
    <t>(a) Short-term borrowings</t>
  </si>
  <si>
    <t>(b) Trade payables</t>
  </si>
  <si>
    <t>(c) Other current liabilities</t>
  </si>
  <si>
    <t>(d) Short-term provisions</t>
  </si>
  <si>
    <t>Sub-total - Current liabilities</t>
  </si>
  <si>
    <t>Total - Equity and liabilities</t>
  </si>
  <si>
    <t>Non-current assets</t>
  </si>
  <si>
    <t>(a) Fixed assets</t>
  </si>
  <si>
    <t>(b) Goodwill on consolidation</t>
  </si>
  <si>
    <t>(b) Non-current investments</t>
  </si>
  <si>
    <t>(d) Deferred tax assets (net)</t>
  </si>
  <si>
    <t>(c) Long-term loans and advances</t>
  </si>
  <si>
    <t>(d) Other non-current assets</t>
  </si>
  <si>
    <t>Sub-total - Non-current assets</t>
  </si>
  <si>
    <t>(a) Current investments</t>
  </si>
  <si>
    <t>(b) Inventories</t>
  </si>
  <si>
    <t>(c) Trade receivables</t>
  </si>
  <si>
    <t>(d) Cash and bank balances</t>
  </si>
  <si>
    <t>(e) Short-term loans and advances</t>
  </si>
  <si>
    <t>(f) Other current assets</t>
  </si>
  <si>
    <t>Sub-total - Current assets</t>
  </si>
  <si>
    <t>Total - Assets</t>
  </si>
  <si>
    <t>Working capital (Quarterly non annualised)</t>
  </si>
  <si>
    <t>qoq3</t>
  </si>
  <si>
    <t>qoq4</t>
  </si>
  <si>
    <t>qoq5</t>
  </si>
  <si>
    <t>qoq6</t>
  </si>
  <si>
    <t>qoq7</t>
  </si>
  <si>
    <t>qoq8</t>
  </si>
  <si>
    <t>qoq9</t>
  </si>
  <si>
    <t>qoq10</t>
  </si>
  <si>
    <t>qoq12</t>
  </si>
  <si>
    <t>qoq13</t>
  </si>
  <si>
    <t>qoq14</t>
  </si>
  <si>
    <t>qoq15</t>
  </si>
  <si>
    <t>qoq16</t>
  </si>
  <si>
    <t>qoq17</t>
  </si>
  <si>
    <t>qoq18</t>
  </si>
  <si>
    <t>Margin ratios</t>
  </si>
  <si>
    <t>margin1</t>
  </si>
  <si>
    <t>EBITDA Core margin (%)</t>
  </si>
  <si>
    <t>margin3</t>
  </si>
  <si>
    <t>EBIT Core margin (%)</t>
  </si>
  <si>
    <t>margin4</t>
  </si>
  <si>
    <t>PBIT margin (%)</t>
  </si>
  <si>
    <t>margin5</t>
  </si>
  <si>
    <t>Pre-tax margin (%)</t>
  </si>
  <si>
    <t>margin6</t>
  </si>
  <si>
    <t>Emkay PAT margin (%)</t>
  </si>
  <si>
    <t>margin7</t>
  </si>
  <si>
    <t>Emkay PAT after associates &amp; minorities margin (%)</t>
  </si>
  <si>
    <t>margin8</t>
  </si>
  <si>
    <t>Reported PAT margin (%)</t>
  </si>
  <si>
    <t>Segmental Results</t>
  </si>
  <si>
    <t>Revenue (External Sales)</t>
  </si>
  <si>
    <t>Segment Name</t>
  </si>
  <si>
    <t>seg_tr</t>
  </si>
  <si>
    <t>Intersegment Sales</t>
  </si>
  <si>
    <t>eseg1</t>
  </si>
  <si>
    <t>eseg2</t>
  </si>
  <si>
    <t>eseg3</t>
  </si>
  <si>
    <t>eseg4</t>
  </si>
  <si>
    <t>eseg5</t>
  </si>
  <si>
    <t>Unallocable Items</t>
  </si>
  <si>
    <t>sint</t>
  </si>
  <si>
    <t>soexp</t>
  </si>
  <si>
    <t>sdep</t>
  </si>
  <si>
    <t>soie</t>
  </si>
  <si>
    <t>spbt</t>
  </si>
  <si>
    <t>seom</t>
  </si>
  <si>
    <t>E/O Items</t>
  </si>
  <si>
    <t>stax</t>
  </si>
  <si>
    <t>spat</t>
  </si>
  <si>
    <t>PAT</t>
  </si>
  <si>
    <t>spoa</t>
  </si>
  <si>
    <t>Profit Of Associates</t>
  </si>
  <si>
    <t>smint</t>
  </si>
  <si>
    <t>scpam</t>
  </si>
  <si>
    <t>Consolidated PAT after MI</t>
  </si>
  <si>
    <t>sced</t>
  </si>
  <si>
    <t>ce_seg1</t>
  </si>
  <si>
    <t>ce_seg2</t>
  </si>
  <si>
    <t>ce_seg3</t>
  </si>
  <si>
    <t>ce_seg4</t>
  </si>
  <si>
    <t>ce_seg5</t>
  </si>
  <si>
    <t>Segmental Contribution</t>
  </si>
  <si>
    <t>str1</t>
  </si>
  <si>
    <t>str2</t>
  </si>
  <si>
    <t>str3</t>
  </si>
  <si>
    <t>str4</t>
  </si>
  <si>
    <t>str5</t>
  </si>
  <si>
    <t>sebit1</t>
  </si>
  <si>
    <t>sebit2</t>
  </si>
  <si>
    <t>sebit3</t>
  </si>
  <si>
    <t>sebit4</t>
  </si>
  <si>
    <t>sebit5</t>
  </si>
  <si>
    <t>sce1</t>
  </si>
  <si>
    <t>sce2</t>
  </si>
  <si>
    <t>sce3</t>
  </si>
  <si>
    <t>sce4</t>
  </si>
  <si>
    <t>sce5</t>
  </si>
  <si>
    <t>Revenue Growth YoY (%)</t>
  </si>
  <si>
    <t>stry1</t>
  </si>
  <si>
    <t>stry2</t>
  </si>
  <si>
    <t>stry3</t>
  </si>
  <si>
    <t>stry4</t>
  </si>
  <si>
    <t>stry5</t>
  </si>
  <si>
    <t>EBIT Grwoth YoY (%)</t>
  </si>
  <si>
    <t>sebity1</t>
  </si>
  <si>
    <t>sebity2</t>
  </si>
  <si>
    <t>sebity3</t>
  </si>
  <si>
    <t>sebity4</t>
  </si>
  <si>
    <t>sebity5</t>
  </si>
  <si>
    <t>Revenue Growth QoQ (%)</t>
  </si>
  <si>
    <t>strq1</t>
  </si>
  <si>
    <t>strq2</t>
  </si>
  <si>
    <t>strq3</t>
  </si>
  <si>
    <t>strq4</t>
  </si>
  <si>
    <t>strq5</t>
  </si>
  <si>
    <t>EBIT Grwoth QoQ (%)</t>
  </si>
  <si>
    <t>sebitq1</t>
  </si>
  <si>
    <t>sebitq2</t>
  </si>
  <si>
    <t>sebitq3</t>
  </si>
  <si>
    <t>sebitq4</t>
  </si>
  <si>
    <t>sebitq5</t>
  </si>
  <si>
    <t>EBIT Margin (%)</t>
  </si>
  <si>
    <t>sebm1</t>
  </si>
  <si>
    <t>sebm2</t>
  </si>
  <si>
    <t>sebm3</t>
  </si>
  <si>
    <t>sebm4</t>
  </si>
  <si>
    <t>sebm5</t>
  </si>
  <si>
    <t>sroce1</t>
  </si>
  <si>
    <t>sroce2</t>
  </si>
  <si>
    <t>sroce3</t>
  </si>
  <si>
    <t>sroce4</t>
  </si>
  <si>
    <t>sroce5</t>
  </si>
  <si>
    <t>Net Cash</t>
  </si>
  <si>
    <t>Investments break-up</t>
  </si>
  <si>
    <t>Subsidiaries</t>
  </si>
  <si>
    <t>Quoted</t>
  </si>
  <si>
    <t>Unquoted</t>
  </si>
  <si>
    <t>Other Equity Investments</t>
  </si>
  <si>
    <t>Mutual Funds</t>
  </si>
  <si>
    <t>Debt Instruments</t>
  </si>
  <si>
    <t>Debentures/Bonds</t>
  </si>
  <si>
    <t>Other Investments</t>
  </si>
  <si>
    <t>Dividend from Subs/JV</t>
  </si>
  <si>
    <t>% of subsidiary</t>
  </si>
  <si>
    <t>Dividends from Investments (Equity, MF)</t>
  </si>
  <si>
    <t>% of investments</t>
  </si>
  <si>
    <t>% investment</t>
  </si>
  <si>
    <t>Total Other  Income</t>
  </si>
  <si>
    <t>(Fixed deposits with limited cos or loans to subsidiaries)</t>
  </si>
  <si>
    <t>Certificates of deposits/CP</t>
  </si>
  <si>
    <t>FY15E</t>
  </si>
  <si>
    <t>Rs 500-1000 in domestic motorcycles | Rs 1000- Rs 1500 on 3w</t>
  </si>
  <si>
    <t>Rs 1000 - 1500 on 3w | Rs 750 on Discover ST and Rs 350 on Disciver 4G/5G</t>
  </si>
  <si>
    <t>Cash Equivalents</t>
  </si>
  <si>
    <t>HOLD</t>
  </si>
  <si>
    <t>9 April 2007, Bajaj Auto inaugurated its green-field plant at Pantnagar, Uttarakhand. Built on the unique concept of having the mother plant and its vendors in the same premises, the Pantnagar plant completed producing 100,000
units of the Platina in less than six months; from December 2007, it began producing the XCD 125 cc as well. As planned, localisation of components up to 75% to 80 % has been achieved with the 16 vendors located in the cluster, for both the Platina and the XCD. In it’s first year of operations, the plant produced over 275,000 vehicles. This achievement of high volumes in its inaugural year reflects the meticulous care taken during the project planning and execution stage to eliminate all the problems that are generally faced during plant start up and production ramp up.</t>
  </si>
  <si>
    <t>From AR</t>
  </si>
  <si>
    <t>Export  as a % of total revenue</t>
  </si>
  <si>
    <t>na</t>
  </si>
  <si>
    <t>Tax Outgo @ 33%</t>
  </si>
  <si>
    <t># of months</t>
  </si>
  <si>
    <t>Discover 150cc/125cc</t>
  </si>
  <si>
    <t>FY15EPS</t>
  </si>
  <si>
    <t>=4% of an investment of  Rs 1500cr</t>
  </si>
  <si>
    <t>Excise savings as a % of total domestic revenues</t>
  </si>
  <si>
    <t>excise rate</t>
  </si>
  <si>
    <t>Price Hike</t>
  </si>
  <si>
    <t>Avg Hike</t>
  </si>
  <si>
    <t>Source</t>
  </si>
  <si>
    <t>Rs 500-600</t>
  </si>
  <si>
    <t>Pulsar model and 135-cc Discover </t>
  </si>
  <si>
    <t>http://www.financialexpress.com/news/Prices-rise-up-to-Rs-1-000/299937/</t>
  </si>
  <si>
    <t>Rs 500-Rs1500</t>
  </si>
  <si>
    <t>1-2.5%</t>
  </si>
  <si>
    <t>upto 2%</t>
  </si>
  <si>
    <t>upto Rs 1000</t>
  </si>
  <si>
    <t>~2%</t>
  </si>
  <si>
    <t>Rs 300 in Pulsar</t>
  </si>
  <si>
    <t>export prices on certain models have been increased as per con call</t>
  </si>
  <si>
    <t>3.5% in exports; Domestic 2 whlr Rs 500 and Rs 1000 in 3 wheeler</t>
  </si>
  <si>
    <t>Rs 800 due to excise</t>
  </si>
  <si>
    <t>Units sold</t>
  </si>
  <si>
    <t>Product launch</t>
  </si>
  <si>
    <t>in the year</t>
  </si>
  <si>
    <t>in the next year</t>
  </si>
  <si>
    <t>in the third year</t>
  </si>
  <si>
    <t>fourth year</t>
  </si>
  <si>
    <t>3 wh goods</t>
  </si>
  <si>
    <t>Chetak</t>
  </si>
  <si>
    <t>Super</t>
  </si>
  <si>
    <t>Rear engine auto rickshaw</t>
  </si>
  <si>
    <t>M 50</t>
  </si>
  <si>
    <t>M-80</t>
  </si>
  <si>
    <t>KB - 100</t>
  </si>
  <si>
    <t>Sunny</t>
  </si>
  <si>
    <t>4S Champion</t>
  </si>
  <si>
    <t>Classic</t>
  </si>
  <si>
    <t>Super excel</t>
  </si>
  <si>
    <t>Boxer</t>
  </si>
  <si>
    <t xml:space="preserve">3 wh Re diesel </t>
  </si>
  <si>
    <t>Boxer variant</t>
  </si>
  <si>
    <t>Calibre 111 cc (4 S)</t>
  </si>
  <si>
    <t>Legend (4 S)</t>
  </si>
  <si>
    <t>Spirit</t>
  </si>
  <si>
    <t>Saffire</t>
  </si>
  <si>
    <t>Eliminator 175 cc</t>
  </si>
  <si>
    <t>Bajaj Auto  took 30 months to conceptualise, design and develop Pulsar</t>
  </si>
  <si>
    <t>BYK</t>
  </si>
  <si>
    <t>Calibre 115 cc</t>
  </si>
  <si>
    <t>GC 1000 (rear engine)</t>
  </si>
  <si>
    <t>Wind 125 cc</t>
  </si>
  <si>
    <t>Pular - DTSI</t>
  </si>
  <si>
    <t>CT 100</t>
  </si>
  <si>
    <t>Chetak (4 S)</t>
  </si>
  <si>
    <t>Discover DTSI 125 cc</t>
  </si>
  <si>
    <t>Discover launched</t>
  </si>
  <si>
    <t>Wave DTSi</t>
  </si>
  <si>
    <t>Avenger DTS i</t>
  </si>
  <si>
    <t>Discover 125 cc upgrade</t>
  </si>
  <si>
    <t>Discover 110 cc</t>
  </si>
  <si>
    <t>Platina 100cc</t>
  </si>
  <si>
    <t>Re - 4S</t>
  </si>
  <si>
    <t>Pulsar 180 DTS - si</t>
  </si>
  <si>
    <t>Kristal DTSi</t>
  </si>
  <si>
    <t>Pulsar 200</t>
  </si>
  <si>
    <t>Pulsar 220 cc DTS - Fi</t>
  </si>
  <si>
    <t>Discover 135 cc DTS - Si</t>
  </si>
  <si>
    <t>XCD 125 DTS i</t>
  </si>
  <si>
    <t>Discover 135cc</t>
  </si>
  <si>
    <t>Platina 125 DTS Si</t>
  </si>
  <si>
    <t>Pulsar 150 DTS-I</t>
  </si>
  <si>
    <t>price 59,598, ex show room mumbai</t>
  </si>
  <si>
    <t>Pulsar 180 DTS-I</t>
  </si>
  <si>
    <t>price61,971, ex show room mumbai</t>
  </si>
  <si>
    <t>Discover 100cc</t>
  </si>
  <si>
    <t>Price Rs 40,000</t>
  </si>
  <si>
    <t>Kawasaki Ninja 250R</t>
  </si>
  <si>
    <t>price less than 3lakh</t>
  </si>
  <si>
    <t>cost Rs 51, 000</t>
  </si>
  <si>
    <t>Plarina 125</t>
  </si>
  <si>
    <t>cost Rs 37432 ex showroom Kolkatta</t>
  </si>
  <si>
    <t>cost approx 60,000</t>
  </si>
  <si>
    <t>Upgraded Version</t>
  </si>
  <si>
    <t>RE 145</t>
  </si>
  <si>
    <t>RE445 DIESEL</t>
  </si>
  <si>
    <t>Discover 150</t>
  </si>
  <si>
    <t>46,000 ex show room Delhi</t>
  </si>
  <si>
    <t>Avenger 220 cc</t>
  </si>
  <si>
    <t>Price 69000 ex showroom</t>
  </si>
  <si>
    <t>Discover 125cc</t>
  </si>
  <si>
    <t>Pulsar NS</t>
  </si>
  <si>
    <t>Discover 125 ST</t>
  </si>
  <si>
    <t>deliveries from june onwards</t>
  </si>
  <si>
    <t>Boxers ATs, CTs ,ARs</t>
  </si>
  <si>
    <t>502144 in 2002-03</t>
  </si>
  <si>
    <t>497137 in 2001-02</t>
  </si>
  <si>
    <t>Pulsar 150 cc, 180 cc</t>
  </si>
  <si>
    <t>183743 in 2002-03</t>
  </si>
  <si>
    <t>Pulsar range in 06-07</t>
  </si>
  <si>
    <t>24% growth YoY</t>
  </si>
  <si>
    <t>Hero Honda</t>
  </si>
  <si>
    <t>CD 100</t>
  </si>
  <si>
    <t>Sleek</t>
  </si>
  <si>
    <t>1988-89</t>
  </si>
  <si>
    <t>Splendor</t>
  </si>
  <si>
    <t>1993-94</t>
  </si>
  <si>
    <t>Street</t>
  </si>
  <si>
    <t>1996-97</t>
  </si>
  <si>
    <t>CBZ</t>
  </si>
  <si>
    <t>1999-00</t>
  </si>
  <si>
    <t>Passion  (focuused on style and contemporary design compared to earlier ones, earliers ones focused on utliliy and/or style)</t>
  </si>
  <si>
    <t xml:space="preserve">Splendor </t>
  </si>
  <si>
    <t xml:space="preserve">Joy </t>
  </si>
  <si>
    <t>2000-01</t>
  </si>
  <si>
    <t>6.9 lac vehicles</t>
  </si>
  <si>
    <t>Dawn</t>
  </si>
  <si>
    <t>Ambition 133CC</t>
  </si>
  <si>
    <t xml:space="preserve">CD - Dawn </t>
  </si>
  <si>
    <t>Karizma</t>
  </si>
  <si>
    <t>2001-02</t>
  </si>
  <si>
    <t>Domestic motorcycles</t>
  </si>
  <si>
    <t>Domestic sales</t>
  </si>
  <si>
    <t>Avg Domestic</t>
  </si>
  <si>
    <t>Passion plus (with improved styling)</t>
  </si>
  <si>
    <t>2003-04</t>
  </si>
  <si>
    <t>1 m</t>
  </si>
  <si>
    <t>Splendour + (new styling and improved feature)</t>
  </si>
  <si>
    <t>Ambition 135</t>
  </si>
  <si>
    <t>CBZ*</t>
  </si>
  <si>
    <t>Super Splendor</t>
  </si>
  <si>
    <t>CD Std/Deluxe</t>
  </si>
  <si>
    <t>Glamour</t>
  </si>
  <si>
    <t>Achiever</t>
  </si>
  <si>
    <t>Pleaure</t>
  </si>
  <si>
    <t>CBZ - Xtreme 220 CC</t>
  </si>
  <si>
    <t>Volumes (Units)</t>
  </si>
  <si>
    <t>FDEPS</t>
  </si>
  <si>
    <t>Premium (Pulsar, Avenger, KTM)</t>
  </si>
  <si>
    <t>Q2FY15</t>
  </si>
  <si>
    <t>FY17EPS</t>
  </si>
  <si>
    <t>Pulsar/KTM/Avenger/Ninja</t>
  </si>
  <si>
    <t>Revenue Share</t>
  </si>
  <si>
    <t>Revenue (FY15)</t>
  </si>
  <si>
    <t>FY17</t>
  </si>
  <si>
    <t>Motorcycle exports units ('000 units)</t>
  </si>
  <si>
    <t>ASPs (USD)</t>
  </si>
  <si>
    <t>3W exports units ('000 units)</t>
  </si>
  <si>
    <t>Total exports USD million</t>
  </si>
  <si>
    <t>Total export volumes</t>
  </si>
  <si>
    <t>Total exports INR Crore</t>
  </si>
  <si>
    <t>Average USD/INR</t>
  </si>
  <si>
    <t>Breakup of motorcycles</t>
  </si>
  <si>
    <t>Discover + Platina</t>
  </si>
  <si>
    <t>Boxer + CT</t>
  </si>
  <si>
    <t>3W</t>
  </si>
  <si>
    <t>South Asia &amp; Middle East</t>
  </si>
  <si>
    <t>ASEAN</t>
  </si>
  <si>
    <t>Geography-wise (in '000s units)</t>
  </si>
  <si>
    <t>3 Wheelers</t>
  </si>
  <si>
    <t>Total Vols</t>
  </si>
  <si>
    <t>Q3FY15</t>
  </si>
  <si>
    <t>Cash Equivalents Ex FMPs</t>
  </si>
  <si>
    <t xml:space="preserve">FY15E </t>
  </si>
  <si>
    <t>Target EV/EBITDA (x)</t>
  </si>
  <si>
    <t>Mcap</t>
  </si>
  <si>
    <t>Debt [Assumed FMPs from FY15 onwards]</t>
  </si>
  <si>
    <t>Rounded Off</t>
  </si>
  <si>
    <t>2w Mix</t>
  </si>
  <si>
    <t>Export Mix</t>
  </si>
  <si>
    <t>Domestic Mix</t>
  </si>
  <si>
    <t>Q4FY15</t>
  </si>
  <si>
    <t>Apr'15 Sales highlights</t>
  </si>
  <si>
    <t xml:space="preserve">Nigeria </t>
  </si>
  <si>
    <t>41,000 2W</t>
  </si>
  <si>
    <t>8000 3W</t>
  </si>
  <si>
    <t>Sri Lanka</t>
  </si>
  <si>
    <t>10000 3W; 9500 2W</t>
  </si>
  <si>
    <t>Platina/CT100</t>
  </si>
  <si>
    <t>ASPs</t>
  </si>
  <si>
    <t>FY2015</t>
  </si>
  <si>
    <t>South East &amp; Middle East</t>
  </si>
  <si>
    <t>Change in market share (bps)</t>
  </si>
  <si>
    <t>(mn units)</t>
  </si>
  <si>
    <t>Q1FY16</t>
  </si>
  <si>
    <t xml:space="preserve">Total Volumes </t>
  </si>
  <si>
    <t>Three-wheelers</t>
  </si>
  <si>
    <t xml:space="preserve">Exports F.O.B </t>
  </si>
  <si>
    <t>in USD</t>
  </si>
  <si>
    <t>in INR</t>
  </si>
  <si>
    <t>% of revenues</t>
  </si>
  <si>
    <t>~400 mn repairs</t>
  </si>
  <si>
    <t>~570 mn misc</t>
  </si>
  <si>
    <t>~430 mn CSR</t>
  </si>
  <si>
    <t>Miscellaneous Expenses</t>
  </si>
  <si>
    <t>CSR</t>
  </si>
  <si>
    <t>Non-operating Items</t>
  </si>
  <si>
    <t xml:space="preserve">PBT </t>
  </si>
  <si>
    <t>Parent</t>
  </si>
  <si>
    <t>Bajaj Auto Ltd</t>
  </si>
  <si>
    <t>Subsidiaries (Foreign)</t>
  </si>
  <si>
    <t>PT Bajaj Auto Indonesia</t>
  </si>
  <si>
    <t>Bajaj Auto International Holdings BV</t>
  </si>
  <si>
    <t>Add/(Less): Minority interests in all subsidiaries</t>
  </si>
  <si>
    <t>Add/(Less): Inter-company eliminations</t>
  </si>
  <si>
    <t>As a % of consolidated net assets</t>
  </si>
  <si>
    <t>Amount</t>
  </si>
  <si>
    <t>Net assets</t>
  </si>
  <si>
    <t>Share in profit/(loss)</t>
  </si>
  <si>
    <t>As a % of consolidated profit/loss</t>
  </si>
  <si>
    <t>CY 2014</t>
  </si>
  <si>
    <t>YoY %</t>
  </si>
  <si>
    <t>Gross addition</t>
  </si>
  <si>
    <t>Plant and machinery</t>
  </si>
  <si>
    <t>Dies and jigs</t>
  </si>
  <si>
    <t>Electric installations</t>
  </si>
  <si>
    <t>Factory equipments</t>
  </si>
  <si>
    <t>Furniture</t>
  </si>
  <si>
    <t>Vehicles and aircraft</t>
  </si>
  <si>
    <t>Buildings</t>
  </si>
  <si>
    <t>Computers and IT Equipment</t>
  </si>
  <si>
    <t>RoCE</t>
  </si>
  <si>
    <t>RoE</t>
  </si>
  <si>
    <t>RoIC</t>
  </si>
  <si>
    <t>Dividend Payout</t>
  </si>
  <si>
    <t>SHF</t>
  </si>
  <si>
    <t>Net Working Capital</t>
  </si>
  <si>
    <t>Fixed Assets</t>
  </si>
  <si>
    <t>Cash &amp; Current Investments</t>
  </si>
  <si>
    <t xml:space="preserve">Total Assets </t>
  </si>
  <si>
    <t>Current Liabiltiites</t>
  </si>
  <si>
    <t>Q2FY16E</t>
  </si>
  <si>
    <t>CT100</t>
  </si>
  <si>
    <t>FY18 EPS</t>
  </si>
  <si>
    <t>Q2FY16</t>
  </si>
  <si>
    <t>EPS Ex Other Inc</t>
  </si>
  <si>
    <t>@15x</t>
  </si>
  <si>
    <t>Cash/share @ 'Rs 455</t>
  </si>
  <si>
    <t>KTM value @ 150</t>
  </si>
  <si>
    <t>% YoY (RHS)</t>
  </si>
  <si>
    <t>Domestic spares</t>
  </si>
  <si>
    <t>Exports spares</t>
  </si>
  <si>
    <t>Spares - total (Rs mn)</t>
  </si>
  <si>
    <t>Bajaj Auto Domestic</t>
  </si>
  <si>
    <t>Q2 FY15</t>
  </si>
  <si>
    <t>Q3 FY15</t>
  </si>
  <si>
    <t>Q4 FY15</t>
  </si>
  <si>
    <t>realization</t>
  </si>
  <si>
    <t>ex-show</t>
  </si>
  <si>
    <t>CT</t>
  </si>
  <si>
    <t>Ninja</t>
  </si>
  <si>
    <t>3w</t>
  </si>
  <si>
    <t>domesti</t>
  </si>
  <si>
    <t>Domestic ASP</t>
  </si>
  <si>
    <t>Bajaj Auto Exports</t>
  </si>
  <si>
    <t>Exports ASP</t>
  </si>
  <si>
    <t>Bajaj Auto Total</t>
  </si>
  <si>
    <t>TOTAL</t>
  </si>
  <si>
    <t>Total Sales</t>
  </si>
  <si>
    <t>Stake held (%)</t>
  </si>
  <si>
    <t>Argentina  - FY16 sales would be 22k; FY15 was 12k; Market size is 150k units; Bajaj Mkt Share going to ~20%; all Pulsars</t>
  </si>
  <si>
    <t>Q3FY16</t>
  </si>
  <si>
    <t>Actual real</t>
  </si>
  <si>
    <t>$ avg (bloom)</t>
  </si>
  <si>
    <t>Q3FY16E</t>
  </si>
  <si>
    <t>Quadricycle</t>
  </si>
  <si>
    <t>Discover/Boxer/XCD/V</t>
  </si>
  <si>
    <t>FY18</t>
  </si>
  <si>
    <t>3w p.a.</t>
  </si>
  <si>
    <t>2w p.a.</t>
  </si>
  <si>
    <t>% of FY16 Co. level</t>
  </si>
  <si>
    <t>Q4FY16</t>
  </si>
  <si>
    <t>FY16 Sales</t>
  </si>
  <si>
    <t>Petrol PV</t>
  </si>
  <si>
    <t>Diesel PV</t>
  </si>
  <si>
    <t>Cargo</t>
  </si>
  <si>
    <t>V15</t>
  </si>
  <si>
    <t>Versys</t>
  </si>
  <si>
    <t>Gross Domestic Realizations</t>
  </si>
  <si>
    <t>Net Domestic Realizations</t>
  </si>
  <si>
    <t>Total Net Realizations</t>
  </si>
  <si>
    <t>Actual Sales</t>
  </si>
  <si>
    <t>Actual ASP</t>
  </si>
  <si>
    <t>&lt;=including currency impact</t>
  </si>
  <si>
    <t>\</t>
  </si>
  <si>
    <t>Avenger/Ninja/KTM/Versys</t>
  </si>
  <si>
    <t>Target Multiple</t>
  </si>
  <si>
    <t>Net income + Depreciation (Ex-Other Income)</t>
  </si>
  <si>
    <t>Mar '18</t>
  </si>
  <si>
    <t>Three-wheeler Domestic (incl. Qute)</t>
  </si>
  <si>
    <t>Three-wheeler Exports (incl. Qute)</t>
  </si>
  <si>
    <t>Total Three-wheelers (incl. Qute)</t>
  </si>
  <si>
    <t>3w dom</t>
  </si>
  <si>
    <t>3w export</t>
  </si>
  <si>
    <t>Product wise EBITA Margins in FY16</t>
  </si>
  <si>
    <t>lower than pulsar; mid teens</t>
  </si>
  <si>
    <t>includes 4% export incentives</t>
  </si>
  <si>
    <t>3w Domestic Biz in Fy16</t>
  </si>
  <si>
    <t>Q1FY17</t>
  </si>
  <si>
    <t>Discover 125/150cc/V</t>
  </si>
  <si>
    <t>(@ 40% Ancillarization/Benefit)</t>
  </si>
  <si>
    <t>Cost  of services/Excise duty added back</t>
  </si>
  <si>
    <t>Excise (Adj for PantNagar Benefit)</t>
  </si>
  <si>
    <t>IndAS</t>
  </si>
  <si>
    <t>Q2FY17</t>
  </si>
  <si>
    <t>2W</t>
  </si>
  <si>
    <t>CY 2015</t>
  </si>
  <si>
    <t>YTD%</t>
  </si>
  <si>
    <t>FY15  YoY%</t>
  </si>
  <si>
    <t>FY14  YoY%</t>
  </si>
  <si>
    <t>YTD FY13</t>
  </si>
  <si>
    <t>YTD FY12</t>
  </si>
  <si>
    <t>YoY%</t>
  </si>
  <si>
    <t>QoQ%</t>
  </si>
  <si>
    <t>Export</t>
  </si>
  <si>
    <t>3-W - Passenger Carriers</t>
  </si>
  <si>
    <t>3-W - Goods Carriers</t>
  </si>
  <si>
    <t>Realisation (Net)</t>
  </si>
  <si>
    <t>Qute Exports</t>
  </si>
  <si>
    <t>QoQ</t>
  </si>
  <si>
    <t>3-W - Total</t>
  </si>
  <si>
    <t>FY16 Actual</t>
  </si>
  <si>
    <t>FY16 Estimate</t>
  </si>
  <si>
    <t>Domestic % of total</t>
  </si>
  <si>
    <t>3W share of domestic</t>
  </si>
  <si>
    <t>Exports % of total</t>
  </si>
  <si>
    <t>3W share of export</t>
  </si>
  <si>
    <t>2W as % total</t>
  </si>
  <si>
    <t>3W as % of total</t>
  </si>
  <si>
    <t>FY19 EPS</t>
  </si>
  <si>
    <t>FY19E scenario analysis</t>
  </si>
  <si>
    <t>Q3FY17</t>
  </si>
  <si>
    <t>Estimate</t>
  </si>
  <si>
    <t>Margin %</t>
  </si>
  <si>
    <t>Q4FY17</t>
  </si>
  <si>
    <t>Q1FY18</t>
  </si>
  <si>
    <t>Assumptions here</t>
  </si>
  <si>
    <t>Formula here</t>
  </si>
  <si>
    <t>Total Vehicle Revenue Output here</t>
  </si>
  <si>
    <t>Flowing to the Inc Sheet (Row No. 73)</t>
  </si>
  <si>
    <t>Flowing to the Inc Sheet (Row No. 68)</t>
  </si>
  <si>
    <t>Avg. realisation - Exports (INR)</t>
  </si>
  <si>
    <t>Avg. realisation - Exports (USD)</t>
  </si>
  <si>
    <t>Formula here for conversion to INR - Exchange rate in Row No.1</t>
  </si>
  <si>
    <t>Flowing to the Main Inc Sheet (Row No. 9)</t>
  </si>
  <si>
    <t>Flowing to the Main Inc Sheet (Row No. 10)</t>
  </si>
  <si>
    <t>Flowing to the Main Inc Sheet (Row No. 15)</t>
  </si>
  <si>
    <t>s</t>
  </si>
  <si>
    <t>Flowing to the Main Inc Sheet (Row No. 14)</t>
  </si>
  <si>
    <t>Flowing to the Main Inc Sheet (Row No. 27)</t>
  </si>
  <si>
    <t>Calculation here</t>
  </si>
  <si>
    <t>Flowing to the Main Inc Sheet (Row No. 23)</t>
  </si>
  <si>
    <t>Flowing to the Inc Sheet (Row No. 86)</t>
  </si>
  <si>
    <t>Flowing from Fixed Assets Tab</t>
  </si>
  <si>
    <t>Calcultion  with assumption directly here</t>
  </si>
  <si>
    <t>Flowing From below (Row No. 75)</t>
  </si>
  <si>
    <t>Flowing From below (Row No. 84)</t>
  </si>
  <si>
    <t>Flowing From below (Row No. 90)</t>
  </si>
  <si>
    <t>Flowing From below (Row No. 109)</t>
  </si>
  <si>
    <t>Flowing From below (Row No. 159)</t>
  </si>
  <si>
    <t>Flowing From below (Row No. 131)</t>
  </si>
  <si>
    <t>Flowing From below (Row No. 143)</t>
  </si>
  <si>
    <t>Flowing From below (Row No. 173)</t>
  </si>
  <si>
    <t>Put details of No.of shares here</t>
  </si>
  <si>
    <t>Flowing from model wise Sales Tab</t>
  </si>
  <si>
    <t>Flowing to Inc Statement (Row 159 for Depreciation Calculation)</t>
  </si>
  <si>
    <t>Calculation with assumption here</t>
  </si>
  <si>
    <t>Flowing to Inc Statement (Row 137 for Interest income Calculation)</t>
  </si>
  <si>
    <t>Flowing to the Main Inc Sheet (Row No. 28)</t>
  </si>
  <si>
    <t>Flowing to the Main Inc Sheet (Row No. 32)</t>
  </si>
  <si>
    <r>
      <t>less:</t>
    </r>
    <r>
      <rPr>
        <sz val="8"/>
        <rFont val="Century Gothic"/>
        <family val="2"/>
      </rPr>
      <t xml:space="preserve"> debt</t>
    </r>
  </si>
  <si>
    <r>
      <t xml:space="preserve">less: </t>
    </r>
    <r>
      <rPr>
        <sz val="8"/>
        <rFont val="Century Gothic"/>
        <family val="2"/>
      </rPr>
      <t>retirement liabilities</t>
    </r>
  </si>
  <si>
    <r>
      <t>less :</t>
    </r>
    <r>
      <rPr>
        <sz val="8"/>
        <rFont val="Century Gothic"/>
        <family val="2"/>
      </rPr>
      <t xml:space="preserve"> minority interest and other provisions</t>
    </r>
  </si>
  <si>
    <r>
      <t>add:</t>
    </r>
    <r>
      <rPr>
        <sz val="8"/>
        <rFont val="Century Gothic"/>
        <family val="2"/>
      </rPr>
      <t xml:space="preserve"> cash equivalents and investments</t>
    </r>
  </si>
  <si>
    <r>
      <t>add:</t>
    </r>
    <r>
      <rPr>
        <sz val="8"/>
        <rFont val="Century Gothic"/>
        <family val="2"/>
      </rPr>
      <t xml:space="preserve"> non-core investments</t>
    </r>
  </si>
  <si>
    <t>Discounted cash flow analysis, FY 2018- FY 2025</t>
  </si>
  <si>
    <t>7 year CAGR</t>
  </si>
  <si>
    <t>Flowing above in Main balance sheet</t>
  </si>
  <si>
    <t>Flowing From below (Row No. 43)</t>
  </si>
  <si>
    <t>Flowing From below (Row No. 51)</t>
  </si>
  <si>
    <t>Flowing From below (Row No. 61)</t>
  </si>
  <si>
    <t>Flowing From below (Row No. 70)</t>
  </si>
  <si>
    <t>Figures here</t>
  </si>
  <si>
    <t>Flowing From below (Row No. 81)</t>
  </si>
  <si>
    <t>Flowing From below (Row No. 114)</t>
  </si>
  <si>
    <t>Figure here</t>
  </si>
  <si>
    <t>Flowing From below (Row No. 122)</t>
  </si>
  <si>
    <t>Flowing From below (Row No. 140)</t>
  </si>
  <si>
    <t>Flowing from P&amp;L</t>
  </si>
  <si>
    <t>Flowing From below (Row No. 149)</t>
  </si>
  <si>
    <t>Flowing From below (Row No. 188)</t>
  </si>
  <si>
    <t>Put figures here</t>
  </si>
  <si>
    <t>Calulation here</t>
  </si>
  <si>
    <t>Assumption with Calculation here</t>
  </si>
  <si>
    <t>Tax Rate</t>
  </si>
  <si>
    <t>From above</t>
  </si>
  <si>
    <t>Close</t>
  </si>
  <si>
    <t>Nifty Return = Market Return</t>
  </si>
  <si>
    <t>Nifty Variance = Market Variance</t>
  </si>
  <si>
    <t>Nifty Prices and return</t>
  </si>
  <si>
    <t>Daily Returns</t>
  </si>
  <si>
    <t>Bajaj Auto Variance</t>
  </si>
  <si>
    <t>Bajaj Auto Return</t>
  </si>
  <si>
    <t>Covariance</t>
  </si>
  <si>
    <t>Market Return</t>
  </si>
  <si>
    <t xml:space="preserve">From tab “Market Return and Beta” </t>
  </si>
  <si>
    <t>Tax adj cost of Debt</t>
  </si>
  <si>
    <t>Using CAPM</t>
  </si>
  <si>
    <t>From NSE Website</t>
  </si>
  <si>
    <t>Data here</t>
  </si>
  <si>
    <t>Calculate here</t>
  </si>
  <si>
    <t>Coming from below</t>
  </si>
  <si>
    <t>Flowing above to Cell P35</t>
  </si>
  <si>
    <t>Assumption here</t>
  </si>
  <si>
    <t xml:space="preserve"> EPS (Rs)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</si>
</sst>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4">
    <numFmt numFmtId="43" formatCode="_ * #,##0.00_ ;_ * \-#,##0.00_ ;_ * &quot;-&quot;??_ ;_ @_ "/>
    <numFmt numFmtId="164" formatCode="&quot;$&quot;#,##0_);[Red]\(&quot;$&quot;#,##0\)"/>
    <numFmt numFmtId="165" formatCode="&quot;$&quot;#,##0.00_);[Red]\(&quot;$&quot;#,##0.0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0_);_(* \(#,##0\);_(* &quot;--&quot;_);_(@_)"/>
    <numFmt numFmtId="171" formatCode="#,##0.0%_);_(* \(#,##0.0%\);_(* &quot;--&quot;_);_(@_)"/>
    <numFmt numFmtId="172" formatCode="#,##0.0\x_);_(* \(#,##0.0\x\);_(* &quot;--&quot;_);_(@_)"/>
    <numFmt numFmtId="173" formatCode="#,##0%_);_(* \(#,##0%\);_(* &quot;--&quot;_);_(@_)"/>
    <numFmt numFmtId="174" formatCode="#,##0.0_);\(#,##0.0\)"/>
    <numFmt numFmtId="175" formatCode="_(* #,##0_);_(* \(#,##0\);_(* &quot;&quot;_);_(@_)"/>
    <numFmt numFmtId="176" formatCode="#,##0_);[Magenta]\(#,##0\)"/>
    <numFmt numFmtId="177" formatCode="0.00_)"/>
    <numFmt numFmtId="178" formatCode="#,##0.00\ ;\(#,##0.00\)"/>
    <numFmt numFmtId="179" formatCode="#,##0.0000\ ;\(#,##0.0000\)"/>
    <numFmt numFmtId="180" formatCode="#,##0.000\ ;\(#,##0.000\)"/>
    <numFmt numFmtId="181" formatCode="_([$€-2]* #,##0.00_);_([$€-2]* \(#,##0.00\);_([$€-2]* &quot;-&quot;??_)"/>
    <numFmt numFmtId="182" formatCode="[$-409]dd\-mmm\-yy;@"/>
    <numFmt numFmtId="183" formatCode="#,##0.00_);_(* \(#,##0.00\);_(* &quot;--&quot;_);_(@_)"/>
    <numFmt numFmtId="184" formatCode="#,##0.000_);_(* \(#,##0.000\);_(* &quot;--&quot;_);_(@_)"/>
    <numFmt numFmtId="185" formatCode="#,##0.0_);_(* \(#,##0.0\);_(* &quot;--&quot;_);_(@_)"/>
    <numFmt numFmtId="186" formatCode="[$-409]mmm\-yy;@"/>
    <numFmt numFmtId="187" formatCode="_(* #,##0.0_);_(* \(#,##0.0\);_(* &quot;-&quot;??_);_(@_)"/>
    <numFmt numFmtId="188" formatCode="_(* #,##0_);_(* \(#,##0\);_(* &quot;-&quot;??_);_(@_)"/>
    <numFmt numFmtId="189" formatCode="_(* #,##0.0%_);_(* \(#,##0.0%\);_(* &quot;-&quot;??_);_(@_)"/>
    <numFmt numFmtId="190" formatCode="0.0"/>
    <numFmt numFmtId="191" formatCode="0.0%"/>
    <numFmt numFmtId="192" formatCode="0.0_);\(0.0\)"/>
    <numFmt numFmtId="193" formatCode="0.00_);\(0.00\)"/>
    <numFmt numFmtId="194" formatCode="[$-409]d\-mmm\-yy;@"/>
    <numFmt numFmtId="195" formatCode="0.0_);[Red]\(0.0\)"/>
    <numFmt numFmtId="196" formatCode="[$-409]mmm/yy;@"/>
    <numFmt numFmtId="197" formatCode="_(* #,##0.0000_);_(* \(#,##0.0000\);_(* &quot;-&quot;??_);_(@_)"/>
    <numFmt numFmtId="198" formatCode="_(* #,##0.000_);_(* \(#,##0.000\);_(* &quot;-&quot;??_);_(@_)"/>
    <numFmt numFmtId="199" formatCode="#,##0.0_);[Red]\(#,##0.0\)"/>
    <numFmt numFmtId="200" formatCode="#,##0;[Red]\(#,##0\)"/>
    <numFmt numFmtId="201" formatCode="&quot;Rs&quot;#,##0;[Red]\-&quot;Rs&quot;#,##0"/>
    <numFmt numFmtId="202" formatCode="#,##0.0;\-#,##0.0"/>
    <numFmt numFmtId="203" formatCode="_-* #,##0.00_-;\-* #,##0.00_-;_-* &quot;-&quot;??_-;_-@_-"/>
    <numFmt numFmtId="204" formatCode="ddmmmyy"/>
    <numFmt numFmtId="205" formatCode="_(#,##0.00_);[Red]\(#,##0.00\);_-* &quot;-&quot;??_-;_-@_-"/>
    <numFmt numFmtId="206" formatCode="_-* #,##0_-;\-* #,##0_-;_-* &quot;-&quot;_-;_-@_-"/>
    <numFmt numFmtId="207" formatCode="#,###.##000"/>
    <numFmt numFmtId="208" formatCode="&quot;N$&quot;#,##0.00_);[Red]\(&quot;N$&quot;#,##0.00\)"/>
    <numFmt numFmtId="209" formatCode="#,##0\ &quot;Pts&quot;;[Red]\-#,##0\ &quot;Pts&quot;"/>
    <numFmt numFmtId="210" formatCode="#,##0.00\ &quot;Pts&quot;;\-#,##0.00\ &quot;Pts&quot;"/>
    <numFmt numFmtId="211" formatCode="#,##0.00\ &quot;Pts&quot;;[Red]\-#,##0.00\ &quot;Pts&quot;"/>
    <numFmt numFmtId="212" formatCode="_ &quot;\&quot;* #,##0_ ;_ &quot;\&quot;* \-#,##0_ ;_ &quot;\&quot;* &quot;-&quot;_ ;_ @_ "/>
    <numFmt numFmtId="213" formatCode="_ &quot;\&quot;* #,##0.00_ ;_ &quot;\&quot;* \-#,##0.00_ ;_ &quot;\&quot;* &quot;-&quot;??_ ;_ @_ "/>
    <numFmt numFmtId="214" formatCode="#,###,##0"/>
    <numFmt numFmtId="215" formatCode="mm/dd/yy;@"/>
    <numFmt numFmtId="216" formatCode="mmm\ yyyy"/>
    <numFmt numFmtId="217" formatCode="#,##0.0000_);_(* \(#,##0.0000\);_(* &quot;--&quot;_);_(@_)"/>
    <numFmt numFmtId="218" formatCode="#,##0.0"/>
    <numFmt numFmtId="219" formatCode="0\ &quot;bps&quot;"/>
    <numFmt numFmtId="220" formatCode="&quot;$&quot;#,##0.00_)\ \ \ \ \ ;\(&quot;$&quot;#,##0.00\)\ \ \ \ \ "/>
    <numFmt numFmtId="221" formatCode="&quot;$&quot;#\-##/##"/>
    <numFmt numFmtId="222" formatCode="#,##0\ &quot;MM&quot;"/>
    <numFmt numFmtId="223" formatCode="&quot;$&quot;#,##0.00\A\ \ \ \ ;\(&quot;$&quot;#,##0.00\A\)\ \ \ \ "/>
    <numFmt numFmtId="224" formatCode="&quot;$&quot;#,##0\ &quot;MM&quot;;\(&quot;$&quot;#,##0.00\ &quot;MM&quot;\)"/>
    <numFmt numFmtId="225" formatCode="#,##0.00_)\ \ \ \ \ ;\(#,##0.00\)\ \ \ \ \ "/>
    <numFmt numFmtId="226" formatCode="0.0\ \ \ \ \ \ "/>
    <numFmt numFmtId="227" formatCode="&quot;$&quot;#,##0.00&quot;E&quot;\ \ \ \ ;\(&quot;$&quot;#,##0.00&quot;E&quot;\)\ \ \ \ "/>
    <numFmt numFmtId="228" formatCode="#,##0.00&quot;E&quot;\ \ \ \ ;\(#,##0.00&quot;E&quot;\)\ \ \ \ "/>
    <numFmt numFmtId="229" formatCode="0.0%\ \ \ \ \ "/>
    <numFmt numFmtId="230" formatCode="_(&quot;$&quot;#,##0_)&quot;millions&quot;;\(&quot;$&quot;#,##0\)&quot; millions&quot;"/>
    <numFmt numFmtId="231" formatCode="&quot;$&quot;#,##0.00_)\ \ \ ;\(&quot;$&quot;#,##0.00\)\ \ \ "/>
    <numFmt numFmtId="232" formatCode="&quot;$&quot;#,##0.00&quot;*&quot;\ \ ;\(&quot;$&quot;#,##0.00\)&quot;*&quot;\ \ "/>
    <numFmt numFmtId="233" formatCode="&quot;$&quot;#,##0.00\A_)\ ;\(&quot;$&quot;#,##0.00\A\)\ \ "/>
    <numFmt numFmtId="234" formatCode="&quot;$&quot;@\ "/>
    <numFmt numFmtId="235" formatCode="@\ \ \ \ \ "/>
    <numFmt numFmtId="236" formatCode="0%\ \ \ \ \ \ \ "/>
    <numFmt numFmtId="237" formatCode="_(&quot;$&quot;* #,##0_)\ &quot;millions&quot;;_(&quot;$&quot;* \(#,##0\)&quot; millions&quot;"/>
    <numFmt numFmtId="238" formatCode="0.00\ \ \ \ "/>
    <numFmt numFmtId="239" formatCode="&quot;$&quot;@"/>
    <numFmt numFmtId="240" formatCode="#,##0.00\A\ \ \ \ ;\(#,##0.00\A\)\ \ \ \ "/>
    <numFmt numFmtId="241" formatCode="#,##0.00000_);_(* \(#,##0.00000\);_(* &quot;--&quot;_);_(@_)"/>
    <numFmt numFmtId="242" formatCode="yyyy"/>
    <numFmt numFmtId="243" formatCode="#,##0.00%_);_(* \(#,##0.00%\);_(* &quot;--&quot;_);_(@_)"/>
    <numFmt numFmtId="244" formatCode="#,##0.0_ ;\-#,##0.0\ "/>
    <numFmt numFmtId="245" formatCode="_ * #,##0_ ;_ * \-#,##0_ ;_ * &quot;-&quot;??_ ;_ @_ "/>
    <numFmt numFmtId="246" formatCode="#,##0.0000000000000"/>
  </numFmts>
  <fonts count="245">
    <font>
      <sz val="10"/>
      <name val="Verdana"/>
    </font>
    <font>
      <sz val="11"/>
      <color theme="1"/>
      <name val="Calibri"/>
      <family val="2"/>
      <scheme val="minor"/>
    </font>
    <font>
      <sz val="11"/>
      <color theme="1"/>
      <name val="Calibri"/>
      <family val="2"/>
      <scheme val="minor"/>
    </font>
    <font>
      <sz val="10"/>
      <name val="Verdana"/>
      <family val="2"/>
    </font>
    <font>
      <b/>
      <sz val="10"/>
      <name val="Verdana"/>
      <family val="2"/>
    </font>
    <font>
      <sz val="10"/>
      <name val="Verdana"/>
      <family val="2"/>
    </font>
    <font>
      <sz val="8"/>
      <name val="Verdana"/>
      <family val="2"/>
    </font>
    <font>
      <b/>
      <sz val="10"/>
      <color indexed="12"/>
      <name val="Verdana"/>
      <family val="2"/>
    </font>
    <font>
      <sz val="10"/>
      <color indexed="12"/>
      <name val="Verdana"/>
      <family val="2"/>
    </font>
    <font>
      <sz val="8"/>
      <color indexed="81"/>
      <name val="Tahoma"/>
      <family val="2"/>
    </font>
    <font>
      <b/>
      <sz val="8"/>
      <color indexed="81"/>
      <name val="Tahoma"/>
      <family val="2"/>
    </font>
    <font>
      <b/>
      <i/>
      <sz val="14"/>
      <color indexed="12"/>
      <name val="Verdana"/>
      <family val="2"/>
    </font>
    <font>
      <i/>
      <sz val="10"/>
      <name val="Verdana"/>
      <family val="2"/>
    </font>
    <font>
      <b/>
      <sz val="14"/>
      <color indexed="9"/>
      <name val="Verdana"/>
      <family val="2"/>
    </font>
    <font>
      <b/>
      <i/>
      <sz val="10"/>
      <name val="Verdana"/>
      <family val="2"/>
    </font>
    <font>
      <b/>
      <sz val="10"/>
      <color indexed="9"/>
      <name val="Verdana"/>
      <family val="2"/>
    </font>
    <font>
      <sz val="12"/>
      <name val="Times New Roman"/>
      <family val="1"/>
    </font>
    <font>
      <sz val="10"/>
      <name val="Arial"/>
      <family val="2"/>
    </font>
    <font>
      <b/>
      <sz val="6"/>
      <name val="Arial"/>
      <family val="2"/>
    </font>
    <font>
      <b/>
      <sz val="8"/>
      <name val="Arial"/>
      <family val="2"/>
    </font>
    <font>
      <i/>
      <sz val="8"/>
      <name val="Arial"/>
      <family val="2"/>
    </font>
    <font>
      <sz val="8"/>
      <name val="Arial"/>
      <family val="2"/>
    </font>
    <font>
      <sz val="8"/>
      <name val="Times New Roman"/>
      <family val="1"/>
    </font>
    <font>
      <sz val="12"/>
      <name val="Tms Rmn"/>
    </font>
    <font>
      <b/>
      <sz val="10"/>
      <color indexed="17"/>
      <name val="Times New Roman"/>
      <family val="1"/>
    </font>
    <font>
      <sz val="8"/>
      <name val="Times New Roman"/>
      <family val="1"/>
    </font>
    <font>
      <sz val="12"/>
      <name val="Helv"/>
    </font>
    <font>
      <sz val="10"/>
      <color indexed="17"/>
      <name val="Helvetica"/>
      <family val="2"/>
    </font>
    <font>
      <sz val="8"/>
      <color indexed="14"/>
      <name val="Times New Roman"/>
      <family val="1"/>
    </font>
    <font>
      <b/>
      <sz val="14"/>
      <name val="Helv"/>
    </font>
    <font>
      <sz val="10"/>
      <name val="Times New Roman"/>
      <family val="1"/>
    </font>
    <font>
      <b/>
      <i/>
      <sz val="16"/>
      <name val="Helv"/>
    </font>
    <font>
      <sz val="10"/>
      <color indexed="12"/>
      <name val="Helvetica"/>
      <family val="2"/>
    </font>
    <font>
      <b/>
      <sz val="10"/>
      <color indexed="18"/>
      <name val="Symbol"/>
      <family val="1"/>
      <charset val="2"/>
    </font>
    <font>
      <sz val="24"/>
      <color indexed="13"/>
      <name val="Helv"/>
    </font>
    <font>
      <b/>
      <sz val="8"/>
      <color indexed="8"/>
      <name val="Wingdings"/>
      <charset val="2"/>
    </font>
    <font>
      <b/>
      <sz val="8"/>
      <color indexed="10"/>
      <name val="Wingdings"/>
      <charset val="2"/>
    </font>
    <font>
      <b/>
      <sz val="8"/>
      <color indexed="9"/>
      <name val="Wingdings"/>
      <charset val="2"/>
    </font>
    <font>
      <b/>
      <i/>
      <sz val="10"/>
      <color indexed="12"/>
      <name val="Verdana"/>
      <family val="2"/>
    </font>
    <font>
      <sz val="8"/>
      <name val="Arial Unicode MS"/>
      <family val="2"/>
    </font>
    <font>
      <i/>
      <sz val="10"/>
      <color indexed="12"/>
      <name val="Verdana"/>
      <family val="2"/>
    </font>
    <font>
      <i/>
      <sz val="10"/>
      <color indexed="22"/>
      <name val="Verdana"/>
      <family val="2"/>
    </font>
    <font>
      <sz val="10"/>
      <color indexed="12"/>
      <name val="1000"/>
    </font>
    <font>
      <i/>
      <sz val="10"/>
      <color indexed="10"/>
      <name val="Verdana"/>
      <family val="2"/>
    </font>
    <font>
      <b/>
      <sz val="8"/>
      <name val="Arial Unicode MS"/>
      <family val="2"/>
    </font>
    <font>
      <b/>
      <sz val="8"/>
      <name val="Optima"/>
      <family val="2"/>
    </font>
    <font>
      <sz val="8"/>
      <name val="Optima"/>
      <family val="2"/>
    </font>
    <font>
      <b/>
      <sz val="8"/>
      <name val="Verdana"/>
      <family val="2"/>
    </font>
    <font>
      <b/>
      <sz val="8"/>
      <name val="Verdana"/>
      <family val="2"/>
    </font>
    <font>
      <i/>
      <sz val="8"/>
      <name val="Verdana"/>
      <family val="2"/>
    </font>
    <font>
      <b/>
      <u/>
      <sz val="8"/>
      <name val="Verdana"/>
      <family val="2"/>
    </font>
    <font>
      <i/>
      <sz val="8"/>
      <color indexed="10"/>
      <name val="Verdana"/>
      <family val="2"/>
    </font>
    <font>
      <b/>
      <i/>
      <sz val="8"/>
      <name val="Verdana"/>
      <family val="2"/>
    </font>
    <font>
      <b/>
      <sz val="8"/>
      <color indexed="9"/>
      <name val="Verdana"/>
      <family val="2"/>
    </font>
    <font>
      <sz val="8"/>
      <color indexed="10"/>
      <name val="Verdana"/>
      <family val="2"/>
    </font>
    <font>
      <u/>
      <sz val="8"/>
      <name val="Verdana"/>
      <family val="2"/>
    </font>
    <font>
      <sz val="8"/>
      <name val="Verdana"/>
      <family val="2"/>
    </font>
    <font>
      <sz val="10"/>
      <color indexed="10"/>
      <name val="Verdana"/>
      <family val="2"/>
    </font>
    <font>
      <b/>
      <sz val="9"/>
      <color indexed="81"/>
      <name val="Tahoma"/>
      <family val="2"/>
    </font>
    <font>
      <sz val="9"/>
      <color indexed="81"/>
      <name val="Tahoma"/>
      <family val="2"/>
    </font>
    <font>
      <sz val="11"/>
      <color indexed="8"/>
      <name val="Calibri"/>
      <family val="2"/>
    </font>
    <font>
      <i/>
      <sz val="8"/>
      <color indexed="10"/>
      <name val="Verdana"/>
      <family val="2"/>
    </font>
    <font>
      <b/>
      <sz val="8"/>
      <color indexed="10"/>
      <name val="Verdana"/>
      <family val="2"/>
    </font>
    <font>
      <sz val="8"/>
      <name val="Verdana"/>
      <family val="2"/>
    </font>
    <font>
      <sz val="8"/>
      <name val="Arial"/>
      <family val="2"/>
    </font>
    <font>
      <b/>
      <sz val="8"/>
      <name val="Arial"/>
      <family val="2"/>
    </font>
    <font>
      <u/>
      <sz val="8"/>
      <color indexed="12"/>
      <name val="Arial"/>
      <family val="2"/>
    </font>
    <font>
      <b/>
      <sz val="10"/>
      <name val="Arial"/>
      <family val="2"/>
    </font>
    <font>
      <sz val="9"/>
      <name val="Arial"/>
      <family val="2"/>
    </font>
    <font>
      <b/>
      <sz val="9"/>
      <name val="Arial"/>
      <family val="2"/>
    </font>
    <font>
      <sz val="8"/>
      <color indexed="48"/>
      <name val="Arial"/>
      <family val="2"/>
    </font>
    <font>
      <sz val="8"/>
      <color indexed="12"/>
      <name val="Arial"/>
      <family val="2"/>
    </font>
    <font>
      <b/>
      <sz val="8"/>
      <color indexed="8"/>
      <name val="Arial"/>
      <family val="2"/>
    </font>
    <font>
      <b/>
      <sz val="10"/>
      <name val="MS Sans Serif"/>
      <family val="2"/>
    </font>
    <font>
      <sz val="11"/>
      <name val="돋움"/>
      <family val="2"/>
      <charset val="129"/>
    </font>
    <font>
      <sz val="10"/>
      <name val="Arial"/>
      <family val="2"/>
    </font>
    <font>
      <sz val="10"/>
      <name val="Bembo (DFS)"/>
    </font>
    <font>
      <sz val="8"/>
      <name val="Times New Roman"/>
      <family val="1"/>
    </font>
    <font>
      <sz val="10"/>
      <color indexed="8"/>
      <name val="Arial"/>
      <family val="2"/>
    </font>
    <font>
      <sz val="16"/>
      <name val="Arial"/>
      <family val="2"/>
    </font>
    <font>
      <b/>
      <sz val="8"/>
      <color indexed="12"/>
      <name val="Arial"/>
      <family val="2"/>
    </font>
    <font>
      <sz val="10"/>
      <name val="Geneva"/>
    </font>
    <font>
      <sz val="10"/>
      <name val="BERNHARD"/>
      <family val="2"/>
    </font>
    <font>
      <sz val="10"/>
      <name val="Helv"/>
      <family val="2"/>
    </font>
    <font>
      <sz val="10"/>
      <name val="MS Serif"/>
    </font>
    <font>
      <sz val="16"/>
      <color indexed="61"/>
      <name val="Century Schoolbook"/>
      <family val="1"/>
    </font>
    <font>
      <sz val="14"/>
      <name val="Palatino"/>
      <family val="1"/>
    </font>
    <font>
      <sz val="16"/>
      <name val="Palatino"/>
      <family val="1"/>
    </font>
    <font>
      <sz val="32"/>
      <name val="Helvetica-Black"/>
    </font>
    <font>
      <sz val="8"/>
      <color indexed="9"/>
      <name val="Arial"/>
      <family val="2"/>
    </font>
    <font>
      <sz val="8"/>
      <color indexed="8"/>
      <name val="Arial"/>
      <family val="2"/>
    </font>
    <font>
      <sz val="1"/>
      <color indexed="8"/>
      <name val="Courier"/>
      <family val="3"/>
    </font>
    <font>
      <b/>
      <sz val="1"/>
      <color indexed="8"/>
      <name val="Courier"/>
      <family val="3"/>
    </font>
    <font>
      <sz val="10"/>
      <color indexed="16"/>
      <name val="MS Serif"/>
    </font>
    <font>
      <sz val="6"/>
      <color indexed="23"/>
      <name val="Helvetica-Black"/>
    </font>
    <font>
      <sz val="9.5"/>
      <color indexed="23"/>
      <name val="Helvetica-Black"/>
    </font>
    <font>
      <sz val="7"/>
      <name val="Palatino"/>
      <family val="1"/>
    </font>
    <font>
      <i/>
      <sz val="10"/>
      <color indexed="17"/>
      <name val="Arial"/>
      <family val="2"/>
    </font>
    <font>
      <sz val="6"/>
      <name val="Palatino"/>
      <family val="1"/>
    </font>
    <font>
      <b/>
      <sz val="12"/>
      <name val="Arial"/>
      <family val="2"/>
    </font>
    <font>
      <sz val="28"/>
      <name val="Helvetica-Black"/>
    </font>
    <font>
      <sz val="10"/>
      <name val="Helvetica-Black"/>
    </font>
    <font>
      <sz val="10"/>
      <name val="Palatino"/>
    </font>
    <font>
      <sz val="18"/>
      <name val="Palatino"/>
      <family val="1"/>
    </font>
    <font>
      <i/>
      <sz val="14"/>
      <name val="Palatino"/>
      <family val="1"/>
    </font>
    <font>
      <sz val="12"/>
      <name val="바탕체"/>
      <family val="3"/>
      <charset val="129"/>
    </font>
    <font>
      <sz val="7"/>
      <name val="Arial"/>
      <family val="2"/>
    </font>
    <font>
      <b/>
      <i/>
      <sz val="8"/>
      <name val="Arial"/>
      <family val="2"/>
    </font>
    <font>
      <sz val="11"/>
      <name val="Arial"/>
      <family val="2"/>
    </font>
    <font>
      <i/>
      <sz val="10"/>
      <name val="Arial"/>
      <family val="2"/>
    </font>
    <font>
      <sz val="10"/>
      <color indexed="9"/>
      <name val="Arial"/>
      <family val="2"/>
    </font>
    <font>
      <sz val="9"/>
      <color indexed="12"/>
      <name val="Times New Roman"/>
      <family val="1"/>
    </font>
    <font>
      <sz val="10"/>
      <name val="MS Sans Serif"/>
      <family val="2"/>
    </font>
    <font>
      <sz val="7"/>
      <name val="Small Fonts"/>
      <family val="2"/>
    </font>
    <font>
      <b/>
      <u/>
      <sz val="12"/>
      <name val="L Serifa Light"/>
    </font>
    <font>
      <sz val="8"/>
      <name val="Univers 55"/>
    </font>
    <font>
      <sz val="10"/>
      <name val="Palatino"/>
      <family val="1"/>
    </font>
    <font>
      <b/>
      <sz val="10"/>
      <color indexed="17"/>
      <name val="Helv"/>
      <family val="2"/>
    </font>
    <font>
      <sz val="12"/>
      <name val="Helvetica-Black"/>
    </font>
    <font>
      <sz val="10"/>
      <name val="Helv"/>
    </font>
    <font>
      <sz val="10"/>
      <name val="MS Sans Serif"/>
    </font>
    <font>
      <sz val="12"/>
      <name val="Palatino"/>
    </font>
    <font>
      <i/>
      <sz val="9"/>
      <name val="Helvetica"/>
      <family val="2"/>
    </font>
    <font>
      <i/>
      <sz val="14"/>
      <name val="Arial"/>
      <family val="2"/>
    </font>
    <font>
      <sz val="12"/>
      <name val="Arial"/>
      <family val="2"/>
    </font>
    <font>
      <i/>
      <sz val="11"/>
      <name val="Arial"/>
      <family val="2"/>
    </font>
    <font>
      <sz val="8"/>
      <name val="Helv"/>
    </font>
    <font>
      <sz val="8"/>
      <name val="Helv"/>
      <family val="2"/>
    </font>
    <font>
      <sz val="12"/>
      <name val="굴림체"/>
      <family val="3"/>
      <charset val="129"/>
    </font>
    <font>
      <b/>
      <sz val="8"/>
      <color indexed="9"/>
      <name val="Arial"/>
      <family val="2"/>
    </font>
    <font>
      <b/>
      <sz val="8"/>
      <color indexed="16"/>
      <name val="Arial"/>
      <family val="2"/>
    </font>
    <font>
      <b/>
      <sz val="8"/>
      <color indexed="8"/>
      <name val="Helv"/>
    </font>
    <font>
      <b/>
      <sz val="10"/>
      <name val="Palatino"/>
      <family val="1"/>
    </font>
    <font>
      <sz val="12"/>
      <name val="Palatino"/>
      <family val="1"/>
    </font>
    <font>
      <sz val="11"/>
      <name val="Helvetica-Black"/>
    </font>
    <font>
      <sz val="12"/>
      <color indexed="13"/>
      <name val="Helv"/>
    </font>
    <font>
      <b/>
      <sz val="13"/>
      <color indexed="62"/>
      <name val="Arial"/>
      <family val="2"/>
    </font>
    <font>
      <b/>
      <sz val="12"/>
      <name val="Helv"/>
    </font>
    <font>
      <b/>
      <sz val="10"/>
      <name val="helvetica"/>
    </font>
    <font>
      <sz val="14"/>
      <name val="뼻뮝"/>
      <family val="3"/>
      <charset val="129"/>
    </font>
    <font>
      <sz val="12"/>
      <name val="굴림"/>
      <family val="2"/>
      <charset val="129"/>
    </font>
    <font>
      <sz val="12"/>
      <name val="新細明體"/>
      <family val="1"/>
      <charset val="136"/>
    </font>
    <font>
      <sz val="12"/>
      <name val="宋体"/>
      <charset val="136"/>
    </font>
    <font>
      <sz val="11"/>
      <name val="ＭＳ Ｐゴシック"/>
      <family val="2"/>
      <charset val="128"/>
    </font>
    <font>
      <sz val="10"/>
      <name val="Arial Narrow"/>
      <family val="2"/>
    </font>
    <font>
      <b/>
      <sz val="10"/>
      <name val="Arial Narrow"/>
      <family val="2"/>
    </font>
    <font>
      <sz val="10"/>
      <color indexed="8"/>
      <name val="Arial Narrow"/>
      <family val="2"/>
    </font>
    <font>
      <b/>
      <sz val="10"/>
      <color indexed="8"/>
      <name val="Arial Narrow"/>
      <family val="2"/>
    </font>
    <font>
      <b/>
      <u/>
      <sz val="10"/>
      <name val="Arial Narrow"/>
      <family val="2"/>
    </font>
    <font>
      <sz val="10"/>
      <color indexed="56"/>
      <name val="Arial Narrow"/>
      <family val="2"/>
    </font>
    <font>
      <sz val="8"/>
      <name val="Univers 55"/>
      <family val="2"/>
    </font>
    <font>
      <b/>
      <sz val="10"/>
      <color indexed="10"/>
      <name val="Arial Narrow"/>
      <family val="2"/>
    </font>
    <font>
      <i/>
      <sz val="10"/>
      <name val="Arial Narrow"/>
      <family val="2"/>
    </font>
    <font>
      <sz val="7.5"/>
      <name val="Arial"/>
      <family val="2"/>
    </font>
    <font>
      <i/>
      <sz val="9"/>
      <name val="Arial"/>
      <family val="2"/>
    </font>
    <font>
      <b/>
      <sz val="11"/>
      <color indexed="8"/>
      <name val="Calibri"/>
      <family val="2"/>
    </font>
    <font>
      <sz val="11"/>
      <color indexed="10"/>
      <name val="Calibri"/>
      <family val="2"/>
    </font>
    <font>
      <i/>
      <sz val="10"/>
      <color indexed="53"/>
      <name val="Verdana"/>
      <family val="2"/>
    </font>
    <font>
      <b/>
      <u/>
      <sz val="10"/>
      <name val="Verdana"/>
      <family val="2"/>
    </font>
    <font>
      <b/>
      <sz val="8"/>
      <name val="Arial Unicode MS"/>
      <family val="2"/>
    </font>
    <font>
      <sz val="10"/>
      <name val="Arial Unicode MS"/>
      <family val="2"/>
    </font>
    <font>
      <b/>
      <sz val="10"/>
      <name val="Arial Unicode MS"/>
      <family val="2"/>
    </font>
    <font>
      <i/>
      <sz val="10"/>
      <color indexed="12"/>
      <name val="Arial Unicode MS"/>
      <family val="2"/>
    </font>
    <font>
      <b/>
      <i/>
      <sz val="10"/>
      <color indexed="12"/>
      <name val="Arial Unicode MS"/>
      <family val="2"/>
    </font>
    <font>
      <sz val="10"/>
      <color indexed="12"/>
      <name val="Arial Unicode MS"/>
      <family val="2"/>
    </font>
    <font>
      <b/>
      <sz val="9"/>
      <name val="Verdana"/>
      <family val="2"/>
    </font>
    <font>
      <sz val="9"/>
      <name val="Verdana"/>
      <family val="2"/>
    </font>
    <font>
      <b/>
      <i/>
      <sz val="9"/>
      <name val="Verdana"/>
      <family val="2"/>
    </font>
    <font>
      <sz val="10"/>
      <name val="GillSans"/>
      <family val="2"/>
    </font>
    <font>
      <sz val="10"/>
      <name val="Helvetica 45 Light"/>
      <family val="2"/>
    </font>
    <font>
      <sz val="12"/>
      <name val="Arial MT"/>
    </font>
    <font>
      <sz val="10"/>
      <name val="Tahoma"/>
      <family val="2"/>
    </font>
    <font>
      <b/>
      <sz val="10"/>
      <color indexed="9"/>
      <name val="Tahoma"/>
      <family val="2"/>
    </font>
    <font>
      <b/>
      <sz val="12"/>
      <name val="GillSans"/>
      <family val="2"/>
    </font>
    <font>
      <u/>
      <sz val="11"/>
      <name val="GillSans"/>
      <family val="2"/>
    </font>
    <font>
      <sz val="11"/>
      <name val="Calibri"/>
      <family val="2"/>
    </font>
    <font>
      <b/>
      <sz val="11"/>
      <name val="Calibri"/>
      <family val="2"/>
    </font>
    <font>
      <b/>
      <i/>
      <sz val="12"/>
      <color indexed="12"/>
      <name val="Verdana"/>
      <family val="2"/>
    </font>
    <font>
      <b/>
      <u/>
      <sz val="8"/>
      <name val="Verdana"/>
      <family val="2"/>
    </font>
    <font>
      <b/>
      <i/>
      <sz val="8"/>
      <name val="Arial"/>
      <family val="2"/>
    </font>
    <font>
      <sz val="10"/>
      <color rgb="FFFF0000"/>
      <name val="Verdana"/>
      <family val="2"/>
    </font>
    <font>
      <b/>
      <u val="singleAccounting"/>
      <sz val="10"/>
      <name val="Verdana"/>
      <family val="2"/>
    </font>
    <font>
      <sz val="8"/>
      <color rgb="FFFF0000"/>
      <name val="Arial"/>
      <family val="2"/>
    </font>
    <font>
      <b/>
      <u/>
      <sz val="8"/>
      <name val="Arial"/>
      <family val="2"/>
    </font>
    <font>
      <i/>
      <sz val="10"/>
      <color rgb="FFFF0000"/>
      <name val="Verdana"/>
      <family val="2"/>
    </font>
    <font>
      <b/>
      <sz val="10"/>
      <color theme="1"/>
      <name val="Calibri"/>
      <family val="2"/>
      <scheme val="minor"/>
    </font>
    <font>
      <b/>
      <sz val="10"/>
      <color rgb="FFFF0000"/>
      <name val="Calibri"/>
      <family val="2"/>
      <scheme val="minor"/>
    </font>
    <font>
      <sz val="10"/>
      <name val="Calibri"/>
      <family val="2"/>
      <scheme val="minor"/>
    </font>
    <font>
      <sz val="10"/>
      <color rgb="FFFF0000"/>
      <name val="Calibri"/>
      <family val="2"/>
      <scheme val="minor"/>
    </font>
    <font>
      <b/>
      <sz val="10"/>
      <name val="Calibri"/>
      <family val="2"/>
      <scheme val="minor"/>
    </font>
    <font>
      <sz val="10"/>
      <color theme="1"/>
      <name val="Calibri"/>
      <family val="2"/>
      <scheme val="minor"/>
    </font>
    <font>
      <sz val="11"/>
      <color indexed="8"/>
      <name val="Calibri"/>
      <family val="2"/>
      <scheme val="minor"/>
    </font>
    <font>
      <sz val="7"/>
      <name val="Optima"/>
      <family val="2"/>
    </font>
    <font>
      <i/>
      <sz val="8"/>
      <name val="Century Gothic"/>
      <family val="2"/>
    </font>
    <font>
      <i/>
      <sz val="8"/>
      <color indexed="48"/>
      <name val="Century Gothic"/>
      <family val="2"/>
    </font>
    <font>
      <i/>
      <sz val="8"/>
      <color indexed="10"/>
      <name val="Century Gothic"/>
      <family val="2"/>
    </font>
    <font>
      <sz val="8"/>
      <name val="Century Gothic"/>
      <family val="2"/>
    </font>
    <font>
      <b/>
      <sz val="8"/>
      <name val="Century Gothic"/>
      <family val="2"/>
    </font>
    <font>
      <b/>
      <sz val="8"/>
      <color indexed="48"/>
      <name val="Century Gothic"/>
      <family val="2"/>
    </font>
    <font>
      <sz val="8"/>
      <color indexed="8"/>
      <name val="Century Gothic"/>
      <family val="2"/>
    </font>
    <font>
      <sz val="8"/>
      <color indexed="48"/>
      <name val="Century Gothic"/>
      <family val="2"/>
    </font>
    <font>
      <sz val="8"/>
      <color indexed="10"/>
      <name val="Century Gothic"/>
      <family val="2"/>
    </font>
    <font>
      <b/>
      <sz val="8"/>
      <color indexed="10"/>
      <name val="Century Gothic"/>
      <family val="2"/>
    </font>
    <font>
      <b/>
      <sz val="8"/>
      <color indexed="8"/>
      <name val="Century Gothic"/>
      <family val="2"/>
    </font>
    <font>
      <b/>
      <sz val="10"/>
      <name val="Century Gothic"/>
      <family val="2"/>
    </font>
    <font>
      <sz val="10"/>
      <name val="Century Gothic"/>
      <family val="2"/>
    </font>
    <font>
      <sz val="10"/>
      <color indexed="12"/>
      <name val="Century Gothic"/>
      <family val="2"/>
    </font>
    <font>
      <b/>
      <sz val="14"/>
      <color indexed="9"/>
      <name val="Century Gothic"/>
      <family val="2"/>
    </font>
    <font>
      <b/>
      <i/>
      <sz val="12"/>
      <color indexed="12"/>
      <name val="Century Gothic"/>
      <family val="2"/>
    </font>
    <font>
      <i/>
      <sz val="10"/>
      <name val="Century Gothic"/>
      <family val="2"/>
    </font>
    <font>
      <sz val="10"/>
      <color indexed="8"/>
      <name val="Century Gothic"/>
      <family val="2"/>
    </font>
    <font>
      <b/>
      <sz val="10"/>
      <color indexed="12"/>
      <name val="Century Gothic"/>
      <family val="2"/>
    </font>
    <font>
      <b/>
      <i/>
      <sz val="10"/>
      <color indexed="8"/>
      <name val="Century Gothic"/>
      <family val="2"/>
    </font>
    <font>
      <b/>
      <sz val="10"/>
      <color indexed="9"/>
      <name val="Century Gothic"/>
      <family val="2"/>
    </font>
    <font>
      <i/>
      <sz val="10"/>
      <color indexed="12"/>
      <name val="Century Gothic"/>
      <family val="2"/>
    </font>
    <font>
      <i/>
      <sz val="10"/>
      <color indexed="10"/>
      <name val="Century Gothic"/>
      <family val="2"/>
    </font>
    <font>
      <i/>
      <sz val="10"/>
      <color indexed="8"/>
      <name val="Century Gothic"/>
      <family val="2"/>
    </font>
    <font>
      <sz val="10"/>
      <color rgb="FFFF0000"/>
      <name val="Century Gothic"/>
      <family val="2"/>
    </font>
    <font>
      <b/>
      <sz val="8"/>
      <color rgb="FFFF0000"/>
      <name val="Century Gothic"/>
      <family val="2"/>
    </font>
    <font>
      <sz val="8"/>
      <color rgb="FFFF0000"/>
      <name val="Century Gothic"/>
      <family val="2"/>
    </font>
    <font>
      <b/>
      <sz val="11"/>
      <name val="Century Gothic"/>
      <family val="2"/>
    </font>
    <font>
      <b/>
      <sz val="8"/>
      <color indexed="56"/>
      <name val="Century Gothic"/>
      <family val="2"/>
    </font>
    <font>
      <sz val="7"/>
      <name val="Century Gothic"/>
      <family val="2"/>
    </font>
    <font>
      <b/>
      <sz val="8"/>
      <color indexed="9"/>
      <name val="Century Gothic"/>
      <family val="2"/>
    </font>
    <font>
      <b/>
      <sz val="8"/>
      <color theme="0"/>
      <name val="Century Gothic"/>
      <family val="2"/>
    </font>
    <font>
      <sz val="8"/>
      <color theme="0"/>
      <name val="Century Gothic"/>
      <family val="2"/>
    </font>
    <font>
      <b/>
      <sz val="12"/>
      <name val="Century Gothic"/>
      <family val="2"/>
    </font>
    <font>
      <b/>
      <i/>
      <sz val="14"/>
      <color indexed="12"/>
      <name val="Century Gothic"/>
      <family val="2"/>
    </font>
    <font>
      <sz val="10"/>
      <color indexed="10"/>
      <name val="Century Gothic"/>
      <family val="2"/>
    </font>
    <font>
      <sz val="10"/>
      <color theme="0"/>
      <name val="Century Gothic"/>
      <family val="2"/>
    </font>
    <font>
      <i/>
      <sz val="10"/>
      <color theme="0"/>
      <name val="Century Gothic"/>
      <family val="2"/>
    </font>
    <font>
      <b/>
      <sz val="10"/>
      <color theme="0"/>
      <name val="Century Gothic"/>
      <family val="2"/>
    </font>
    <font>
      <b/>
      <sz val="14"/>
      <color theme="0"/>
      <name val="Century Gothic"/>
      <family val="2"/>
    </font>
    <font>
      <sz val="9"/>
      <name val="Century Gothic"/>
      <family val="2"/>
    </font>
    <font>
      <b/>
      <i/>
      <sz val="10"/>
      <name val="Century Gothic"/>
      <family val="2"/>
    </font>
    <font>
      <b/>
      <sz val="12"/>
      <color indexed="8"/>
      <name val="Century Gothic"/>
      <family val="2"/>
    </font>
    <font>
      <b/>
      <i/>
      <sz val="12"/>
      <name val="Century Gothic"/>
      <family val="2"/>
    </font>
    <font>
      <i/>
      <sz val="12"/>
      <color indexed="12"/>
      <name val="Century Gothic"/>
      <family val="2"/>
    </font>
    <font>
      <i/>
      <sz val="12"/>
      <name val="Century Gothic"/>
      <family val="2"/>
    </font>
    <font>
      <sz val="12"/>
      <color indexed="8"/>
      <name val="Century Gothic"/>
      <family val="2"/>
    </font>
    <font>
      <i/>
      <sz val="7"/>
      <name val="Century Gothic"/>
      <family val="2"/>
    </font>
    <font>
      <b/>
      <sz val="9"/>
      <name val="Century Gothic"/>
      <family val="2"/>
    </font>
    <font>
      <i/>
      <sz val="9"/>
      <name val="Century Gothic"/>
      <family val="2"/>
    </font>
    <font>
      <sz val="9"/>
      <color theme="0"/>
      <name val="Century Gothic"/>
      <family val="2"/>
    </font>
    <font>
      <b/>
      <i/>
      <sz val="8"/>
      <color indexed="10"/>
      <name val="Century Gothic"/>
      <family val="2"/>
    </font>
  </fonts>
  <fills count="36">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42"/>
        <bgColor indexed="64"/>
      </patternFill>
    </fill>
    <fill>
      <patternFill patternType="mediumGray">
        <fgColor indexed="22"/>
      </patternFill>
    </fill>
    <fill>
      <patternFill patternType="solid">
        <fgColor indexed="37"/>
        <bgColor indexed="64"/>
      </patternFill>
    </fill>
    <fill>
      <patternFill patternType="solid">
        <fgColor indexed="18"/>
        <bgColor indexed="64"/>
      </patternFill>
    </fill>
    <fill>
      <patternFill patternType="solid">
        <fgColor indexed="11"/>
        <bgColor indexed="64"/>
      </patternFill>
    </fill>
    <fill>
      <patternFill patternType="solid">
        <fgColor indexed="26"/>
        <bgColor indexed="64"/>
      </patternFill>
    </fill>
    <fill>
      <patternFill patternType="solid">
        <fgColor indexed="43"/>
        <bgColor indexed="64"/>
      </patternFill>
    </fill>
    <fill>
      <patternFill patternType="solid">
        <fgColor indexed="13"/>
      </patternFill>
    </fill>
    <fill>
      <patternFill patternType="gray0625">
        <fgColor indexed="9"/>
        <bgColor indexed="9"/>
      </patternFill>
    </fill>
    <fill>
      <patternFill patternType="solid">
        <fgColor indexed="29"/>
        <bgColor indexed="64"/>
      </patternFill>
    </fill>
    <fill>
      <patternFill patternType="solid">
        <fgColor indexed="8"/>
        <bgColor indexed="64"/>
      </patternFill>
    </fill>
    <fill>
      <patternFill patternType="solid">
        <fgColor indexed="54"/>
        <bgColor indexed="64"/>
      </patternFill>
    </fill>
    <fill>
      <patternFill patternType="solid">
        <fgColor indexed="12"/>
      </patternFill>
    </fill>
    <fill>
      <patternFill patternType="solid">
        <fgColor indexed="12"/>
        <bgColor indexed="64"/>
      </patternFill>
    </fill>
    <fill>
      <patternFill patternType="solid">
        <fgColor indexed="56"/>
        <bgColor indexed="64"/>
      </patternFill>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solid">
        <fgColor indexed="13"/>
        <bgColor indexed="64"/>
      </patternFill>
    </fill>
    <fill>
      <patternFill patternType="solid">
        <fgColor indexed="50"/>
        <bgColor indexed="64"/>
      </patternFill>
    </fill>
    <fill>
      <patternFill patternType="solid">
        <fgColor indexed="51"/>
        <bgColor indexed="64"/>
      </patternFill>
    </fill>
    <fill>
      <patternFill patternType="solid">
        <fgColor indexed="55"/>
        <bgColor indexed="64"/>
      </patternFill>
    </fill>
    <fill>
      <patternFill patternType="solid">
        <fgColor indexed="52"/>
        <bgColor indexed="64"/>
      </patternFill>
    </fill>
    <fill>
      <patternFill patternType="solid">
        <fgColor indexed="15"/>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1"/>
        <bgColor indexed="64"/>
      </patternFill>
    </fill>
    <fill>
      <patternFill patternType="solid">
        <fgColor theme="4" tint="0.79998168889431442"/>
        <bgColor indexed="64"/>
      </patternFill>
    </fill>
  </fills>
  <borders count="101">
    <border>
      <left/>
      <right/>
      <top/>
      <bottom/>
      <diagonal/>
    </border>
    <border>
      <left style="thin">
        <color indexed="9"/>
      </left>
      <right style="thin">
        <color indexed="9"/>
      </right>
      <top style="thin">
        <color indexed="9"/>
      </top>
      <bottom style="thin">
        <color indexed="9"/>
      </bottom>
      <diagonal/>
    </border>
    <border>
      <left style="hair">
        <color indexed="64"/>
      </left>
      <right style="hair">
        <color indexed="64"/>
      </right>
      <top style="hair">
        <color indexed="64"/>
      </top>
      <bottom style="hair">
        <color indexed="64"/>
      </bottom>
      <diagonal/>
    </border>
    <border>
      <left style="double">
        <color indexed="64"/>
      </left>
      <right style="double">
        <color indexed="64"/>
      </right>
      <top style="double">
        <color indexed="64"/>
      </top>
      <bottom style="double">
        <color indexed="64"/>
      </bottom>
      <diagonal/>
    </border>
    <border>
      <left/>
      <right/>
      <top style="medium">
        <color indexed="64"/>
      </top>
      <bottom style="thin">
        <color indexed="64"/>
      </bottom>
      <diagonal/>
    </border>
    <border>
      <left style="thin">
        <color indexed="64"/>
      </left>
      <right style="thin">
        <color indexed="64"/>
      </right>
      <top/>
      <bottom/>
      <diagonal/>
    </border>
    <border>
      <left/>
      <right/>
      <top/>
      <bottom style="medium">
        <color indexed="61"/>
      </bottom>
      <diagonal/>
    </border>
    <border>
      <left/>
      <right style="thin">
        <color indexed="64"/>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9"/>
      </left>
      <right style="thin">
        <color indexed="9"/>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10"/>
      </left>
      <right style="thin">
        <color indexed="10"/>
      </right>
      <top style="thin">
        <color indexed="10"/>
      </top>
      <bottom style="thin">
        <color indexed="10"/>
      </bottom>
      <diagonal/>
    </border>
    <border>
      <left/>
      <right/>
      <top/>
      <bottom style="medium">
        <color indexed="64"/>
      </bottom>
      <diagonal/>
    </border>
    <border>
      <left/>
      <right/>
      <top/>
      <bottom style="thin">
        <color indexed="64"/>
      </bottom>
      <diagonal/>
    </border>
    <border>
      <left/>
      <right/>
      <top style="medium">
        <color indexed="23"/>
      </top>
      <bottom style="medium">
        <color indexed="23"/>
      </bottom>
      <diagonal/>
    </border>
    <border>
      <left/>
      <right/>
      <top/>
      <bottom style="thin">
        <color indexed="8"/>
      </bottom>
      <diagonal/>
    </border>
    <border>
      <left/>
      <right/>
      <top/>
      <bottom style="double">
        <color indexed="8"/>
      </bottom>
      <diagonal/>
    </border>
    <border>
      <left/>
      <right/>
      <top style="thin">
        <color indexed="64"/>
      </top>
      <bottom style="double">
        <color indexed="64"/>
      </bottom>
      <diagonal/>
    </border>
    <border>
      <left/>
      <right/>
      <top style="thin">
        <color indexed="64"/>
      </top>
      <bottom style="medium">
        <color indexed="64"/>
      </bottom>
      <diagonal/>
    </border>
    <border>
      <left/>
      <right/>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right/>
      <top/>
      <bottom style="medium">
        <color indexed="62"/>
      </bottom>
      <diagonal/>
    </border>
    <border>
      <left style="thin">
        <color indexed="8"/>
      </left>
      <right style="thin">
        <color indexed="8"/>
      </right>
      <top style="double">
        <color indexed="8"/>
      </top>
      <bottom style="thin">
        <color indexed="8"/>
      </bottom>
      <diagonal/>
    </border>
    <border>
      <left style="thin">
        <color indexed="9"/>
      </left>
      <right style="thin">
        <color indexed="9"/>
      </right>
      <top style="thin">
        <color indexed="9"/>
      </top>
      <bottom/>
      <diagonal/>
    </border>
    <border>
      <left style="medium">
        <color indexed="64"/>
      </left>
      <right style="thin">
        <color indexed="22"/>
      </right>
      <top style="medium">
        <color indexed="64"/>
      </top>
      <bottom style="medium">
        <color indexed="64"/>
      </bottom>
      <diagonal/>
    </border>
    <border>
      <left style="thin">
        <color indexed="22"/>
      </left>
      <right style="thin">
        <color indexed="22"/>
      </right>
      <top style="medium">
        <color indexed="64"/>
      </top>
      <bottom style="medium">
        <color indexed="64"/>
      </bottom>
      <diagonal/>
    </border>
    <border>
      <left style="medium">
        <color indexed="64"/>
      </left>
      <right style="medium">
        <color indexed="43"/>
      </right>
      <top style="medium">
        <color indexed="64"/>
      </top>
      <bottom style="medium">
        <color indexed="64"/>
      </bottom>
      <diagonal/>
    </border>
    <border>
      <left style="medium">
        <color indexed="43"/>
      </left>
      <right style="medium">
        <color indexed="43"/>
      </right>
      <top style="medium">
        <color indexed="64"/>
      </top>
      <bottom style="medium">
        <color indexed="64"/>
      </bottom>
      <diagonal/>
    </border>
    <border>
      <left style="medium">
        <color indexed="43"/>
      </left>
      <right style="medium">
        <color indexed="64"/>
      </right>
      <top style="medium">
        <color indexed="64"/>
      </top>
      <bottom style="medium">
        <color indexed="64"/>
      </bottom>
      <diagonal/>
    </border>
    <border>
      <left/>
      <right style="medium">
        <color indexed="42"/>
      </right>
      <top style="medium">
        <color indexed="64"/>
      </top>
      <bottom style="medium">
        <color indexed="64"/>
      </bottom>
      <diagonal/>
    </border>
    <border>
      <left style="medium">
        <color indexed="42"/>
      </left>
      <right style="medium">
        <color indexed="42"/>
      </right>
      <top style="medium">
        <color indexed="64"/>
      </top>
      <bottom style="medium">
        <color indexed="64"/>
      </bottom>
      <diagonal/>
    </border>
    <border>
      <left style="medium">
        <color indexed="42"/>
      </left>
      <right style="medium">
        <color indexed="64"/>
      </right>
      <top style="medium">
        <color indexed="64"/>
      </top>
      <bottom style="medium">
        <color indexed="64"/>
      </bottom>
      <diagonal/>
    </border>
    <border>
      <left style="thin">
        <color indexed="9"/>
      </left>
      <right style="thin">
        <color indexed="9"/>
      </right>
      <top/>
      <bottom style="thin">
        <color indexed="9"/>
      </bottom>
      <diagonal/>
    </border>
    <border>
      <left style="thin">
        <color indexed="9"/>
      </left>
      <right/>
      <top style="thin">
        <color indexed="9"/>
      </top>
      <bottom style="thin">
        <color indexed="9"/>
      </bottom>
      <diagonal/>
    </border>
    <border>
      <left style="thin">
        <color indexed="9"/>
      </left>
      <right/>
      <top style="thin">
        <color indexed="9"/>
      </top>
      <bottom/>
      <diagonal/>
    </border>
    <border>
      <left/>
      <right style="thin">
        <color indexed="9"/>
      </right>
      <top style="thin">
        <color indexed="9"/>
      </top>
      <bottom style="thin">
        <color indexed="9"/>
      </bottom>
      <diagonal/>
    </border>
    <border>
      <left style="medium">
        <color indexed="9"/>
      </left>
      <right style="medium">
        <color indexed="9"/>
      </right>
      <top style="medium">
        <color indexed="9"/>
      </top>
      <bottom style="medium">
        <color indexed="9"/>
      </bottom>
      <diagonal/>
    </border>
    <border>
      <left style="medium">
        <color indexed="56"/>
      </left>
      <right style="medium">
        <color indexed="56"/>
      </right>
      <top style="medium">
        <color indexed="56"/>
      </top>
      <bottom style="medium">
        <color indexed="56"/>
      </bottom>
      <diagonal/>
    </border>
    <border>
      <left style="medium">
        <color indexed="56"/>
      </left>
      <right/>
      <top style="medium">
        <color indexed="56"/>
      </top>
      <bottom/>
      <diagonal/>
    </border>
    <border>
      <left/>
      <right style="medium">
        <color indexed="56"/>
      </right>
      <top style="medium">
        <color indexed="56"/>
      </top>
      <bottom/>
      <diagonal/>
    </border>
    <border>
      <left/>
      <right/>
      <top style="thin">
        <color indexed="9"/>
      </top>
      <bottom style="thin">
        <color indexed="9"/>
      </bottom>
      <diagonal/>
    </border>
    <border>
      <left style="medium">
        <color indexed="56"/>
      </left>
      <right/>
      <top/>
      <bottom/>
      <diagonal/>
    </border>
    <border>
      <left/>
      <right style="medium">
        <color indexed="56"/>
      </right>
      <top/>
      <bottom/>
      <diagonal/>
    </border>
    <border>
      <left style="medium">
        <color indexed="56"/>
      </left>
      <right/>
      <top/>
      <bottom style="medium">
        <color indexed="56"/>
      </bottom>
      <diagonal/>
    </border>
    <border>
      <left/>
      <right style="medium">
        <color indexed="56"/>
      </right>
      <top/>
      <bottom style="medium">
        <color indexed="56"/>
      </bottom>
      <diagonal/>
    </border>
    <border>
      <left style="medium">
        <color indexed="12"/>
      </left>
      <right style="medium">
        <color indexed="12"/>
      </right>
      <top style="medium">
        <color indexed="12"/>
      </top>
      <bottom style="medium">
        <color indexed="12"/>
      </bottom>
      <diagonal/>
    </border>
    <border>
      <left style="medium">
        <color indexed="12"/>
      </left>
      <right style="thin">
        <color indexed="12"/>
      </right>
      <top style="medium">
        <color indexed="12"/>
      </top>
      <bottom style="thin">
        <color indexed="9"/>
      </bottom>
      <diagonal/>
    </border>
    <border>
      <left style="medium">
        <color indexed="12"/>
      </left>
      <right style="thin">
        <color indexed="12"/>
      </right>
      <top style="thin">
        <color indexed="9"/>
      </top>
      <bottom style="thin">
        <color indexed="9"/>
      </bottom>
      <diagonal/>
    </border>
    <border>
      <left style="medium">
        <color indexed="12"/>
      </left>
      <right style="thin">
        <color indexed="12"/>
      </right>
      <top style="thin">
        <color indexed="9"/>
      </top>
      <bottom style="medium">
        <color indexed="12"/>
      </bottom>
      <diagonal/>
    </border>
    <border>
      <left style="thin">
        <color indexed="22"/>
      </left>
      <right/>
      <top style="medium">
        <color indexed="64"/>
      </top>
      <bottom style="medium">
        <color indexed="64"/>
      </bottom>
      <diagonal/>
    </border>
    <border>
      <left style="thin">
        <color indexed="9"/>
      </left>
      <right style="thin">
        <color indexed="9"/>
      </right>
      <top style="medium">
        <color indexed="64"/>
      </top>
      <bottom style="thin">
        <color indexed="9"/>
      </bottom>
      <diagonal/>
    </border>
    <border>
      <left/>
      <right style="thin">
        <color indexed="9"/>
      </right>
      <top/>
      <bottom style="thin">
        <color indexed="9"/>
      </bottom>
      <diagonal/>
    </border>
    <border>
      <left/>
      <right/>
      <top style="medium">
        <color indexed="8"/>
      </top>
      <bottom style="medium">
        <color indexed="8"/>
      </bottom>
      <diagonal/>
    </border>
    <border>
      <left style="medium">
        <color indexed="64"/>
      </left>
      <right style="medium">
        <color indexed="64"/>
      </right>
      <top style="medium">
        <color indexed="64"/>
      </top>
      <bottom style="medium">
        <color indexed="64"/>
      </bottom>
      <diagonal/>
    </border>
    <border>
      <left style="thin">
        <color indexed="56"/>
      </left>
      <right style="thin">
        <color indexed="56"/>
      </right>
      <top style="thin">
        <color indexed="56"/>
      </top>
      <bottom style="thin">
        <color indexed="56"/>
      </bottom>
      <diagonal/>
    </border>
    <border>
      <left style="hair">
        <color indexed="9"/>
      </left>
      <right style="hair">
        <color indexed="9"/>
      </right>
      <top style="hair">
        <color indexed="9"/>
      </top>
      <bottom style="hair">
        <color indexed="9"/>
      </bottom>
      <diagonal/>
    </border>
    <border>
      <left style="hair">
        <color indexed="9"/>
      </left>
      <right style="hair">
        <color indexed="9"/>
      </right>
      <top style="hair">
        <color indexed="9"/>
      </top>
      <bottom style="medium">
        <color indexed="56"/>
      </bottom>
      <diagonal/>
    </border>
    <border>
      <left style="hair">
        <color indexed="9"/>
      </left>
      <right style="hair">
        <color indexed="9"/>
      </right>
      <top/>
      <bottom style="hair">
        <color indexed="9"/>
      </bottom>
      <diagonal/>
    </border>
    <border>
      <left style="hair">
        <color indexed="9"/>
      </left>
      <right style="hair">
        <color indexed="9"/>
      </right>
      <top style="medium">
        <color indexed="56"/>
      </top>
      <bottom style="thin">
        <color indexed="56"/>
      </bottom>
      <diagonal/>
    </border>
    <border>
      <left style="hair">
        <color indexed="9"/>
      </left>
      <right style="hair">
        <color indexed="9"/>
      </right>
      <top style="hair">
        <color indexed="9"/>
      </top>
      <bottom/>
      <diagonal/>
    </border>
    <border>
      <left/>
      <right style="hair">
        <color indexed="9"/>
      </right>
      <top style="hair">
        <color indexed="9"/>
      </top>
      <bottom style="hair">
        <color indexed="9"/>
      </bottom>
      <diagonal/>
    </border>
    <border>
      <left style="thin">
        <color indexed="9"/>
      </left>
      <right style="thin">
        <color indexed="9"/>
      </right>
      <top style="thin">
        <color indexed="56"/>
      </top>
      <bottom style="thin">
        <color indexed="56"/>
      </bottom>
      <diagonal/>
    </border>
    <border>
      <left/>
      <right style="hair">
        <color indexed="9"/>
      </right>
      <top style="hair">
        <color indexed="9"/>
      </top>
      <bottom/>
      <diagonal/>
    </border>
    <border>
      <left/>
      <right/>
      <top style="thin">
        <color indexed="64"/>
      </top>
      <bottom/>
      <diagonal/>
    </border>
    <border>
      <left/>
      <right/>
      <top style="medium">
        <color indexed="64"/>
      </top>
      <bottom/>
      <diagonal/>
    </border>
    <border>
      <left style="medium">
        <color indexed="43"/>
      </left>
      <right/>
      <top style="medium">
        <color indexed="64"/>
      </top>
      <bottom style="medium">
        <color indexed="64"/>
      </bottom>
      <diagonal/>
    </border>
    <border>
      <left style="hair">
        <color indexed="9"/>
      </left>
      <right/>
      <top style="hair">
        <color indexed="9"/>
      </top>
      <bottom style="hair">
        <color indexed="9"/>
      </bottom>
      <diagonal/>
    </border>
    <border>
      <left style="hair">
        <color indexed="9"/>
      </left>
      <right style="hair">
        <color indexed="9"/>
      </right>
      <top/>
      <bottom style="medium">
        <color indexed="56"/>
      </bottom>
      <diagonal/>
    </border>
    <border>
      <left style="medium">
        <color indexed="42"/>
      </left>
      <right/>
      <top style="medium">
        <color indexed="64"/>
      </top>
      <bottom style="medium">
        <color indexed="64"/>
      </bottom>
      <diagonal/>
    </border>
    <border>
      <left style="medium">
        <color indexed="10"/>
      </left>
      <right/>
      <top style="medium">
        <color indexed="10"/>
      </top>
      <bottom style="medium">
        <color indexed="10"/>
      </bottom>
      <diagonal/>
    </border>
    <border>
      <left/>
      <right/>
      <top style="medium">
        <color indexed="10"/>
      </top>
      <bottom style="medium">
        <color indexed="10"/>
      </bottom>
      <diagonal/>
    </border>
    <border>
      <left/>
      <right style="medium">
        <color indexed="10"/>
      </right>
      <top style="medium">
        <color indexed="10"/>
      </top>
      <bottom style="medium">
        <color indexed="10"/>
      </bottom>
      <diagonal/>
    </border>
    <border>
      <left style="thin">
        <color indexed="12"/>
      </left>
      <right/>
      <top style="thin">
        <color indexed="9"/>
      </top>
      <bottom style="thin">
        <color indexed="9"/>
      </bottom>
      <diagonal/>
    </border>
    <border>
      <left/>
      <right style="medium">
        <color indexed="12"/>
      </right>
      <top style="thin">
        <color indexed="9"/>
      </top>
      <bottom style="thin">
        <color indexed="9"/>
      </bottom>
      <diagonal/>
    </border>
    <border>
      <left style="medium">
        <color indexed="12"/>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12"/>
      </left>
      <right/>
      <top style="thin">
        <color indexed="9"/>
      </top>
      <bottom style="medium">
        <color indexed="12"/>
      </bottom>
      <diagonal/>
    </border>
    <border>
      <left/>
      <right/>
      <top style="thin">
        <color indexed="9"/>
      </top>
      <bottom style="medium">
        <color indexed="12"/>
      </bottom>
      <diagonal/>
    </border>
    <border>
      <left/>
      <right style="medium">
        <color indexed="12"/>
      </right>
      <top style="thin">
        <color indexed="9"/>
      </top>
      <bottom style="medium">
        <color indexed="12"/>
      </bottom>
      <diagonal/>
    </border>
    <border>
      <left style="medium">
        <color indexed="12"/>
      </left>
      <right/>
      <top style="medium">
        <color indexed="12"/>
      </top>
      <bottom style="medium">
        <color indexed="12"/>
      </bottom>
      <diagonal/>
    </border>
    <border>
      <left/>
      <right/>
      <top style="medium">
        <color indexed="12"/>
      </top>
      <bottom style="medium">
        <color indexed="12"/>
      </bottom>
      <diagonal/>
    </border>
    <border>
      <left/>
      <right style="medium">
        <color indexed="12"/>
      </right>
      <top style="medium">
        <color indexed="12"/>
      </top>
      <bottom style="medium">
        <color indexed="12"/>
      </bottom>
      <diagonal/>
    </border>
    <border>
      <left style="thin">
        <color indexed="12"/>
      </left>
      <right/>
      <top style="medium">
        <color indexed="12"/>
      </top>
      <bottom style="thin">
        <color indexed="9"/>
      </bottom>
      <diagonal/>
    </border>
    <border>
      <left/>
      <right/>
      <top style="medium">
        <color indexed="12"/>
      </top>
      <bottom style="thin">
        <color indexed="9"/>
      </bottom>
      <diagonal/>
    </border>
    <border>
      <left/>
      <right style="medium">
        <color indexed="12"/>
      </right>
      <top style="medium">
        <color indexed="12"/>
      </top>
      <bottom style="thin">
        <color indexed="9"/>
      </bottom>
      <diagonal/>
    </border>
    <border>
      <left style="medium">
        <color indexed="8"/>
      </left>
      <right style="medium">
        <color indexed="8"/>
      </right>
      <top style="medium">
        <color indexed="8"/>
      </top>
      <bottom/>
      <diagonal/>
    </border>
    <border>
      <left style="medium">
        <color indexed="8"/>
      </left>
      <right/>
      <top style="medium">
        <color indexed="8"/>
      </top>
      <bottom/>
      <diagonal/>
    </border>
    <border>
      <left style="medium">
        <color indexed="9"/>
      </left>
      <right style="thin">
        <color indexed="56"/>
      </right>
      <top style="thin">
        <color indexed="56"/>
      </top>
      <bottom style="thin">
        <color indexed="56"/>
      </bottom>
      <diagonal/>
    </border>
    <border>
      <left/>
      <right style="thin">
        <color indexed="9"/>
      </right>
      <top style="thin">
        <color indexed="9"/>
      </top>
      <bottom/>
      <diagonal/>
    </border>
    <border>
      <left style="hair">
        <color indexed="9"/>
      </left>
      <right style="hair">
        <color indexed="9"/>
      </right>
      <top/>
      <bottom/>
      <diagonal/>
    </border>
  </borders>
  <cellStyleXfs count="347">
    <xf numFmtId="0" fontId="0" fillId="0" borderId="0"/>
    <xf numFmtId="0" fontId="73" fillId="0" borderId="0" applyNumberFormat="0" applyFill="0" applyBorder="0" applyAlignment="0" applyProtection="0"/>
    <xf numFmtId="0" fontId="168" fillId="0" borderId="0"/>
    <xf numFmtId="230" fontId="168" fillId="0" borderId="0">
      <alignment horizontal="right"/>
    </xf>
    <xf numFmtId="231" fontId="168" fillId="2" borderId="0"/>
    <xf numFmtId="232" fontId="168" fillId="2" borderId="0"/>
    <xf numFmtId="233" fontId="168" fillId="2" borderId="0"/>
    <xf numFmtId="234" fontId="168" fillId="2" borderId="0">
      <alignment horizontal="right"/>
    </xf>
    <xf numFmtId="212" fontId="74" fillId="0" borderId="0" applyFont="0" applyFill="0" applyBorder="0" applyAlignment="0" applyProtection="0"/>
    <xf numFmtId="0" fontId="17" fillId="0" borderId="0"/>
    <xf numFmtId="0" fontId="75" fillId="0" borderId="0" applyNumberFormat="0" applyFill="0" applyBorder="0" applyAlignment="0" applyProtection="0"/>
    <xf numFmtId="0" fontId="17" fillId="0" borderId="0"/>
    <xf numFmtId="0" fontId="17" fillId="0" borderId="0"/>
    <xf numFmtId="0" fontId="17" fillId="0" borderId="0"/>
    <xf numFmtId="0" fontId="17" fillId="0" borderId="0" applyFont="0" applyFill="0" applyBorder="0" applyAlignment="0" applyProtection="0"/>
    <xf numFmtId="0" fontId="75" fillId="0" borderId="0" applyNumberFormat="0" applyFill="0" applyBorder="0" applyAlignment="0" applyProtection="0"/>
    <xf numFmtId="0" fontId="169" fillId="0" borderId="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17" fillId="0" borderId="0"/>
    <xf numFmtId="0" fontId="17" fillId="0" borderId="0"/>
    <xf numFmtId="0" fontId="17" fillId="0" borderId="0"/>
    <xf numFmtId="0" fontId="17" fillId="0" borderId="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17" fillId="0" borderId="0"/>
    <xf numFmtId="0" fontId="17" fillId="0" borderId="0"/>
    <xf numFmtId="0" fontId="75" fillId="0" borderId="0" applyFont="0" applyFill="0" applyBorder="0" applyAlignment="0" applyProtection="0"/>
    <xf numFmtId="0" fontId="75" fillId="0" borderId="0" applyFont="0" applyFill="0" applyBorder="0" applyAlignment="0" applyProtection="0"/>
    <xf numFmtId="0" fontId="75" fillId="0" borderId="0"/>
    <xf numFmtId="0" fontId="75" fillId="0" borderId="0"/>
    <xf numFmtId="0" fontId="17" fillId="3" borderId="0" applyFont="0" applyBorder="0"/>
    <xf numFmtId="166" fontId="17" fillId="0" borderId="0" applyFont="0" applyFill="0" applyBorder="0" applyAlignment="0" applyProtection="0"/>
    <xf numFmtId="39" fontId="76" fillId="0" borderId="0" applyFont="0" applyFill="0" applyBorder="0" applyAlignment="0" applyProtection="0"/>
    <xf numFmtId="168" fontId="17" fillId="0" borderId="0" applyFont="0" applyFill="0" applyBorder="0" applyAlignment="0" applyProtection="0"/>
    <xf numFmtId="38" fontId="76" fillId="0" borderId="0" applyFont="0" applyFill="0" applyBorder="0" applyAlignment="0" applyProtection="0"/>
    <xf numFmtId="0" fontId="18" fillId="0" borderId="1" applyNumberFormat="0" applyFill="0" applyBorder="0" applyAlignment="0" applyProtection="0"/>
    <xf numFmtId="0" fontId="19" fillId="0" borderId="1" applyNumberFormat="0" applyFill="0" applyBorder="0" applyAlignment="0" applyProtection="0"/>
    <xf numFmtId="0" fontId="20" fillId="0" borderId="1" applyNumberFormat="0" applyFill="0" applyBorder="0" applyAlignment="0" applyProtection="0"/>
    <xf numFmtId="0" fontId="21" fillId="0" borderId="1" applyNumberFormat="0" applyFill="0" applyAlignment="0" applyProtection="0"/>
    <xf numFmtId="167" fontId="17" fillId="0" borderId="0" applyFont="0" applyFill="0" applyBorder="0" applyAlignment="0" applyProtection="0"/>
    <xf numFmtId="202" fontId="76" fillId="0" borderId="0" applyFont="0" applyFill="0" applyBorder="0" applyAlignment="0" applyProtection="0"/>
    <xf numFmtId="0" fontId="17" fillId="0" borderId="0" applyFont="0" applyFill="0" applyBorder="0" applyAlignment="0" applyProtection="0"/>
    <xf numFmtId="201" fontId="75" fillId="0" borderId="0" applyFont="0" applyFill="0" applyBorder="0" applyAlignment="0" applyProtection="0"/>
    <xf numFmtId="175" fontId="22" fillId="0" borderId="0" applyFont="0" applyFill="0" applyBorder="0" applyAlignment="0" applyProtection="0"/>
    <xf numFmtId="167" fontId="75" fillId="0" borderId="0" applyFont="0" applyFill="0" applyBorder="0" applyAlignment="0" applyProtection="0"/>
    <xf numFmtId="0" fontId="17" fillId="0" borderId="0"/>
    <xf numFmtId="0" fontId="75" fillId="0" borderId="0"/>
    <xf numFmtId="0" fontId="78" fillId="0" borderId="0" applyFill="0" applyBorder="0" applyAlignment="0"/>
    <xf numFmtId="38" fontId="72" fillId="3" borderId="2">
      <alignment horizontal="right"/>
    </xf>
    <xf numFmtId="0" fontId="17" fillId="4" borderId="0"/>
    <xf numFmtId="0" fontId="79" fillId="3" borderId="3">
      <alignment horizontal="left" vertical="center"/>
    </xf>
    <xf numFmtId="0" fontId="19" fillId="5" borderId="4" applyFont="0" applyFill="0" applyBorder="0"/>
    <xf numFmtId="0" fontId="21" fillId="0" borderId="5"/>
    <xf numFmtId="0" fontId="80" fillId="3" borderId="0" applyNumberFormat="0" applyBorder="0" applyAlignment="0" applyProtection="0">
      <alignment horizontal="left"/>
      <protection locked="0"/>
    </xf>
    <xf numFmtId="169" fontId="3" fillId="0" borderId="0" applyFont="0" applyFill="0" applyBorder="0" applyAlignment="0" applyProtection="0"/>
    <xf numFmtId="169" fontId="5" fillId="0" borderId="0" applyFont="0" applyFill="0" applyBorder="0" applyAlignment="0" applyProtection="0"/>
    <xf numFmtId="169" fontId="17" fillId="0" borderId="0" applyFont="0" applyFill="0" applyBorder="0" applyAlignment="0" applyProtection="0"/>
    <xf numFmtId="169" fontId="60" fillId="0" borderId="0" applyFont="0" applyFill="0" applyBorder="0" applyAlignment="0" applyProtection="0"/>
    <xf numFmtId="199" fontId="81" fillId="0" borderId="0" applyFont="0" applyFill="0" applyBorder="0" applyAlignment="0" applyProtection="0"/>
    <xf numFmtId="0" fontId="21" fillId="0" borderId="0" applyFill="0" applyBorder="0" applyAlignment="0" applyProtection="0"/>
    <xf numFmtId="0" fontId="21" fillId="0" borderId="0" applyFill="0" applyBorder="0" applyAlignment="0" applyProtection="0"/>
    <xf numFmtId="0" fontId="82" fillId="0" borderId="0"/>
    <xf numFmtId="0" fontId="83" fillId="0" borderId="0"/>
    <xf numFmtId="0" fontId="82" fillId="0" borderId="0"/>
    <xf numFmtId="0" fontId="83" fillId="0" borderId="0"/>
    <xf numFmtId="0" fontId="84" fillId="0" borderId="0" applyNumberFormat="0" applyAlignment="0">
      <alignment horizontal="left"/>
    </xf>
    <xf numFmtId="0" fontId="85" fillId="6" borderId="6">
      <alignment vertical="center"/>
    </xf>
    <xf numFmtId="0" fontId="86" fillId="0" borderId="0">
      <alignment horizontal="left"/>
    </xf>
    <xf numFmtId="0" fontId="87" fillId="0" borderId="0"/>
    <xf numFmtId="0" fontId="88" fillId="0" borderId="0">
      <alignment horizontal="left"/>
    </xf>
    <xf numFmtId="0" fontId="74" fillId="0" borderId="0"/>
    <xf numFmtId="0" fontId="26" fillId="0" borderId="0"/>
    <xf numFmtId="0" fontId="23" fillId="0" borderId="0"/>
    <xf numFmtId="15" fontId="42" fillId="0" borderId="0" applyFont="0" applyFill="0" applyBorder="0" applyAlignment="0" applyProtection="0"/>
    <xf numFmtId="15" fontId="42" fillId="0" borderId="0" applyFont="0" applyFill="0" applyBorder="0" applyAlignment="0" applyProtection="0"/>
    <xf numFmtId="235" fontId="168" fillId="2" borderId="7">
      <alignment horizontal="right"/>
    </xf>
    <xf numFmtId="0" fontId="89" fillId="7" borderId="0" applyAlignment="0">
      <protection locked="0"/>
    </xf>
    <xf numFmtId="0" fontId="23" fillId="0" borderId="8"/>
    <xf numFmtId="38" fontId="90" fillId="4" borderId="2">
      <protection locked="0"/>
    </xf>
    <xf numFmtId="15" fontId="24" fillId="0" borderId="0" applyFont="0" applyFill="0" applyBorder="0" applyAlignment="0" applyProtection="0"/>
    <xf numFmtId="2" fontId="72" fillId="8" borderId="0">
      <alignment horizontal="left"/>
      <protection hidden="1"/>
    </xf>
    <xf numFmtId="0" fontId="91" fillId="0" borderId="0">
      <protection locked="0"/>
    </xf>
    <xf numFmtId="0" fontId="75" fillId="0" borderId="0"/>
    <xf numFmtId="0" fontId="92" fillId="0" borderId="0">
      <protection locked="0"/>
    </xf>
    <xf numFmtId="0" fontId="92" fillId="0" borderId="0">
      <protection locked="0"/>
    </xf>
    <xf numFmtId="0" fontId="93" fillId="0" borderId="0" applyNumberFormat="0" applyAlignment="0">
      <alignment horizontal="left"/>
    </xf>
    <xf numFmtId="225" fontId="168" fillId="0" borderId="0"/>
    <xf numFmtId="220" fontId="168" fillId="0" borderId="0"/>
    <xf numFmtId="223" fontId="168" fillId="0" borderId="0"/>
    <xf numFmtId="227" fontId="168" fillId="0" borderId="0"/>
    <xf numFmtId="240" fontId="168" fillId="0" borderId="0"/>
    <xf numFmtId="228" fontId="168" fillId="0" borderId="0"/>
    <xf numFmtId="49" fontId="75" fillId="0" borderId="0" applyFont="0" applyFill="0" applyBorder="0" applyProtection="0">
      <alignment horizontal="right"/>
    </xf>
    <xf numFmtId="49" fontId="17" fillId="0" borderId="5" applyFont="0" applyFill="0" applyBorder="0" applyAlignment="0"/>
    <xf numFmtId="181" fontId="17" fillId="0" borderId="0" applyFont="0" applyFill="0" applyBorder="0" applyAlignment="0" applyProtection="0"/>
    <xf numFmtId="0" fontId="91" fillId="0" borderId="0">
      <protection locked="0"/>
    </xf>
    <xf numFmtId="0" fontId="91" fillId="0" borderId="0">
      <protection locked="0"/>
    </xf>
    <xf numFmtId="0" fontId="91" fillId="0" borderId="0">
      <protection locked="0"/>
    </xf>
    <xf numFmtId="0" fontId="91" fillId="0" borderId="0">
      <protection locked="0"/>
    </xf>
    <xf numFmtId="0" fontId="91" fillId="0" borderId="0">
      <protection locked="0"/>
    </xf>
    <xf numFmtId="0" fontId="91" fillId="0" borderId="0">
      <protection locked="0"/>
    </xf>
    <xf numFmtId="0" fontId="91" fillId="0" borderId="0">
      <protection locked="0"/>
    </xf>
    <xf numFmtId="2" fontId="75" fillId="0" borderId="9" applyFill="0" applyBorder="0"/>
    <xf numFmtId="0" fontId="91" fillId="0" borderId="0">
      <protection locked="0"/>
    </xf>
    <xf numFmtId="0" fontId="91" fillId="0" borderId="0">
      <protection locked="0"/>
    </xf>
    <xf numFmtId="0" fontId="94" fillId="0" borderId="0">
      <alignment horizontal="left"/>
    </xf>
    <xf numFmtId="0" fontId="95" fillId="0" borderId="0">
      <alignment horizontal="left"/>
    </xf>
    <xf numFmtId="0" fontId="96" fillId="0" borderId="0">
      <alignment horizontal="left"/>
    </xf>
    <xf numFmtId="0" fontId="96" fillId="0" borderId="0">
      <alignment horizontal="left"/>
    </xf>
    <xf numFmtId="179" fontId="19" fillId="0" borderId="0" applyBorder="0" applyProtection="0"/>
    <xf numFmtId="220" fontId="168" fillId="0" borderId="10"/>
    <xf numFmtId="236" fontId="168" fillId="2" borderId="7">
      <alignment horizontal="right"/>
    </xf>
    <xf numFmtId="0" fontId="25" fillId="0" borderId="0">
      <alignment horizontal="right"/>
    </xf>
    <xf numFmtId="38" fontId="21" fillId="2" borderId="0" applyNumberFormat="0" applyBorder="0" applyAlignment="0" applyProtection="0"/>
    <xf numFmtId="0" fontId="97" fillId="0" borderId="0" applyFill="0" applyBorder="0" applyAlignment="0" applyProtection="0"/>
    <xf numFmtId="37" fontId="26" fillId="0" borderId="0"/>
    <xf numFmtId="0" fontId="98" fillId="0" borderId="0">
      <alignment horizontal="left"/>
    </xf>
    <xf numFmtId="0" fontId="98" fillId="0" borderId="0">
      <alignment horizontal="left"/>
    </xf>
    <xf numFmtId="0" fontId="99" fillId="0" borderId="11" applyNumberFormat="0" applyAlignment="0" applyProtection="0">
      <alignment horizontal="left" vertical="center"/>
    </xf>
    <xf numFmtId="0" fontId="99" fillId="0" borderId="12">
      <alignment horizontal="left" vertical="center"/>
    </xf>
    <xf numFmtId="0" fontId="101" fillId="0" borderId="0">
      <alignment horizontal="left"/>
    </xf>
    <xf numFmtId="0" fontId="100" fillId="0" borderId="13">
      <alignment horizontal="left" vertical="top"/>
    </xf>
    <xf numFmtId="0" fontId="102" fillId="0" borderId="0">
      <alignment horizontal="left"/>
    </xf>
    <xf numFmtId="0" fontId="103" fillId="0" borderId="13">
      <alignment horizontal="left" vertical="top"/>
    </xf>
    <xf numFmtId="0" fontId="104" fillId="0" borderId="0">
      <alignment horizontal="left"/>
    </xf>
    <xf numFmtId="0" fontId="3" fillId="0" borderId="0" applyNumberFormat="0" applyFill="0" applyBorder="0" applyAlignment="0" applyProtection="0">
      <alignment vertical="top"/>
      <protection locked="0"/>
    </xf>
    <xf numFmtId="213" fontId="105" fillId="0" borderId="0" applyFont="0" applyFill="0" applyBorder="0" applyAlignment="0" applyProtection="0"/>
    <xf numFmtId="200" fontId="106" fillId="0" borderId="0" applyBorder="0" applyAlignment="0"/>
    <xf numFmtId="37" fontId="27" fillId="0" borderId="0" applyFill="0" applyBorder="0" applyAlignment="0" applyProtection="0"/>
    <xf numFmtId="10" fontId="21" fillId="9" borderId="14" applyNumberFormat="0" applyBorder="0" applyAlignment="0" applyProtection="0"/>
    <xf numFmtId="174" fontId="27" fillId="0" borderId="0" applyBorder="0"/>
    <xf numFmtId="205" fontId="21" fillId="10" borderId="0" applyBorder="0">
      <protection locked="0"/>
    </xf>
    <xf numFmtId="204" fontId="71" fillId="10" borderId="0">
      <alignment horizontal="left"/>
      <protection locked="0"/>
    </xf>
    <xf numFmtId="0" fontId="71" fillId="10" borderId="0" applyBorder="0">
      <alignment horizontal="left"/>
      <protection locked="0"/>
    </xf>
    <xf numFmtId="10" fontId="71" fillId="10" borderId="0">
      <alignment horizontal="left"/>
      <protection locked="0"/>
    </xf>
    <xf numFmtId="176" fontId="28" fillId="0" borderId="0"/>
    <xf numFmtId="1" fontId="75" fillId="0" borderId="0" applyFont="0" applyFill="0" applyBorder="0" applyAlignment="0"/>
    <xf numFmtId="191" fontId="107" fillId="0" borderId="0" applyFill="0"/>
    <xf numFmtId="0" fontId="108" fillId="0" borderId="0" applyFill="0" applyBorder="0"/>
    <xf numFmtId="0" fontId="109" fillId="0" borderId="0" applyFill="0" applyBorder="0"/>
    <xf numFmtId="0" fontId="68" fillId="0" borderId="0" applyFill="0" applyBorder="0"/>
    <xf numFmtId="0" fontId="109" fillId="0" borderId="0" applyFill="0" applyBorder="0">
      <alignment horizontal="right"/>
    </xf>
    <xf numFmtId="0" fontId="29" fillId="11" borderId="8"/>
    <xf numFmtId="212" fontId="105" fillId="0" borderId="0" applyFont="0" applyFill="0" applyBorder="0" applyAlignment="0" applyProtection="0"/>
    <xf numFmtId="174" fontId="30" fillId="0" borderId="0" applyNumberFormat="0" applyAlignment="0">
      <alignment horizontal="left"/>
    </xf>
    <xf numFmtId="214" fontId="78" fillId="12" borderId="0" applyNumberFormat="0" applyBorder="0">
      <alignment horizontal="right"/>
      <protection locked="0"/>
    </xf>
    <xf numFmtId="0" fontId="110" fillId="13" borderId="15"/>
    <xf numFmtId="237" fontId="168" fillId="0" borderId="0">
      <alignment horizontal="right"/>
    </xf>
    <xf numFmtId="224"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0" fontId="168" fillId="0" borderId="0">
      <alignment horizontal="right"/>
    </xf>
    <xf numFmtId="1" fontId="111" fillId="0" borderId="14" applyNumberFormat="0" applyFill="0" applyBorder="0" applyAlignment="0" applyProtection="0">
      <alignment horizontal="justify"/>
      <protection locked="0"/>
    </xf>
    <xf numFmtId="0" fontId="64" fillId="0" borderId="0"/>
    <xf numFmtId="0" fontId="75" fillId="0" borderId="16" applyNumberFormat="0" applyFont="0" applyAlignment="0"/>
    <xf numFmtId="0" fontId="75" fillId="0" borderId="11" applyNumberFormat="0" applyFont="0" applyFill="0" applyAlignment="0"/>
    <xf numFmtId="209" fontId="112" fillId="0" borderId="0" applyFont="0" applyFill="0" applyBorder="0" applyAlignment="0" applyProtection="0"/>
    <xf numFmtId="211" fontId="112" fillId="0" borderId="0" applyFont="0" applyFill="0" applyBorder="0" applyAlignment="0" applyProtection="0"/>
    <xf numFmtId="222" fontId="168" fillId="0" borderId="0">
      <alignment horizontal="right"/>
    </xf>
    <xf numFmtId="208" fontId="83" fillId="0" borderId="0" applyFont="0" applyFill="0" applyBorder="0" applyAlignment="0" applyProtection="0"/>
    <xf numFmtId="210" fontId="112" fillId="0" borderId="0" applyFont="0" applyFill="0" applyBorder="0" applyAlignment="0" applyProtection="0"/>
    <xf numFmtId="0" fontId="91" fillId="0" borderId="0">
      <protection locked="0"/>
    </xf>
    <xf numFmtId="37" fontId="113" fillId="0" borderId="0"/>
    <xf numFmtId="177" fontId="31" fillId="0" borderId="0"/>
    <xf numFmtId="1" fontId="114" fillId="0" borderId="0" applyFill="0" applyBorder="0"/>
    <xf numFmtId="0" fontId="60" fillId="0" borderId="0"/>
    <xf numFmtId="0" fontId="60" fillId="0" borderId="0"/>
    <xf numFmtId="0" fontId="5" fillId="0" borderId="0"/>
    <xf numFmtId="0" fontId="5" fillId="0" borderId="0"/>
    <xf numFmtId="0" fontId="75" fillId="0" borderId="0"/>
    <xf numFmtId="0" fontId="60" fillId="0" borderId="0"/>
    <xf numFmtId="0" fontId="60" fillId="0" borderId="0"/>
    <xf numFmtId="0" fontId="60" fillId="0" borderId="0"/>
    <xf numFmtId="0" fontId="17" fillId="0" borderId="0"/>
    <xf numFmtId="0" fontId="75" fillId="0" borderId="0"/>
    <xf numFmtId="0" fontId="115" fillId="0" borderId="0"/>
    <xf numFmtId="0" fontId="21" fillId="0" borderId="0"/>
    <xf numFmtId="0" fontId="115" fillId="0" borderId="0"/>
    <xf numFmtId="0" fontId="17" fillId="0" borderId="0"/>
    <xf numFmtId="0" fontId="115" fillId="0" borderId="0"/>
    <xf numFmtId="0" fontId="116" fillId="0" borderId="0"/>
    <xf numFmtId="0" fontId="75" fillId="0" borderId="0"/>
    <xf numFmtId="207" fontId="117" fillId="0" borderId="0" applyFont="0" applyFill="0" applyBorder="0" applyAlignment="0" applyProtection="0">
      <alignment horizontal="center"/>
      <protection locked="0"/>
    </xf>
    <xf numFmtId="0" fontId="75" fillId="0" borderId="0" applyFont="0" applyFill="0" applyBorder="0" applyAlignment="0"/>
    <xf numFmtId="40" fontId="109" fillId="0" borderId="0" applyFill="0" applyBorder="0" applyProtection="0">
      <alignment horizontal="right"/>
    </xf>
    <xf numFmtId="38" fontId="75" fillId="0" borderId="0" applyFont="0" applyFill="0" applyBorder="0" applyAlignment="0"/>
    <xf numFmtId="40" fontId="75" fillId="0" borderId="0" applyFont="0" applyFill="0" applyBorder="0" applyProtection="0">
      <alignment horizontal="right"/>
    </xf>
    <xf numFmtId="40" fontId="75" fillId="0" borderId="0" applyFont="0" applyFill="0" applyBorder="0" applyAlignment="0" applyProtection="0"/>
    <xf numFmtId="38" fontId="75" fillId="0" borderId="0" applyFont="0" applyFill="0" applyBorder="0" applyAlignment="0" applyProtection="0"/>
    <xf numFmtId="37" fontId="32" fillId="0" borderId="0" applyFill="0" applyBorder="0" applyAlignment="0" applyProtection="0"/>
    <xf numFmtId="0" fontId="118" fillId="0" borderId="0">
      <alignment horizontal="left"/>
    </xf>
    <xf numFmtId="0" fontId="67" fillId="2" borderId="14"/>
    <xf numFmtId="226" fontId="168" fillId="0" borderId="0"/>
    <xf numFmtId="229" fontId="168" fillId="0" borderId="0"/>
    <xf numFmtId="9" fontId="3" fillId="0" borderId="0" applyFont="0" applyFill="0" applyBorder="0" applyAlignment="0" applyProtection="0"/>
    <xf numFmtId="191" fontId="119" fillId="0" borderId="0" applyFont="0" applyFill="0" applyBorder="0" applyAlignment="0" applyProtection="0"/>
    <xf numFmtId="10" fontId="119" fillId="0" borderId="0" applyFont="0" applyFill="0" applyBorder="0" applyAlignment="0" applyProtection="0"/>
    <xf numFmtId="10" fontId="75" fillId="0" borderId="0" applyFont="0" applyFill="0" applyBorder="0" applyAlignment="0" applyProtection="0"/>
    <xf numFmtId="0" fontId="120" fillId="0" borderId="0"/>
    <xf numFmtId="9" fontId="60" fillId="0" borderId="0" applyFont="0" applyFill="0" applyBorder="0" applyAlignment="0" applyProtection="0"/>
    <xf numFmtId="191" fontId="121" fillId="0" borderId="0" applyFont="0" applyFill="0" applyBorder="0" applyAlignment="0" applyProtection="0"/>
    <xf numFmtId="10" fontId="122" fillId="0" borderId="0" applyFont="0" applyFill="0" applyBorder="0" applyAlignment="0" applyProtection="0"/>
    <xf numFmtId="0" fontId="91" fillId="0" borderId="0">
      <protection locked="0"/>
    </xf>
    <xf numFmtId="221" fontId="168" fillId="0" borderId="0">
      <alignment horizontal="right"/>
    </xf>
    <xf numFmtId="0" fontId="69" fillId="6" borderId="17">
      <alignment horizontal="center" vertical="center"/>
    </xf>
    <xf numFmtId="0" fontId="120" fillId="0" borderId="0" applyNumberFormat="0" applyFont="0" applyFill="0" applyBorder="0" applyAlignment="0" applyProtection="0">
      <alignment horizontal="left"/>
    </xf>
    <xf numFmtId="238" fontId="168" fillId="2" borderId="0"/>
    <xf numFmtId="43" fontId="105" fillId="0" borderId="0" applyFont="0" applyFill="0" applyBorder="0" applyAlignment="0" applyProtection="0"/>
    <xf numFmtId="239" fontId="168" fillId="2" borderId="7">
      <alignment horizontal="right"/>
    </xf>
    <xf numFmtId="38" fontId="120" fillId="0" borderId="0"/>
    <xf numFmtId="0" fontId="26" fillId="0" borderId="0"/>
    <xf numFmtId="0" fontId="23" fillId="0" borderId="0"/>
    <xf numFmtId="0" fontId="75" fillId="0" borderId="16"/>
    <xf numFmtId="0" fontId="75" fillId="0" borderId="0"/>
    <xf numFmtId="0" fontId="109" fillId="0" borderId="0">
      <alignment horizontal="right"/>
    </xf>
    <xf numFmtId="0" fontId="79" fillId="0" borderId="11">
      <alignment horizontal="left" vertical="center"/>
    </xf>
    <xf numFmtId="0" fontId="123" fillId="0" borderId="0"/>
    <xf numFmtId="0" fontId="124" fillId="0" borderId="0"/>
    <xf numFmtId="0" fontId="125" fillId="0" borderId="0"/>
    <xf numFmtId="0" fontId="75" fillId="0" borderId="0">
      <alignment horizontal="right"/>
    </xf>
    <xf numFmtId="14" fontId="126" fillId="0" borderId="0" applyNumberFormat="0" applyFill="0" applyBorder="0" applyAlignment="0" applyProtection="0">
      <alignment horizontal="left"/>
    </xf>
    <xf numFmtId="38" fontId="127" fillId="0" borderId="0"/>
    <xf numFmtId="0" fontId="109" fillId="0" borderId="0">
      <alignment horizontal="right"/>
    </xf>
    <xf numFmtId="0" fontId="95" fillId="0" borderId="18">
      <alignment vertical="center"/>
    </xf>
    <xf numFmtId="212" fontId="128" fillId="0" borderId="0" applyFont="0" applyFill="0" applyBorder="0" applyAlignment="0" applyProtection="0"/>
    <xf numFmtId="0" fontId="129" fillId="14" borderId="0">
      <alignment horizontal="right"/>
    </xf>
    <xf numFmtId="0" fontId="170" fillId="0" borderId="19"/>
    <xf numFmtId="0" fontId="170" fillId="0" borderId="20"/>
    <xf numFmtId="38" fontId="16" fillId="0" borderId="0"/>
    <xf numFmtId="38" fontId="16" fillId="0" borderId="0"/>
    <xf numFmtId="38" fontId="16" fillId="0" borderId="0"/>
    <xf numFmtId="37" fontId="26" fillId="0" borderId="0"/>
    <xf numFmtId="0" fontId="130" fillId="0" borderId="0"/>
    <xf numFmtId="0" fontId="75" fillId="0" borderId="12"/>
    <xf numFmtId="0" fontId="75" fillId="0" borderId="21"/>
    <xf numFmtId="0" fontId="75" fillId="0" borderId="22"/>
    <xf numFmtId="40" fontId="131" fillId="0" borderId="0" applyBorder="0">
      <alignment horizontal="right"/>
    </xf>
    <xf numFmtId="205" fontId="21" fillId="0" borderId="0" applyFill="0" applyBorder="0" applyProtection="0">
      <protection locked="0"/>
    </xf>
    <xf numFmtId="0" fontId="33" fillId="0" borderId="1" applyNumberFormat="0" applyFill="0" applyBorder="0" applyAlignment="0" applyProtection="0"/>
    <xf numFmtId="0" fontId="78" fillId="0" borderId="13" applyBorder="0">
      <alignment horizontal="center"/>
    </xf>
    <xf numFmtId="0" fontId="26" fillId="0" borderId="8"/>
    <xf numFmtId="0" fontId="23" fillId="0" borderId="8"/>
    <xf numFmtId="0" fontId="171" fillId="0" borderId="0" applyNumberFormat="0" applyBorder="0" applyAlignment="0">
      <alignment horizontal="justify" vertical="center" wrapText="1"/>
    </xf>
    <xf numFmtId="0" fontId="132" fillId="0" borderId="0">
      <alignment horizontal="left"/>
    </xf>
    <xf numFmtId="0" fontId="96" fillId="0" borderId="0">
      <alignment horizontal="left"/>
    </xf>
    <xf numFmtId="0" fontId="172" fillId="15" borderId="0">
      <alignment vertical="center" wrapText="1"/>
    </xf>
    <xf numFmtId="0" fontId="102" fillId="0" borderId="0"/>
    <xf numFmtId="0" fontId="101" fillId="0" borderId="0"/>
    <xf numFmtId="0" fontId="96" fillId="0" borderId="0"/>
    <xf numFmtId="49" fontId="173" fillId="0" borderId="0"/>
    <xf numFmtId="0" fontId="133" fillId="0" borderId="0"/>
    <xf numFmtId="0" fontId="133" fillId="0" borderId="0"/>
    <xf numFmtId="0" fontId="134" fillId="0" borderId="0"/>
    <xf numFmtId="0" fontId="134" fillId="0" borderId="0"/>
    <xf numFmtId="0" fontId="133" fillId="0" borderId="0"/>
    <xf numFmtId="0" fontId="133" fillId="0" borderId="0"/>
    <xf numFmtId="0" fontId="75" fillId="0" borderId="23" applyNumberFormat="0" applyFont="0" applyAlignment="0"/>
    <xf numFmtId="0" fontId="75" fillId="0" borderId="24" applyNumberFormat="0" applyFont="0" applyFill="0" applyAlignment="0" applyProtection="0"/>
    <xf numFmtId="0" fontId="75" fillId="0" borderId="17" applyNumberFormat="0" applyFont="0" applyAlignment="0"/>
    <xf numFmtId="0" fontId="75" fillId="0" borderId="25" applyNumberFormat="0" applyFont="0" applyAlignment="0"/>
    <xf numFmtId="0" fontId="75" fillId="0" borderId="14" applyNumberFormat="0" applyFont="0" applyAlignment="0"/>
    <xf numFmtId="0" fontId="75" fillId="0" borderId="26" applyNumberFormat="0" applyFont="0" applyAlignment="0"/>
    <xf numFmtId="0" fontId="75" fillId="0" borderId="27" applyNumberFormat="0" applyFont="0" applyAlignment="0"/>
    <xf numFmtId="0" fontId="75" fillId="0" borderId="28" applyNumberFormat="0" applyFont="0" applyAlignment="0"/>
    <xf numFmtId="0" fontId="75" fillId="0" borderId="12" applyNumberFormat="0" applyFont="0" applyAlignment="0"/>
    <xf numFmtId="0" fontId="75" fillId="0" borderId="29" applyNumberFormat="0" applyFont="0" applyAlignment="0"/>
    <xf numFmtId="0" fontId="75" fillId="0" borderId="30" applyNumberFormat="0" applyFont="0" applyAlignment="0"/>
    <xf numFmtId="0" fontId="75" fillId="0" borderId="5" applyNumberFormat="0" applyFont="0" applyFill="0" applyAlignment="0" applyProtection="0"/>
    <xf numFmtId="0" fontId="75" fillId="0" borderId="9" applyNumberFormat="0" applyFont="0" applyFill="0" applyAlignment="0" applyProtection="0"/>
    <xf numFmtId="0" fontId="75" fillId="0" borderId="21" applyNumberFormat="0" applyFont="0" applyAlignment="0"/>
    <xf numFmtId="0" fontId="75" fillId="0" borderId="31" applyNumberFormat="0" applyFont="0" applyAlignment="0"/>
    <xf numFmtId="180" fontId="19" fillId="0" borderId="0" applyBorder="0" applyProtection="0">
      <alignment horizontal="right"/>
    </xf>
    <xf numFmtId="0" fontId="16" fillId="0" borderId="0" applyNumberFormat="0" applyFill="0" applyBorder="0" applyAlignment="0" applyProtection="0"/>
    <xf numFmtId="0" fontId="34" fillId="16" borderId="0"/>
    <xf numFmtId="0" fontId="135" fillId="16" borderId="0"/>
    <xf numFmtId="0" fontId="136" fillId="6" borderId="32">
      <alignment horizontal="left" vertical="center"/>
    </xf>
    <xf numFmtId="0" fontId="174" fillId="0" borderId="0"/>
    <xf numFmtId="0" fontId="134" fillId="0" borderId="0"/>
    <xf numFmtId="0" fontId="133" fillId="0" borderId="0"/>
    <xf numFmtId="0" fontId="29" fillId="0" borderId="33"/>
    <xf numFmtId="0" fontId="137" fillId="0" borderId="33"/>
    <xf numFmtId="0" fontId="29" fillId="0" borderId="8"/>
    <xf numFmtId="0" fontId="137" fillId="0" borderId="8"/>
    <xf numFmtId="178" fontId="21" fillId="0" borderId="0" applyBorder="0" applyProtection="0">
      <alignment horizontal="right"/>
    </xf>
    <xf numFmtId="199" fontId="64" fillId="9" borderId="2">
      <alignment horizontal="right"/>
    </xf>
    <xf numFmtId="199" fontId="65" fillId="9" borderId="2"/>
    <xf numFmtId="0" fontId="35" fillId="0" borderId="1" applyNumberFormat="0" applyFill="0" applyBorder="0" applyAlignment="0" applyProtection="0"/>
    <xf numFmtId="0" fontId="36" fillId="0" borderId="1" applyNumberFormat="0" applyFill="0" applyBorder="0" applyAlignment="0" applyProtection="0"/>
    <xf numFmtId="0" fontId="37" fillId="0" borderId="1" applyNumberFormat="0" applyFill="0" applyBorder="0" applyAlignment="0" applyProtection="0"/>
    <xf numFmtId="213" fontId="105" fillId="0" borderId="0" applyFont="0" applyFill="0" applyBorder="0" applyAlignment="0" applyProtection="0"/>
    <xf numFmtId="0" fontId="67" fillId="0" borderId="0">
      <alignment horizontal="right"/>
    </xf>
    <xf numFmtId="0" fontId="108" fillId="0" borderId="0">
      <alignment horizontal="left"/>
    </xf>
    <xf numFmtId="0" fontId="138" fillId="0" borderId="17" applyFill="0" applyBorder="0" applyProtection="0">
      <alignment horizontal="center"/>
    </xf>
    <xf numFmtId="204" fontId="21" fillId="10" borderId="0" applyBorder="0" applyAlignment="0" applyProtection="0"/>
    <xf numFmtId="0" fontId="77" fillId="0" borderId="0" applyFont="0" applyFill="0" applyBorder="0" applyAlignment="0" applyProtection="0">
      <alignment horizontal="right"/>
      <protection hidden="1"/>
    </xf>
    <xf numFmtId="40" fontId="139" fillId="0" borderId="0" applyFont="0" applyFill="0" applyBorder="0" applyAlignment="0" applyProtection="0"/>
    <xf numFmtId="38" fontId="139"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17" fillId="0" borderId="0"/>
    <xf numFmtId="0" fontId="74" fillId="0" borderId="0" applyFont="0" applyFill="0" applyBorder="0" applyAlignment="0" applyProtection="0"/>
    <xf numFmtId="206" fontId="140" fillId="0" borderId="0" applyFont="0" applyFill="0" applyBorder="0" applyAlignment="0" applyProtection="0"/>
    <xf numFmtId="203" fontId="21" fillId="0" borderId="0" applyFill="0" applyBorder="0" applyAlignment="0" applyProtection="0"/>
    <xf numFmtId="0" fontId="17" fillId="0" borderId="0" applyFont="0" applyFill="0" applyBorder="0" applyAlignment="0" applyProtection="0"/>
    <xf numFmtId="43" fontId="128" fillId="0" borderId="0" applyFont="0" applyFill="0" applyBorder="0" applyAlignment="0" applyProtection="0"/>
    <xf numFmtId="0" fontId="105" fillId="0" borderId="0" applyFont="0" applyFill="0" applyBorder="0" applyAlignment="0" applyProtection="0"/>
    <xf numFmtId="164" fontId="112" fillId="0" borderId="0" applyFont="0" applyFill="0" applyBorder="0" applyAlignment="0" applyProtection="0"/>
    <xf numFmtId="165" fontId="112" fillId="0" borderId="0" applyFont="0" applyFill="0" applyBorder="0" applyAlignment="0" applyProtection="0"/>
    <xf numFmtId="0" fontId="74" fillId="0" borderId="0"/>
    <xf numFmtId="0" fontId="141" fillId="0" borderId="0"/>
    <xf numFmtId="0" fontId="142" fillId="0" borderId="0">
      <alignment vertical="center"/>
    </xf>
    <xf numFmtId="169" fontId="17" fillId="0" borderId="0" applyFont="0" applyFill="0" applyBorder="0" applyAlignment="0" applyProtection="0"/>
    <xf numFmtId="167" fontId="17" fillId="0" borderId="0" applyFont="0" applyFill="0" applyBorder="0" applyAlignment="0" applyProtection="0"/>
    <xf numFmtId="0" fontId="143" fillId="0" borderId="0"/>
    <xf numFmtId="168" fontId="17" fillId="0" borderId="0" applyFont="0" applyFill="0" applyBorder="0" applyAlignment="0" applyProtection="0"/>
    <xf numFmtId="166" fontId="17" fillId="0" borderId="0" applyFont="0" applyFill="0" applyBorder="0" applyAlignment="0" applyProtection="0"/>
    <xf numFmtId="0" fontId="17" fillId="0" borderId="0"/>
    <xf numFmtId="0" fontId="2" fillId="0" borderId="0"/>
    <xf numFmtId="169" fontId="3" fillId="0" borderId="0" applyFont="0" applyFill="0" applyBorder="0" applyAlignment="0" applyProtection="0"/>
    <xf numFmtId="169" fontId="1" fillId="0" borderId="0" applyFont="0" applyFill="0" applyBorder="0" applyAlignment="0" applyProtection="0"/>
  </cellStyleXfs>
  <cellXfs count="1727">
    <xf numFmtId="0" fontId="0" fillId="0" borderId="0" xfId="0"/>
    <xf numFmtId="170" fontId="5" fillId="0" borderId="1" xfId="0" applyNumberFormat="1" applyFont="1" applyBorder="1" applyProtection="1">
      <protection locked="0"/>
    </xf>
    <xf numFmtId="170" fontId="5" fillId="0" borderId="1" xfId="0" applyNumberFormat="1" applyFont="1" applyBorder="1" applyAlignment="1" applyProtection="1">
      <alignment horizontal="center"/>
      <protection locked="0"/>
    </xf>
    <xf numFmtId="170" fontId="12" fillId="0" borderId="1" xfId="0" applyNumberFormat="1" applyFont="1" applyBorder="1" applyProtection="1">
      <protection locked="0"/>
    </xf>
    <xf numFmtId="170" fontId="5" fillId="0" borderId="34" xfId="0" applyNumberFormat="1" applyFont="1" applyBorder="1" applyProtection="1">
      <protection locked="0"/>
    </xf>
    <xf numFmtId="170" fontId="15" fillId="17" borderId="1" xfId="0" applyNumberFormat="1" applyFont="1" applyFill="1" applyBorder="1" applyAlignment="1" applyProtection="1">
      <alignment horizontal="center"/>
      <protection locked="0"/>
    </xf>
    <xf numFmtId="170" fontId="15" fillId="17" borderId="1" xfId="0" applyNumberFormat="1" applyFont="1" applyFill="1" applyBorder="1" applyProtection="1">
      <protection locked="0"/>
    </xf>
    <xf numFmtId="170" fontId="4" fillId="10" borderId="37" xfId="0" applyNumberFormat="1" applyFont="1" applyFill="1" applyBorder="1" applyAlignment="1" applyProtection="1">
      <alignment horizontal="right"/>
      <protection locked="0"/>
    </xf>
    <xf numFmtId="170" fontId="4" fillId="10" borderId="38" xfId="0" applyNumberFormat="1" applyFont="1" applyFill="1" applyBorder="1" applyAlignment="1" applyProtection="1">
      <alignment horizontal="right"/>
      <protection locked="0"/>
    </xf>
    <xf numFmtId="170" fontId="4" fillId="10" borderId="39" xfId="0" applyNumberFormat="1" applyFont="1" applyFill="1" applyBorder="1" applyAlignment="1" applyProtection="1">
      <alignment horizontal="right"/>
      <protection locked="0"/>
    </xf>
    <xf numFmtId="170" fontId="4" fillId="4" borderId="40" xfId="0" applyNumberFormat="1" applyFont="1" applyFill="1" applyBorder="1" applyAlignment="1" applyProtection="1">
      <alignment horizontal="right"/>
      <protection locked="0"/>
    </xf>
    <xf numFmtId="170" fontId="4" fillId="4" borderId="41" xfId="0" applyNumberFormat="1" applyFont="1" applyFill="1" applyBorder="1" applyAlignment="1" applyProtection="1">
      <alignment horizontal="right"/>
      <protection locked="0"/>
    </xf>
    <xf numFmtId="170" fontId="4" fillId="0" borderId="1" xfId="0" applyNumberFormat="1" applyFont="1" applyBorder="1" applyProtection="1">
      <protection locked="0"/>
    </xf>
    <xf numFmtId="170" fontId="7" fillId="0" borderId="1" xfId="0" applyNumberFormat="1" applyFont="1" applyBorder="1" applyProtection="1">
      <protection locked="0"/>
    </xf>
    <xf numFmtId="170" fontId="5" fillId="0" borderId="43" xfId="0" applyNumberFormat="1" applyFont="1" applyBorder="1" applyProtection="1">
      <protection locked="0"/>
    </xf>
    <xf numFmtId="170" fontId="5" fillId="0" borderId="44" xfId="0" applyNumberFormat="1" applyFont="1" applyBorder="1" applyProtection="1">
      <protection locked="0"/>
    </xf>
    <xf numFmtId="170" fontId="5" fillId="0" borderId="45" xfId="0" applyNumberFormat="1" applyFont="1" applyBorder="1" applyProtection="1">
      <protection locked="0"/>
    </xf>
    <xf numFmtId="170" fontId="5" fillId="0" borderId="46" xfId="0" applyNumberFormat="1" applyFont="1" applyBorder="1" applyProtection="1">
      <protection locked="0"/>
    </xf>
    <xf numFmtId="170" fontId="15" fillId="18" borderId="47" xfId="0" applyNumberFormat="1" applyFont="1" applyFill="1" applyBorder="1" applyAlignment="1" applyProtection="1">
      <alignment vertical="center"/>
      <protection locked="0"/>
    </xf>
    <xf numFmtId="170" fontId="5" fillId="0" borderId="10" xfId="0" applyNumberFormat="1" applyFont="1" applyBorder="1" applyProtection="1">
      <protection locked="0"/>
    </xf>
    <xf numFmtId="170" fontId="15" fillId="18" borderId="48" xfId="0" applyNumberFormat="1" applyFont="1" applyFill="1" applyBorder="1" applyAlignment="1" applyProtection="1">
      <alignment vertical="center"/>
      <protection locked="0"/>
    </xf>
    <xf numFmtId="170" fontId="15" fillId="18" borderId="1" xfId="0" applyNumberFormat="1" applyFont="1" applyFill="1" applyBorder="1" applyAlignment="1" applyProtection="1">
      <alignment horizontal="center"/>
      <protection locked="0"/>
    </xf>
    <xf numFmtId="173" fontId="15" fillId="18" borderId="49" xfId="0" applyNumberFormat="1" applyFont="1" applyFill="1" applyBorder="1" applyProtection="1">
      <protection locked="0"/>
    </xf>
    <xf numFmtId="173" fontId="15" fillId="18" borderId="50" xfId="0" applyNumberFormat="1" applyFont="1" applyFill="1" applyBorder="1" applyProtection="1">
      <protection locked="0"/>
    </xf>
    <xf numFmtId="170" fontId="5" fillId="0" borderId="51" xfId="0" applyNumberFormat="1" applyFont="1" applyBorder="1" applyProtection="1">
      <protection locked="0"/>
    </xf>
    <xf numFmtId="173" fontId="15" fillId="18" borderId="52" xfId="0" applyNumberFormat="1" applyFont="1" applyFill="1" applyBorder="1" applyProtection="1">
      <protection locked="0"/>
    </xf>
    <xf numFmtId="1" fontId="15" fillId="18" borderId="53" xfId="0" applyNumberFormat="1" applyFont="1" applyFill="1" applyBorder="1" applyProtection="1">
      <protection locked="0"/>
    </xf>
    <xf numFmtId="1" fontId="15" fillId="18" borderId="53" xfId="0" applyNumberFormat="1" applyFont="1" applyFill="1" applyBorder="1" applyAlignment="1" applyProtection="1">
      <alignment horizontal="right"/>
      <protection locked="0"/>
    </xf>
    <xf numFmtId="173" fontId="15" fillId="18" borderId="54" xfId="0" applyNumberFormat="1" applyFont="1" applyFill="1" applyBorder="1" applyProtection="1">
      <protection locked="0"/>
    </xf>
    <xf numFmtId="173" fontId="15" fillId="18" borderId="55" xfId="0" applyNumberFormat="1" applyFont="1" applyFill="1" applyBorder="1" applyProtection="1">
      <protection locked="0"/>
    </xf>
    <xf numFmtId="173" fontId="5" fillId="0" borderId="51" xfId="0" applyNumberFormat="1" applyFont="1" applyBorder="1" applyProtection="1">
      <protection locked="0"/>
    </xf>
    <xf numFmtId="170" fontId="4" fillId="19" borderId="56" xfId="0" applyNumberFormat="1" applyFont="1" applyFill="1" applyBorder="1" applyProtection="1">
      <protection locked="0"/>
    </xf>
    <xf numFmtId="182" fontId="5" fillId="0" borderId="57" xfId="0" applyNumberFormat="1" applyFont="1" applyBorder="1" applyProtection="1">
      <protection locked="0"/>
    </xf>
    <xf numFmtId="182" fontId="4" fillId="0" borderId="58" xfId="0" applyNumberFormat="1" applyFont="1" applyBorder="1" applyProtection="1">
      <protection locked="0"/>
    </xf>
    <xf numFmtId="182" fontId="4" fillId="0" borderId="59" xfId="0" applyNumberFormat="1" applyFont="1" applyBorder="1" applyProtection="1">
      <protection locked="0"/>
    </xf>
    <xf numFmtId="170" fontId="4" fillId="0" borderId="34" xfId="0" applyNumberFormat="1" applyFont="1" applyBorder="1" applyProtection="1">
      <protection locked="0"/>
    </xf>
    <xf numFmtId="170" fontId="8" fillId="0" borderId="1" xfId="0" applyNumberFormat="1" applyFont="1" applyBorder="1" applyProtection="1">
      <protection locked="0"/>
    </xf>
    <xf numFmtId="170" fontId="15" fillId="17" borderId="1" xfId="0" applyNumberFormat="1" applyFont="1" applyFill="1" applyBorder="1" applyAlignment="1" applyProtection="1">
      <alignment horizontal="left"/>
      <protection locked="0"/>
    </xf>
    <xf numFmtId="170" fontId="0" fillId="0" borderId="1" xfId="0" applyNumberFormat="1" applyBorder="1" applyProtection="1">
      <protection locked="0"/>
    </xf>
    <xf numFmtId="170" fontId="0" fillId="0" borderId="44" xfId="0" applyNumberFormat="1" applyBorder="1" applyProtection="1">
      <protection locked="0"/>
    </xf>
    <xf numFmtId="170" fontId="4" fillId="2" borderId="63" xfId="0" applyNumberFormat="1" applyFont="1" applyFill="1" applyBorder="1" applyAlignment="1" applyProtection="1">
      <alignment horizontal="right"/>
      <protection locked="0"/>
    </xf>
    <xf numFmtId="170" fontId="0" fillId="0" borderId="43" xfId="0" applyNumberFormat="1" applyBorder="1" applyProtection="1">
      <protection locked="0"/>
    </xf>
    <xf numFmtId="171" fontId="40" fillId="0" borderId="1" xfId="0" applyNumberFormat="1" applyFont="1" applyBorder="1" applyProtection="1">
      <protection locked="0"/>
    </xf>
    <xf numFmtId="171" fontId="41" fillId="2" borderId="1" xfId="0" applyNumberFormat="1" applyFont="1" applyFill="1" applyBorder="1" applyProtection="1">
      <protection locked="0"/>
    </xf>
    <xf numFmtId="171" fontId="40" fillId="2" borderId="1" xfId="0" applyNumberFormat="1" applyFont="1" applyFill="1" applyBorder="1" applyProtection="1">
      <protection locked="0"/>
    </xf>
    <xf numFmtId="183" fontId="0" fillId="0" borderId="1" xfId="0" applyNumberFormat="1" applyBorder="1" applyProtection="1">
      <protection locked="0"/>
    </xf>
    <xf numFmtId="171" fontId="0" fillId="0" borderId="1" xfId="0" applyNumberFormat="1" applyBorder="1" applyProtection="1">
      <protection locked="0"/>
    </xf>
    <xf numFmtId="170" fontId="0" fillId="0" borderId="34" xfId="0" applyNumberFormat="1" applyBorder="1" applyProtection="1">
      <protection locked="0"/>
    </xf>
    <xf numFmtId="170" fontId="0" fillId="21" borderId="1" xfId="0" applyNumberFormat="1" applyFill="1" applyBorder="1" applyProtection="1">
      <protection locked="0"/>
    </xf>
    <xf numFmtId="171" fontId="40" fillId="0" borderId="1" xfId="0" applyNumberFormat="1" applyFont="1" applyFill="1" applyBorder="1" applyProtection="1">
      <protection locked="0"/>
    </xf>
    <xf numFmtId="185" fontId="0" fillId="0" borderId="1" xfId="0" applyNumberFormat="1" applyBorder="1" applyProtection="1">
      <protection locked="0"/>
    </xf>
    <xf numFmtId="185" fontId="43" fillId="0" borderId="1" xfId="0" applyNumberFormat="1" applyFont="1" applyBorder="1" applyProtection="1">
      <protection locked="0"/>
    </xf>
    <xf numFmtId="170" fontId="0" fillId="0" borderId="1" xfId="0" applyNumberFormat="1" applyFill="1" applyBorder="1" applyProtection="1">
      <protection locked="0"/>
    </xf>
    <xf numFmtId="170" fontId="4" fillId="0" borderId="1" xfId="0" applyNumberFormat="1" applyFont="1" applyFill="1" applyBorder="1" applyProtection="1">
      <protection locked="0"/>
    </xf>
    <xf numFmtId="170" fontId="7" fillId="0" borderId="1" xfId="0" applyNumberFormat="1" applyFont="1" applyFill="1" applyBorder="1" applyProtection="1">
      <protection locked="0"/>
    </xf>
    <xf numFmtId="183" fontId="12" fillId="0" borderId="1" xfId="0" applyNumberFormat="1" applyFont="1" applyFill="1" applyBorder="1" applyProtection="1">
      <protection locked="0"/>
    </xf>
    <xf numFmtId="185" fontId="0" fillId="0" borderId="1" xfId="0" applyNumberFormat="1" applyFill="1" applyBorder="1" applyProtection="1">
      <protection locked="0"/>
    </xf>
    <xf numFmtId="183" fontId="0" fillId="0" borderId="1" xfId="0" applyNumberFormat="1" applyFill="1" applyBorder="1" applyProtection="1">
      <protection locked="0"/>
    </xf>
    <xf numFmtId="171" fontId="0" fillId="0" borderId="1" xfId="0" applyNumberFormat="1" applyFill="1" applyBorder="1" applyProtection="1">
      <protection locked="0"/>
    </xf>
    <xf numFmtId="0" fontId="4" fillId="0" borderId="0" xfId="0" applyFont="1"/>
    <xf numFmtId="188" fontId="0" fillId="0" borderId="0" xfId="0" applyNumberFormat="1"/>
    <xf numFmtId="188" fontId="4" fillId="0" borderId="0" xfId="60" applyNumberFormat="1" applyFont="1"/>
    <xf numFmtId="188" fontId="4" fillId="0" borderId="0" xfId="0" applyNumberFormat="1" applyFont="1"/>
    <xf numFmtId="184" fontId="0" fillId="0" borderId="1" xfId="0" applyNumberFormat="1" applyBorder="1" applyProtection="1">
      <protection locked="0"/>
    </xf>
    <xf numFmtId="0" fontId="0" fillId="0" borderId="0" xfId="0" quotePrefix="1"/>
    <xf numFmtId="185" fontId="3" fillId="0" borderId="1" xfId="0" applyNumberFormat="1" applyFont="1" applyBorder="1" applyProtection="1">
      <protection locked="0"/>
    </xf>
    <xf numFmtId="9" fontId="0" fillId="0" borderId="0" xfId="0" applyNumberFormat="1"/>
    <xf numFmtId="170" fontId="13" fillId="17" borderId="44" xfId="0" applyNumberFormat="1" applyFont="1" applyFill="1" applyBorder="1" applyAlignment="1" applyProtection="1">
      <protection locked="0"/>
    </xf>
    <xf numFmtId="170" fontId="13" fillId="17" borderId="51" xfId="0" applyNumberFormat="1" applyFont="1" applyFill="1" applyBorder="1" applyAlignment="1" applyProtection="1">
      <protection locked="0"/>
    </xf>
    <xf numFmtId="170" fontId="0" fillId="17" borderId="1" xfId="0" applyNumberFormat="1" applyFill="1" applyBorder="1" applyProtection="1">
      <protection locked="0"/>
    </xf>
    <xf numFmtId="170" fontId="0" fillId="17" borderId="43" xfId="0" applyNumberFormat="1" applyFill="1" applyBorder="1" applyProtection="1">
      <protection locked="0"/>
    </xf>
    <xf numFmtId="188" fontId="0" fillId="0" borderId="0" xfId="60" applyNumberFormat="1" applyFont="1"/>
    <xf numFmtId="190" fontId="12" fillId="0" borderId="0" xfId="0" applyNumberFormat="1" applyFont="1"/>
    <xf numFmtId="0" fontId="12" fillId="0" borderId="0" xfId="0" applyFont="1"/>
    <xf numFmtId="182" fontId="5" fillId="0" borderId="58" xfId="0" applyNumberFormat="1" applyFont="1" applyBorder="1" applyAlignment="1" applyProtection="1">
      <alignment horizontal="center"/>
      <protection locked="0"/>
    </xf>
    <xf numFmtId="0" fontId="6" fillId="0" borderId="0" xfId="0" applyFont="1"/>
    <xf numFmtId="188" fontId="6" fillId="0" borderId="0" xfId="60" applyNumberFormat="1" applyFont="1"/>
    <xf numFmtId="0" fontId="47" fillId="0" borderId="0" xfId="0" applyFont="1"/>
    <xf numFmtId="188" fontId="47" fillId="0" borderId="0" xfId="0" applyNumberFormat="1" applyFont="1"/>
    <xf numFmtId="170" fontId="48" fillId="0" borderId="1" xfId="0" applyNumberFormat="1" applyFont="1" applyBorder="1" applyAlignment="1" applyProtection="1">
      <alignment horizontal="center"/>
      <protection locked="0"/>
    </xf>
    <xf numFmtId="170" fontId="48" fillId="20" borderId="36" xfId="0" applyNumberFormat="1" applyFont="1" applyFill="1" applyBorder="1" applyAlignment="1" applyProtection="1">
      <alignment horizontal="right"/>
      <protection locked="0"/>
    </xf>
    <xf numFmtId="170" fontId="48" fillId="10" borderId="38" xfId="0" applyNumberFormat="1" applyFont="1" applyFill="1" applyBorder="1" applyAlignment="1" applyProtection="1">
      <alignment horizontal="right"/>
      <protection locked="0"/>
    </xf>
    <xf numFmtId="0" fontId="6" fillId="0" borderId="0" xfId="0" applyFont="1" applyFill="1"/>
    <xf numFmtId="0" fontId="6" fillId="0" borderId="0" xfId="0" applyFont="1" applyAlignment="1">
      <alignment horizontal="left"/>
    </xf>
    <xf numFmtId="188" fontId="6" fillId="0" borderId="0" xfId="0" applyNumberFormat="1" applyFont="1"/>
    <xf numFmtId="0" fontId="49" fillId="0" borderId="0" xfId="0" applyFont="1"/>
    <xf numFmtId="188" fontId="49" fillId="0" borderId="0" xfId="60" applyNumberFormat="1" applyFont="1"/>
    <xf numFmtId="187" fontId="49" fillId="0" borderId="0" xfId="60" applyNumberFormat="1" applyFont="1"/>
    <xf numFmtId="0" fontId="50" fillId="0" borderId="0" xfId="0" applyFont="1"/>
    <xf numFmtId="188" fontId="47" fillId="0" borderId="0" xfId="60" applyNumberFormat="1" applyFont="1"/>
    <xf numFmtId="187" fontId="51" fillId="0" borderId="0" xfId="60" applyNumberFormat="1" applyFont="1"/>
    <xf numFmtId="0" fontId="52" fillId="0" borderId="0" xfId="0" applyFont="1"/>
    <xf numFmtId="188" fontId="52" fillId="0" borderId="0" xfId="60" applyNumberFormat="1" applyFont="1"/>
    <xf numFmtId="187" fontId="52" fillId="0" borderId="0" xfId="60" applyNumberFormat="1" applyFont="1"/>
    <xf numFmtId="170" fontId="53" fillId="17" borderId="1" xfId="0" applyNumberFormat="1" applyFont="1" applyFill="1" applyBorder="1" applyProtection="1">
      <protection locked="0"/>
    </xf>
    <xf numFmtId="187" fontId="6" fillId="0" borderId="0" xfId="0" applyNumberFormat="1" applyFont="1"/>
    <xf numFmtId="190" fontId="6" fillId="0" borderId="0" xfId="0" applyNumberFormat="1" applyFont="1"/>
    <xf numFmtId="195" fontId="49" fillId="0" borderId="0" xfId="0" applyNumberFormat="1" applyFont="1"/>
    <xf numFmtId="170" fontId="53" fillId="0" borderId="0" xfId="0" applyNumberFormat="1" applyFont="1" applyFill="1" applyBorder="1" applyProtection="1">
      <protection locked="0"/>
    </xf>
    <xf numFmtId="0" fontId="6" fillId="0" borderId="0" xfId="0" applyFont="1" applyBorder="1"/>
    <xf numFmtId="188" fontId="6" fillId="0" borderId="0" xfId="0" applyNumberFormat="1" applyFont="1" applyBorder="1"/>
    <xf numFmtId="0" fontId="49" fillId="0" borderId="0" xfId="0" applyFont="1" applyBorder="1"/>
    <xf numFmtId="187" fontId="49" fillId="0" borderId="0" xfId="0" applyNumberFormat="1" applyFont="1" applyBorder="1"/>
    <xf numFmtId="0" fontId="47" fillId="0" borderId="0" xfId="0" applyFont="1" applyBorder="1"/>
    <xf numFmtId="0" fontId="55" fillId="0" borderId="0" xfId="0" applyFont="1" applyBorder="1"/>
    <xf numFmtId="188" fontId="47" fillId="0" borderId="0" xfId="0" applyNumberFormat="1" applyFont="1" applyBorder="1"/>
    <xf numFmtId="0" fontId="46" fillId="21" borderId="0" xfId="0" applyFont="1" applyFill="1" applyBorder="1"/>
    <xf numFmtId="174" fontId="46" fillId="21" borderId="0" xfId="0" applyNumberFormat="1" applyFont="1" applyFill="1" applyBorder="1" applyAlignment="1">
      <alignment horizontal="right"/>
    </xf>
    <xf numFmtId="188" fontId="46" fillId="21" borderId="0" xfId="60" applyNumberFormat="1" applyFont="1" applyFill="1" applyBorder="1" applyAlignment="1">
      <alignment horizontal="right"/>
    </xf>
    <xf numFmtId="169" fontId="6" fillId="0" borderId="0" xfId="0" applyNumberFormat="1" applyFont="1"/>
    <xf numFmtId="0" fontId="56" fillId="0" borderId="0" xfId="0" applyFont="1"/>
    <xf numFmtId="3" fontId="6" fillId="0" borderId="0" xfId="60" applyNumberFormat="1" applyFont="1"/>
    <xf numFmtId="185" fontId="12" fillId="0" borderId="1" xfId="0" applyNumberFormat="1" applyFont="1" applyFill="1" applyBorder="1" applyProtection="1">
      <protection locked="0"/>
    </xf>
    <xf numFmtId="170" fontId="7" fillId="0" borderId="65" xfId="0" applyNumberFormat="1" applyFont="1" applyFill="1" applyBorder="1" applyAlignment="1" applyProtection="1">
      <alignment horizontal="left" vertical="center"/>
      <protection locked="0"/>
    </xf>
    <xf numFmtId="170" fontId="38" fillId="0" borderId="65" xfId="0" applyNumberFormat="1" applyFont="1" applyFill="1" applyBorder="1" applyAlignment="1" applyProtection="1">
      <alignment horizontal="left" vertical="center"/>
      <protection locked="0"/>
    </xf>
    <xf numFmtId="170" fontId="8" fillId="0" borderId="1" xfId="0" applyNumberFormat="1" applyFont="1" applyFill="1" applyBorder="1" applyProtection="1">
      <protection locked="0"/>
    </xf>
    <xf numFmtId="170" fontId="57" fillId="0" borderId="1" xfId="0" applyNumberFormat="1" applyFont="1" applyFill="1" applyBorder="1" applyProtection="1">
      <protection locked="0"/>
    </xf>
    <xf numFmtId="170" fontId="57" fillId="0" borderId="1" xfId="0" applyNumberFormat="1" applyFont="1" applyBorder="1" applyProtection="1">
      <protection locked="0"/>
    </xf>
    <xf numFmtId="191" fontId="5" fillId="0" borderId="34" xfId="219" applyNumberFormat="1" applyFont="1" applyBorder="1" applyProtection="1">
      <protection locked="0"/>
    </xf>
    <xf numFmtId="0" fontId="5" fillId="0" borderId="0" xfId="0" applyFont="1"/>
    <xf numFmtId="185" fontId="12" fillId="0" borderId="1" xfId="0" applyNumberFormat="1" applyFont="1" applyBorder="1" applyProtection="1">
      <protection locked="0"/>
    </xf>
    <xf numFmtId="185" fontId="0" fillId="0" borderId="43" xfId="0" applyNumberFormat="1" applyBorder="1" applyProtection="1">
      <protection locked="0"/>
    </xf>
    <xf numFmtId="191" fontId="3" fillId="0" borderId="1" xfId="219" applyNumberFormat="1" applyFont="1" applyBorder="1" applyProtection="1">
      <protection locked="0"/>
    </xf>
    <xf numFmtId="0" fontId="21" fillId="0" borderId="0" xfId="0" applyFont="1"/>
    <xf numFmtId="190" fontId="21" fillId="0" borderId="0" xfId="0" applyNumberFormat="1" applyFont="1"/>
    <xf numFmtId="188" fontId="21" fillId="0" borderId="0" xfId="60" applyNumberFormat="1" applyFont="1"/>
    <xf numFmtId="188" fontId="21" fillId="0" borderId="0" xfId="0" applyNumberFormat="1" applyFont="1"/>
    <xf numFmtId="0" fontId="20" fillId="0" borderId="0" xfId="0" applyFont="1"/>
    <xf numFmtId="169" fontId="21" fillId="0" borderId="0" xfId="0" applyNumberFormat="1" applyFont="1"/>
    <xf numFmtId="190" fontId="0" fillId="0" borderId="0" xfId="0" applyNumberFormat="1"/>
    <xf numFmtId="190" fontId="4" fillId="0" borderId="0" xfId="0" applyNumberFormat="1" applyFont="1"/>
    <xf numFmtId="187" fontId="21" fillId="0" borderId="0" xfId="0" applyNumberFormat="1" applyFont="1"/>
    <xf numFmtId="0" fontId="6" fillId="0" borderId="0" xfId="0" applyFont="1" applyAlignment="1">
      <alignment horizontal="center"/>
    </xf>
    <xf numFmtId="170" fontId="5" fillId="0" borderId="0" xfId="0" applyNumberFormat="1" applyFont="1" applyBorder="1" applyProtection="1">
      <protection locked="0"/>
    </xf>
    <xf numFmtId="0" fontId="6" fillId="0" borderId="0" xfId="0" applyFont="1" applyAlignment="1">
      <alignment horizontal="left" indent="3"/>
    </xf>
    <xf numFmtId="0" fontId="6" fillId="0" borderId="0" xfId="0" applyFont="1" applyAlignment="1">
      <alignment horizontal="left" indent="2"/>
    </xf>
    <xf numFmtId="0" fontId="47" fillId="0" borderId="12" xfId="0" applyFont="1" applyBorder="1"/>
    <xf numFmtId="0" fontId="6" fillId="0" borderId="12" xfId="0" applyFont="1" applyBorder="1"/>
    <xf numFmtId="187" fontId="49" fillId="0" borderId="0" xfId="60" applyNumberFormat="1" applyFont="1" applyAlignment="1">
      <alignment horizontal="center"/>
    </xf>
    <xf numFmtId="191" fontId="4" fillId="0" borderId="0" xfId="219" applyNumberFormat="1" applyFont="1"/>
    <xf numFmtId="174" fontId="6" fillId="0" borderId="0" xfId="0" applyNumberFormat="1" applyFont="1"/>
    <xf numFmtId="0" fontId="64" fillId="0" borderId="0" xfId="0" applyFont="1" applyAlignment="1">
      <alignment horizontal="right"/>
    </xf>
    <xf numFmtId="0" fontId="19" fillId="0" borderId="0" xfId="0" applyFont="1" applyAlignment="1">
      <alignment horizontal="right"/>
    </xf>
    <xf numFmtId="0" fontId="19" fillId="0" borderId="0" xfId="0" applyFont="1" applyAlignment="1">
      <alignment horizontal="left"/>
    </xf>
    <xf numFmtId="0" fontId="65" fillId="0" borderId="0" xfId="0" applyFont="1" applyAlignment="1">
      <alignment horizontal="left"/>
    </xf>
    <xf numFmtId="196" fontId="64" fillId="0" borderId="0" xfId="0" applyNumberFormat="1" applyFont="1" applyAlignment="1">
      <alignment horizontal="right"/>
    </xf>
    <xf numFmtId="0" fontId="64" fillId="0" borderId="0" xfId="0" applyFont="1" applyAlignment="1">
      <alignment horizontal="left"/>
    </xf>
    <xf numFmtId="0" fontId="66" fillId="0" borderId="0" xfId="131" applyFont="1" applyAlignment="1" applyProtection="1">
      <alignment horizontal="left"/>
    </xf>
    <xf numFmtId="9" fontId="64" fillId="0" borderId="0" xfId="0" applyNumberFormat="1" applyFont="1" applyAlignment="1">
      <alignment horizontal="right"/>
    </xf>
    <xf numFmtId="17" fontId="64" fillId="0" borderId="0" xfId="0" applyNumberFormat="1" applyFont="1" applyAlignment="1">
      <alignment horizontal="right"/>
    </xf>
    <xf numFmtId="0" fontId="67" fillId="0" borderId="0" xfId="0" applyFont="1" applyFill="1"/>
    <xf numFmtId="9" fontId="67" fillId="0" borderId="0" xfId="219" applyFont="1" applyFill="1" applyAlignment="1">
      <alignment horizontal="right"/>
    </xf>
    <xf numFmtId="9" fontId="17" fillId="0" borderId="0" xfId="219" applyFont="1" applyFill="1" applyAlignment="1">
      <alignment horizontal="right"/>
    </xf>
    <xf numFmtId="188" fontId="17" fillId="0" borderId="0" xfId="60" applyNumberFormat="1" applyFont="1" applyFill="1" applyAlignment="1">
      <alignment horizontal="right"/>
    </xf>
    <xf numFmtId="188" fontId="68" fillId="0" borderId="0" xfId="60" applyNumberFormat="1" applyFont="1"/>
    <xf numFmtId="188" fontId="67" fillId="0" borderId="0" xfId="60" applyNumberFormat="1" applyFont="1" applyFill="1" applyAlignment="1">
      <alignment horizontal="right"/>
    </xf>
    <xf numFmtId="188" fontId="67" fillId="0" borderId="0" xfId="60" applyNumberFormat="1" applyFont="1" applyFill="1" applyAlignment="1">
      <alignment horizontal="left"/>
    </xf>
    <xf numFmtId="0" fontId="17" fillId="0" borderId="0" xfId="0" applyFont="1" applyFill="1"/>
    <xf numFmtId="1" fontId="17" fillId="0" borderId="0" xfId="60" applyNumberFormat="1" applyFont="1" applyFill="1" applyAlignment="1">
      <alignment horizontal="right"/>
    </xf>
    <xf numFmtId="0" fontId="17" fillId="0" borderId="0" xfId="219" applyNumberFormat="1" applyFont="1" applyFill="1" applyAlignment="1">
      <alignment horizontal="right"/>
    </xf>
    <xf numFmtId="17" fontId="17" fillId="0" borderId="0" xfId="219" applyNumberFormat="1" applyFont="1" applyFill="1" applyAlignment="1">
      <alignment horizontal="right"/>
    </xf>
    <xf numFmtId="0" fontId="17" fillId="22" borderId="0" xfId="0" applyFont="1" applyFill="1"/>
    <xf numFmtId="188" fontId="17" fillId="0" borderId="0" xfId="60" applyNumberFormat="1" applyFont="1" applyFill="1" applyAlignment="1">
      <alignment horizontal="left"/>
    </xf>
    <xf numFmtId="0" fontId="17" fillId="3" borderId="0" xfId="0" applyFont="1" applyFill="1"/>
    <xf numFmtId="188" fontId="68" fillId="0" borderId="0" xfId="60" applyNumberFormat="1" applyFont="1" applyFill="1"/>
    <xf numFmtId="0" fontId="0" fillId="0" borderId="0" xfId="0" applyFill="1"/>
    <xf numFmtId="9" fontId="17" fillId="0" borderId="0" xfId="219" applyFont="1" applyFill="1" applyAlignment="1"/>
    <xf numFmtId="9" fontId="17" fillId="0" borderId="0" xfId="219" applyFont="1" applyFill="1" applyAlignment="1">
      <alignment horizontal="left"/>
    </xf>
    <xf numFmtId="0" fontId="17" fillId="0" borderId="0" xfId="0" applyFont="1" applyFill="1" applyAlignment="1">
      <alignment readingOrder="1"/>
    </xf>
    <xf numFmtId="0" fontId="68" fillId="0" borderId="0" xfId="0" applyFont="1"/>
    <xf numFmtId="17" fontId="68" fillId="0" borderId="0" xfId="60" applyNumberFormat="1" applyFont="1"/>
    <xf numFmtId="0" fontId="68" fillId="10" borderId="0" xfId="0" applyFont="1" applyFill="1"/>
    <xf numFmtId="0" fontId="68" fillId="3" borderId="0" xfId="0" applyFont="1" applyFill="1"/>
    <xf numFmtId="169" fontId="68" fillId="0" borderId="0" xfId="60" applyNumberFormat="1" applyFont="1"/>
    <xf numFmtId="17" fontId="68" fillId="22" borderId="0" xfId="60" applyNumberFormat="1" applyFont="1" applyFill="1"/>
    <xf numFmtId="0" fontId="69" fillId="0" borderId="0" xfId="0" applyFont="1"/>
    <xf numFmtId="15" fontId="69" fillId="0" borderId="0" xfId="60" applyNumberFormat="1" applyFont="1"/>
    <xf numFmtId="17" fontId="69" fillId="0" borderId="0" xfId="60" applyNumberFormat="1" applyFont="1"/>
    <xf numFmtId="188" fontId="69" fillId="0" borderId="0" xfId="60" applyNumberFormat="1" applyFont="1"/>
    <xf numFmtId="191" fontId="4" fillId="0" borderId="1" xfId="219" applyNumberFormat="1" applyFont="1" applyBorder="1" applyProtection="1">
      <protection locked="0"/>
    </xf>
    <xf numFmtId="170" fontId="0" fillId="17" borderId="34" xfId="0" applyNumberFormat="1" applyFill="1" applyBorder="1" applyProtection="1">
      <protection locked="0"/>
    </xf>
    <xf numFmtId="1" fontId="0" fillId="17" borderId="1" xfId="0" applyNumberFormat="1" applyFill="1" applyBorder="1" applyProtection="1">
      <protection locked="0"/>
    </xf>
    <xf numFmtId="170" fontId="4" fillId="21" borderId="1" xfId="0" applyNumberFormat="1" applyFont="1" applyFill="1" applyBorder="1" applyProtection="1">
      <protection locked="0"/>
    </xf>
    <xf numFmtId="170" fontId="0" fillId="0" borderId="43" xfId="0" applyNumberFormat="1" applyFill="1" applyBorder="1" applyProtection="1">
      <protection locked="0"/>
    </xf>
    <xf numFmtId="170" fontId="4" fillId="21" borderId="1" xfId="0" applyNumberFormat="1" applyFont="1" applyFill="1" applyBorder="1" applyAlignment="1" applyProtection="1">
      <alignment horizontal="left"/>
      <protection locked="0"/>
    </xf>
    <xf numFmtId="187" fontId="39" fillId="0" borderId="0" xfId="203" applyNumberFormat="1" applyFont="1" applyFill="1" applyBorder="1" applyAlignment="1" applyProtection="1">
      <alignment vertical="center"/>
    </xf>
    <xf numFmtId="187" fontId="39" fillId="0" borderId="0" xfId="203" applyNumberFormat="1" applyFont="1" applyFill="1" applyBorder="1" applyAlignment="1" applyProtection="1">
      <alignment horizontal="right" vertical="center"/>
    </xf>
    <xf numFmtId="170" fontId="5" fillId="0" borderId="0" xfId="0" applyNumberFormat="1" applyFont="1" applyFill="1" applyBorder="1" applyProtection="1">
      <protection locked="0"/>
    </xf>
    <xf numFmtId="170" fontId="5" fillId="0" borderId="44" xfId="0" applyNumberFormat="1" applyFont="1" applyFill="1" applyBorder="1" applyProtection="1">
      <protection locked="0"/>
    </xf>
    <xf numFmtId="170" fontId="5" fillId="0" borderId="45" xfId="0" applyNumberFormat="1" applyFont="1" applyFill="1" applyBorder="1" applyProtection="1">
      <protection locked="0"/>
    </xf>
    <xf numFmtId="0" fontId="21" fillId="0" borderId="0" xfId="0" applyFont="1" applyFill="1" applyBorder="1"/>
    <xf numFmtId="0" fontId="19" fillId="0" borderId="0" xfId="0" applyFont="1"/>
    <xf numFmtId="0" fontId="21" fillId="0" borderId="74" xfId="0" applyFont="1" applyFill="1" applyBorder="1"/>
    <xf numFmtId="0" fontId="19" fillId="0" borderId="0" xfId="0" applyFont="1" applyAlignment="1">
      <alignment horizontal="center"/>
    </xf>
    <xf numFmtId="0" fontId="144" fillId="25" borderId="17" xfId="196" applyFont="1" applyFill="1" applyBorder="1" applyProtection="1"/>
    <xf numFmtId="3" fontId="145" fillId="25" borderId="75" xfId="198" applyNumberFormat="1" applyFont="1" applyFill="1" applyBorder="1" applyAlignment="1" applyProtection="1">
      <alignment horizontal="left"/>
    </xf>
    <xf numFmtId="1" fontId="145" fillId="25" borderId="75" xfId="65" applyNumberFormat="1" applyFont="1" applyFill="1" applyBorder="1" applyAlignment="1" applyProtection="1">
      <alignment horizontal="right"/>
    </xf>
    <xf numFmtId="188" fontId="145" fillId="25" borderId="74" xfId="63" applyNumberFormat="1" applyFont="1" applyFill="1" applyBorder="1" applyAlignment="1" applyProtection="1">
      <alignment horizontal="right"/>
    </xf>
    <xf numFmtId="0" fontId="146" fillId="25" borderId="0" xfId="195" applyFont="1" applyFill="1" applyProtection="1"/>
    <xf numFmtId="0" fontId="144" fillId="25" borderId="0" xfId="196" applyFont="1" applyFill="1" applyProtection="1"/>
    <xf numFmtId="194" fontId="146" fillId="25" borderId="12" xfId="201" applyNumberFormat="1" applyFont="1" applyFill="1" applyBorder="1" applyProtection="1"/>
    <xf numFmtId="204" fontId="146" fillId="25" borderId="12" xfId="65" applyNumberFormat="1" applyFont="1" applyFill="1" applyBorder="1" applyAlignment="1" applyProtection="1">
      <alignment horizontal="right"/>
    </xf>
    <xf numFmtId="204" fontId="146" fillId="25" borderId="12" xfId="63" applyNumberFormat="1" applyFont="1" applyFill="1" applyBorder="1" applyAlignment="1" applyProtection="1">
      <alignment horizontal="right"/>
      <protection locked="0"/>
    </xf>
    <xf numFmtId="0" fontId="146" fillId="25" borderId="0" xfId="196" applyFont="1" applyFill="1" applyProtection="1"/>
    <xf numFmtId="0" fontId="144" fillId="0" borderId="0" xfId="196" applyFont="1" applyProtection="1"/>
    <xf numFmtId="0" fontId="146" fillId="0" borderId="0" xfId="201" applyFont="1" applyBorder="1" applyProtection="1"/>
    <xf numFmtId="1" fontId="146" fillId="0" borderId="0" xfId="65" applyNumberFormat="1" applyFont="1" applyFill="1" applyBorder="1" applyAlignment="1" applyProtection="1">
      <alignment horizontal="right"/>
    </xf>
    <xf numFmtId="188" fontId="146" fillId="0" borderId="0" xfId="62" applyNumberFormat="1" applyFont="1" applyFill="1" applyBorder="1" applyAlignment="1" applyProtection="1">
      <alignment horizontal="right"/>
    </xf>
    <xf numFmtId="0" fontId="146" fillId="0" borderId="0" xfId="196" applyFont="1" applyFill="1" applyProtection="1"/>
    <xf numFmtId="0" fontId="146" fillId="0" borderId="0" xfId="195" applyFont="1" applyProtection="1"/>
    <xf numFmtId="188" fontId="146" fillId="0" borderId="0" xfId="62" applyNumberFormat="1" applyFont="1" applyFill="1" applyBorder="1" applyAlignment="1" applyProtection="1">
      <alignment horizontal="right"/>
      <protection locked="0"/>
    </xf>
    <xf numFmtId="0" fontId="146" fillId="0" borderId="0" xfId="201" applyFont="1" applyBorder="1" applyAlignment="1" applyProtection="1">
      <alignment horizontal="right"/>
      <protection locked="0"/>
    </xf>
    <xf numFmtId="0" fontId="146" fillId="0" borderId="0" xfId="201" applyFont="1" applyAlignment="1" applyProtection="1">
      <alignment horizontal="right"/>
      <protection locked="0"/>
    </xf>
    <xf numFmtId="0" fontId="146" fillId="0" borderId="0" xfId="196" applyFont="1" applyFill="1" applyProtection="1">
      <protection locked="0"/>
    </xf>
    <xf numFmtId="0" fontId="144" fillId="0" borderId="0" xfId="192" applyFont="1" applyProtection="1"/>
    <xf numFmtId="0" fontId="147" fillId="25" borderId="0" xfId="196" applyFont="1" applyFill="1" applyProtection="1"/>
    <xf numFmtId="0" fontId="147" fillId="0" borderId="0" xfId="195" applyFont="1" applyFill="1" applyProtection="1"/>
    <xf numFmtId="0" fontId="144" fillId="25" borderId="0" xfId="200" applyFont="1" applyFill="1" applyAlignment="1" applyProtection="1">
      <alignment vertical="center"/>
    </xf>
    <xf numFmtId="0" fontId="146" fillId="0" borderId="0" xfId="66" applyFont="1" applyFill="1" applyBorder="1" applyProtection="1"/>
    <xf numFmtId="0" fontId="147" fillId="25" borderId="0" xfId="195" applyFont="1" applyFill="1" applyProtection="1"/>
    <xf numFmtId="0" fontId="144" fillId="0" borderId="0" xfId="196" applyFont="1" applyFill="1" applyProtection="1"/>
    <xf numFmtId="3" fontId="144" fillId="0" borderId="0" xfId="201" applyNumberFormat="1" applyFont="1" applyFill="1" applyBorder="1" applyAlignment="1" applyProtection="1">
      <alignment horizontal="left"/>
    </xf>
    <xf numFmtId="0" fontId="144" fillId="0" borderId="0" xfId="196" applyFont="1" applyFill="1" applyAlignment="1" applyProtection="1"/>
    <xf numFmtId="0" fontId="144" fillId="25" borderId="0" xfId="200" applyFont="1" applyFill="1" applyBorder="1" applyAlignment="1" applyProtection="1">
      <alignment vertical="center"/>
    </xf>
    <xf numFmtId="0" fontId="144" fillId="0" borderId="0" xfId="196" applyFont="1" applyFill="1" applyAlignment="1" applyProtection="1">
      <protection locked="0"/>
    </xf>
    <xf numFmtId="15" fontId="146" fillId="0" borderId="0" xfId="195" applyNumberFormat="1" applyFont="1" applyFill="1" applyProtection="1">
      <protection locked="0"/>
    </xf>
    <xf numFmtId="15" fontId="146" fillId="0" borderId="0" xfId="195" applyNumberFormat="1" applyFont="1" applyFill="1" applyProtection="1"/>
    <xf numFmtId="0" fontId="146" fillId="0" borderId="0" xfId="191" applyFont="1" applyProtection="1"/>
    <xf numFmtId="3" fontId="146" fillId="0" borderId="0" xfId="195" applyNumberFormat="1" applyFont="1" applyProtection="1">
      <protection locked="0"/>
    </xf>
    <xf numFmtId="0" fontId="144" fillId="0" borderId="0" xfId="196" applyFont="1" applyAlignment="1" applyProtection="1"/>
    <xf numFmtId="0" fontId="146" fillId="0" borderId="0" xfId="195" applyFont="1" applyProtection="1">
      <protection locked="0"/>
    </xf>
    <xf numFmtId="204" fontId="146" fillId="0" borderId="0" xfId="63" applyNumberFormat="1" applyFont="1" applyFill="1" applyBorder="1" applyAlignment="1" applyProtection="1">
      <alignment horizontal="right"/>
      <protection locked="0"/>
    </xf>
    <xf numFmtId="0" fontId="144" fillId="0" borderId="0" xfId="200" applyFont="1" applyFill="1" applyBorder="1" applyAlignment="1" applyProtection="1">
      <alignment vertical="center"/>
    </xf>
    <xf numFmtId="0" fontId="146" fillId="0" borderId="0" xfId="191" applyFont="1" applyProtection="1">
      <protection locked="0"/>
    </xf>
    <xf numFmtId="215" fontId="146" fillId="0" borderId="0" xfId="195" applyNumberFormat="1" applyFont="1" applyProtection="1"/>
    <xf numFmtId="0" fontId="145" fillId="25" borderId="0" xfId="201" applyFont="1" applyFill="1" applyBorder="1" applyProtection="1"/>
    <xf numFmtId="0" fontId="145" fillId="0" borderId="17" xfId="201" applyFont="1" applyFill="1" applyBorder="1" applyProtection="1"/>
    <xf numFmtId="0" fontId="144" fillId="0" borderId="0" xfId="193" applyFont="1" applyProtection="1"/>
    <xf numFmtId="4" fontId="144" fillId="0" borderId="0" xfId="196" applyNumberFormat="1" applyFont="1" applyProtection="1"/>
    <xf numFmtId="4" fontId="146" fillId="0" borderId="0" xfId="61" applyNumberFormat="1" applyFont="1" applyProtection="1"/>
    <xf numFmtId="4" fontId="146" fillId="0" borderId="0" xfId="195" applyNumberFormat="1" applyFont="1" applyProtection="1"/>
    <xf numFmtId="0" fontId="144" fillId="0" borderId="0" xfId="201" applyFont="1" applyFill="1" applyBorder="1" applyProtection="1"/>
    <xf numFmtId="4" fontId="144" fillId="0" borderId="0" xfId="196" applyNumberFormat="1" applyFont="1" applyProtection="1">
      <protection locked="0"/>
    </xf>
    <xf numFmtId="0" fontId="146" fillId="26" borderId="0" xfId="195" applyFont="1" applyFill="1" applyProtection="1"/>
    <xf numFmtId="0" fontId="145" fillId="26" borderId="0" xfId="196" applyFont="1" applyFill="1" applyProtection="1"/>
    <xf numFmtId="4" fontId="146" fillId="26" borderId="0" xfId="195" applyNumberFormat="1" applyFont="1" applyFill="1" applyProtection="1"/>
    <xf numFmtId="0" fontId="144" fillId="26" borderId="0" xfId="196" applyFont="1" applyFill="1" applyProtection="1"/>
    <xf numFmtId="0" fontId="146" fillId="0" borderId="0" xfId="195" applyFont="1" applyFill="1" applyProtection="1"/>
    <xf numFmtId="4" fontId="146" fillId="0" borderId="0" xfId="195" applyNumberFormat="1" applyFont="1" applyFill="1" applyProtection="1"/>
    <xf numFmtId="4" fontId="146" fillId="0" borderId="0" xfId="195" applyNumberFormat="1" applyFont="1" applyFill="1" applyProtection="1">
      <protection locked="0"/>
    </xf>
    <xf numFmtId="0" fontId="147" fillId="26" borderId="0" xfId="195" applyFont="1" applyFill="1" applyProtection="1"/>
    <xf numFmtId="4" fontId="146" fillId="0" borderId="0" xfId="195" applyNumberFormat="1" applyFont="1" applyProtection="1">
      <protection locked="0"/>
    </xf>
    <xf numFmtId="0" fontId="144" fillId="26" borderId="0" xfId="204" applyFont="1" applyFill="1" applyAlignment="1" applyProtection="1">
      <alignment vertical="center"/>
    </xf>
    <xf numFmtId="0" fontId="144" fillId="0" borderId="0" xfId="204" applyFont="1" applyFill="1" applyAlignment="1" applyProtection="1">
      <alignment vertical="center"/>
    </xf>
    <xf numFmtId="0" fontId="146" fillId="26" borderId="0" xfId="254" applyNumberFormat="1" applyFont="1" applyFill="1" applyProtection="1"/>
    <xf numFmtId="0" fontId="146" fillId="0" borderId="0" xfId="254" applyNumberFormat="1" applyFont="1" applyFill="1" applyProtection="1"/>
    <xf numFmtId="0" fontId="147" fillId="0" borderId="0" xfId="254" applyNumberFormat="1" applyFont="1" applyFill="1" applyProtection="1"/>
    <xf numFmtId="0" fontId="145" fillId="0" borderId="17" xfId="196" applyFont="1" applyFill="1" applyBorder="1" applyProtection="1"/>
    <xf numFmtId="0" fontId="148" fillId="0" borderId="0" xfId="196" applyFont="1" applyFill="1" applyProtection="1"/>
    <xf numFmtId="0" fontId="145" fillId="0" borderId="0" xfId="196" applyFont="1" applyFill="1" applyProtection="1"/>
    <xf numFmtId="3" fontId="146" fillId="0" borderId="0" xfId="195" applyNumberFormat="1" applyFont="1" applyFill="1" applyProtection="1">
      <protection locked="0"/>
    </xf>
    <xf numFmtId="0" fontId="144" fillId="0" borderId="0" xfId="196" applyFont="1" applyFill="1" applyAlignment="1" applyProtection="1">
      <alignment horizontal="left" indent="1"/>
    </xf>
    <xf numFmtId="0" fontId="147" fillId="0" borderId="17" xfId="195" applyFont="1" applyFill="1" applyBorder="1" applyProtection="1"/>
    <xf numFmtId="0" fontId="145" fillId="26" borderId="0" xfId="204" applyFont="1" applyFill="1" applyAlignment="1" applyProtection="1">
      <alignment vertical="center"/>
    </xf>
    <xf numFmtId="0" fontId="144" fillId="27" borderId="0" xfId="204" applyFont="1" applyFill="1" applyAlignment="1" applyProtection="1">
      <alignment vertical="center"/>
    </xf>
    <xf numFmtId="0" fontId="144" fillId="26" borderId="0" xfId="202" applyFont="1" applyFill="1" applyAlignment="1" applyProtection="1">
      <alignment vertical="center"/>
    </xf>
    <xf numFmtId="0" fontId="144" fillId="27" borderId="0" xfId="202" applyFont="1" applyFill="1" applyAlignment="1" applyProtection="1">
      <alignment vertical="center"/>
    </xf>
    <xf numFmtId="0" fontId="145" fillId="26" borderId="0" xfId="204" applyFont="1" applyFill="1" applyBorder="1" applyAlignment="1" applyProtection="1">
      <alignment vertical="center"/>
    </xf>
    <xf numFmtId="0" fontId="144" fillId="26" borderId="0" xfId="204" applyFont="1" applyFill="1" applyBorder="1" applyAlignment="1" applyProtection="1">
      <alignment vertical="center"/>
    </xf>
    <xf numFmtId="0" fontId="144" fillId="27" borderId="0" xfId="204" applyFont="1" applyFill="1" applyBorder="1" applyAlignment="1" applyProtection="1">
      <alignment vertical="center"/>
    </xf>
    <xf numFmtId="0" fontId="146" fillId="27" borderId="0" xfId="195" applyFont="1" applyFill="1" applyProtection="1"/>
    <xf numFmtId="0" fontId="145" fillId="0" borderId="0" xfId="202" applyFont="1" applyFill="1" applyBorder="1" applyAlignment="1" applyProtection="1">
      <alignment vertical="center"/>
    </xf>
    <xf numFmtId="190" fontId="146" fillId="26" borderId="0" xfId="195" applyNumberFormat="1" applyFont="1" applyFill="1" applyProtection="1"/>
    <xf numFmtId="4" fontId="146" fillId="26" borderId="0" xfId="195" applyNumberFormat="1" applyFont="1" applyFill="1" applyAlignment="1" applyProtection="1">
      <alignment horizontal="right"/>
    </xf>
    <xf numFmtId="0" fontId="149" fillId="0" borderId="0" xfId="204" applyFont="1" applyFill="1" applyAlignment="1" applyProtection="1">
      <alignment vertical="center"/>
    </xf>
    <xf numFmtId="0" fontId="147" fillId="0" borderId="0" xfId="195" applyFont="1" applyProtection="1"/>
    <xf numFmtId="0" fontId="144" fillId="26" borderId="0" xfId="202" applyFont="1" applyFill="1" applyBorder="1" applyAlignment="1" applyProtection="1">
      <alignment vertical="center"/>
    </xf>
    <xf numFmtId="0" fontId="145" fillId="0" borderId="0" xfId="204" applyFont="1" applyFill="1" applyAlignment="1" applyProtection="1">
      <alignment vertical="center"/>
    </xf>
    <xf numFmtId="0" fontId="146" fillId="22" borderId="0" xfId="195" applyFont="1" applyFill="1" applyProtection="1"/>
    <xf numFmtId="4" fontId="146" fillId="22" borderId="0" xfId="195" applyNumberFormat="1" applyFont="1" applyFill="1" applyProtection="1"/>
    <xf numFmtId="0" fontId="144" fillId="26" borderId="0" xfId="197" applyFont="1" applyFill="1" applyProtection="1"/>
    <xf numFmtId="0" fontId="149" fillId="26" borderId="0" xfId="204" applyFont="1" applyFill="1" applyAlignment="1" applyProtection="1">
      <alignment vertical="center"/>
    </xf>
    <xf numFmtId="0" fontId="144" fillId="26" borderId="0" xfId="195" applyFont="1" applyFill="1" applyProtection="1"/>
    <xf numFmtId="4" fontId="144" fillId="26" borderId="0" xfId="195" applyNumberFormat="1" applyFont="1" applyFill="1" applyProtection="1"/>
    <xf numFmtId="4" fontId="146" fillId="3" borderId="0" xfId="195" applyNumberFormat="1" applyFont="1" applyFill="1" applyProtection="1">
      <protection locked="0"/>
    </xf>
    <xf numFmtId="4" fontId="146" fillId="22" borderId="0" xfId="195" applyNumberFormat="1" applyFont="1" applyFill="1" applyProtection="1">
      <protection locked="0"/>
    </xf>
    <xf numFmtId="4" fontId="146" fillId="26" borderId="0" xfId="195" applyNumberFormat="1" applyFont="1" applyFill="1" applyProtection="1">
      <protection locked="0"/>
    </xf>
    <xf numFmtId="4" fontId="150" fillId="0" borderId="0" xfId="202" applyNumberFormat="1" applyFont="1" applyFill="1" applyBorder="1" applyAlignment="1" applyProtection="1">
      <alignment horizontal="right" vertical="center"/>
      <protection locked="0"/>
    </xf>
    <xf numFmtId="4" fontId="151" fillId="0" borderId="0" xfId="195" applyNumberFormat="1" applyFont="1" applyProtection="1"/>
    <xf numFmtId="0" fontId="146" fillId="28" borderId="0" xfId="195" applyFont="1" applyFill="1" applyProtection="1"/>
    <xf numFmtId="4" fontId="146" fillId="28" borderId="0" xfId="195" applyNumberFormat="1" applyFont="1" applyFill="1" applyProtection="1">
      <protection locked="0"/>
    </xf>
    <xf numFmtId="4" fontId="146" fillId="28" borderId="0" xfId="195" applyNumberFormat="1" applyFont="1" applyFill="1" applyProtection="1"/>
    <xf numFmtId="4" fontId="144" fillId="0" borderId="0" xfId="196" applyNumberFormat="1" applyFont="1" applyFill="1" applyProtection="1"/>
    <xf numFmtId="216" fontId="147" fillId="25" borderId="0" xfId="63" applyNumberFormat="1" applyFont="1" applyFill="1" applyBorder="1" applyAlignment="1" applyProtection="1">
      <alignment horizontal="right"/>
    </xf>
    <xf numFmtId="216" fontId="147" fillId="25" borderId="0" xfId="63" applyNumberFormat="1" applyFont="1" applyFill="1" applyBorder="1" applyAlignment="1" applyProtection="1">
      <alignment horizontal="right"/>
      <protection locked="0"/>
    </xf>
    <xf numFmtId="1" fontId="147" fillId="25" borderId="0" xfId="65" applyNumberFormat="1" applyFont="1" applyFill="1" applyBorder="1" applyAlignment="1" applyProtection="1">
      <alignment horizontal="right"/>
    </xf>
    <xf numFmtId="0" fontId="152" fillId="26" borderId="0" xfId="196" applyFont="1" applyFill="1" applyProtection="1"/>
    <xf numFmtId="0" fontId="152" fillId="0" borderId="0" xfId="196" applyFont="1" applyFill="1" applyProtection="1"/>
    <xf numFmtId="0" fontId="146" fillId="0" borderId="0" xfId="255" applyNumberFormat="1" applyFont="1" applyFill="1" applyProtection="1"/>
    <xf numFmtId="0" fontId="147" fillId="26" borderId="0" xfId="254" applyNumberFormat="1" applyFont="1" applyFill="1" applyProtection="1"/>
    <xf numFmtId="0" fontId="144" fillId="0" borderId="0" xfId="204" applyFont="1" applyFill="1" applyBorder="1" applyAlignment="1" applyProtection="1">
      <alignment vertical="center"/>
    </xf>
    <xf numFmtId="4" fontId="147" fillId="26" borderId="0" xfId="195" applyNumberFormat="1" applyFont="1" applyFill="1" applyProtection="1"/>
    <xf numFmtId="170" fontId="5" fillId="0" borderId="1" xfId="0" applyNumberFormat="1" applyFont="1" applyBorder="1" applyAlignment="1" applyProtection="1">
      <alignment horizontal="left"/>
      <protection locked="0"/>
    </xf>
    <xf numFmtId="170" fontId="146" fillId="0" borderId="0" xfId="195" applyNumberFormat="1" applyFont="1" applyProtection="1">
      <protection locked="0"/>
    </xf>
    <xf numFmtId="170" fontId="70" fillId="0" borderId="0" xfId="60" applyNumberFormat="1" applyFont="1" applyFill="1" applyAlignment="1" applyProtection="1">
      <alignment horizontal="right"/>
      <protection locked="0"/>
    </xf>
    <xf numFmtId="188" fontId="0" fillId="0" borderId="1" xfId="0" applyNumberFormat="1" applyFill="1" applyBorder="1" applyProtection="1">
      <protection locked="0"/>
    </xf>
    <xf numFmtId="188" fontId="0" fillId="0" borderId="1" xfId="0" applyNumberFormat="1" applyBorder="1" applyProtection="1">
      <protection locked="0"/>
    </xf>
    <xf numFmtId="0" fontId="0" fillId="0" borderId="1" xfId="0" applyFill="1" applyBorder="1" applyProtection="1">
      <protection locked="0"/>
    </xf>
    <xf numFmtId="0" fontId="0" fillId="0" borderId="1" xfId="0" applyBorder="1" applyProtection="1">
      <protection locked="0"/>
    </xf>
    <xf numFmtId="167" fontId="0" fillId="0" borderId="1" xfId="0" applyNumberFormat="1" applyBorder="1" applyProtection="1">
      <protection locked="0"/>
    </xf>
    <xf numFmtId="191" fontId="0" fillId="0" borderId="1" xfId="0" applyNumberFormat="1" applyBorder="1" applyProtection="1">
      <protection locked="0"/>
    </xf>
    <xf numFmtId="3" fontId="0" fillId="0" borderId="1" xfId="0" applyNumberFormat="1" applyBorder="1" applyProtection="1">
      <protection locked="0"/>
    </xf>
    <xf numFmtId="187" fontId="0" fillId="0" borderId="1" xfId="60" applyNumberFormat="1" applyFont="1" applyBorder="1" applyProtection="1">
      <protection locked="0"/>
    </xf>
    <xf numFmtId="188" fontId="0" fillId="0" borderId="43" xfId="0" applyNumberFormat="1" applyFill="1" applyBorder="1" applyProtection="1">
      <protection locked="0"/>
    </xf>
    <xf numFmtId="188" fontId="0" fillId="0" borderId="43" xfId="0" applyNumberFormat="1" applyBorder="1" applyProtection="1">
      <protection locked="0"/>
    </xf>
    <xf numFmtId="188" fontId="0" fillId="0" borderId="34" xfId="0" applyNumberFormat="1" applyBorder="1" applyProtection="1">
      <protection locked="0"/>
    </xf>
    <xf numFmtId="169" fontId="0" fillId="0" borderId="34" xfId="0" applyNumberFormat="1" applyBorder="1" applyProtection="1">
      <protection locked="0"/>
    </xf>
    <xf numFmtId="185" fontId="0" fillId="0" borderId="34" xfId="0" applyNumberFormat="1" applyBorder="1" applyProtection="1">
      <protection locked="0"/>
    </xf>
    <xf numFmtId="188" fontId="0" fillId="0" borderId="1" xfId="60" applyNumberFormat="1" applyFont="1" applyBorder="1" applyProtection="1">
      <protection locked="0"/>
    </xf>
    <xf numFmtId="185" fontId="7" fillId="0" borderId="1" xfId="0" applyNumberFormat="1" applyFont="1" applyBorder="1" applyProtection="1">
      <protection locked="0"/>
    </xf>
    <xf numFmtId="185" fontId="57" fillId="0" borderId="1" xfId="0" applyNumberFormat="1" applyFont="1" applyFill="1" applyBorder="1" applyProtection="1">
      <protection locked="0"/>
    </xf>
    <xf numFmtId="4" fontId="0" fillId="0" borderId="1" xfId="0" applyNumberFormat="1" applyBorder="1" applyProtection="1">
      <protection locked="0"/>
    </xf>
    <xf numFmtId="188" fontId="56" fillId="0" borderId="0" xfId="60" applyNumberFormat="1" applyFont="1"/>
    <xf numFmtId="192" fontId="49" fillId="0" borderId="0" xfId="0" applyNumberFormat="1" applyFont="1"/>
    <xf numFmtId="0" fontId="68" fillId="0" borderId="0" xfId="194" applyFont="1"/>
    <xf numFmtId="191" fontId="68" fillId="0" borderId="0" xfId="219" applyNumberFormat="1" applyFont="1"/>
    <xf numFmtId="0" fontId="69" fillId="0" borderId="0" xfId="194" applyFont="1"/>
    <xf numFmtId="17" fontId="69" fillId="0" borderId="0" xfId="194" applyNumberFormat="1" applyFont="1"/>
    <xf numFmtId="188" fontId="69" fillId="0" borderId="0" xfId="60" applyNumberFormat="1" applyFont="1" applyAlignment="1">
      <alignment horizontal="right"/>
    </xf>
    <xf numFmtId="0" fontId="68" fillId="0" borderId="0" xfId="194" applyFont="1" applyFill="1" applyBorder="1"/>
    <xf numFmtId="0" fontId="68" fillId="0" borderId="0" xfId="194" applyFont="1" applyFill="1" applyBorder="1" applyAlignment="1"/>
    <xf numFmtId="0" fontId="69" fillId="0" borderId="0" xfId="194" applyFont="1" applyFill="1" applyBorder="1" applyAlignment="1"/>
    <xf numFmtId="17" fontId="68" fillId="0" borderId="0" xfId="194" applyNumberFormat="1" applyFont="1"/>
    <xf numFmtId="188" fontId="68" fillId="0" borderId="0" xfId="60" applyNumberFormat="1" applyFont="1" applyAlignment="1">
      <alignment horizontal="right"/>
    </xf>
    <xf numFmtId="188" fontId="68" fillId="0" borderId="0" xfId="60" applyNumberFormat="1" applyFont="1" applyAlignment="1">
      <alignment horizontal="left" indent="1"/>
    </xf>
    <xf numFmtId="169" fontId="68" fillId="0" borderId="0" xfId="60" applyFont="1"/>
    <xf numFmtId="10" fontId="69" fillId="0" borderId="0" xfId="219" applyNumberFormat="1" applyFont="1"/>
    <xf numFmtId="9" fontId="68" fillId="0" borderId="0" xfId="219" applyFont="1"/>
    <xf numFmtId="15" fontId="68" fillId="0" borderId="0" xfId="194" applyNumberFormat="1" applyFont="1"/>
    <xf numFmtId="198" fontId="68" fillId="0" borderId="0" xfId="60" applyNumberFormat="1" applyFont="1"/>
    <xf numFmtId="14" fontId="68" fillId="0" borderId="0" xfId="194" applyNumberFormat="1" applyFont="1"/>
    <xf numFmtId="0" fontId="153" fillId="0" borderId="0" xfId="194" applyFont="1" applyAlignment="1"/>
    <xf numFmtId="0" fontId="75" fillId="0" borderId="0" xfId="194"/>
    <xf numFmtId="0" fontId="75" fillId="0" borderId="0" xfId="194" applyAlignment="1"/>
    <xf numFmtId="197" fontId="68" fillId="0" borderId="0" xfId="60" applyNumberFormat="1" applyFont="1"/>
    <xf numFmtId="3" fontId="68" fillId="0" borderId="0" xfId="60" applyNumberFormat="1" applyFont="1"/>
    <xf numFmtId="187" fontId="68" fillId="0" borderId="0" xfId="60" applyNumberFormat="1" applyFont="1"/>
    <xf numFmtId="191" fontId="17" fillId="0" borderId="0" xfId="219" applyNumberFormat="1" applyFont="1"/>
    <xf numFmtId="186" fontId="69" fillId="0" borderId="0" xfId="194" applyNumberFormat="1" applyFont="1"/>
    <xf numFmtId="186" fontId="69" fillId="0" borderId="0" xfId="60" applyNumberFormat="1" applyFont="1"/>
    <xf numFmtId="186" fontId="68" fillId="0" borderId="0" xfId="60" applyNumberFormat="1" applyFont="1"/>
    <xf numFmtId="0" fontId="154" fillId="0" borderId="0" xfId="194" applyFont="1"/>
    <xf numFmtId="218" fontId="68" fillId="0" borderId="0" xfId="60" applyNumberFormat="1" applyFont="1"/>
    <xf numFmtId="218" fontId="69" fillId="0" borderId="0" xfId="60" applyNumberFormat="1" applyFont="1"/>
    <xf numFmtId="188" fontId="19" fillId="0" borderId="0" xfId="0" applyNumberFormat="1" applyFont="1"/>
    <xf numFmtId="170" fontId="4" fillId="0" borderId="44" xfId="0" applyNumberFormat="1" applyFont="1" applyBorder="1" applyProtection="1">
      <protection locked="0"/>
    </xf>
    <xf numFmtId="170" fontId="12" fillId="0" borderId="0" xfId="0" applyNumberFormat="1" applyFont="1" applyFill="1" applyBorder="1" applyProtection="1">
      <protection locked="0"/>
    </xf>
    <xf numFmtId="170" fontId="4" fillId="0" borderId="0" xfId="0" applyNumberFormat="1" applyFont="1" applyFill="1" applyBorder="1" applyProtection="1">
      <protection locked="0"/>
    </xf>
    <xf numFmtId="170" fontId="8" fillId="0" borderId="0" xfId="0" applyNumberFormat="1" applyFont="1" applyFill="1" applyBorder="1" applyProtection="1">
      <protection locked="0"/>
    </xf>
    <xf numFmtId="170" fontId="7" fillId="0" borderId="0" xfId="0" applyNumberFormat="1" applyFont="1" applyFill="1" applyBorder="1" applyProtection="1">
      <protection locked="0"/>
    </xf>
    <xf numFmtId="171" fontId="0" fillId="0" borderId="0" xfId="0" applyNumberFormat="1" applyFill="1" applyBorder="1" applyProtection="1">
      <protection locked="0"/>
    </xf>
    <xf numFmtId="170" fontId="0" fillId="0" borderId="0" xfId="0" applyNumberFormat="1" applyFill="1" applyBorder="1" applyProtection="1">
      <protection locked="0"/>
    </xf>
    <xf numFmtId="171" fontId="40" fillId="0" borderId="0" xfId="0" applyNumberFormat="1" applyFont="1" applyFill="1" applyBorder="1" applyProtection="1">
      <protection locked="0"/>
    </xf>
    <xf numFmtId="183" fontId="0" fillId="0" borderId="0" xfId="0" applyNumberFormat="1" applyFill="1" applyBorder="1" applyProtection="1">
      <protection locked="0"/>
    </xf>
    <xf numFmtId="170" fontId="15" fillId="0" borderId="0" xfId="0" applyNumberFormat="1" applyFont="1" applyFill="1" applyBorder="1" applyAlignment="1" applyProtection="1">
      <alignment horizontal="center"/>
      <protection locked="0"/>
    </xf>
    <xf numFmtId="188" fontId="39" fillId="0" borderId="0" xfId="203" applyNumberFormat="1" applyFont="1" applyFill="1" applyBorder="1" applyAlignment="1" applyProtection="1">
      <alignment horizontal="right" vertical="center"/>
    </xf>
    <xf numFmtId="188" fontId="39" fillId="0" borderId="0" xfId="60" applyNumberFormat="1" applyFont="1" applyFill="1" applyBorder="1" applyAlignment="1" applyProtection="1">
      <alignment horizontal="right" vertical="center"/>
    </xf>
    <xf numFmtId="187" fontId="39" fillId="0" borderId="7" xfId="203" applyNumberFormat="1" applyFont="1" applyFill="1" applyBorder="1" applyAlignment="1" applyProtection="1">
      <alignment horizontal="right" vertical="center"/>
    </xf>
    <xf numFmtId="187" fontId="39" fillId="0" borderId="74" xfId="203" applyNumberFormat="1" applyFont="1" applyFill="1" applyBorder="1" applyAlignment="1" applyProtection="1">
      <alignment vertical="center"/>
    </xf>
    <xf numFmtId="187" fontId="39" fillId="0" borderId="74" xfId="203" applyNumberFormat="1" applyFont="1" applyFill="1" applyBorder="1" applyAlignment="1" applyProtection="1">
      <alignment horizontal="right" vertical="center"/>
    </xf>
    <xf numFmtId="187" fontId="39" fillId="0" borderId="17" xfId="203" applyNumberFormat="1" applyFont="1" applyFill="1" applyBorder="1" applyAlignment="1" applyProtection="1">
      <alignment vertical="center"/>
    </xf>
    <xf numFmtId="187" fontId="39" fillId="0" borderId="17" xfId="203" applyNumberFormat="1" applyFont="1" applyFill="1" applyBorder="1" applyAlignment="1" applyProtection="1">
      <alignment horizontal="right" vertical="center"/>
    </xf>
    <xf numFmtId="187" fontId="39" fillId="0" borderId="26" xfId="203" applyNumberFormat="1" applyFont="1" applyFill="1" applyBorder="1" applyAlignment="1" applyProtection="1">
      <alignment horizontal="right" vertical="center"/>
    </xf>
    <xf numFmtId="187" fontId="0" fillId="0" borderId="34" xfId="0" applyNumberFormat="1" applyBorder="1" applyProtection="1">
      <protection locked="0"/>
    </xf>
    <xf numFmtId="38" fontId="19" fillId="0" borderId="12" xfId="253" applyFont="1" applyFill="1" applyBorder="1"/>
    <xf numFmtId="38" fontId="19" fillId="0" borderId="12" xfId="253" applyFont="1" applyFill="1" applyBorder="1" applyAlignment="1">
      <alignment horizontal="right"/>
    </xf>
    <xf numFmtId="38" fontId="19" fillId="0" borderId="0" xfId="253" applyFont="1" applyBorder="1"/>
    <xf numFmtId="174" fontId="19" fillId="0" borderId="0" xfId="253" applyNumberFormat="1" applyFont="1" applyBorder="1"/>
    <xf numFmtId="38" fontId="20" fillId="0" borderId="0" xfId="253" applyFont="1" applyBorder="1"/>
    <xf numFmtId="199" fontId="20" fillId="0" borderId="0" xfId="253" applyNumberFormat="1" applyFont="1" applyBorder="1"/>
    <xf numFmtId="174" fontId="20" fillId="0" borderId="0" xfId="253" applyNumberFormat="1" applyFont="1" applyBorder="1"/>
    <xf numFmtId="38" fontId="21" fillId="0" borderId="0" xfId="253" applyFont="1" applyBorder="1"/>
    <xf numFmtId="199" fontId="21" fillId="0" borderId="0" xfId="253" applyNumberFormat="1" applyFont="1" applyBorder="1"/>
    <xf numFmtId="174" fontId="21" fillId="0" borderId="0" xfId="253" applyNumberFormat="1" applyFont="1" applyBorder="1"/>
    <xf numFmtId="38" fontId="21" fillId="0" borderId="0" xfId="253" applyFont="1" applyFill="1" applyBorder="1"/>
    <xf numFmtId="174" fontId="21" fillId="0" borderId="0" xfId="253" applyNumberFormat="1" applyFont="1" applyFill="1" applyBorder="1"/>
    <xf numFmtId="38" fontId="19" fillId="0" borderId="17" xfId="253" applyFont="1" applyBorder="1"/>
    <xf numFmtId="199" fontId="19" fillId="0" borderId="17" xfId="253" applyNumberFormat="1" applyFont="1" applyBorder="1"/>
    <xf numFmtId="174" fontId="19" fillId="0" borderId="17" xfId="253" applyNumberFormat="1" applyFont="1" applyBorder="1"/>
    <xf numFmtId="38" fontId="19" fillId="0" borderId="12" xfId="253" applyFont="1" applyBorder="1"/>
    <xf numFmtId="38" fontId="19" fillId="0" borderId="12" xfId="253" applyFont="1" applyBorder="1" applyAlignment="1">
      <alignment horizontal="right"/>
    </xf>
    <xf numFmtId="188" fontId="21" fillId="0" borderId="0" xfId="60" applyNumberFormat="1" applyFont="1" applyBorder="1"/>
    <xf numFmtId="38" fontId="21" fillId="0" borderId="17" xfId="253" applyFont="1" applyBorder="1"/>
    <xf numFmtId="199" fontId="21" fillId="0" borderId="17" xfId="253" applyNumberFormat="1" applyFont="1" applyBorder="1"/>
    <xf numFmtId="188" fontId="21" fillId="0" borderId="17" xfId="60" applyNumberFormat="1" applyFont="1" applyBorder="1"/>
    <xf numFmtId="192" fontId="19" fillId="0" borderId="0" xfId="253" applyNumberFormat="1" applyFont="1" applyBorder="1"/>
    <xf numFmtId="192" fontId="20" fillId="0" borderId="0" xfId="253" applyNumberFormat="1" applyFont="1" applyBorder="1"/>
    <xf numFmtId="192" fontId="21" fillId="0" borderId="0" xfId="253" applyNumberFormat="1" applyFont="1" applyBorder="1"/>
    <xf numFmtId="192" fontId="21" fillId="0" borderId="0" xfId="253" applyNumberFormat="1" applyFont="1" applyFill="1" applyBorder="1"/>
    <xf numFmtId="192" fontId="19" fillId="0" borderId="17" xfId="253" applyNumberFormat="1" applyFont="1" applyBorder="1"/>
    <xf numFmtId="185" fontId="4" fillId="0" borderId="1" xfId="0" applyNumberFormat="1" applyFont="1" applyBorder="1" applyProtection="1">
      <protection locked="0"/>
    </xf>
    <xf numFmtId="183" fontId="4" fillId="0" borderId="1" xfId="0" applyNumberFormat="1" applyFont="1" applyBorder="1" applyProtection="1">
      <protection locked="0"/>
    </xf>
    <xf numFmtId="171" fontId="40" fillId="0" borderId="34" xfId="0" applyNumberFormat="1" applyFont="1" applyBorder="1" applyProtection="1">
      <protection locked="0"/>
    </xf>
    <xf numFmtId="10" fontId="0" fillId="0" borderId="1" xfId="0" applyNumberFormat="1" applyBorder="1" applyProtection="1">
      <protection locked="0"/>
    </xf>
    <xf numFmtId="185" fontId="4" fillId="0" borderId="1" xfId="0" applyNumberFormat="1" applyFont="1" applyFill="1" applyBorder="1" applyProtection="1">
      <protection locked="0"/>
    </xf>
    <xf numFmtId="188" fontId="68" fillId="0" borderId="0" xfId="60" applyNumberFormat="1" applyFont="1" applyBorder="1"/>
    <xf numFmtId="188" fontId="68" fillId="0" borderId="17" xfId="60" applyNumberFormat="1" applyFont="1" applyBorder="1"/>
    <xf numFmtId="188" fontId="69" fillId="0" borderId="12" xfId="60" applyNumberFormat="1" applyFont="1" applyBorder="1"/>
    <xf numFmtId="188" fontId="69" fillId="0" borderId="12" xfId="60" applyNumberFormat="1" applyFont="1" applyBorder="1" applyAlignment="1">
      <alignment horizontal="right"/>
    </xf>
    <xf numFmtId="188" fontId="154" fillId="0" borderId="17" xfId="60" applyNumberFormat="1" applyFont="1" applyBorder="1"/>
    <xf numFmtId="187" fontId="154" fillId="0" borderId="17" xfId="60" applyNumberFormat="1" applyFont="1" applyBorder="1"/>
    <xf numFmtId="0" fontId="69" fillId="0" borderId="17" xfId="194" applyFont="1" applyBorder="1"/>
    <xf numFmtId="187" fontId="69" fillId="0" borderId="17" xfId="60" applyNumberFormat="1" applyFont="1" applyBorder="1"/>
    <xf numFmtId="0" fontId="69" fillId="0" borderId="74" xfId="194" applyFont="1" applyBorder="1"/>
    <xf numFmtId="188" fontId="69" fillId="0" borderId="74" xfId="60" applyNumberFormat="1" applyFont="1" applyBorder="1"/>
    <xf numFmtId="188" fontId="69" fillId="0" borderId="17" xfId="60" applyNumberFormat="1" applyFont="1" applyBorder="1"/>
    <xf numFmtId="188" fontId="6" fillId="0" borderId="12" xfId="0" applyNumberFormat="1" applyFont="1" applyBorder="1"/>
    <xf numFmtId="9" fontId="6" fillId="0" borderId="12" xfId="0" applyNumberFormat="1" applyFont="1" applyBorder="1"/>
    <xf numFmtId="188" fontId="68" fillId="0" borderId="74" xfId="60" applyNumberFormat="1" applyFont="1" applyBorder="1"/>
    <xf numFmtId="188" fontId="69" fillId="0" borderId="0" xfId="60" applyNumberFormat="1" applyFont="1" applyBorder="1"/>
    <xf numFmtId="9" fontId="0" fillId="0" borderId="1" xfId="219" applyFont="1" applyFill="1" applyBorder="1" applyProtection="1">
      <protection locked="0"/>
    </xf>
    <xf numFmtId="188" fontId="68" fillId="0" borderId="13" xfId="60" applyNumberFormat="1" applyFont="1" applyBorder="1"/>
    <xf numFmtId="188" fontId="68" fillId="0" borderId="7" xfId="60" applyNumberFormat="1" applyFont="1" applyBorder="1"/>
    <xf numFmtId="188" fontId="69" fillId="0" borderId="26" xfId="60" applyNumberFormat="1" applyFont="1" applyBorder="1"/>
    <xf numFmtId="188" fontId="68" fillId="0" borderId="25" xfId="60" applyNumberFormat="1" applyFont="1" applyBorder="1"/>
    <xf numFmtId="188" fontId="68" fillId="0" borderId="26" xfId="60" applyNumberFormat="1" applyFont="1" applyBorder="1"/>
    <xf numFmtId="188" fontId="68" fillId="0" borderId="29" xfId="60" applyNumberFormat="1" applyFont="1" applyBorder="1"/>
    <xf numFmtId="188" fontId="68" fillId="0" borderId="30" xfId="60" applyNumberFormat="1" applyFont="1" applyBorder="1"/>
    <xf numFmtId="188" fontId="69" fillId="0" borderId="25" xfId="60" applyNumberFormat="1" applyFont="1" applyBorder="1"/>
    <xf numFmtId="188" fontId="69" fillId="0" borderId="29" xfId="60" applyNumberFormat="1" applyFont="1" applyBorder="1" applyAlignment="1"/>
    <xf numFmtId="188" fontId="69" fillId="0" borderId="30" xfId="60" applyNumberFormat="1" applyFont="1" applyBorder="1" applyAlignment="1"/>
    <xf numFmtId="183" fontId="0" fillId="0" borderId="43" xfId="0" applyNumberFormat="1" applyBorder="1" applyProtection="1">
      <protection locked="0"/>
    </xf>
    <xf numFmtId="219" fontId="39" fillId="0" borderId="0" xfId="203" applyNumberFormat="1" applyFont="1" applyFill="1" applyBorder="1" applyAlignment="1" applyProtection="1">
      <alignment vertical="center"/>
    </xf>
    <xf numFmtId="170" fontId="0" fillId="0" borderId="46" xfId="0" applyNumberFormat="1" applyFill="1" applyBorder="1" applyProtection="1">
      <protection locked="0"/>
    </xf>
    <xf numFmtId="170" fontId="158" fillId="0" borderId="1" xfId="0" applyNumberFormat="1" applyFont="1" applyBorder="1" applyProtection="1">
      <protection locked="0"/>
    </xf>
    <xf numFmtId="170" fontId="5" fillId="21" borderId="0" xfId="0" applyNumberFormat="1" applyFont="1" applyFill="1" applyBorder="1" applyProtection="1">
      <protection locked="0"/>
    </xf>
    <xf numFmtId="187" fontId="159" fillId="0" borderId="25" xfId="203" applyNumberFormat="1" applyFont="1" applyFill="1" applyBorder="1" applyAlignment="1" applyProtection="1">
      <alignment horizontal="right" vertical="center"/>
    </xf>
    <xf numFmtId="187" fontId="159" fillId="0" borderId="17" xfId="203" applyNumberFormat="1" applyFont="1" applyFill="1" applyBorder="1" applyAlignment="1" applyProtection="1">
      <alignment horizontal="right" vertical="center"/>
    </xf>
    <xf numFmtId="187" fontId="159" fillId="0" borderId="17" xfId="203" applyNumberFormat="1" applyFont="1" applyFill="1" applyBorder="1" applyAlignment="1" applyProtection="1">
      <alignment vertical="center"/>
    </xf>
    <xf numFmtId="170" fontId="0" fillId="0" borderId="0" xfId="0" applyNumberFormat="1" applyBorder="1" applyProtection="1">
      <protection locked="0"/>
    </xf>
    <xf numFmtId="0" fontId="68" fillId="0" borderId="0" xfId="0" applyFont="1" applyBorder="1" applyProtection="1">
      <protection locked="0"/>
    </xf>
    <xf numFmtId="188" fontId="68" fillId="0" borderId="0" xfId="60" applyNumberFormat="1" applyFont="1" applyFill="1" applyBorder="1" applyProtection="1">
      <protection locked="0"/>
    </xf>
    <xf numFmtId="192" fontId="68" fillId="0" borderId="0" xfId="0" applyNumberFormat="1" applyFont="1" applyFill="1" applyBorder="1" applyProtection="1">
      <protection locked="0"/>
    </xf>
    <xf numFmtId="170" fontId="21" fillId="0" borderId="0" xfId="0" applyNumberFormat="1" applyFont="1" applyBorder="1" applyProtection="1">
      <protection locked="0"/>
    </xf>
    <xf numFmtId="185" fontId="21" fillId="0" borderId="0" xfId="0" applyNumberFormat="1" applyFont="1" applyBorder="1" applyProtection="1">
      <protection locked="0"/>
    </xf>
    <xf numFmtId="187" fontId="21" fillId="0" borderId="0" xfId="60" applyNumberFormat="1" applyFont="1" applyBorder="1" applyProtection="1">
      <protection locked="0"/>
    </xf>
    <xf numFmtId="192" fontId="68" fillId="0" borderId="0" xfId="0" applyNumberFormat="1" applyFont="1" applyFill="1" applyBorder="1" applyAlignment="1" applyProtection="1">
      <alignment horizontal="right"/>
      <protection locked="0"/>
    </xf>
    <xf numFmtId="0" fontId="0" fillId="0" borderId="0" xfId="0" applyFill="1" applyBorder="1"/>
    <xf numFmtId="170" fontId="21" fillId="0" borderId="0" xfId="0" applyNumberFormat="1" applyFont="1" applyFill="1" applyBorder="1" applyAlignment="1">
      <alignment horizontal="right"/>
    </xf>
    <xf numFmtId="185" fontId="21" fillId="0" borderId="0" xfId="0" applyNumberFormat="1" applyFont="1" applyFill="1" applyBorder="1" applyAlignment="1">
      <alignment horizontal="right"/>
    </xf>
    <xf numFmtId="174" fontId="21" fillId="0" borderId="0" xfId="0" applyNumberFormat="1" applyFont="1" applyFill="1" applyBorder="1" applyAlignment="1">
      <alignment horizontal="right"/>
    </xf>
    <xf numFmtId="0" fontId="68" fillId="0" borderId="0" xfId="0" applyFont="1" applyFill="1" applyBorder="1" applyProtection="1">
      <protection locked="0"/>
    </xf>
    <xf numFmtId="170" fontId="21" fillId="0" borderId="74" xfId="0" applyNumberFormat="1" applyFont="1" applyFill="1" applyBorder="1" applyAlignment="1">
      <alignment horizontal="right"/>
    </xf>
    <xf numFmtId="185" fontId="21" fillId="0" borderId="74" xfId="0" applyNumberFormat="1" applyFont="1" applyFill="1" applyBorder="1" applyAlignment="1">
      <alignment horizontal="right"/>
    </xf>
    <xf numFmtId="0" fontId="21" fillId="0" borderId="17" xfId="0" applyFont="1" applyFill="1" applyBorder="1"/>
    <xf numFmtId="185" fontId="21" fillId="0" borderId="17" xfId="0" applyNumberFormat="1" applyFont="1" applyFill="1" applyBorder="1" applyAlignment="1">
      <alignment horizontal="right"/>
    </xf>
    <xf numFmtId="174" fontId="21" fillId="0" borderId="17" xfId="0" applyNumberFormat="1" applyFont="1" applyFill="1" applyBorder="1" applyAlignment="1">
      <alignment horizontal="right"/>
    </xf>
    <xf numFmtId="170" fontId="19" fillId="0" borderId="12" xfId="0" applyNumberFormat="1" applyFont="1" applyBorder="1" applyProtection="1">
      <protection locked="0"/>
    </xf>
    <xf numFmtId="170" fontId="19" fillId="0" borderId="12" xfId="0" applyNumberFormat="1" applyFont="1" applyBorder="1" applyAlignment="1" applyProtection="1">
      <alignment horizontal="right"/>
      <protection locked="0"/>
    </xf>
    <xf numFmtId="170" fontId="21" fillId="0" borderId="74" xfId="0" applyNumberFormat="1" applyFont="1" applyBorder="1" applyProtection="1">
      <protection locked="0"/>
    </xf>
    <xf numFmtId="185" fontId="21" fillId="0" borderId="74" xfId="0" applyNumberFormat="1" applyFont="1" applyBorder="1" applyProtection="1">
      <protection locked="0"/>
    </xf>
    <xf numFmtId="187" fontId="21" fillId="0" borderId="74" xfId="60" applyNumberFormat="1" applyFont="1" applyBorder="1" applyProtection="1">
      <protection locked="0"/>
    </xf>
    <xf numFmtId="170" fontId="21" fillId="0" borderId="17" xfId="0" applyNumberFormat="1" applyFont="1" applyBorder="1" applyProtection="1">
      <protection locked="0"/>
    </xf>
    <xf numFmtId="185" fontId="21" fillId="0" borderId="17" xfId="0" applyNumberFormat="1" applyFont="1" applyBorder="1" applyProtection="1">
      <protection locked="0"/>
    </xf>
    <xf numFmtId="187" fontId="21" fillId="0" borderId="17" xfId="60" applyNumberFormat="1" applyFont="1" applyBorder="1" applyProtection="1">
      <protection locked="0"/>
    </xf>
    <xf numFmtId="170" fontId="3" fillId="0" borderId="1" xfId="0" applyNumberFormat="1" applyFont="1" applyBorder="1" applyProtection="1">
      <protection locked="0"/>
    </xf>
    <xf numFmtId="170" fontId="3" fillId="0" borderId="1" xfId="0" applyNumberFormat="1" applyFont="1" applyFill="1" applyBorder="1" applyProtection="1">
      <protection locked="0"/>
    </xf>
    <xf numFmtId="0" fontId="160" fillId="21" borderId="0" xfId="0" applyFont="1" applyFill="1" applyBorder="1" applyAlignment="1">
      <alignment horizontal="left"/>
    </xf>
    <xf numFmtId="0" fontId="161" fillId="21" borderId="0" xfId="0" applyFont="1" applyFill="1" applyBorder="1" applyAlignment="1"/>
    <xf numFmtId="171" fontId="160" fillId="21" borderId="0" xfId="0" applyNumberFormat="1" applyFont="1" applyFill="1" applyBorder="1" applyAlignment="1">
      <alignment horizontal="right"/>
    </xf>
    <xf numFmtId="0" fontId="161" fillId="21" borderId="0" xfId="0" applyFont="1" applyFill="1" applyBorder="1" applyAlignment="1">
      <alignment horizontal="right"/>
    </xf>
    <xf numFmtId="3" fontId="160" fillId="21" borderId="0" xfId="0" applyNumberFormat="1" applyFont="1" applyFill="1" applyBorder="1" applyAlignment="1">
      <alignment horizontal="left"/>
    </xf>
    <xf numFmtId="0" fontId="45" fillId="21" borderId="0" xfId="0" applyFont="1" applyFill="1" applyBorder="1"/>
    <xf numFmtId="0" fontId="45" fillId="21" borderId="0" xfId="0" applyFont="1" applyFill="1" applyBorder="1" applyAlignment="1">
      <alignment horizontal="right"/>
    </xf>
    <xf numFmtId="37" fontId="46" fillId="21" borderId="0" xfId="0" applyNumberFormat="1" applyFont="1" applyFill="1" applyBorder="1" applyAlignment="1">
      <alignment horizontal="right"/>
    </xf>
    <xf numFmtId="170" fontId="0" fillId="21" borderId="0" xfId="0" applyNumberFormat="1" applyFill="1" applyBorder="1" applyProtection="1">
      <protection locked="0"/>
    </xf>
    <xf numFmtId="170" fontId="13" fillId="21" borderId="51" xfId="0" applyNumberFormat="1" applyFont="1" applyFill="1" applyBorder="1" applyAlignment="1" applyProtection="1">
      <alignment horizontal="center"/>
      <protection locked="0"/>
    </xf>
    <xf numFmtId="170" fontId="12" fillId="21" borderId="0" xfId="0" applyNumberFormat="1" applyFont="1" applyFill="1" applyBorder="1" applyProtection="1">
      <protection locked="0"/>
    </xf>
    <xf numFmtId="170" fontId="11" fillId="21" borderId="51" xfId="0" applyNumberFormat="1" applyFont="1" applyFill="1" applyBorder="1" applyAlignment="1" applyProtection="1">
      <protection locked="0"/>
    </xf>
    <xf numFmtId="170" fontId="11" fillId="21" borderId="51" xfId="0" applyNumberFormat="1" applyFont="1" applyFill="1" applyBorder="1" applyAlignment="1" applyProtection="1">
      <alignment horizontal="center"/>
      <protection locked="0"/>
    </xf>
    <xf numFmtId="170" fontId="12" fillId="21" borderId="1" xfId="0" applyNumberFormat="1" applyFont="1" applyFill="1" applyBorder="1" applyProtection="1">
      <protection locked="0"/>
    </xf>
    <xf numFmtId="184" fontId="12" fillId="21" borderId="1" xfId="0" applyNumberFormat="1" applyFont="1" applyFill="1" applyBorder="1" applyProtection="1">
      <protection locked="0"/>
    </xf>
    <xf numFmtId="183" fontId="12" fillId="21" borderId="1" xfId="0" applyNumberFormat="1" applyFont="1" applyFill="1" applyBorder="1" applyProtection="1">
      <protection locked="0"/>
    </xf>
    <xf numFmtId="184" fontId="0" fillId="21" borderId="1" xfId="0" applyNumberFormat="1" applyFill="1" applyBorder="1" applyProtection="1">
      <protection locked="0"/>
    </xf>
    <xf numFmtId="185" fontId="0" fillId="21" borderId="1" xfId="0" applyNumberFormat="1" applyFill="1" applyBorder="1" applyProtection="1">
      <protection locked="0"/>
    </xf>
    <xf numFmtId="171" fontId="40" fillId="21" borderId="1" xfId="0" applyNumberFormat="1" applyFont="1" applyFill="1" applyBorder="1" applyProtection="1">
      <protection locked="0"/>
    </xf>
    <xf numFmtId="171" fontId="0" fillId="21" borderId="1" xfId="0" applyNumberFormat="1" applyFill="1" applyBorder="1" applyProtection="1">
      <protection locked="0"/>
    </xf>
    <xf numFmtId="170" fontId="3" fillId="0" borderId="44" xfId="0" applyNumberFormat="1" applyFont="1" applyBorder="1" applyProtection="1">
      <protection locked="0"/>
    </xf>
    <xf numFmtId="0" fontId="162" fillId="21" borderId="0" xfId="0" applyFont="1" applyFill="1" applyBorder="1" applyAlignment="1">
      <alignment horizontal="left"/>
    </xf>
    <xf numFmtId="0" fontId="163" fillId="21" borderId="0" xfId="0" applyFont="1" applyFill="1" applyBorder="1" applyAlignment="1"/>
    <xf numFmtId="171" fontId="162" fillId="21" borderId="0" xfId="0" applyNumberFormat="1" applyFont="1" applyFill="1" applyBorder="1" applyAlignment="1">
      <alignment horizontal="right"/>
    </xf>
    <xf numFmtId="0" fontId="163" fillId="21" borderId="0" xfId="0" applyFont="1" applyFill="1" applyBorder="1" applyAlignment="1">
      <alignment horizontal="right"/>
    </xf>
    <xf numFmtId="3" fontId="164" fillId="21" borderId="0" xfId="0" applyNumberFormat="1" applyFont="1" applyFill="1" applyBorder="1" applyAlignment="1">
      <alignment horizontal="left"/>
    </xf>
    <xf numFmtId="170" fontId="0" fillId="21" borderId="43" xfId="0" applyNumberFormat="1" applyFill="1" applyBorder="1" applyProtection="1">
      <protection locked="0"/>
    </xf>
    <xf numFmtId="170" fontId="4" fillId="21" borderId="0" xfId="0" applyNumberFormat="1" applyFont="1" applyFill="1" applyBorder="1" applyProtection="1">
      <protection locked="0"/>
    </xf>
    <xf numFmtId="170" fontId="7" fillId="21" borderId="0" xfId="0" applyNumberFormat="1" applyFont="1" applyFill="1" applyBorder="1" applyProtection="1">
      <protection locked="0"/>
    </xf>
    <xf numFmtId="171" fontId="40" fillId="21" borderId="0" xfId="0" applyNumberFormat="1" applyFont="1" applyFill="1" applyBorder="1" applyProtection="1">
      <protection locked="0"/>
    </xf>
    <xf numFmtId="170" fontId="8" fillId="21" borderId="0" xfId="0" applyNumberFormat="1" applyFont="1" applyFill="1" applyBorder="1" applyProtection="1">
      <protection locked="0"/>
    </xf>
    <xf numFmtId="183" fontId="0" fillId="21" borderId="0" xfId="0" applyNumberFormat="1" applyFill="1" applyBorder="1" applyProtection="1">
      <protection locked="0"/>
    </xf>
    <xf numFmtId="170" fontId="15" fillId="21" borderId="0" xfId="0" applyNumberFormat="1" applyFont="1" applyFill="1" applyBorder="1" applyAlignment="1" applyProtection="1">
      <alignment horizontal="center"/>
      <protection locked="0"/>
    </xf>
    <xf numFmtId="171" fontId="0" fillId="21" borderId="0" xfId="0" applyNumberFormat="1" applyFill="1" applyBorder="1" applyProtection="1">
      <protection locked="0"/>
    </xf>
    <xf numFmtId="170" fontId="0" fillId="0" borderId="34" xfId="0" applyNumberFormat="1" applyFill="1" applyBorder="1" applyProtection="1">
      <protection locked="0"/>
    </xf>
    <xf numFmtId="171" fontId="0" fillId="21" borderId="34" xfId="0" applyNumberFormat="1" applyFill="1" applyBorder="1" applyProtection="1">
      <protection locked="0"/>
    </xf>
    <xf numFmtId="171" fontId="0" fillId="0" borderId="34" xfId="0" applyNumberFormat="1" applyBorder="1" applyProtection="1">
      <protection locked="0"/>
    </xf>
    <xf numFmtId="171" fontId="0" fillId="0" borderId="34" xfId="0" applyNumberFormat="1" applyFill="1" applyBorder="1" applyProtection="1">
      <protection locked="0"/>
    </xf>
    <xf numFmtId="187" fontId="0" fillId="0" borderId="34" xfId="60" applyNumberFormat="1" applyFont="1" applyBorder="1" applyProtection="1">
      <protection locked="0"/>
    </xf>
    <xf numFmtId="170" fontId="15" fillId="21" borderId="1" xfId="0" applyNumberFormat="1" applyFont="1" applyFill="1" applyBorder="1" applyAlignment="1" applyProtection="1">
      <alignment horizontal="center"/>
      <protection locked="0"/>
    </xf>
    <xf numFmtId="170" fontId="15" fillId="21" borderId="1" xfId="0" applyNumberFormat="1" applyFont="1" applyFill="1" applyBorder="1" applyAlignment="1" applyProtection="1">
      <alignment horizontal="left"/>
      <protection locked="0"/>
    </xf>
    <xf numFmtId="170" fontId="15" fillId="21" borderId="43" xfId="0" applyNumberFormat="1" applyFont="1" applyFill="1" applyBorder="1" applyAlignment="1" applyProtection="1">
      <alignment horizontal="center"/>
      <protection locked="0"/>
    </xf>
    <xf numFmtId="170" fontId="47" fillId="4" borderId="79" xfId="0" applyNumberFormat="1" applyFont="1" applyFill="1" applyBorder="1" applyAlignment="1" applyProtection="1">
      <alignment horizontal="right"/>
      <protection locked="0"/>
    </xf>
    <xf numFmtId="170" fontId="53" fillId="17" borderId="44" xfId="0" applyNumberFormat="1" applyFont="1" applyFill="1" applyBorder="1" applyProtection="1">
      <protection locked="0"/>
    </xf>
    <xf numFmtId="38" fontId="19" fillId="0" borderId="74" xfId="253" applyFont="1" applyBorder="1" applyAlignment="1">
      <alignment horizontal="right"/>
    </xf>
    <xf numFmtId="199" fontId="21" fillId="0" borderId="74" xfId="253" applyNumberFormat="1" applyFont="1" applyBorder="1" applyAlignment="1">
      <alignment horizontal="right"/>
    </xf>
    <xf numFmtId="188" fontId="21" fillId="0" borderId="74" xfId="60" applyNumberFormat="1" applyFont="1" applyBorder="1" applyAlignment="1">
      <alignment horizontal="right"/>
    </xf>
    <xf numFmtId="199" fontId="21" fillId="0" borderId="0" xfId="253" applyNumberFormat="1" applyFont="1" applyBorder="1" applyAlignment="1">
      <alignment horizontal="right"/>
    </xf>
    <xf numFmtId="188" fontId="21" fillId="0" borderId="0" xfId="60" applyNumberFormat="1" applyFont="1" applyBorder="1" applyAlignment="1">
      <alignment horizontal="right"/>
    </xf>
    <xf numFmtId="199" fontId="21" fillId="0" borderId="17" xfId="253" applyNumberFormat="1" applyFont="1" applyBorder="1" applyAlignment="1">
      <alignment horizontal="right"/>
    </xf>
    <xf numFmtId="188" fontId="21" fillId="0" borderId="17" xfId="60" applyNumberFormat="1" applyFont="1" applyBorder="1" applyAlignment="1">
      <alignment horizontal="right"/>
    </xf>
    <xf numFmtId="188" fontId="39" fillId="0" borderId="74" xfId="60" applyNumberFormat="1" applyFont="1" applyFill="1" applyBorder="1" applyAlignment="1" applyProtection="1">
      <alignment horizontal="right" vertical="center"/>
    </xf>
    <xf numFmtId="187" fontId="39" fillId="0" borderId="30" xfId="203" applyNumberFormat="1" applyFont="1" applyFill="1" applyBorder="1" applyAlignment="1" applyProtection="1">
      <alignment horizontal="right" vertical="center"/>
    </xf>
    <xf numFmtId="219" fontId="39" fillId="0" borderId="7" xfId="203" applyNumberFormat="1" applyFont="1" applyFill="1" applyBorder="1" applyAlignment="1" applyProtection="1">
      <alignment vertical="center"/>
    </xf>
    <xf numFmtId="9" fontId="21" fillId="0" borderId="0" xfId="0" applyNumberFormat="1" applyFont="1"/>
    <xf numFmtId="0" fontId="21" fillId="0" borderId="0" xfId="0" applyFont="1" applyAlignment="1">
      <alignment horizontal="left" indent="2"/>
    </xf>
    <xf numFmtId="170" fontId="0" fillId="21" borderId="34" xfId="0" applyNumberFormat="1" applyFill="1" applyBorder="1" applyProtection="1">
      <protection locked="0"/>
    </xf>
    <xf numFmtId="188" fontId="165" fillId="21" borderId="0" xfId="60" applyNumberFormat="1" applyFont="1" applyFill="1" applyBorder="1"/>
    <xf numFmtId="188" fontId="166" fillId="21" borderId="0" xfId="60" applyNumberFormat="1" applyFont="1" applyFill="1" applyBorder="1"/>
    <xf numFmtId="188" fontId="166" fillId="21" borderId="0" xfId="60" applyNumberFormat="1" applyFont="1" applyFill="1" applyBorder="1" applyAlignment="1">
      <alignment horizontal="right"/>
    </xf>
    <xf numFmtId="188" fontId="165" fillId="21" borderId="0" xfId="60" applyNumberFormat="1" applyFont="1" applyFill="1" applyBorder="1" applyAlignment="1">
      <alignment horizontal="right"/>
    </xf>
    <xf numFmtId="188" fontId="167" fillId="21" borderId="0" xfId="60" applyNumberFormat="1" applyFont="1" applyFill="1" applyBorder="1" applyAlignment="1">
      <alignment horizontal="right"/>
    </xf>
    <xf numFmtId="0" fontId="166" fillId="21" borderId="0" xfId="0" applyFont="1" applyFill="1" applyBorder="1"/>
    <xf numFmtId="0" fontId="166" fillId="21" borderId="0" xfId="0" applyFont="1" applyFill="1" applyBorder="1" applyAlignment="1">
      <alignment horizontal="right"/>
    </xf>
    <xf numFmtId="0" fontId="165" fillId="21" borderId="0" xfId="0" applyFont="1" applyFill="1"/>
    <xf numFmtId="0" fontId="166" fillId="21" borderId="0" xfId="0" applyFont="1" applyFill="1" applyAlignment="1">
      <alignment horizontal="right"/>
    </xf>
    <xf numFmtId="37" fontId="166" fillId="21" borderId="0" xfId="0" applyNumberFormat="1" applyFont="1" applyFill="1" applyAlignment="1">
      <alignment horizontal="right"/>
    </xf>
    <xf numFmtId="0" fontId="166" fillId="21" borderId="0" xfId="0" applyFont="1" applyFill="1"/>
    <xf numFmtId="188" fontId="166" fillId="21" borderId="0" xfId="0" applyNumberFormat="1" applyFont="1" applyFill="1"/>
    <xf numFmtId="170" fontId="166" fillId="21" borderId="0" xfId="60" applyNumberFormat="1" applyFont="1" applyFill="1" applyBorder="1"/>
    <xf numFmtId="0" fontId="155" fillId="0" borderId="0" xfId="190" applyFont="1"/>
    <xf numFmtId="0" fontId="175" fillId="0" borderId="0" xfId="194" applyFont="1"/>
    <xf numFmtId="0" fontId="60" fillId="0" borderId="0" xfId="190" applyFont="1"/>
    <xf numFmtId="9" fontId="60" fillId="0" borderId="0" xfId="224" applyFont="1"/>
    <xf numFmtId="0" fontId="176" fillId="0" borderId="0" xfId="194" applyFont="1"/>
    <xf numFmtId="186" fontId="175" fillId="0" borderId="0" xfId="194" applyNumberFormat="1" applyFont="1"/>
    <xf numFmtId="174" fontId="175" fillId="0" borderId="0" xfId="194" applyNumberFormat="1" applyFont="1"/>
    <xf numFmtId="190" fontId="175" fillId="0" borderId="0" xfId="194" applyNumberFormat="1" applyFont="1"/>
    <xf numFmtId="37" fontId="175" fillId="0" borderId="0" xfId="194" applyNumberFormat="1" applyFont="1"/>
    <xf numFmtId="199" fontId="175" fillId="0" borderId="0" xfId="60" applyNumberFormat="1" applyFont="1"/>
    <xf numFmtId="37" fontId="75" fillId="0" borderId="0" xfId="194" applyNumberFormat="1"/>
    <xf numFmtId="0" fontId="155" fillId="0" borderId="0" xfId="194" applyFont="1"/>
    <xf numFmtId="9" fontId="75" fillId="0" borderId="0" xfId="224" applyFont="1"/>
    <xf numFmtId="186" fontId="75" fillId="0" borderId="0" xfId="194" applyNumberFormat="1"/>
    <xf numFmtId="174" fontId="75" fillId="0" borderId="0" xfId="194" applyNumberFormat="1"/>
    <xf numFmtId="191" fontId="75" fillId="0" borderId="0" xfId="224" applyNumberFormat="1" applyFont="1"/>
    <xf numFmtId="0" fontId="155" fillId="0" borderId="0" xfId="194" applyFont="1" applyAlignment="1">
      <alignment horizontal="center"/>
    </xf>
    <xf numFmtId="37" fontId="0" fillId="0" borderId="1" xfId="60" applyNumberFormat="1" applyFont="1" applyBorder="1" applyProtection="1">
      <protection locked="0"/>
    </xf>
    <xf numFmtId="37" fontId="0" fillId="0" borderId="1" xfId="60" applyNumberFormat="1" applyFont="1" applyFill="1" applyBorder="1" applyProtection="1">
      <protection locked="0"/>
    </xf>
    <xf numFmtId="37" fontId="0" fillId="0" borderId="1" xfId="0" applyNumberFormat="1" applyBorder="1" applyProtection="1">
      <protection locked="0"/>
    </xf>
    <xf numFmtId="37" fontId="0" fillId="0" borderId="1" xfId="0" applyNumberFormat="1" applyFill="1" applyBorder="1" applyProtection="1">
      <protection locked="0"/>
    </xf>
    <xf numFmtId="37" fontId="4" fillId="0" borderId="1" xfId="0" applyNumberFormat="1" applyFont="1" applyBorder="1" applyProtection="1">
      <protection locked="0"/>
    </xf>
    <xf numFmtId="2" fontId="40" fillId="21" borderId="0" xfId="0" applyNumberFormat="1" applyFont="1" applyFill="1" applyBorder="1" applyProtection="1">
      <protection locked="0"/>
    </xf>
    <xf numFmtId="2" fontId="0" fillId="21" borderId="0" xfId="0" applyNumberFormat="1" applyFill="1" applyBorder="1" applyProtection="1">
      <protection locked="0"/>
    </xf>
    <xf numFmtId="188" fontId="40" fillId="21" borderId="0" xfId="60" applyNumberFormat="1" applyFont="1" applyFill="1" applyBorder="1" applyProtection="1">
      <protection locked="0"/>
    </xf>
    <xf numFmtId="191" fontId="0" fillId="0" borderId="1" xfId="219" applyNumberFormat="1" applyFont="1" applyFill="1" applyBorder="1" applyProtection="1">
      <protection locked="0"/>
    </xf>
    <xf numFmtId="9" fontId="4" fillId="0" borderId="1" xfId="0" applyNumberFormat="1" applyFont="1" applyBorder="1" applyProtection="1">
      <protection locked="0"/>
    </xf>
    <xf numFmtId="184" fontId="4" fillId="0" borderId="1" xfId="0" applyNumberFormat="1" applyFont="1" applyBorder="1" applyProtection="1">
      <protection locked="0"/>
    </xf>
    <xf numFmtId="171" fontId="12" fillId="0" borderId="1" xfId="0" quotePrefix="1" applyNumberFormat="1" applyFont="1" applyBorder="1" applyProtection="1">
      <protection locked="0"/>
    </xf>
    <xf numFmtId="217" fontId="0" fillId="0" borderId="1" xfId="0" applyNumberFormat="1" applyBorder="1" applyProtection="1">
      <protection locked="0"/>
    </xf>
    <xf numFmtId="170" fontId="4" fillId="21" borderId="1" xfId="0" applyNumberFormat="1" applyFont="1" applyFill="1" applyBorder="1" applyAlignment="1" applyProtection="1">
      <alignment horizontal="center"/>
      <protection locked="0"/>
    </xf>
    <xf numFmtId="170" fontId="4" fillId="21" borderId="43" xfId="0" applyNumberFormat="1" applyFont="1" applyFill="1" applyBorder="1" applyAlignment="1" applyProtection="1">
      <alignment horizontal="center"/>
      <protection locked="0"/>
    </xf>
    <xf numFmtId="216" fontId="146" fillId="25" borderId="0" xfId="63" applyNumberFormat="1" applyFont="1" applyFill="1" applyBorder="1" applyAlignment="1" applyProtection="1">
      <alignment horizontal="right"/>
      <protection locked="0"/>
    </xf>
    <xf numFmtId="1" fontId="146" fillId="0" borderId="0" xfId="65" applyNumberFormat="1" applyFont="1" applyFill="1" applyBorder="1" applyAlignment="1">
      <alignment horizontal="right"/>
    </xf>
    <xf numFmtId="0" fontId="146" fillId="0" borderId="0" xfId="195" applyFont="1" applyFill="1"/>
    <xf numFmtId="1" fontId="146" fillId="25" borderId="0" xfId="65" applyNumberFormat="1" applyFont="1" applyFill="1" applyBorder="1" applyAlignment="1">
      <alignment horizontal="right"/>
    </xf>
    <xf numFmtId="0" fontId="144" fillId="0" borderId="0" xfId="192" applyFont="1"/>
    <xf numFmtId="0" fontId="146" fillId="0" borderId="0" xfId="195" applyFont="1"/>
    <xf numFmtId="0" fontId="146" fillId="25" borderId="0" xfId="196" applyFont="1" applyFill="1"/>
    <xf numFmtId="0" fontId="146" fillId="25" borderId="0" xfId="195" applyFont="1" applyFill="1"/>
    <xf numFmtId="0" fontId="144" fillId="0" borderId="0" xfId="196" applyFont="1"/>
    <xf numFmtId="4" fontId="146" fillId="0" borderId="0" xfId="61" applyNumberFormat="1" applyFont="1"/>
    <xf numFmtId="4" fontId="146" fillId="0" borderId="0" xfId="195" applyNumberFormat="1" applyFont="1"/>
    <xf numFmtId="4" fontId="146" fillId="26" borderId="0" xfId="195" applyNumberFormat="1" applyFont="1" applyFill="1"/>
    <xf numFmtId="4" fontId="146" fillId="0" borderId="0" xfId="195" applyNumberFormat="1" applyFont="1" applyFill="1"/>
    <xf numFmtId="3" fontId="146" fillId="26" borderId="0" xfId="195" applyNumberFormat="1" applyFont="1" applyFill="1"/>
    <xf numFmtId="4" fontId="146" fillId="26" borderId="0" xfId="195" applyNumberFormat="1" applyFont="1" applyFill="1" applyAlignment="1">
      <alignment horizontal="right"/>
    </xf>
    <xf numFmtId="4" fontId="144" fillId="26" borderId="0" xfId="195" applyNumberFormat="1" applyFont="1" applyFill="1"/>
    <xf numFmtId="4" fontId="146" fillId="3" borderId="0" xfId="195" applyNumberFormat="1" applyFont="1" applyFill="1"/>
    <xf numFmtId="4" fontId="146" fillId="22" borderId="0" xfId="195" applyNumberFormat="1" applyFont="1" applyFill="1"/>
    <xf numFmtId="4" fontId="146" fillId="28" borderId="0" xfId="195" applyNumberFormat="1" applyFont="1" applyFill="1"/>
    <xf numFmtId="4" fontId="147" fillId="26" borderId="0" xfId="195" applyNumberFormat="1" applyFont="1" applyFill="1"/>
    <xf numFmtId="170" fontId="177" fillId="21" borderId="44" xfId="0" applyNumberFormat="1" applyFont="1" applyFill="1" applyBorder="1" applyAlignment="1" applyProtection="1">
      <protection locked="0"/>
    </xf>
    <xf numFmtId="241" fontId="0" fillId="21" borderId="0" xfId="0" applyNumberFormat="1" applyFill="1" applyBorder="1" applyProtection="1">
      <protection locked="0"/>
    </xf>
    <xf numFmtId="37" fontId="21" fillId="0" borderId="74" xfId="0" applyNumberFormat="1" applyFont="1" applyFill="1" applyBorder="1" applyAlignment="1">
      <alignment horizontal="right"/>
    </xf>
    <xf numFmtId="37" fontId="21" fillId="0" borderId="0" xfId="0" applyNumberFormat="1" applyFont="1" applyFill="1" applyBorder="1" applyAlignment="1">
      <alignment horizontal="right"/>
    </xf>
    <xf numFmtId="219" fontId="21" fillId="0" borderId="0" xfId="0" applyNumberFormat="1" applyFont="1" applyFill="1" applyBorder="1" applyProtection="1">
      <protection locked="0"/>
    </xf>
    <xf numFmtId="37" fontId="47" fillId="0" borderId="0" xfId="0" applyNumberFormat="1" applyFont="1"/>
    <xf numFmtId="37" fontId="6" fillId="0" borderId="0" xfId="60" applyNumberFormat="1" applyFont="1"/>
    <xf numFmtId="37" fontId="6" fillId="0" borderId="0" xfId="0" applyNumberFormat="1" applyFont="1"/>
    <xf numFmtId="37" fontId="47" fillId="0" borderId="0" xfId="60" applyNumberFormat="1" applyFont="1"/>
    <xf numFmtId="37" fontId="47" fillId="0" borderId="12" xfId="0" applyNumberFormat="1" applyFont="1" applyBorder="1"/>
    <xf numFmtId="37" fontId="62" fillId="0" borderId="0" xfId="0" applyNumberFormat="1" applyFont="1"/>
    <xf numFmtId="37" fontId="49" fillId="0" borderId="0" xfId="60" applyNumberFormat="1" applyFont="1"/>
    <xf numFmtId="37" fontId="61" fillId="0" borderId="0" xfId="0" applyNumberFormat="1" applyFont="1"/>
    <xf numFmtId="37" fontId="49" fillId="0" borderId="0" xfId="0" applyNumberFormat="1" applyFont="1"/>
    <xf numFmtId="170" fontId="4" fillId="21" borderId="43" xfId="0" applyNumberFormat="1" applyFont="1" applyFill="1" applyBorder="1" applyAlignment="1" applyProtection="1">
      <alignment horizontal="right"/>
      <protection locked="0"/>
    </xf>
    <xf numFmtId="187" fontId="159" fillId="0" borderId="26" xfId="203" applyNumberFormat="1" applyFont="1" applyFill="1" applyBorder="1" applyAlignment="1" applyProtection="1">
      <alignment vertical="center"/>
    </xf>
    <xf numFmtId="0" fontId="0" fillId="0" borderId="0" xfId="0" applyBorder="1"/>
    <xf numFmtId="0" fontId="63" fillId="0" borderId="0" xfId="0" applyFont="1"/>
    <xf numFmtId="188" fontId="63" fillId="0" borderId="0" xfId="60" applyNumberFormat="1" applyFont="1"/>
    <xf numFmtId="190" fontId="63" fillId="0" borderId="0" xfId="0" applyNumberFormat="1" applyFont="1"/>
    <xf numFmtId="9" fontId="63" fillId="0" borderId="0" xfId="0" applyNumberFormat="1" applyFont="1"/>
    <xf numFmtId="3" fontId="63" fillId="0" borderId="0" xfId="0" applyNumberFormat="1" applyFont="1"/>
    <xf numFmtId="0" fontId="50" fillId="0" borderId="0" xfId="0" applyFont="1" applyAlignment="1">
      <alignment horizontal="center"/>
    </xf>
    <xf numFmtId="0" fontId="178" fillId="0" borderId="0" xfId="0" applyFont="1"/>
    <xf numFmtId="37" fontId="63" fillId="0" borderId="0" xfId="0" applyNumberFormat="1" applyFont="1"/>
    <xf numFmtId="37" fontId="19" fillId="0" borderId="0" xfId="0" applyNumberFormat="1" applyFont="1"/>
    <xf numFmtId="37" fontId="56" fillId="0" borderId="0" xfId="0" applyNumberFormat="1" applyFont="1"/>
    <xf numFmtId="188" fontId="4" fillId="0" borderId="81" xfId="60" applyNumberFormat="1" applyFont="1" applyBorder="1"/>
    <xf numFmtId="188" fontId="4" fillId="0" borderId="82" xfId="60" applyNumberFormat="1" applyFont="1" applyBorder="1"/>
    <xf numFmtId="191" fontId="4" fillId="0" borderId="80" xfId="219" applyNumberFormat="1" applyFont="1" applyBorder="1"/>
    <xf numFmtId="191" fontId="4" fillId="0" borderId="81" xfId="219" applyNumberFormat="1" applyFont="1" applyBorder="1"/>
    <xf numFmtId="191" fontId="4" fillId="0" borderId="82" xfId="219" applyNumberFormat="1" applyFont="1" applyBorder="1"/>
    <xf numFmtId="191" fontId="0" fillId="0" borderId="1" xfId="219" applyNumberFormat="1" applyFont="1" applyBorder="1" applyProtection="1">
      <protection locked="0"/>
    </xf>
    <xf numFmtId="174" fontId="49" fillId="0" borderId="0" xfId="0" applyNumberFormat="1" applyFont="1"/>
    <xf numFmtId="174" fontId="52" fillId="0" borderId="0" xfId="0" applyNumberFormat="1" applyFont="1"/>
    <xf numFmtId="0" fontId="21" fillId="0" borderId="0" xfId="0" applyFont="1" applyAlignment="1">
      <alignment horizontal="right"/>
    </xf>
    <xf numFmtId="0" fontId="21" fillId="0" borderId="0" xfId="0" applyFont="1" applyBorder="1"/>
    <xf numFmtId="0" fontId="21" fillId="0" borderId="0" xfId="0" applyFont="1" applyBorder="1" applyAlignment="1">
      <alignment horizontal="right"/>
    </xf>
    <xf numFmtId="0" fontId="21" fillId="0" borderId="0" xfId="0" applyFont="1" applyBorder="1" applyAlignment="1">
      <alignment vertical="center"/>
    </xf>
    <xf numFmtId="37" fontId="21" fillId="0" borderId="0" xfId="0" applyNumberFormat="1" applyFont="1" applyAlignment="1">
      <alignment horizontal="right" vertical="center"/>
    </xf>
    <xf numFmtId="0" fontId="21" fillId="0" borderId="0" xfId="0" applyFont="1" applyAlignment="1">
      <alignment vertical="center"/>
    </xf>
    <xf numFmtId="0" fontId="19" fillId="0" borderId="0" xfId="0" applyFont="1" applyAlignment="1">
      <alignment vertical="center"/>
    </xf>
    <xf numFmtId="37" fontId="19" fillId="0" borderId="0" xfId="0" applyNumberFormat="1" applyFont="1" applyAlignment="1">
      <alignment horizontal="right" vertical="center"/>
    </xf>
    <xf numFmtId="174" fontId="179" fillId="0" borderId="0" xfId="0" applyNumberFormat="1" applyFont="1" applyAlignment="1">
      <alignment vertical="center"/>
    </xf>
    <xf numFmtId="174" fontId="20" fillId="0" borderId="0" xfId="0" applyNumberFormat="1" applyFont="1" applyAlignment="1">
      <alignment vertical="center"/>
    </xf>
    <xf numFmtId="0" fontId="21" fillId="0" borderId="0" xfId="0" applyFont="1" applyAlignment="1">
      <alignment horizontal="right" vertical="center"/>
    </xf>
    <xf numFmtId="0" fontId="20" fillId="0" borderId="0" xfId="0" applyFont="1" applyAlignment="1">
      <alignment vertical="center"/>
    </xf>
    <xf numFmtId="0" fontId="19" fillId="0" borderId="0" xfId="0" applyFont="1" applyAlignment="1">
      <alignment horizontal="right" vertical="center"/>
    </xf>
    <xf numFmtId="0" fontId="19" fillId="0" borderId="0" xfId="0" applyFont="1" applyBorder="1" applyAlignment="1">
      <alignment vertical="center"/>
    </xf>
    <xf numFmtId="0" fontId="179" fillId="0" borderId="0" xfId="0" applyFont="1" applyAlignment="1">
      <alignment horizontal="right" vertical="center"/>
    </xf>
    <xf numFmtId="174" fontId="20" fillId="0" borderId="0" xfId="0" applyNumberFormat="1" applyFont="1" applyAlignment="1">
      <alignment horizontal="right" vertical="center"/>
    </xf>
    <xf numFmtId="174" fontId="179" fillId="0" borderId="0" xfId="0" applyNumberFormat="1" applyFont="1" applyAlignment="1">
      <alignment horizontal="right" vertical="center"/>
    </xf>
    <xf numFmtId="174" fontId="19" fillId="0" borderId="0" xfId="0" applyNumberFormat="1" applyFont="1" applyBorder="1" applyAlignment="1">
      <alignment horizontal="right" vertical="center"/>
    </xf>
    <xf numFmtId="174" fontId="21" fillId="0" borderId="0" xfId="0" applyNumberFormat="1" applyFont="1" applyBorder="1" applyAlignment="1">
      <alignment horizontal="right" vertical="center"/>
    </xf>
    <xf numFmtId="174" fontId="19" fillId="0" borderId="0" xfId="0" applyNumberFormat="1" applyFont="1" applyAlignment="1">
      <alignment horizontal="right" vertical="center"/>
    </xf>
    <xf numFmtId="0" fontId="21" fillId="0" borderId="0" xfId="0" applyFont="1" applyBorder="1" applyAlignment="1">
      <alignment horizontal="right" vertical="center"/>
    </xf>
    <xf numFmtId="37" fontId="21" fillId="0" borderId="0" xfId="0" applyNumberFormat="1" applyFont="1" applyBorder="1" applyAlignment="1">
      <alignment horizontal="right" vertical="center"/>
    </xf>
    <xf numFmtId="37" fontId="19" fillId="0" borderId="0" xfId="0" applyNumberFormat="1" applyFont="1" applyBorder="1" applyAlignment="1">
      <alignment horizontal="right" vertical="center"/>
    </xf>
    <xf numFmtId="0" fontId="19" fillId="0" borderId="0" xfId="0" applyFont="1" applyBorder="1" applyAlignment="1">
      <alignment horizontal="right" vertical="center"/>
    </xf>
    <xf numFmtId="174" fontId="179" fillId="0" borderId="0" xfId="0" applyNumberFormat="1" applyFont="1" applyBorder="1" applyAlignment="1">
      <alignment horizontal="right" vertical="center"/>
    </xf>
    <xf numFmtId="170" fontId="49" fillId="0" borderId="0" xfId="0" applyNumberFormat="1" applyFont="1" applyAlignment="1">
      <alignment horizontal="center"/>
    </xf>
    <xf numFmtId="37" fontId="21" fillId="0" borderId="0" xfId="253" applyNumberFormat="1" applyFont="1" applyBorder="1"/>
    <xf numFmtId="170" fontId="0" fillId="0" borderId="46" xfId="0" applyNumberFormat="1" applyBorder="1" applyAlignment="1" applyProtection="1">
      <protection locked="0"/>
    </xf>
    <xf numFmtId="185" fontId="14" fillId="0" borderId="1" xfId="0" applyNumberFormat="1" applyFont="1" applyBorder="1" applyProtection="1">
      <protection locked="0"/>
    </xf>
    <xf numFmtId="170" fontId="7" fillId="0" borderId="1" xfId="0" applyNumberFormat="1" applyFont="1" applyBorder="1" applyAlignment="1" applyProtection="1">
      <alignment horizontal="right"/>
      <protection locked="0"/>
    </xf>
    <xf numFmtId="185" fontId="180" fillId="0" borderId="1" xfId="0" applyNumberFormat="1" applyFont="1" applyBorder="1" applyProtection="1">
      <protection locked="0"/>
    </xf>
    <xf numFmtId="171" fontId="3" fillId="0" borderId="1" xfId="131" applyNumberFormat="1" applyFill="1" applyBorder="1" applyAlignment="1" applyProtection="1">
      <protection locked="0"/>
    </xf>
    <xf numFmtId="171" fontId="40" fillId="30" borderId="0" xfId="0" applyNumberFormat="1" applyFont="1" applyFill="1" applyBorder="1" applyProtection="1">
      <protection locked="0"/>
    </xf>
    <xf numFmtId="170" fontId="4" fillId="30" borderId="0" xfId="0" applyNumberFormat="1" applyFont="1" applyFill="1" applyBorder="1" applyProtection="1">
      <protection locked="0"/>
    </xf>
    <xf numFmtId="9" fontId="0" fillId="30" borderId="0" xfId="219" applyFont="1" applyFill="1" applyBorder="1" applyProtection="1">
      <protection locked="0"/>
    </xf>
    <xf numFmtId="9" fontId="8" fillId="30" borderId="0" xfId="219" applyFont="1" applyFill="1" applyBorder="1" applyProtection="1">
      <protection locked="0"/>
    </xf>
    <xf numFmtId="243" fontId="40" fillId="21" borderId="0" xfId="0" applyNumberFormat="1" applyFont="1" applyFill="1" applyBorder="1" applyProtection="1">
      <protection locked="0"/>
    </xf>
    <xf numFmtId="170" fontId="12" fillId="21" borderId="0" xfId="0" applyNumberFormat="1" applyFont="1" applyFill="1" applyBorder="1" applyAlignment="1" applyProtection="1">
      <protection locked="0"/>
    </xf>
    <xf numFmtId="170" fontId="0" fillId="21" borderId="0" xfId="0" applyNumberFormat="1" applyFill="1" applyBorder="1" applyAlignment="1" applyProtection="1">
      <protection locked="0"/>
    </xf>
    <xf numFmtId="170" fontId="0" fillId="17" borderId="1" xfId="0" applyNumberFormat="1" applyFill="1" applyBorder="1" applyAlignment="1" applyProtection="1">
      <protection locked="0"/>
    </xf>
    <xf numFmtId="170" fontId="0" fillId="21" borderId="1" xfId="0" applyNumberFormat="1" applyFill="1" applyBorder="1" applyAlignment="1" applyProtection="1">
      <protection locked="0"/>
    </xf>
    <xf numFmtId="185" fontId="0" fillId="0" borderId="1" xfId="0" applyNumberFormat="1" applyBorder="1" applyAlignment="1" applyProtection="1">
      <protection locked="0"/>
    </xf>
    <xf numFmtId="188" fontId="0" fillId="0" borderId="1" xfId="0" applyNumberFormat="1" applyBorder="1" applyAlignment="1" applyProtection="1">
      <protection locked="0"/>
    </xf>
    <xf numFmtId="170" fontId="7" fillId="0" borderId="1" xfId="0" applyNumberFormat="1" applyFont="1" applyFill="1" applyBorder="1" applyAlignment="1" applyProtection="1">
      <protection locked="0"/>
    </xf>
    <xf numFmtId="171" fontId="40" fillId="0" borderId="1" xfId="0" applyNumberFormat="1" applyFont="1" applyFill="1" applyBorder="1" applyAlignment="1" applyProtection="1">
      <protection locked="0"/>
    </xf>
    <xf numFmtId="171" fontId="40" fillId="0" borderId="1" xfId="0" applyNumberFormat="1" applyFont="1" applyBorder="1" applyAlignment="1" applyProtection="1">
      <protection locked="0"/>
    </xf>
    <xf numFmtId="170" fontId="4" fillId="0" borderId="1" xfId="0" applyNumberFormat="1" applyFont="1" applyBorder="1" applyAlignment="1" applyProtection="1">
      <protection locked="0"/>
    </xf>
    <xf numFmtId="170" fontId="0" fillId="0" borderId="1" xfId="0" applyNumberFormat="1" applyBorder="1" applyAlignment="1" applyProtection="1">
      <protection locked="0"/>
    </xf>
    <xf numFmtId="171" fontId="157" fillId="0" borderId="1" xfId="0" applyNumberFormat="1" applyFont="1" applyFill="1" applyBorder="1" applyAlignment="1" applyProtection="1">
      <protection locked="0"/>
    </xf>
    <xf numFmtId="185" fontId="157" fillId="0" borderId="1" xfId="0" applyNumberFormat="1" applyFont="1" applyBorder="1" applyAlignment="1" applyProtection="1">
      <protection locked="0"/>
    </xf>
    <xf numFmtId="170" fontId="7" fillId="0" borderId="1" xfId="0" applyNumberFormat="1" applyFont="1" applyBorder="1" applyAlignment="1" applyProtection="1">
      <protection locked="0"/>
    </xf>
    <xf numFmtId="191" fontId="4" fillId="0" borderId="1" xfId="219" applyNumberFormat="1" applyFont="1" applyBorder="1" applyAlignment="1" applyProtection="1">
      <protection locked="0"/>
    </xf>
    <xf numFmtId="170" fontId="180" fillId="0" borderId="1" xfId="0" applyNumberFormat="1" applyFont="1" applyBorder="1" applyAlignment="1" applyProtection="1">
      <protection locked="0"/>
    </xf>
    <xf numFmtId="183" fontId="12" fillId="0" borderId="1" xfId="0" applyNumberFormat="1" applyFont="1" applyFill="1" applyBorder="1" applyAlignment="1" applyProtection="1">
      <protection locked="0"/>
    </xf>
    <xf numFmtId="185" fontId="180" fillId="0" borderId="1" xfId="0" applyNumberFormat="1" applyFont="1" applyFill="1" applyBorder="1" applyAlignment="1" applyProtection="1">
      <protection locked="0"/>
    </xf>
    <xf numFmtId="170" fontId="0" fillId="0" borderId="1" xfId="0" applyNumberFormat="1" applyFill="1" applyBorder="1" applyAlignment="1" applyProtection="1">
      <protection locked="0"/>
    </xf>
    <xf numFmtId="183" fontId="0" fillId="0" borderId="1" xfId="0" applyNumberFormat="1" applyBorder="1" applyAlignment="1" applyProtection="1">
      <protection locked="0"/>
    </xf>
    <xf numFmtId="171" fontId="0" fillId="0" borderId="1" xfId="0" applyNumberFormat="1" applyBorder="1" applyAlignment="1" applyProtection="1">
      <protection locked="0"/>
    </xf>
    <xf numFmtId="171" fontId="0" fillId="0" borderId="1" xfId="0" applyNumberFormat="1" applyFill="1" applyBorder="1" applyAlignment="1" applyProtection="1">
      <protection locked="0"/>
    </xf>
    <xf numFmtId="170" fontId="0" fillId="0" borderId="43" xfId="0" applyNumberFormat="1" applyBorder="1" applyAlignment="1" applyProtection="1">
      <protection locked="0"/>
    </xf>
    <xf numFmtId="171" fontId="157" fillId="0" borderId="1" xfId="0" applyNumberFormat="1" applyFont="1" applyBorder="1" applyAlignment="1" applyProtection="1">
      <protection locked="0"/>
    </xf>
    <xf numFmtId="170" fontId="158" fillId="0" borderId="1" xfId="0" applyNumberFormat="1" applyFont="1" applyBorder="1" applyAlignment="1" applyProtection="1">
      <protection locked="0"/>
    </xf>
    <xf numFmtId="191" fontId="0" fillId="0" borderId="1" xfId="0" applyNumberFormat="1" applyBorder="1" applyAlignment="1" applyProtection="1">
      <protection locked="0"/>
    </xf>
    <xf numFmtId="184" fontId="0" fillId="0" borderId="1" xfId="0" applyNumberFormat="1" applyBorder="1" applyAlignment="1" applyProtection="1">
      <protection locked="0"/>
    </xf>
    <xf numFmtId="37" fontId="0" fillId="0" borderId="1" xfId="60" applyNumberFormat="1" applyFont="1" applyBorder="1" applyAlignment="1" applyProtection="1">
      <protection locked="0"/>
    </xf>
    <xf numFmtId="37" fontId="0" fillId="0" borderId="1" xfId="0" applyNumberFormat="1" applyFill="1" applyBorder="1" applyAlignment="1" applyProtection="1">
      <protection locked="0"/>
    </xf>
    <xf numFmtId="170" fontId="4" fillId="0" borderId="1" xfId="0" applyNumberFormat="1" applyFont="1" applyFill="1" applyBorder="1" applyAlignment="1" applyProtection="1">
      <protection locked="0"/>
    </xf>
    <xf numFmtId="9" fontId="0" fillId="0" borderId="1" xfId="219" applyFont="1" applyFill="1" applyBorder="1" applyAlignment="1" applyProtection="1">
      <protection locked="0"/>
    </xf>
    <xf numFmtId="37" fontId="4" fillId="0" borderId="1" xfId="0" applyNumberFormat="1" applyFont="1" applyBorder="1" applyAlignment="1" applyProtection="1">
      <protection locked="0"/>
    </xf>
    <xf numFmtId="187" fontId="0" fillId="0" borderId="1" xfId="60" applyNumberFormat="1" applyFont="1" applyBorder="1" applyAlignment="1" applyProtection="1">
      <protection locked="0"/>
    </xf>
    <xf numFmtId="185" fontId="180" fillId="0" borderId="1" xfId="0" applyNumberFormat="1" applyFont="1" applyBorder="1" applyAlignment="1" applyProtection="1">
      <protection locked="0"/>
    </xf>
    <xf numFmtId="37" fontId="0" fillId="0" borderId="1" xfId="0" applyNumberFormat="1" applyBorder="1" applyAlignment="1" applyProtection="1">
      <protection locked="0"/>
    </xf>
    <xf numFmtId="171" fontId="40" fillId="0" borderId="34" xfId="0" applyNumberFormat="1" applyFont="1" applyBorder="1" applyAlignment="1" applyProtection="1">
      <protection locked="0"/>
    </xf>
    <xf numFmtId="170" fontId="0" fillId="0" borderId="34" xfId="0" applyNumberFormat="1" applyBorder="1" applyAlignment="1" applyProtection="1">
      <protection locked="0"/>
    </xf>
    <xf numFmtId="170" fontId="0" fillId="0" borderId="0" xfId="0" applyNumberFormat="1" applyBorder="1" applyAlignment="1" applyProtection="1">
      <protection locked="0"/>
    </xf>
    <xf numFmtId="183" fontId="0" fillId="21" borderId="1" xfId="0" applyNumberFormat="1" applyFill="1" applyBorder="1" applyProtection="1">
      <protection locked="0"/>
    </xf>
    <xf numFmtId="170" fontId="38" fillId="0" borderId="65" xfId="0" applyNumberFormat="1" applyFont="1" applyFill="1" applyBorder="1" applyAlignment="1" applyProtection="1">
      <alignment horizontal="left" vertical="center"/>
      <protection locked="0"/>
    </xf>
    <xf numFmtId="170" fontId="7" fillId="0" borderId="65" xfId="0" applyNumberFormat="1" applyFont="1" applyFill="1" applyBorder="1" applyAlignment="1" applyProtection="1">
      <alignment horizontal="left" vertical="center"/>
      <protection locked="0"/>
    </xf>
    <xf numFmtId="174" fontId="54" fillId="0" borderId="0" xfId="0" applyNumberFormat="1" applyFont="1"/>
    <xf numFmtId="0" fontId="3" fillId="0" borderId="0" xfId="0" applyFont="1"/>
    <xf numFmtId="9" fontId="3" fillId="0" borderId="0" xfId="0" applyNumberFormat="1" applyFont="1"/>
    <xf numFmtId="37" fontId="3" fillId="0" borderId="1" xfId="60" applyNumberFormat="1" applyFont="1" applyBorder="1" applyProtection="1">
      <protection locked="0"/>
    </xf>
    <xf numFmtId="185" fontId="0" fillId="21" borderId="0" xfId="0" applyNumberFormat="1" applyFill="1" applyBorder="1" applyProtection="1">
      <protection locked="0"/>
    </xf>
    <xf numFmtId="170" fontId="0" fillId="0" borderId="45" xfId="0" applyNumberFormat="1" applyBorder="1" applyProtection="1">
      <protection locked="0"/>
    </xf>
    <xf numFmtId="170" fontId="0" fillId="0" borderId="46" xfId="0" applyNumberFormat="1" applyBorder="1" applyProtection="1">
      <protection locked="0"/>
    </xf>
    <xf numFmtId="170" fontId="181" fillId="30" borderId="0" xfId="0" applyNumberFormat="1" applyFont="1" applyFill="1" applyBorder="1" applyProtection="1">
      <protection locked="0"/>
    </xf>
    <xf numFmtId="184" fontId="0" fillId="30" borderId="0" xfId="0" applyNumberFormat="1" applyFill="1" applyBorder="1" applyProtection="1">
      <protection locked="0"/>
    </xf>
    <xf numFmtId="170" fontId="0" fillId="30" borderId="0" xfId="0" applyNumberFormat="1" applyFill="1" applyBorder="1" applyProtection="1">
      <protection locked="0"/>
    </xf>
    <xf numFmtId="170" fontId="4" fillId="30" borderId="0" xfId="0" applyNumberFormat="1" applyFont="1" applyFill="1" applyBorder="1" applyAlignment="1" applyProtection="1">
      <alignment horizontal="right"/>
      <protection locked="0"/>
    </xf>
    <xf numFmtId="170" fontId="3" fillId="30" borderId="0" xfId="0" applyNumberFormat="1" applyFont="1" applyFill="1" applyBorder="1" applyProtection="1">
      <protection locked="0"/>
    </xf>
    <xf numFmtId="171" fontId="3" fillId="0" borderId="1" xfId="0" applyNumberFormat="1" applyFont="1" applyBorder="1" applyProtection="1">
      <protection locked="0"/>
    </xf>
    <xf numFmtId="187" fontId="3" fillId="0" borderId="1" xfId="60" applyNumberFormat="1" applyFont="1" applyBorder="1" applyProtection="1">
      <protection locked="0"/>
    </xf>
    <xf numFmtId="0" fontId="19" fillId="32" borderId="12" xfId="0" applyFont="1" applyFill="1" applyBorder="1"/>
    <xf numFmtId="170" fontId="19" fillId="32" borderId="12" xfId="0" applyNumberFormat="1" applyFont="1" applyFill="1" applyBorder="1" applyAlignment="1">
      <alignment horizontal="right"/>
    </xf>
    <xf numFmtId="170" fontId="19" fillId="32" borderId="12" xfId="0" applyNumberFormat="1" applyFont="1" applyFill="1" applyBorder="1" applyAlignment="1"/>
    <xf numFmtId="188" fontId="6" fillId="0" borderId="0" xfId="60" applyNumberFormat="1" applyFont="1" applyAlignment="1">
      <alignment horizontal="left" indent="1"/>
    </xf>
    <xf numFmtId="190" fontId="47" fillId="0" borderId="0" xfId="0" applyNumberFormat="1" applyFont="1" applyAlignment="1">
      <alignment horizontal="right"/>
    </xf>
    <xf numFmtId="170" fontId="4" fillId="21" borderId="0" xfId="0" applyNumberFormat="1" applyFont="1" applyFill="1" applyBorder="1" applyAlignment="1" applyProtection="1">
      <alignment horizontal="left"/>
      <protection locked="0"/>
    </xf>
    <xf numFmtId="183" fontId="0" fillId="0" borderId="34" xfId="0" applyNumberFormat="1" applyBorder="1" applyProtection="1">
      <protection locked="0"/>
    </xf>
    <xf numFmtId="0" fontId="183" fillId="0" borderId="0" xfId="0" applyFont="1"/>
    <xf numFmtId="4" fontId="6" fillId="0" borderId="0" xfId="0" applyNumberFormat="1" applyFont="1"/>
    <xf numFmtId="1" fontId="63" fillId="0" borderId="0" xfId="0" applyNumberFormat="1" applyFont="1"/>
    <xf numFmtId="1" fontId="47" fillId="0" borderId="0" xfId="0" applyNumberFormat="1" applyFont="1"/>
    <xf numFmtId="0" fontId="6" fillId="0" borderId="7" xfId="0" applyFont="1" applyBorder="1"/>
    <xf numFmtId="0" fontId="63" fillId="0" borderId="7" xfId="0" applyFont="1" applyBorder="1"/>
    <xf numFmtId="0" fontId="19" fillId="0" borderId="7" xfId="0" applyFont="1" applyBorder="1" applyAlignment="1">
      <alignment horizontal="right"/>
    </xf>
    <xf numFmtId="37" fontId="63" fillId="0" borderId="7" xfId="0" applyNumberFormat="1" applyFont="1" applyBorder="1"/>
    <xf numFmtId="37" fontId="19" fillId="0" borderId="7" xfId="0" applyNumberFormat="1" applyFont="1" applyBorder="1"/>
    <xf numFmtId="1" fontId="6" fillId="0" borderId="0" xfId="0" applyNumberFormat="1" applyFont="1"/>
    <xf numFmtId="188" fontId="21" fillId="0" borderId="0" xfId="60" applyNumberFormat="1" applyFont="1" applyAlignment="1">
      <alignment vertical="center"/>
    </xf>
    <xf numFmtId="0" fontId="21" fillId="0" borderId="0" xfId="0" applyFont="1" applyAlignment="1">
      <alignment wrapText="1"/>
    </xf>
    <xf numFmtId="170" fontId="13" fillId="17" borderId="51" xfId="0" applyNumberFormat="1" applyFont="1" applyFill="1" applyBorder="1" applyAlignment="1" applyProtection="1">
      <alignment horizontal="center"/>
      <protection locked="0"/>
    </xf>
    <xf numFmtId="174" fontId="47" fillId="0" borderId="0" xfId="0" applyNumberFormat="1" applyFont="1"/>
    <xf numFmtId="9" fontId="175" fillId="0" borderId="0" xfId="194" applyNumberFormat="1" applyFont="1"/>
    <xf numFmtId="9" fontId="175" fillId="0" borderId="0" xfId="194" quotePrefix="1" applyNumberFormat="1" applyFont="1"/>
    <xf numFmtId="170" fontId="3" fillId="21" borderId="1" xfId="0" applyNumberFormat="1" applyFont="1" applyFill="1" applyBorder="1" applyProtection="1">
      <protection locked="0"/>
    </xf>
    <xf numFmtId="170" fontId="3" fillId="21" borderId="1" xfId="0" applyNumberFormat="1" applyFont="1" applyFill="1" applyBorder="1" applyAlignment="1" applyProtection="1">
      <protection locked="0"/>
    </xf>
    <xf numFmtId="170" fontId="3" fillId="21" borderId="0" xfId="0" applyNumberFormat="1" applyFont="1" applyFill="1" applyBorder="1" applyProtection="1">
      <protection locked="0"/>
    </xf>
    <xf numFmtId="170" fontId="3" fillId="21" borderId="0" xfId="0" applyNumberFormat="1" applyFont="1" applyFill="1" applyBorder="1" applyAlignment="1" applyProtection="1">
      <protection locked="0"/>
    </xf>
    <xf numFmtId="170" fontId="3" fillId="0" borderId="0" xfId="0" applyNumberFormat="1" applyFont="1" applyFill="1" applyBorder="1" applyProtection="1">
      <protection locked="0"/>
    </xf>
    <xf numFmtId="185" fontId="3" fillId="21" borderId="1" xfId="0" applyNumberFormat="1" applyFont="1" applyFill="1" applyBorder="1" applyProtection="1">
      <protection locked="0"/>
    </xf>
    <xf numFmtId="170" fontId="3" fillId="0" borderId="0" xfId="0" applyNumberFormat="1" applyFont="1" applyBorder="1" applyProtection="1">
      <protection locked="0"/>
    </xf>
    <xf numFmtId="185" fontId="0" fillId="30" borderId="1" xfId="0" applyNumberFormat="1" applyFill="1" applyBorder="1" applyProtection="1">
      <protection locked="0"/>
    </xf>
    <xf numFmtId="188" fontId="0" fillId="30" borderId="1" xfId="0" applyNumberFormat="1" applyFill="1" applyBorder="1" applyProtection="1">
      <protection locked="0"/>
    </xf>
    <xf numFmtId="170" fontId="3" fillId="30" borderId="1" xfId="0" applyNumberFormat="1" applyFont="1" applyFill="1" applyBorder="1" applyProtection="1">
      <protection locked="0"/>
    </xf>
    <xf numFmtId="170" fontId="0" fillId="30" borderId="1" xfId="0" applyNumberFormat="1" applyFill="1" applyBorder="1" applyProtection="1">
      <protection locked="0"/>
    </xf>
    <xf numFmtId="170" fontId="4" fillId="30" borderId="1" xfId="0" applyNumberFormat="1" applyFont="1" applyFill="1" applyBorder="1" applyProtection="1">
      <protection locked="0"/>
    </xf>
    <xf numFmtId="171" fontId="40" fillId="30" borderId="1" xfId="0" applyNumberFormat="1" applyFont="1" applyFill="1" applyBorder="1" applyProtection="1">
      <protection locked="0"/>
    </xf>
    <xf numFmtId="170" fontId="7" fillId="30" borderId="1" xfId="0" applyNumberFormat="1" applyFont="1" applyFill="1" applyBorder="1" applyProtection="1">
      <protection locked="0"/>
    </xf>
    <xf numFmtId="191" fontId="4" fillId="30" borderId="1" xfId="219" applyNumberFormat="1" applyFont="1" applyFill="1" applyBorder="1" applyProtection="1">
      <protection locked="0"/>
    </xf>
    <xf numFmtId="170" fontId="3" fillId="0" borderId="44" xfId="0" applyNumberFormat="1" applyFont="1" applyBorder="1" applyAlignment="1" applyProtection="1">
      <alignment horizontal="center"/>
      <protection locked="0"/>
    </xf>
    <xf numFmtId="170" fontId="3" fillId="0" borderId="51" xfId="0" applyNumberFormat="1" applyFont="1" applyBorder="1" applyAlignment="1" applyProtection="1">
      <alignment horizontal="center"/>
      <protection locked="0"/>
    </xf>
    <xf numFmtId="191" fontId="0" fillId="30" borderId="1" xfId="0" applyNumberFormat="1" applyFill="1" applyBorder="1" applyProtection="1">
      <protection locked="0"/>
    </xf>
    <xf numFmtId="9" fontId="3" fillId="0" borderId="1" xfId="0" applyNumberFormat="1" applyFont="1" applyBorder="1" applyProtection="1">
      <protection locked="0"/>
    </xf>
    <xf numFmtId="9" fontId="3" fillId="0" borderId="1" xfId="0" applyNumberFormat="1" applyFont="1" applyBorder="1" applyAlignment="1" applyProtection="1">
      <protection locked="0"/>
    </xf>
    <xf numFmtId="185" fontId="3" fillId="0" borderId="1" xfId="0" applyNumberFormat="1" applyFont="1" applyFill="1" applyBorder="1" applyProtection="1">
      <protection locked="0"/>
    </xf>
    <xf numFmtId="170" fontId="3" fillId="21" borderId="34" xfId="0" applyNumberFormat="1" applyFont="1" applyFill="1" applyBorder="1" applyProtection="1">
      <protection locked="0"/>
    </xf>
    <xf numFmtId="170" fontId="3" fillId="21" borderId="45" xfId="0" applyNumberFormat="1" applyFont="1" applyFill="1" applyBorder="1" applyProtection="1">
      <protection locked="0"/>
    </xf>
    <xf numFmtId="170" fontId="3" fillId="21" borderId="46" xfId="0" applyNumberFormat="1" applyFont="1" applyFill="1" applyBorder="1" applyProtection="1">
      <protection locked="0"/>
    </xf>
    <xf numFmtId="170" fontId="3" fillId="21" borderId="34" xfId="0" applyNumberFormat="1" applyFont="1" applyFill="1" applyBorder="1" applyAlignment="1" applyProtection="1">
      <protection locked="0"/>
    </xf>
    <xf numFmtId="170" fontId="3" fillId="21" borderId="99" xfId="0" applyNumberFormat="1" applyFont="1" applyFill="1" applyBorder="1" applyProtection="1">
      <protection locked="0"/>
    </xf>
    <xf numFmtId="185" fontId="3" fillId="30" borderId="0" xfId="0" applyNumberFormat="1" applyFont="1" applyFill="1" applyBorder="1" applyProtection="1">
      <protection locked="0"/>
    </xf>
    <xf numFmtId="170" fontId="3" fillId="21" borderId="10" xfId="0" applyNumberFormat="1" applyFont="1" applyFill="1" applyBorder="1" applyProtection="1">
      <protection locked="0"/>
    </xf>
    <xf numFmtId="170" fontId="3" fillId="0" borderId="34" xfId="0" applyNumberFormat="1" applyFont="1" applyFill="1" applyBorder="1" applyProtection="1">
      <protection locked="0"/>
    </xf>
    <xf numFmtId="170" fontId="3" fillId="0" borderId="34" xfId="0" applyNumberFormat="1" applyFont="1" applyBorder="1" applyProtection="1">
      <protection locked="0"/>
    </xf>
    <xf numFmtId="170" fontId="3" fillId="0" borderId="34" xfId="0" applyNumberFormat="1" applyFont="1" applyBorder="1" applyAlignment="1" applyProtection="1">
      <protection locked="0"/>
    </xf>
    <xf numFmtId="170" fontId="40" fillId="0" borderId="1" xfId="0" applyNumberFormat="1" applyFont="1" applyBorder="1" applyProtection="1">
      <protection locked="0"/>
    </xf>
    <xf numFmtId="170" fontId="40" fillId="0" borderId="1" xfId="0" applyNumberFormat="1" applyFont="1" applyFill="1" applyBorder="1" applyProtection="1">
      <protection locked="0"/>
    </xf>
    <xf numFmtId="170" fontId="40" fillId="0" borderId="44" xfId="0" applyNumberFormat="1" applyFont="1" applyBorder="1" applyProtection="1">
      <protection locked="0"/>
    </xf>
    <xf numFmtId="170" fontId="40" fillId="21" borderId="46" xfId="0" applyNumberFormat="1" applyFont="1" applyFill="1" applyBorder="1" applyProtection="1">
      <protection locked="0"/>
    </xf>
    <xf numFmtId="170" fontId="40" fillId="21" borderId="1" xfId="0" applyNumberFormat="1" applyFont="1" applyFill="1" applyBorder="1" applyProtection="1">
      <protection locked="0"/>
    </xf>
    <xf numFmtId="170" fontId="40" fillId="21" borderId="0" xfId="0" applyNumberFormat="1" applyFont="1" applyFill="1" applyBorder="1" applyProtection="1">
      <protection locked="0"/>
    </xf>
    <xf numFmtId="170" fontId="40" fillId="0" borderId="0" xfId="0" applyNumberFormat="1" applyFont="1" applyFill="1" applyBorder="1" applyProtection="1">
      <protection locked="0"/>
    </xf>
    <xf numFmtId="0" fontId="160" fillId="21" borderId="0" xfId="0" applyFont="1" applyFill="1" applyBorder="1" applyAlignment="1"/>
    <xf numFmtId="0" fontId="160" fillId="21" borderId="0" xfId="0" applyFont="1" applyFill="1" applyBorder="1" applyAlignment="1">
      <alignment horizontal="right"/>
    </xf>
    <xf numFmtId="170" fontId="3" fillId="0" borderId="1" xfId="0" applyNumberFormat="1" applyFont="1" applyBorder="1" applyAlignment="1" applyProtection="1">
      <protection locked="0"/>
    </xf>
    <xf numFmtId="191" fontId="3" fillId="0" borderId="1" xfId="0" applyNumberFormat="1" applyFont="1" applyFill="1" applyBorder="1" applyProtection="1">
      <protection locked="0"/>
    </xf>
    <xf numFmtId="3" fontId="160" fillId="21" borderId="0" xfId="0" applyNumberFormat="1" applyFont="1" applyFill="1" applyBorder="1" applyAlignment="1">
      <alignment horizontal="right"/>
    </xf>
    <xf numFmtId="218" fontId="160" fillId="21" borderId="0" xfId="0" applyNumberFormat="1" applyFont="1" applyFill="1" applyBorder="1" applyAlignment="1">
      <alignment horizontal="right"/>
    </xf>
    <xf numFmtId="3" fontId="160" fillId="21" borderId="0" xfId="0" applyNumberFormat="1" applyFont="1" applyFill="1" applyBorder="1" applyAlignment="1"/>
    <xf numFmtId="0" fontId="160" fillId="21" borderId="0" xfId="0" applyFont="1" applyFill="1" applyBorder="1"/>
    <xf numFmtId="3" fontId="162" fillId="21" borderId="0" xfId="0" applyNumberFormat="1" applyFont="1" applyFill="1" applyBorder="1" applyAlignment="1">
      <alignment horizontal="left"/>
    </xf>
    <xf numFmtId="0" fontId="162" fillId="21" borderId="0" xfId="0" applyFont="1" applyFill="1" applyBorder="1"/>
    <xf numFmtId="3" fontId="162" fillId="21" borderId="0" xfId="0" applyNumberFormat="1" applyFont="1" applyFill="1" applyBorder="1" applyAlignment="1">
      <alignment horizontal="right"/>
    </xf>
    <xf numFmtId="9" fontId="162" fillId="21" borderId="0" xfId="0" applyNumberFormat="1" applyFont="1" applyFill="1" applyBorder="1" applyAlignment="1">
      <alignment horizontal="right"/>
    </xf>
    <xf numFmtId="188" fontId="160" fillId="21" borderId="0" xfId="60" applyNumberFormat="1" applyFont="1" applyFill="1" applyBorder="1" applyAlignment="1">
      <alignment horizontal="right"/>
    </xf>
    <xf numFmtId="170" fontId="8" fillId="0" borderId="43" xfId="0" applyNumberFormat="1" applyFont="1" applyBorder="1" applyProtection="1">
      <protection locked="0"/>
    </xf>
    <xf numFmtId="9" fontId="8" fillId="0" borderId="43" xfId="0" applyNumberFormat="1" applyFont="1" applyBorder="1" applyProtection="1">
      <protection locked="0"/>
    </xf>
    <xf numFmtId="9" fontId="8" fillId="0" borderId="43" xfId="0" applyNumberFormat="1" applyFont="1" applyBorder="1" applyAlignment="1" applyProtection="1">
      <protection locked="0"/>
    </xf>
    <xf numFmtId="0" fontId="17" fillId="0" borderId="0" xfId="194" applyFont="1"/>
    <xf numFmtId="0" fontId="67" fillId="0" borderId="0" xfId="194" applyFont="1"/>
    <xf numFmtId="37" fontId="17" fillId="0" borderId="0" xfId="194" applyNumberFormat="1" applyFont="1"/>
    <xf numFmtId="188" fontId="75" fillId="0" borderId="0" xfId="60" applyNumberFormat="1" applyFont="1"/>
    <xf numFmtId="9" fontId="75" fillId="0" borderId="0" xfId="194" applyNumberFormat="1"/>
    <xf numFmtId="1" fontId="21" fillId="0" borderId="0" xfId="0" applyNumberFormat="1" applyFont="1" applyAlignment="1">
      <alignment horizontal="right"/>
    </xf>
    <xf numFmtId="190" fontId="21" fillId="0" borderId="0" xfId="0" applyNumberFormat="1" applyFont="1" applyAlignment="1">
      <alignment horizontal="right"/>
    </xf>
    <xf numFmtId="37" fontId="21" fillId="0" borderId="0" xfId="0" applyNumberFormat="1" applyFont="1" applyAlignment="1">
      <alignment vertical="center"/>
    </xf>
    <xf numFmtId="37" fontId="21" fillId="0" borderId="0" xfId="0" applyNumberFormat="1" applyFont="1"/>
    <xf numFmtId="0" fontId="21" fillId="0" borderId="0" xfId="0" applyFont="1" applyAlignment="1">
      <alignment horizontal="left" indent="1"/>
    </xf>
    <xf numFmtId="0" fontId="21" fillId="0" borderId="0" xfId="0" applyFont="1" applyAlignment="1">
      <alignment horizontal="right" wrapText="1"/>
    </xf>
    <xf numFmtId="0" fontId="19" fillId="0" borderId="0" xfId="0" applyFont="1" applyAlignment="1">
      <alignment horizontal="left" indent="1"/>
    </xf>
    <xf numFmtId="185" fontId="21" fillId="0" borderId="0" xfId="0" applyNumberFormat="1" applyFont="1" applyAlignment="1">
      <alignment horizontal="right"/>
    </xf>
    <xf numFmtId="171" fontId="21" fillId="0" borderId="0" xfId="0" applyNumberFormat="1" applyFont="1" applyAlignment="1">
      <alignment horizontal="right"/>
    </xf>
    <xf numFmtId="191" fontId="63" fillId="0" borderId="0" xfId="0" applyNumberFormat="1" applyFont="1"/>
    <xf numFmtId="191" fontId="21" fillId="0" borderId="0" xfId="0" applyNumberFormat="1" applyFont="1" applyAlignment="1">
      <alignment horizontal="right"/>
    </xf>
    <xf numFmtId="9" fontId="21" fillId="0" borderId="0" xfId="0" applyNumberFormat="1" applyFont="1" applyAlignment="1">
      <alignment horizontal="right"/>
    </xf>
    <xf numFmtId="188" fontId="21" fillId="0" borderId="0" xfId="60" applyNumberFormat="1" applyFont="1" applyAlignment="1">
      <alignment horizontal="right"/>
    </xf>
    <xf numFmtId="188" fontId="21" fillId="0" borderId="0" xfId="0" applyNumberFormat="1" applyFont="1" applyAlignment="1">
      <alignment horizontal="right"/>
    </xf>
    <xf numFmtId="185" fontId="180" fillId="31" borderId="1" xfId="0" applyNumberFormat="1" applyFont="1" applyFill="1" applyBorder="1" applyProtection="1">
      <protection locked="0"/>
    </xf>
    <xf numFmtId="188" fontId="6" fillId="0" borderId="0" xfId="60" applyNumberFormat="1" applyFont="1" applyFill="1" applyBorder="1"/>
    <xf numFmtId="188" fontId="47" fillId="0" borderId="0" xfId="0" applyNumberFormat="1" applyFont="1" applyFill="1" applyBorder="1"/>
    <xf numFmtId="0" fontId="6" fillId="0" borderId="0" xfId="0" applyFont="1" applyFill="1" applyBorder="1"/>
    <xf numFmtId="170" fontId="180" fillId="0" borderId="1" xfId="0" applyNumberFormat="1" applyFont="1" applyFill="1" applyBorder="1" applyProtection="1">
      <protection locked="0"/>
    </xf>
    <xf numFmtId="9" fontId="0" fillId="30" borderId="0" xfId="0" applyNumberFormat="1" applyFill="1" applyBorder="1" applyProtection="1">
      <protection locked="0"/>
    </xf>
    <xf numFmtId="9" fontId="0" fillId="0" borderId="34" xfId="0" applyNumberFormat="1" applyBorder="1" applyProtection="1">
      <protection locked="0"/>
    </xf>
    <xf numFmtId="37" fontId="3" fillId="0" borderId="1" xfId="60" applyNumberFormat="1" applyFont="1" applyFill="1" applyBorder="1" applyProtection="1">
      <protection locked="0"/>
    </xf>
    <xf numFmtId="37" fontId="3" fillId="0" borderId="1" xfId="0" applyNumberFormat="1" applyFont="1" applyFill="1" applyBorder="1" applyProtection="1">
      <protection locked="0"/>
    </xf>
    <xf numFmtId="9" fontId="3" fillId="0" borderId="1" xfId="0" applyNumberFormat="1" applyFont="1" applyFill="1" applyBorder="1" applyProtection="1">
      <protection locked="0"/>
    </xf>
    <xf numFmtId="170" fontId="180" fillId="30" borderId="1" xfId="0" applyNumberFormat="1" applyFont="1" applyFill="1" applyBorder="1" applyProtection="1">
      <protection locked="0"/>
    </xf>
    <xf numFmtId="183" fontId="0" fillId="30" borderId="1" xfId="0" applyNumberFormat="1" applyFill="1" applyBorder="1" applyProtection="1">
      <protection locked="0"/>
    </xf>
    <xf numFmtId="170" fontId="4" fillId="21" borderId="0" xfId="0" applyNumberFormat="1" applyFont="1" applyFill="1" applyBorder="1" applyAlignment="1" applyProtection="1">
      <alignment horizontal="left" indent="1"/>
      <protection locked="0"/>
    </xf>
    <xf numFmtId="170" fontId="3" fillId="21" borderId="0" xfId="0" applyNumberFormat="1" applyFont="1" applyFill="1" applyBorder="1" applyAlignment="1" applyProtection="1">
      <alignment horizontal="center"/>
      <protection locked="0"/>
    </xf>
    <xf numFmtId="170" fontId="3" fillId="21" borderId="0" xfId="0" applyNumberFormat="1" applyFont="1" applyFill="1" applyBorder="1" applyAlignment="1" applyProtection="1">
      <alignment horizontal="left" indent="1"/>
      <protection locked="0"/>
    </xf>
    <xf numFmtId="0" fontId="19" fillId="0" borderId="17" xfId="343" applyFont="1" applyFill="1" applyBorder="1"/>
    <xf numFmtId="0" fontId="19" fillId="0" borderId="17" xfId="343" applyFont="1" applyFill="1" applyBorder="1" applyAlignment="1">
      <alignment horizontal="center"/>
    </xf>
    <xf numFmtId="0" fontId="21" fillId="0" borderId="17" xfId="343" applyFont="1" applyFill="1" applyBorder="1" applyAlignment="1">
      <alignment horizontal="center"/>
    </xf>
    <xf numFmtId="0" fontId="21" fillId="0" borderId="0" xfId="343" applyFont="1" applyFill="1" applyBorder="1" applyAlignment="1">
      <alignment horizontal="center"/>
    </xf>
    <xf numFmtId="0" fontId="21" fillId="0" borderId="17" xfId="343" applyFont="1" applyFill="1" applyBorder="1"/>
    <xf numFmtId="0" fontId="21" fillId="0" borderId="0" xfId="343" applyFont="1" applyFill="1" applyBorder="1"/>
    <xf numFmtId="0" fontId="21" fillId="0" borderId="0" xfId="343" applyFont="1" applyFill="1"/>
    <xf numFmtId="0" fontId="19" fillId="0" borderId="17" xfId="343" applyFont="1" applyFill="1" applyBorder="1" applyAlignment="1">
      <alignment horizontal="right"/>
    </xf>
    <xf numFmtId="0" fontId="19" fillId="0" borderId="0" xfId="343" applyFont="1" applyFill="1" applyBorder="1" applyAlignment="1">
      <alignment horizontal="right"/>
    </xf>
    <xf numFmtId="0" fontId="21" fillId="0" borderId="74" xfId="343" applyFont="1" applyFill="1" applyBorder="1"/>
    <xf numFmtId="188" fontId="21" fillId="0" borderId="74" xfId="62" applyNumberFormat="1" applyFont="1" applyFill="1" applyBorder="1"/>
    <xf numFmtId="188" fontId="21" fillId="0" borderId="0" xfId="62" applyNumberFormat="1" applyFont="1" applyFill="1" applyBorder="1"/>
    <xf numFmtId="190" fontId="21" fillId="0" borderId="74" xfId="343" applyNumberFormat="1" applyFont="1" applyFill="1" applyBorder="1"/>
    <xf numFmtId="190" fontId="21" fillId="0" borderId="0" xfId="343" applyNumberFormat="1" applyFont="1" applyFill="1" applyBorder="1"/>
    <xf numFmtId="188" fontId="21" fillId="0" borderId="0" xfId="62" applyNumberFormat="1" applyFont="1" applyFill="1"/>
    <xf numFmtId="188" fontId="21" fillId="0" borderId="0" xfId="343" applyNumberFormat="1" applyFont="1" applyFill="1"/>
    <xf numFmtId="37" fontId="21" fillId="0" borderId="0" xfId="343" applyNumberFormat="1" applyFont="1" applyFill="1" applyBorder="1"/>
    <xf numFmtId="188" fontId="19" fillId="0" borderId="17" xfId="343" applyNumberFormat="1" applyFont="1" applyFill="1" applyBorder="1"/>
    <xf numFmtId="188" fontId="19" fillId="0" borderId="0" xfId="343" applyNumberFormat="1" applyFont="1" applyFill="1" applyBorder="1"/>
    <xf numFmtId="188" fontId="21" fillId="0" borderId="74" xfId="343" applyNumberFormat="1" applyFont="1" applyFill="1" applyBorder="1"/>
    <xf numFmtId="0" fontId="19" fillId="0" borderId="0" xfId="343" applyFont="1" applyFill="1" applyBorder="1"/>
    <xf numFmtId="191" fontId="21" fillId="0" borderId="0" xfId="343" applyNumberFormat="1" applyFont="1" applyFill="1"/>
    <xf numFmtId="0" fontId="19" fillId="0" borderId="0" xfId="343" applyFont="1" applyFill="1"/>
    <xf numFmtId="188" fontId="19" fillId="0" borderId="0" xfId="343" applyNumberFormat="1" applyFont="1" applyFill="1"/>
    <xf numFmtId="0" fontId="19" fillId="0" borderId="12" xfId="343" applyFont="1" applyFill="1" applyBorder="1"/>
    <xf numFmtId="0" fontId="19" fillId="0" borderId="12" xfId="343" applyFont="1" applyFill="1" applyBorder="1" applyAlignment="1">
      <alignment horizontal="right"/>
    </xf>
    <xf numFmtId="37" fontId="21" fillId="0" borderId="74" xfId="343" applyNumberFormat="1" applyFont="1" applyFill="1" applyBorder="1"/>
    <xf numFmtId="1" fontId="21" fillId="0" borderId="0" xfId="343" applyNumberFormat="1" applyFont="1" applyFill="1"/>
    <xf numFmtId="37" fontId="19" fillId="0" borderId="17" xfId="343" applyNumberFormat="1" applyFont="1" applyFill="1" applyBorder="1"/>
    <xf numFmtId="37" fontId="19" fillId="0" borderId="0" xfId="343" applyNumberFormat="1" applyFont="1" applyFill="1" applyBorder="1"/>
    <xf numFmtId="9" fontId="21" fillId="0" borderId="0" xfId="343" applyNumberFormat="1" applyFont="1" applyFill="1"/>
    <xf numFmtId="9" fontId="21" fillId="0" borderId="0" xfId="343" applyNumberFormat="1" applyFont="1" applyFill="1" applyBorder="1"/>
    <xf numFmtId="188" fontId="21" fillId="0" borderId="0" xfId="343" applyNumberFormat="1" applyFont="1" applyFill="1" applyBorder="1"/>
    <xf numFmtId="0" fontId="19" fillId="0" borderId="0" xfId="343" applyFont="1" applyFill="1" applyBorder="1" applyAlignment="1">
      <alignment horizontal="center"/>
    </xf>
    <xf numFmtId="190" fontId="19" fillId="0" borderId="0" xfId="343" applyNumberFormat="1" applyFont="1" applyFill="1" applyBorder="1"/>
    <xf numFmtId="218" fontId="146" fillId="0" borderId="0" xfId="195" applyNumberFormat="1" applyFont="1" applyProtection="1"/>
    <xf numFmtId="185" fontId="3" fillId="21" borderId="0" xfId="0" applyNumberFormat="1" applyFont="1" applyFill="1" applyBorder="1" applyProtection="1">
      <protection locked="0"/>
    </xf>
    <xf numFmtId="188" fontId="6" fillId="0" borderId="0" xfId="0" applyNumberFormat="1" applyFont="1" applyFill="1" applyBorder="1"/>
    <xf numFmtId="0" fontId="69" fillId="0" borderId="0" xfId="0" applyFont="1" applyProtection="1">
      <protection locked="0"/>
    </xf>
    <xf numFmtId="191" fontId="0" fillId="30" borderId="0" xfId="0" applyNumberFormat="1" applyFill="1" applyBorder="1" applyProtection="1">
      <protection locked="0"/>
    </xf>
    <xf numFmtId="37" fontId="19" fillId="0" borderId="17" xfId="343" applyNumberFormat="1" applyFont="1" applyFill="1" applyBorder="1" applyAlignment="1">
      <alignment horizontal="right"/>
    </xf>
    <xf numFmtId="190" fontId="21" fillId="0" borderId="0" xfId="343" applyNumberFormat="1" applyFont="1" applyFill="1"/>
    <xf numFmtId="190" fontId="21" fillId="31" borderId="0" xfId="343" applyNumberFormat="1" applyFont="1" applyFill="1"/>
    <xf numFmtId="39" fontId="0" fillId="0" borderId="1" xfId="0" applyNumberFormat="1" applyBorder="1" applyProtection="1">
      <protection locked="0"/>
    </xf>
    <xf numFmtId="10" fontId="0" fillId="0" borderId="1" xfId="219" applyNumberFormat="1" applyFont="1" applyBorder="1" applyProtection="1">
      <protection locked="0"/>
    </xf>
    <xf numFmtId="187" fontId="20" fillId="0" borderId="0" xfId="60" applyNumberFormat="1" applyFont="1"/>
    <xf numFmtId="188" fontId="20" fillId="0" borderId="0" xfId="60" applyNumberFormat="1" applyFont="1"/>
    <xf numFmtId="9" fontId="7" fillId="0" borderId="1" xfId="0" applyNumberFormat="1" applyFont="1" applyBorder="1" applyProtection="1">
      <protection locked="0"/>
    </xf>
    <xf numFmtId="190" fontId="19" fillId="0" borderId="17" xfId="343" applyNumberFormat="1" applyFont="1" applyFill="1" applyBorder="1"/>
    <xf numFmtId="0" fontId="182" fillId="31" borderId="0" xfId="343" applyFont="1" applyFill="1"/>
    <xf numFmtId="1" fontId="182" fillId="31" borderId="0" xfId="343" applyNumberFormat="1" applyFont="1" applyFill="1"/>
    <xf numFmtId="0" fontId="19" fillId="33" borderId="0" xfId="343" applyFont="1" applyFill="1"/>
    <xf numFmtId="188" fontId="19" fillId="33" borderId="0" xfId="343" applyNumberFormat="1" applyFont="1" applyFill="1"/>
    <xf numFmtId="0" fontId="19" fillId="33" borderId="0" xfId="343" applyFont="1" applyFill="1" applyBorder="1"/>
    <xf numFmtId="169" fontId="21" fillId="0" borderId="0" xfId="343" applyNumberFormat="1" applyFont="1" applyFill="1"/>
    <xf numFmtId="217" fontId="3" fillId="0" borderId="1" xfId="0" applyNumberFormat="1" applyFont="1" applyBorder="1" applyProtection="1">
      <protection locked="0"/>
    </xf>
    <xf numFmtId="170" fontId="180" fillId="0" borderId="1" xfId="0" applyNumberFormat="1" applyFont="1" applyBorder="1" applyProtection="1">
      <protection locked="0"/>
    </xf>
    <xf numFmtId="187" fontId="47" fillId="0" borderId="0" xfId="0" applyNumberFormat="1" applyFont="1"/>
    <xf numFmtId="184" fontId="4" fillId="21" borderId="0" xfId="0" applyNumberFormat="1" applyFont="1" applyFill="1" applyBorder="1" applyProtection="1">
      <protection locked="0"/>
    </xf>
    <xf numFmtId="169" fontId="0" fillId="0" borderId="0" xfId="0" applyNumberFormat="1"/>
    <xf numFmtId="0" fontId="21" fillId="0" borderId="0" xfId="0" applyFont="1" applyAlignment="1">
      <alignment horizontal="right" wrapText="1"/>
    </xf>
    <xf numFmtId="0" fontId="0" fillId="0" borderId="0" xfId="0" applyAlignment="1">
      <alignment horizontal="right" wrapText="1"/>
    </xf>
    <xf numFmtId="0" fontId="19" fillId="0" borderId="0" xfId="0" applyFont="1" applyAlignment="1">
      <alignment horizontal="center" vertical="center"/>
    </xf>
    <xf numFmtId="0" fontId="47" fillId="0" borderId="0" xfId="0" applyFont="1" applyAlignment="1">
      <alignment horizontal="right"/>
    </xf>
    <xf numFmtId="3" fontId="6" fillId="0" borderId="0" xfId="0" applyNumberFormat="1" applyFont="1"/>
    <xf numFmtId="3" fontId="47" fillId="0" borderId="0" xfId="0" applyNumberFormat="1" applyFont="1"/>
    <xf numFmtId="43" fontId="6" fillId="0" borderId="0" xfId="0" applyNumberFormat="1" applyFont="1"/>
    <xf numFmtId="9" fontId="6" fillId="0" borderId="0" xfId="219" applyFont="1"/>
    <xf numFmtId="244" fontId="40" fillId="0" borderId="1" xfId="0" applyNumberFormat="1" applyFont="1" applyBorder="1" applyProtection="1">
      <protection locked="0"/>
    </xf>
    <xf numFmtId="171" fontId="184" fillId="0" borderId="1" xfId="0" applyNumberFormat="1" applyFont="1" applyBorder="1" applyProtection="1">
      <protection locked="0"/>
    </xf>
    <xf numFmtId="171" fontId="184" fillId="0" borderId="1" xfId="0" applyNumberFormat="1" applyFont="1" applyFill="1" applyBorder="1" applyProtection="1">
      <protection locked="0"/>
    </xf>
    <xf numFmtId="171" fontId="184" fillId="30" borderId="1" xfId="0" applyNumberFormat="1" applyFont="1" applyFill="1" applyBorder="1" applyProtection="1">
      <protection locked="0"/>
    </xf>
    <xf numFmtId="170" fontId="184" fillId="0" borderId="1" xfId="0" applyNumberFormat="1" applyFont="1" applyBorder="1" applyProtection="1">
      <protection locked="0"/>
    </xf>
    <xf numFmtId="183" fontId="184" fillId="0" borderId="1" xfId="0" applyNumberFormat="1" applyFont="1" applyFill="1" applyBorder="1" applyProtection="1">
      <protection locked="0"/>
    </xf>
    <xf numFmtId="183" fontId="184" fillId="0" borderId="1" xfId="0" applyNumberFormat="1" applyFont="1" applyBorder="1" applyProtection="1">
      <protection locked="0"/>
    </xf>
    <xf numFmtId="185" fontId="184" fillId="0" borderId="1" xfId="0" applyNumberFormat="1" applyFont="1" applyFill="1" applyBorder="1" applyProtection="1">
      <protection locked="0"/>
    </xf>
    <xf numFmtId="185" fontId="184" fillId="30" borderId="1" xfId="0" applyNumberFormat="1" applyFont="1" applyFill="1" applyBorder="1" applyProtection="1">
      <protection locked="0"/>
    </xf>
    <xf numFmtId="185" fontId="180" fillId="30" borderId="1" xfId="0" applyNumberFormat="1" applyFont="1" applyFill="1" applyBorder="1" applyProtection="1">
      <protection locked="0"/>
    </xf>
    <xf numFmtId="183" fontId="184" fillId="30" borderId="1" xfId="0" applyNumberFormat="1" applyFont="1" applyFill="1" applyBorder="1" applyProtection="1">
      <protection locked="0"/>
    </xf>
    <xf numFmtId="185" fontId="180" fillId="0" borderId="1" xfId="0" applyNumberFormat="1" applyFont="1" applyFill="1" applyBorder="1" applyProtection="1">
      <protection locked="0"/>
    </xf>
    <xf numFmtId="9" fontId="3" fillId="21" borderId="0" xfId="219" applyFont="1" applyFill="1" applyBorder="1" applyProtection="1">
      <protection locked="0"/>
    </xf>
    <xf numFmtId="9" fontId="0" fillId="0" borderId="1" xfId="219" applyFont="1" applyBorder="1" applyProtection="1">
      <protection locked="0"/>
    </xf>
    <xf numFmtId="9" fontId="7" fillId="0" borderId="1" xfId="219" applyFont="1" applyBorder="1" applyProtection="1">
      <protection locked="0"/>
    </xf>
    <xf numFmtId="187" fontId="0" fillId="30" borderId="1" xfId="0" applyNumberFormat="1" applyFill="1" applyBorder="1" applyProtection="1">
      <protection locked="0"/>
    </xf>
    <xf numFmtId="187" fontId="0" fillId="0" borderId="1" xfId="0" applyNumberFormat="1" applyBorder="1" applyProtection="1">
      <protection locked="0"/>
    </xf>
    <xf numFmtId="187" fontId="3" fillId="30" borderId="1" xfId="0" applyNumberFormat="1" applyFont="1" applyFill="1" applyBorder="1" applyProtection="1">
      <protection locked="0"/>
    </xf>
    <xf numFmtId="187" fontId="7" fillId="30" borderId="1" xfId="0" applyNumberFormat="1" applyFont="1" applyFill="1" applyBorder="1" applyProtection="1">
      <protection locked="0"/>
    </xf>
    <xf numFmtId="187" fontId="4" fillId="30" borderId="1" xfId="0" applyNumberFormat="1" applyFont="1" applyFill="1" applyBorder="1" applyProtection="1">
      <protection locked="0"/>
    </xf>
    <xf numFmtId="9" fontId="40" fillId="0" borderId="1" xfId="219" applyFont="1" applyBorder="1" applyProtection="1">
      <protection locked="0"/>
    </xf>
    <xf numFmtId="191" fontId="7" fillId="0" borderId="1" xfId="219" applyNumberFormat="1" applyFont="1" applyBorder="1" applyProtection="1">
      <protection locked="0"/>
    </xf>
    <xf numFmtId="186" fontId="185" fillId="0" borderId="0" xfId="0" applyNumberFormat="1" applyFont="1" applyBorder="1"/>
    <xf numFmtId="186" fontId="185" fillId="0" borderId="0" xfId="0" applyNumberFormat="1" applyFont="1"/>
    <xf numFmtId="186" fontId="186" fillId="0" borderId="0" xfId="0" applyNumberFormat="1" applyFont="1"/>
    <xf numFmtId="186" fontId="185" fillId="0" borderId="0" xfId="0" applyNumberFormat="1" applyFont="1" applyAlignment="1">
      <alignment horizontal="right"/>
    </xf>
    <xf numFmtId="0" fontId="185" fillId="0" borderId="0" xfId="0" applyFont="1"/>
    <xf numFmtId="0" fontId="187" fillId="0" borderId="0" xfId="0" applyFont="1"/>
    <xf numFmtId="0" fontId="188" fillId="0" borderId="0" xfId="0" applyFont="1"/>
    <xf numFmtId="188" fontId="187" fillId="32" borderId="0" xfId="60" applyNumberFormat="1" applyFont="1" applyFill="1"/>
    <xf numFmtId="0" fontId="189" fillId="0" borderId="0" xfId="0" applyFont="1" applyAlignment="1">
      <alignment horizontal="right"/>
    </xf>
    <xf numFmtId="0" fontId="187" fillId="0" borderId="0" xfId="0" applyFont="1" applyAlignment="1">
      <alignment horizontal="right"/>
    </xf>
    <xf numFmtId="0" fontId="185" fillId="31" borderId="27" xfId="0" applyFont="1" applyFill="1" applyBorder="1"/>
    <xf numFmtId="188" fontId="189" fillId="0" borderId="0" xfId="345" applyNumberFormat="1" applyFont="1" applyAlignment="1">
      <alignment horizontal="right"/>
    </xf>
    <xf numFmtId="188" fontId="187" fillId="0" borderId="0" xfId="345" applyNumberFormat="1" applyFont="1" applyAlignment="1">
      <alignment horizontal="right"/>
    </xf>
    <xf numFmtId="188" fontId="187" fillId="0" borderId="0" xfId="345" applyNumberFormat="1" applyFont="1"/>
    <xf numFmtId="0" fontId="185" fillId="0" borderId="0" xfId="0" applyFont="1" applyBorder="1"/>
    <xf numFmtId="188" fontId="188" fillId="0" borderId="0" xfId="345" applyNumberFormat="1" applyFont="1"/>
    <xf numFmtId="187" fontId="189" fillId="0" borderId="0" xfId="345" applyNumberFormat="1" applyFont="1" applyBorder="1" applyAlignment="1">
      <alignment horizontal="right"/>
    </xf>
    <xf numFmtId="187" fontId="187" fillId="0" borderId="0" xfId="60" applyNumberFormat="1" applyFont="1" applyAlignment="1">
      <alignment horizontal="right"/>
    </xf>
    <xf numFmtId="187" fontId="187" fillId="0" borderId="0" xfId="60" applyNumberFormat="1" applyFont="1" applyBorder="1" applyAlignment="1">
      <alignment horizontal="right"/>
    </xf>
    <xf numFmtId="188" fontId="187" fillId="0" borderId="0" xfId="345" applyNumberFormat="1" applyFont="1" applyAlignment="1">
      <alignment horizontal="center"/>
    </xf>
    <xf numFmtId="187" fontId="187" fillId="0" borderId="0" xfId="345" applyNumberFormat="1" applyFont="1"/>
    <xf numFmtId="187" fontId="21" fillId="0" borderId="0" xfId="345" applyNumberFormat="1" applyFont="1"/>
    <xf numFmtId="188" fontId="187" fillId="0" borderId="0" xfId="0" applyNumberFormat="1" applyFont="1"/>
    <xf numFmtId="218" fontId="187" fillId="0" borderId="0" xfId="0" applyNumberFormat="1" applyFont="1" applyAlignment="1">
      <alignment horizontal="center"/>
    </xf>
    <xf numFmtId="3" fontId="187" fillId="32" borderId="0" xfId="0" applyNumberFormat="1" applyFont="1" applyFill="1"/>
    <xf numFmtId="187" fontId="187" fillId="0" borderId="0" xfId="60" applyNumberFormat="1" applyFont="1"/>
    <xf numFmtId="188" fontId="187" fillId="0" borderId="0" xfId="60" applyNumberFormat="1" applyFont="1"/>
    <xf numFmtId="169" fontId="187" fillId="32" borderId="0" xfId="0" applyNumberFormat="1" applyFont="1" applyFill="1"/>
    <xf numFmtId="169" fontId="187" fillId="0" borderId="0" xfId="0" applyNumberFormat="1" applyFont="1"/>
    <xf numFmtId="4" fontId="187" fillId="0" borderId="0" xfId="0" applyNumberFormat="1" applyFont="1"/>
    <xf numFmtId="188" fontId="190" fillId="0" borderId="0" xfId="345" applyNumberFormat="1" applyFont="1"/>
    <xf numFmtId="245" fontId="190" fillId="0" borderId="0" xfId="345" applyNumberFormat="1" applyFont="1"/>
    <xf numFmtId="245" fontId="187" fillId="0" borderId="0" xfId="345" applyNumberFormat="1" applyFont="1"/>
    <xf numFmtId="0" fontId="187" fillId="32" borderId="0" xfId="0" applyFont="1" applyFill="1"/>
    <xf numFmtId="188" fontId="188" fillId="0" borderId="0" xfId="60" applyNumberFormat="1" applyFont="1"/>
    <xf numFmtId="0" fontId="189" fillId="0" borderId="0" xfId="0" applyFont="1"/>
    <xf numFmtId="0" fontId="187" fillId="0" borderId="0" xfId="0" applyFont="1" applyAlignment="1">
      <alignment horizontal="center"/>
    </xf>
    <xf numFmtId="0" fontId="189" fillId="0" borderId="0" xfId="0" applyFont="1" applyAlignment="1">
      <alignment horizontal="center"/>
    </xf>
    <xf numFmtId="169" fontId="187" fillId="0" borderId="0" xfId="0" applyNumberFormat="1" applyFont="1" applyAlignment="1">
      <alignment horizontal="center"/>
    </xf>
    <xf numFmtId="188" fontId="188" fillId="0" borderId="0" xfId="0" applyNumberFormat="1" applyFont="1"/>
    <xf numFmtId="188" fontId="189" fillId="0" borderId="0" xfId="0" applyNumberFormat="1" applyFont="1"/>
    <xf numFmtId="187" fontId="187" fillId="0" borderId="0" xfId="0" applyNumberFormat="1" applyFont="1"/>
    <xf numFmtId="0" fontId="2" fillId="0" borderId="0" xfId="344"/>
    <xf numFmtId="245" fontId="191" fillId="0" borderId="0" xfId="346" applyNumberFormat="1" applyFont="1" applyFill="1" applyBorder="1"/>
    <xf numFmtId="245" fontId="187" fillId="0" borderId="0" xfId="0" applyNumberFormat="1" applyFont="1" applyAlignment="1">
      <alignment horizontal="right"/>
    </xf>
    <xf numFmtId="186" fontId="187" fillId="0" borderId="0" xfId="0" applyNumberFormat="1" applyFont="1"/>
    <xf numFmtId="188" fontId="2" fillId="0" borderId="0" xfId="344" applyNumberFormat="1"/>
    <xf numFmtId="186" fontId="2" fillId="0" borderId="0" xfId="344" applyNumberFormat="1"/>
    <xf numFmtId="188" fontId="189" fillId="0" borderId="0" xfId="345" applyNumberFormat="1" applyFont="1"/>
    <xf numFmtId="188" fontId="186" fillId="0" borderId="0" xfId="345" applyNumberFormat="1" applyFont="1"/>
    <xf numFmtId="187" fontId="187" fillId="0" borderId="0" xfId="345" applyNumberFormat="1" applyFont="1" applyBorder="1" applyAlignment="1">
      <alignment horizontal="right"/>
    </xf>
    <xf numFmtId="188" fontId="189" fillId="32" borderId="0" xfId="0" applyNumberFormat="1" applyFont="1" applyFill="1"/>
    <xf numFmtId="186" fontId="185" fillId="32" borderId="0" xfId="0" applyNumberFormat="1" applyFont="1" applyFill="1" applyAlignment="1">
      <alignment horizontal="right"/>
    </xf>
    <xf numFmtId="188" fontId="0" fillId="0" borderId="0" xfId="0" applyNumberFormat="1" applyBorder="1"/>
    <xf numFmtId="191" fontId="192" fillId="0" borderId="66" xfId="219" applyNumberFormat="1" applyFont="1" applyFill="1" applyBorder="1" applyAlignment="1" applyProtection="1">
      <alignment vertical="center"/>
    </xf>
    <xf numFmtId="9" fontId="52" fillId="0" borderId="0" xfId="219" applyNumberFormat="1" applyFont="1"/>
    <xf numFmtId="0" fontId="0" fillId="0" borderId="12" xfId="0" applyBorder="1"/>
    <xf numFmtId="170" fontId="4" fillId="0" borderId="43" xfId="0" applyNumberFormat="1" applyFont="1" applyBorder="1" applyProtection="1">
      <protection locked="0"/>
    </xf>
    <xf numFmtId="185" fontId="4" fillId="0" borderId="43" xfId="0" applyNumberFormat="1" applyFont="1" applyBorder="1" applyAlignment="1" applyProtection="1">
      <alignment horizontal="right"/>
      <protection locked="0"/>
    </xf>
    <xf numFmtId="170" fontId="0" fillId="0" borderId="1" xfId="0" applyNumberFormat="1" applyBorder="1" applyAlignment="1" applyProtection="1">
      <alignment horizontal="right"/>
      <protection locked="0"/>
    </xf>
    <xf numFmtId="185" fontId="184" fillId="0" borderId="1" xfId="0" applyNumberFormat="1" applyFont="1" applyBorder="1" applyAlignment="1" applyProtection="1">
      <alignment horizontal="right"/>
      <protection locked="0"/>
    </xf>
    <xf numFmtId="170" fontId="3" fillId="0" borderId="1" xfId="0" applyNumberFormat="1" applyFont="1" applyBorder="1" applyAlignment="1" applyProtection="1">
      <alignment horizontal="right"/>
      <protection locked="0"/>
    </xf>
    <xf numFmtId="9" fontId="0" fillId="21" borderId="0" xfId="219" applyFont="1" applyFill="1" applyBorder="1" applyProtection="1">
      <protection locked="0"/>
    </xf>
    <xf numFmtId="38" fontId="19" fillId="0" borderId="0" xfId="253" applyNumberFormat="1" applyFont="1" applyBorder="1"/>
    <xf numFmtId="188" fontId="7" fillId="30" borderId="1" xfId="0" applyNumberFormat="1" applyFont="1" applyFill="1" applyBorder="1" applyProtection="1">
      <protection locked="0"/>
    </xf>
    <xf numFmtId="188" fontId="7" fillId="0" borderId="1" xfId="0" applyNumberFormat="1" applyFont="1" applyFill="1" applyBorder="1" applyProtection="1">
      <protection locked="0"/>
    </xf>
    <xf numFmtId="188" fontId="7" fillId="0" borderId="1" xfId="0" applyNumberFormat="1" applyFont="1" applyBorder="1" applyProtection="1">
      <protection locked="0"/>
    </xf>
    <xf numFmtId="3" fontId="189" fillId="32" borderId="0" xfId="0" applyNumberFormat="1" applyFont="1" applyFill="1"/>
    <xf numFmtId="170" fontId="0" fillId="31" borderId="1" xfId="0" applyNumberFormat="1" applyFill="1" applyBorder="1" applyProtection="1">
      <protection locked="0"/>
    </xf>
    <xf numFmtId="170" fontId="47" fillId="10" borderId="38" xfId="0" applyNumberFormat="1" applyFont="1" applyFill="1" applyBorder="1" applyAlignment="1" applyProtection="1">
      <alignment horizontal="right"/>
      <protection locked="0"/>
    </xf>
    <xf numFmtId="218" fontId="146" fillId="26" borderId="0" xfId="195" applyNumberFormat="1" applyFont="1" applyFill="1" applyProtection="1"/>
    <xf numFmtId="188" fontId="193" fillId="0" borderId="5" xfId="60" applyNumberFormat="1" applyFont="1" applyFill="1" applyBorder="1"/>
    <xf numFmtId="191" fontId="193" fillId="0" borderId="0" xfId="219" applyNumberFormat="1" applyFont="1" applyFill="1" applyBorder="1"/>
    <xf numFmtId="188" fontId="193" fillId="0" borderId="0" xfId="219" applyNumberFormat="1" applyFont="1" applyFill="1" applyBorder="1"/>
    <xf numFmtId="187" fontId="194" fillId="0" borderId="0" xfId="0" applyNumberFormat="1" applyFont="1" applyFill="1" applyBorder="1"/>
    <xf numFmtId="0" fontId="196" fillId="0" borderId="0" xfId="0" applyFont="1" applyFill="1" applyBorder="1"/>
    <xf numFmtId="188" fontId="197" fillId="19" borderId="12" xfId="60" applyNumberFormat="1" applyFont="1" applyFill="1" applyBorder="1" applyAlignment="1">
      <alignment horizontal="left"/>
    </xf>
    <xf numFmtId="0" fontId="197" fillId="19" borderId="12" xfId="0" applyFont="1" applyFill="1" applyBorder="1" applyAlignment="1">
      <alignment horizontal="right"/>
    </xf>
    <xf numFmtId="188" fontId="197" fillId="19" borderId="12" xfId="60" applyNumberFormat="1" applyFont="1" applyFill="1" applyBorder="1" applyAlignment="1">
      <alignment horizontal="right"/>
    </xf>
    <xf numFmtId="188" fontId="197" fillId="0" borderId="5" xfId="60" applyNumberFormat="1" applyFont="1" applyFill="1" applyBorder="1"/>
    <xf numFmtId="0" fontId="197" fillId="0" borderId="0" xfId="0" applyFont="1" applyFill="1"/>
    <xf numFmtId="188" fontId="197" fillId="0" borderId="0" xfId="60" applyNumberFormat="1" applyFont="1" applyFill="1"/>
    <xf numFmtId="0" fontId="198" fillId="0" borderId="0" xfId="0" applyFont="1" applyFill="1"/>
    <xf numFmtId="0" fontId="198" fillId="29" borderId="0" xfId="0" applyFont="1" applyFill="1"/>
    <xf numFmtId="0" fontId="197" fillId="0" borderId="0" xfId="0" applyFont="1" applyFill="1" applyAlignment="1">
      <alignment horizontal="center"/>
    </xf>
    <xf numFmtId="188" fontId="197" fillId="23" borderId="5" xfId="60" applyNumberFormat="1" applyFont="1" applyFill="1" applyBorder="1"/>
    <xf numFmtId="0" fontId="199" fillId="23" borderId="0" xfId="0" applyFont="1" applyFill="1"/>
    <xf numFmtId="188" fontId="199" fillId="23" borderId="0" xfId="60" applyNumberFormat="1" applyFont="1" applyFill="1"/>
    <xf numFmtId="3" fontId="200" fillId="23" borderId="0" xfId="0" applyNumberFormat="1" applyFont="1" applyFill="1"/>
    <xf numFmtId="188" fontId="197" fillId="10" borderId="5" xfId="60" applyNumberFormat="1" applyFont="1" applyFill="1" applyBorder="1"/>
    <xf numFmtId="188" fontId="197" fillId="0" borderId="0" xfId="0" applyNumberFormat="1" applyFont="1" applyFill="1"/>
    <xf numFmtId="37" fontId="197" fillId="0" borderId="0" xfId="0" applyNumberFormat="1" applyFont="1" applyFill="1"/>
    <xf numFmtId="188" fontId="197" fillId="29" borderId="0" xfId="0" applyNumberFormat="1" applyFont="1" applyFill="1"/>
    <xf numFmtId="188" fontId="197" fillId="0" borderId="0" xfId="60" applyNumberFormat="1" applyFont="1" applyFill="1" applyBorder="1"/>
    <xf numFmtId="188" fontId="196" fillId="0" borderId="0" xfId="60" applyNumberFormat="1" applyFont="1"/>
    <xf numFmtId="3" fontId="197" fillId="0" borderId="0" xfId="60" applyNumberFormat="1" applyFont="1" applyFill="1" applyBorder="1" applyAlignment="1">
      <alignment horizontal="right"/>
    </xf>
    <xf numFmtId="3" fontId="196" fillId="0" borderId="0" xfId="60" applyNumberFormat="1" applyFont="1" applyFill="1" applyBorder="1" applyAlignment="1">
      <alignment horizontal="right"/>
    </xf>
    <xf numFmtId="3" fontId="199" fillId="0" borderId="0" xfId="60" applyNumberFormat="1" applyFont="1" applyFill="1" applyBorder="1" applyAlignment="1">
      <alignment horizontal="right"/>
    </xf>
    <xf numFmtId="37" fontId="199" fillId="0" borderId="0" xfId="60" applyNumberFormat="1" applyFont="1" applyFill="1" applyBorder="1" applyAlignment="1">
      <alignment horizontal="right"/>
    </xf>
    <xf numFmtId="3" fontId="199" fillId="29" borderId="0" xfId="60" applyNumberFormat="1" applyFont="1" applyFill="1" applyBorder="1" applyAlignment="1">
      <alignment horizontal="right"/>
    </xf>
    <xf numFmtId="188" fontId="196" fillId="0" borderId="0" xfId="60" applyNumberFormat="1" applyFont="1" applyFill="1" applyBorder="1"/>
    <xf numFmtId="188" fontId="197" fillId="29" borderId="0" xfId="60" applyNumberFormat="1" applyFont="1" applyFill="1"/>
    <xf numFmtId="188" fontId="196" fillId="0" borderId="5" xfId="60" applyNumberFormat="1" applyFont="1" applyFill="1" applyBorder="1"/>
    <xf numFmtId="188" fontId="196" fillId="0" borderId="0" xfId="60" applyNumberFormat="1" applyFont="1" applyFill="1"/>
    <xf numFmtId="188" fontId="196" fillId="0" borderId="0" xfId="0" applyNumberFormat="1" applyFont="1" applyFill="1"/>
    <xf numFmtId="169" fontId="196" fillId="0" borderId="0" xfId="60" applyNumberFormat="1" applyFont="1" applyFill="1" applyBorder="1"/>
    <xf numFmtId="0" fontId="197" fillId="10" borderId="0" xfId="0" applyFont="1" applyFill="1"/>
    <xf numFmtId="197" fontId="196" fillId="0" borderId="0" xfId="60" applyNumberFormat="1" applyFont="1"/>
    <xf numFmtId="198" fontId="196" fillId="0" borderId="0" xfId="60" applyNumberFormat="1" applyFont="1"/>
    <xf numFmtId="191" fontId="196" fillId="0" borderId="0" xfId="219" applyNumberFormat="1" applyFont="1" applyFill="1"/>
    <xf numFmtId="191" fontId="196" fillId="29" borderId="0" xfId="219" applyNumberFormat="1" applyFont="1" applyFill="1"/>
    <xf numFmtId="0" fontId="196" fillId="0" borderId="0" xfId="0" applyFont="1"/>
    <xf numFmtId="169" fontId="196" fillId="0" borderId="0" xfId="0" applyNumberFormat="1" applyFont="1"/>
    <xf numFmtId="188" fontId="196" fillId="0" borderId="0" xfId="0" applyNumberFormat="1" applyFont="1"/>
    <xf numFmtId="191" fontId="196" fillId="0" borderId="0" xfId="219" applyNumberFormat="1" applyFont="1"/>
    <xf numFmtId="191" fontId="201" fillId="0" borderId="0" xfId="219" applyNumberFormat="1" applyFont="1" applyFill="1"/>
    <xf numFmtId="218" fontId="196" fillId="0" borderId="0" xfId="0" applyNumberFormat="1" applyFont="1"/>
    <xf numFmtId="188" fontId="197" fillId="0" borderId="0" xfId="0" applyNumberFormat="1" applyFont="1"/>
    <xf numFmtId="0" fontId="197" fillId="0" borderId="0" xfId="0" applyFont="1"/>
    <xf numFmtId="191" fontId="197" fillId="0" borderId="0" xfId="219" applyNumberFormat="1" applyFont="1"/>
    <xf numFmtId="191" fontId="197" fillId="0" borderId="0" xfId="219" applyNumberFormat="1" applyFont="1" applyFill="1"/>
    <xf numFmtId="191" fontId="197" fillId="29" borderId="0" xfId="219" applyNumberFormat="1" applyFont="1" applyFill="1"/>
    <xf numFmtId="191" fontId="202" fillId="0" borderId="0" xfId="219" applyNumberFormat="1" applyFont="1" applyFill="1"/>
    <xf numFmtId="3" fontId="196" fillId="0" borderId="0" xfId="0" applyNumberFormat="1" applyFont="1"/>
    <xf numFmtId="188" fontId="196" fillId="29" borderId="0" xfId="60" applyNumberFormat="1" applyFont="1" applyFill="1"/>
    <xf numFmtId="188" fontId="197" fillId="0" borderId="0" xfId="60" applyNumberFormat="1" applyFont="1"/>
    <xf numFmtId="197" fontId="197" fillId="0" borderId="0" xfId="60" applyNumberFormat="1" applyFont="1"/>
    <xf numFmtId="198" fontId="197" fillId="0" borderId="0" xfId="60" applyNumberFormat="1" applyFont="1"/>
    <xf numFmtId="188" fontId="197" fillId="0" borderId="0" xfId="0" applyNumberFormat="1" applyFont="1" applyFill="1" applyBorder="1"/>
    <xf numFmtId="9" fontId="197" fillId="0" borderId="0" xfId="0" applyNumberFormat="1" applyFont="1" applyFill="1" applyBorder="1"/>
    <xf numFmtId="0" fontId="197" fillId="0" borderId="0" xfId="0" applyFont="1" applyFill="1" applyBorder="1"/>
    <xf numFmtId="188" fontId="198" fillId="0" borderId="0" xfId="0" applyNumberFormat="1" applyFont="1" applyFill="1"/>
    <xf numFmtId="10" fontId="198" fillId="29" borderId="0" xfId="0" applyNumberFormat="1" applyFont="1" applyFill="1"/>
    <xf numFmtId="190" fontId="197" fillId="0" borderId="0" xfId="0" applyNumberFormat="1" applyFont="1" applyFill="1"/>
    <xf numFmtId="0" fontId="196" fillId="0" borderId="5" xfId="60" applyNumberFormat="1" applyFont="1" applyFill="1" applyBorder="1" applyAlignment="1">
      <alignment horizontal="left" indent="1"/>
    </xf>
    <xf numFmtId="190" fontId="196" fillId="0" borderId="0" xfId="0" applyNumberFormat="1" applyFont="1" applyFill="1"/>
    <xf numFmtId="0" fontId="200" fillId="23" borderId="0" xfId="0" applyFont="1" applyFill="1"/>
    <xf numFmtId="188" fontId="197" fillId="0" borderId="9" xfId="60" applyNumberFormat="1" applyFont="1" applyFill="1" applyBorder="1"/>
    <xf numFmtId="188" fontId="203" fillId="0" borderId="0" xfId="60" applyNumberFormat="1" applyFont="1"/>
    <xf numFmtId="0" fontId="199" fillId="0" borderId="0" xfId="0" applyFont="1"/>
    <xf numFmtId="188" fontId="199" fillId="0" borderId="0" xfId="60" applyNumberFormat="1" applyFont="1"/>
    <xf numFmtId="188" fontId="199" fillId="0" borderId="0" xfId="0" applyNumberFormat="1" applyFont="1" applyFill="1"/>
    <xf numFmtId="188" fontId="199" fillId="29" borderId="0" xfId="0" applyNumberFormat="1" applyFont="1" applyFill="1"/>
    <xf numFmtId="0" fontId="193" fillId="0" borderId="0" xfId="0" applyFont="1"/>
    <xf numFmtId="191" fontId="193" fillId="0" borderId="0" xfId="219" applyNumberFormat="1" applyFont="1"/>
    <xf numFmtId="191" fontId="193" fillId="0" borderId="0" xfId="219" applyNumberFormat="1" applyFont="1" applyFill="1"/>
    <xf numFmtId="191" fontId="193" fillId="29" borderId="0" xfId="219" applyNumberFormat="1" applyFont="1" applyFill="1"/>
    <xf numFmtId="188" fontId="195" fillId="0" borderId="5" xfId="60" applyNumberFormat="1" applyFont="1" applyFill="1" applyBorder="1"/>
    <xf numFmtId="191" fontId="195" fillId="0" borderId="0" xfId="219" applyNumberFormat="1" applyFont="1" applyFill="1" applyBorder="1"/>
    <xf numFmtId="191" fontId="201" fillId="29" borderId="0" xfId="0" applyNumberFormat="1" applyFont="1" applyFill="1"/>
    <xf numFmtId="191" fontId="193" fillId="29" borderId="0" xfId="0" applyNumberFormat="1" applyFont="1" applyFill="1"/>
    <xf numFmtId="191" fontId="196" fillId="0" borderId="0" xfId="0" applyNumberFormat="1" applyFont="1"/>
    <xf numFmtId="188" fontId="197" fillId="0" borderId="74" xfId="0" applyNumberFormat="1" applyFont="1" applyFill="1" applyBorder="1"/>
    <xf numFmtId="188" fontId="197" fillId="29" borderId="74" xfId="0" applyNumberFormat="1" applyFont="1" applyFill="1" applyBorder="1"/>
    <xf numFmtId="0" fontId="196" fillId="0" borderId="74" xfId="0" applyFont="1" applyFill="1" applyBorder="1"/>
    <xf numFmtId="188" fontId="193" fillId="0" borderId="24" xfId="60" applyNumberFormat="1" applyFont="1" applyFill="1" applyBorder="1"/>
    <xf numFmtId="191" fontId="193" fillId="0" borderId="17" xfId="219" applyNumberFormat="1" applyFont="1" applyBorder="1"/>
    <xf numFmtId="191" fontId="193" fillId="0" borderId="17" xfId="219" applyNumberFormat="1" applyFont="1" applyFill="1" applyBorder="1"/>
    <xf numFmtId="191" fontId="193" fillId="29" borderId="17" xfId="219" applyNumberFormat="1" applyFont="1" applyFill="1" applyBorder="1"/>
    <xf numFmtId="0" fontId="196" fillId="0" borderId="17" xfId="0" applyFont="1" applyBorder="1"/>
    <xf numFmtId="188" fontId="196" fillId="2" borderId="0" xfId="60" applyNumberFormat="1" applyFont="1" applyFill="1" applyBorder="1"/>
    <xf numFmtId="187" fontId="196" fillId="0" borderId="0" xfId="60" applyNumberFormat="1" applyFont="1" applyFill="1" applyBorder="1"/>
    <xf numFmtId="187" fontId="196" fillId="2" borderId="0" xfId="60" applyNumberFormat="1" applyFont="1" applyFill="1" applyBorder="1"/>
    <xf numFmtId="188" fontId="197" fillId="24" borderId="5" xfId="60" applyNumberFormat="1" applyFont="1" applyFill="1" applyBorder="1"/>
    <xf numFmtId="188" fontId="197" fillId="24" borderId="0" xfId="0" applyNumberFormat="1" applyFont="1" applyFill="1" applyBorder="1"/>
    <xf numFmtId="0" fontId="196" fillId="24" borderId="0" xfId="0" applyFont="1" applyFill="1" applyBorder="1"/>
    <xf numFmtId="188" fontId="196" fillId="0" borderId="0" xfId="0" applyNumberFormat="1" applyFont="1" applyFill="1" applyBorder="1"/>
    <xf numFmtId="188" fontId="199" fillId="29" borderId="0" xfId="0" applyNumberFormat="1" applyFont="1" applyFill="1" applyBorder="1"/>
    <xf numFmtId="169" fontId="196" fillId="0" borderId="0" xfId="0" applyNumberFormat="1" applyFont="1" applyFill="1" applyBorder="1"/>
    <xf numFmtId="188" fontId="199" fillId="0" borderId="0" xfId="0" applyNumberFormat="1" applyFont="1" applyFill="1" applyBorder="1"/>
    <xf numFmtId="37" fontId="203" fillId="0" borderId="0" xfId="0" applyNumberFormat="1" applyFont="1" applyFill="1" applyBorder="1"/>
    <xf numFmtId="37" fontId="203" fillId="29" borderId="0" xfId="0" applyNumberFormat="1" applyFont="1" applyFill="1" applyBorder="1"/>
    <xf numFmtId="188" fontId="203" fillId="24" borderId="0" xfId="0" applyNumberFormat="1" applyFont="1" applyFill="1" applyBorder="1"/>
    <xf numFmtId="188" fontId="203" fillId="0" borderId="0" xfId="0" applyNumberFormat="1" applyFont="1" applyFill="1" applyBorder="1"/>
    <xf numFmtId="0" fontId="195" fillId="0" borderId="0" xfId="0" applyFont="1"/>
    <xf numFmtId="191" fontId="195" fillId="0" borderId="0" xfId="219" applyNumberFormat="1" applyFont="1"/>
    <xf numFmtId="191" fontId="195" fillId="0" borderId="0" xfId="219" applyNumberFormat="1" applyFont="1" applyFill="1"/>
    <xf numFmtId="0" fontId="197" fillId="24" borderId="0" xfId="0" applyFont="1" applyFill="1"/>
    <xf numFmtId="0" fontId="196" fillId="24" borderId="0" xfId="0" applyFont="1" applyFill="1"/>
    <xf numFmtId="0" fontId="200" fillId="24" borderId="0" xfId="0" applyFont="1" applyFill="1"/>
    <xf numFmtId="0" fontId="200" fillId="0" borderId="0" xfId="0" applyFont="1" applyFill="1"/>
    <xf numFmtId="0" fontId="196" fillId="0" borderId="0" xfId="0" applyFont="1" applyFill="1"/>
    <xf numFmtId="170" fontId="205" fillId="31" borderId="46" xfId="0" applyNumberFormat="1" applyFont="1" applyFill="1" applyBorder="1" applyProtection="1">
      <protection locked="0"/>
    </xf>
    <xf numFmtId="170" fontId="205" fillId="31" borderId="1" xfId="0" applyNumberFormat="1" applyFont="1" applyFill="1" applyBorder="1" applyProtection="1">
      <protection locked="0"/>
    </xf>
    <xf numFmtId="188" fontId="220" fillId="0" borderId="5" xfId="60" applyNumberFormat="1" applyFont="1" applyFill="1" applyBorder="1"/>
    <xf numFmtId="188" fontId="220" fillId="0" borderId="0" xfId="0" applyNumberFormat="1" applyFont="1"/>
    <xf numFmtId="188" fontId="220" fillId="0" borderId="0" xfId="0" applyNumberFormat="1" applyFont="1" applyFill="1"/>
    <xf numFmtId="0" fontId="220" fillId="0" borderId="0" xfId="0" applyFont="1"/>
    <xf numFmtId="188" fontId="199" fillId="0" borderId="0" xfId="60" applyNumberFormat="1" applyFont="1" applyFill="1" applyBorder="1"/>
    <xf numFmtId="187" fontId="196" fillId="0" borderId="66" xfId="203" applyNumberFormat="1" applyFont="1" applyFill="1" applyBorder="1" applyAlignment="1" applyProtection="1">
      <alignment vertical="center"/>
    </xf>
    <xf numFmtId="187" fontId="196" fillId="0" borderId="66" xfId="203" applyNumberFormat="1" applyFont="1" applyFill="1" applyBorder="1" applyAlignment="1" applyProtection="1">
      <alignment horizontal="right" vertical="center"/>
    </xf>
    <xf numFmtId="187" fontId="196" fillId="0" borderId="70" xfId="203" applyNumberFormat="1" applyFont="1" applyFill="1" applyBorder="1" applyAlignment="1" applyProtection="1">
      <alignment vertical="center"/>
    </xf>
    <xf numFmtId="187" fontId="196" fillId="0" borderId="70" xfId="203" applyNumberFormat="1" applyFont="1" applyFill="1" applyBorder="1" applyAlignment="1" applyProtection="1">
      <alignment horizontal="right" vertical="center"/>
    </xf>
    <xf numFmtId="187" fontId="221" fillId="0" borderId="67" xfId="203" applyNumberFormat="1" applyFont="1" applyFill="1" applyBorder="1" applyAlignment="1" applyProtection="1">
      <alignment vertical="center"/>
    </xf>
    <xf numFmtId="187" fontId="196" fillId="0" borderId="67" xfId="203" applyNumberFormat="1" applyFont="1" applyFill="1" applyBorder="1" applyAlignment="1" applyProtection="1">
      <alignment horizontal="right" vertical="center"/>
    </xf>
    <xf numFmtId="187" fontId="196" fillId="0" borderId="77" xfId="203" applyNumberFormat="1" applyFont="1" applyFill="1" applyBorder="1" applyAlignment="1" applyProtection="1">
      <alignment vertical="center"/>
    </xf>
    <xf numFmtId="187" fontId="196" fillId="0" borderId="0" xfId="203" applyNumberFormat="1" applyFont="1" applyFill="1" applyBorder="1" applyAlignment="1" applyProtection="1">
      <alignment vertical="center"/>
    </xf>
    <xf numFmtId="187" fontId="221" fillId="21" borderId="0" xfId="203" applyNumberFormat="1" applyFont="1" applyFill="1" applyBorder="1" applyAlignment="1" applyProtection="1">
      <alignment vertical="center"/>
    </xf>
    <xf numFmtId="187" fontId="196" fillId="0" borderId="71" xfId="203" applyNumberFormat="1" applyFont="1" applyFill="1" applyBorder="1" applyAlignment="1" applyProtection="1">
      <alignment horizontal="right" vertical="center"/>
    </xf>
    <xf numFmtId="187" fontId="196" fillId="0" borderId="68" xfId="203" applyNumberFormat="1" applyFont="1" applyFill="1" applyBorder="1" applyAlignment="1" applyProtection="1">
      <alignment vertical="center"/>
    </xf>
    <xf numFmtId="188" fontId="196" fillId="0" borderId="68" xfId="203" applyNumberFormat="1" applyFont="1" applyFill="1" applyBorder="1" applyAlignment="1" applyProtection="1">
      <alignment horizontal="right" vertical="center"/>
    </xf>
    <xf numFmtId="187" fontId="197" fillId="21" borderId="0" xfId="203" applyNumberFormat="1" applyFont="1" applyFill="1" applyBorder="1" applyAlignment="1" applyProtection="1">
      <alignment vertical="center"/>
    </xf>
    <xf numFmtId="187" fontId="197" fillId="21" borderId="0" xfId="203" applyNumberFormat="1" applyFont="1" applyFill="1" applyBorder="1" applyAlignment="1" applyProtection="1">
      <alignment horizontal="right" vertical="center"/>
    </xf>
    <xf numFmtId="188" fontId="196" fillId="0" borderId="66" xfId="203" applyNumberFormat="1" applyFont="1" applyFill="1" applyBorder="1" applyAlignment="1" applyProtection="1">
      <alignment horizontal="right" vertical="center"/>
    </xf>
    <xf numFmtId="187" fontId="196" fillId="21" borderId="0" xfId="203" applyNumberFormat="1" applyFont="1" applyFill="1" applyBorder="1" applyAlignment="1" applyProtection="1">
      <alignment vertical="center"/>
    </xf>
    <xf numFmtId="187" fontId="196" fillId="21" borderId="0" xfId="203" applyNumberFormat="1" applyFont="1" applyFill="1" applyBorder="1" applyAlignment="1" applyProtection="1">
      <alignment horizontal="right" vertical="center"/>
    </xf>
    <xf numFmtId="187" fontId="196" fillId="0" borderId="100" xfId="203" applyNumberFormat="1" applyFont="1" applyFill="1" applyBorder="1" applyAlignment="1" applyProtection="1">
      <alignment vertical="center"/>
    </xf>
    <xf numFmtId="187" fontId="221" fillId="0" borderId="78" xfId="203" applyNumberFormat="1" applyFont="1" applyFill="1" applyBorder="1" applyAlignment="1" applyProtection="1">
      <alignment vertical="center"/>
    </xf>
    <xf numFmtId="187" fontId="196" fillId="0" borderId="67" xfId="203" applyNumberFormat="1" applyFont="1" applyFill="1" applyBorder="1" applyAlignment="1" applyProtection="1">
      <alignment vertical="center"/>
    </xf>
    <xf numFmtId="188" fontId="196" fillId="0" borderId="67" xfId="203" applyNumberFormat="1" applyFont="1" applyFill="1" applyBorder="1" applyAlignment="1" applyProtection="1">
      <alignment horizontal="right" vertical="center"/>
    </xf>
    <xf numFmtId="187" fontId="197" fillId="0" borderId="69" xfId="203" applyNumberFormat="1" applyFont="1" applyFill="1" applyBorder="1" applyAlignment="1" applyProtection="1">
      <alignment vertical="center"/>
    </xf>
    <xf numFmtId="187" fontId="197" fillId="0" borderId="69" xfId="203" applyNumberFormat="1" applyFont="1" applyFill="1" applyBorder="1" applyAlignment="1" applyProtection="1">
      <alignment horizontal="right" vertical="center"/>
    </xf>
    <xf numFmtId="187" fontId="221" fillId="0" borderId="0" xfId="203" applyNumberFormat="1" applyFont="1" applyFill="1" applyBorder="1" applyAlignment="1" applyProtection="1">
      <alignment vertical="center"/>
    </xf>
    <xf numFmtId="187" fontId="196" fillId="0" borderId="71" xfId="203" applyNumberFormat="1" applyFont="1" applyFill="1" applyBorder="1" applyAlignment="1" applyProtection="1">
      <alignment vertical="center"/>
    </xf>
    <xf numFmtId="191" fontId="222" fillId="0" borderId="66" xfId="219" applyNumberFormat="1" applyFont="1" applyFill="1" applyBorder="1" applyAlignment="1" applyProtection="1">
      <alignment vertical="center"/>
    </xf>
    <xf numFmtId="187" fontId="221" fillId="0" borderId="66" xfId="203" applyNumberFormat="1" applyFont="1" applyFill="1" applyBorder="1" applyAlignment="1" applyProtection="1">
      <alignment horizontal="left" vertical="center"/>
    </xf>
    <xf numFmtId="187" fontId="221" fillId="0" borderId="66" xfId="203" applyNumberFormat="1" applyFont="1" applyFill="1" applyBorder="1" applyAlignment="1" applyProtection="1">
      <alignment horizontal="right" vertical="center"/>
    </xf>
    <xf numFmtId="187" fontId="221" fillId="0" borderId="66" xfId="203" applyNumberFormat="1" applyFont="1" applyFill="1" applyBorder="1" applyAlignment="1" applyProtection="1">
      <alignment horizontal="center" vertical="center"/>
    </xf>
    <xf numFmtId="188" fontId="221" fillId="0" borderId="66" xfId="203" applyNumberFormat="1" applyFont="1" applyFill="1" applyBorder="1" applyAlignment="1" applyProtection="1">
      <alignment horizontal="center" vertical="center"/>
    </xf>
    <xf numFmtId="187" fontId="223" fillId="18" borderId="70" xfId="203" applyNumberFormat="1" applyFont="1" applyFill="1" applyBorder="1" applyAlignment="1" applyProtection="1">
      <alignment horizontal="left" vertical="center"/>
    </xf>
    <xf numFmtId="187" fontId="223" fillId="18" borderId="66" xfId="203" applyNumberFormat="1" applyFont="1" applyFill="1" applyBorder="1" applyAlignment="1" applyProtection="1">
      <alignment horizontal="center" vertical="center"/>
    </xf>
    <xf numFmtId="187" fontId="196" fillId="2" borderId="53" xfId="203" applyNumberFormat="1" applyFont="1" applyFill="1" applyBorder="1" applyAlignment="1" applyProtection="1">
      <alignment vertical="center"/>
    </xf>
    <xf numFmtId="188" fontId="196" fillId="0" borderId="71" xfId="203" applyNumberFormat="1" applyFont="1" applyFill="1" applyBorder="1" applyAlignment="1" applyProtection="1">
      <alignment horizontal="right" vertical="center"/>
    </xf>
    <xf numFmtId="187" fontId="193" fillId="2" borderId="53" xfId="203" applyNumberFormat="1" applyFont="1" applyFill="1" applyBorder="1" applyAlignment="1" applyProtection="1">
      <alignment vertical="center"/>
    </xf>
    <xf numFmtId="187" fontId="193" fillId="0" borderId="66" xfId="203" applyNumberFormat="1" applyFont="1" applyFill="1" applyBorder="1" applyAlignment="1" applyProtection="1">
      <alignment horizontal="right" vertical="center"/>
    </xf>
    <xf numFmtId="187" fontId="193" fillId="0" borderId="71" xfId="203" applyNumberFormat="1" applyFont="1" applyFill="1" applyBorder="1" applyAlignment="1" applyProtection="1">
      <alignment horizontal="right" vertical="center"/>
    </xf>
    <xf numFmtId="187" fontId="197" fillId="2" borderId="53" xfId="203" applyNumberFormat="1" applyFont="1" applyFill="1" applyBorder="1" applyAlignment="1" applyProtection="1">
      <alignment vertical="center"/>
    </xf>
    <xf numFmtId="188" fontId="197" fillId="0" borderId="71" xfId="203" applyNumberFormat="1" applyFont="1" applyFill="1" applyBorder="1" applyAlignment="1" applyProtection="1">
      <alignment horizontal="right" vertical="center"/>
    </xf>
    <xf numFmtId="193" fontId="196" fillId="0" borderId="66" xfId="219" applyNumberFormat="1" applyFont="1" applyFill="1" applyBorder="1" applyAlignment="1" applyProtection="1">
      <alignment horizontal="right" vertical="center"/>
    </xf>
    <xf numFmtId="187" fontId="197" fillId="0" borderId="66" xfId="203" applyNumberFormat="1" applyFont="1" applyFill="1" applyBorder="1" applyAlignment="1" applyProtection="1">
      <alignment horizontal="left" vertical="center"/>
    </xf>
    <xf numFmtId="187" fontId="197" fillId="0" borderId="66" xfId="203" applyNumberFormat="1" applyFont="1" applyFill="1" applyBorder="1" applyAlignment="1" applyProtection="1">
      <alignment horizontal="right" vertical="center"/>
    </xf>
    <xf numFmtId="187" fontId="223" fillId="18" borderId="70" xfId="203" applyNumberFormat="1" applyFont="1" applyFill="1" applyBorder="1" applyAlignment="1" applyProtection="1">
      <alignment horizontal="center" vertical="center"/>
    </xf>
    <xf numFmtId="0" fontId="197" fillId="0" borderId="72" xfId="203" applyNumberFormat="1" applyFont="1" applyFill="1" applyBorder="1" applyAlignment="1" applyProtection="1">
      <alignment horizontal="left" vertical="center"/>
    </xf>
    <xf numFmtId="0" fontId="196" fillId="0" borderId="72" xfId="203" applyNumberFormat="1" applyFont="1" applyFill="1" applyBorder="1" applyAlignment="1" applyProtection="1">
      <alignment horizontal="right" vertical="center"/>
    </xf>
    <xf numFmtId="187" fontId="197" fillId="0" borderId="66" xfId="203" applyNumberFormat="1" applyFont="1" applyFill="1" applyBorder="1" applyAlignment="1" applyProtection="1">
      <alignment horizontal="center" vertical="center"/>
    </xf>
    <xf numFmtId="187" fontId="196" fillId="0" borderId="0" xfId="203" applyNumberFormat="1" applyFont="1" applyFill="1" applyBorder="1" applyAlignment="1" applyProtection="1">
      <alignment horizontal="right" vertical="center"/>
    </xf>
    <xf numFmtId="187" fontId="224" fillId="0" borderId="66" xfId="203" applyNumberFormat="1" applyFont="1" applyFill="1" applyBorder="1" applyAlignment="1" applyProtection="1">
      <alignment horizontal="left" vertical="center"/>
    </xf>
    <xf numFmtId="187" fontId="224" fillId="0" borderId="66" xfId="203" applyNumberFormat="1" applyFont="1" applyFill="1" applyBorder="1" applyAlignment="1" applyProtection="1">
      <alignment horizontal="right" vertical="center"/>
    </xf>
    <xf numFmtId="187" fontId="224" fillId="0" borderId="0" xfId="203" applyNumberFormat="1" applyFont="1" applyFill="1" applyBorder="1" applyAlignment="1" applyProtection="1">
      <alignment horizontal="right" vertical="center"/>
    </xf>
    <xf numFmtId="187" fontId="224" fillId="0" borderId="70" xfId="203" applyNumberFormat="1" applyFont="1" applyFill="1" applyBorder="1" applyAlignment="1" applyProtection="1">
      <alignment horizontal="left" vertical="center"/>
    </xf>
    <xf numFmtId="187" fontId="224" fillId="0" borderId="66" xfId="203" applyNumberFormat="1" applyFont="1" applyFill="1" applyBorder="1" applyAlignment="1" applyProtection="1">
      <alignment horizontal="center" vertical="center"/>
    </xf>
    <xf numFmtId="187" fontId="224" fillId="0" borderId="0" xfId="203" applyNumberFormat="1" applyFont="1" applyFill="1" applyBorder="1" applyAlignment="1" applyProtection="1">
      <alignment horizontal="center" vertical="center"/>
    </xf>
    <xf numFmtId="187" fontId="196" fillId="0" borderId="73" xfId="203" applyNumberFormat="1" applyFont="1" applyFill="1" applyBorder="1" applyAlignment="1" applyProtection="1">
      <alignment horizontal="right" vertical="center"/>
    </xf>
    <xf numFmtId="187" fontId="225" fillId="0" borderId="53" xfId="203" applyNumberFormat="1" applyFont="1" applyFill="1" applyBorder="1" applyAlignment="1" applyProtection="1">
      <alignment vertical="center"/>
    </xf>
    <xf numFmtId="188" fontId="225" fillId="0" borderId="71" xfId="203" applyNumberFormat="1" applyFont="1" applyFill="1" applyBorder="1" applyAlignment="1" applyProtection="1">
      <alignment horizontal="right" vertical="center"/>
    </xf>
    <xf numFmtId="187" fontId="225" fillId="0" borderId="66" xfId="203" applyNumberFormat="1" applyFont="1" applyFill="1" applyBorder="1" applyAlignment="1" applyProtection="1">
      <alignment horizontal="right" vertical="center"/>
    </xf>
    <xf numFmtId="187" fontId="225" fillId="0" borderId="0" xfId="203" applyNumberFormat="1" applyFont="1" applyFill="1" applyBorder="1" applyAlignment="1" applyProtection="1">
      <alignment horizontal="right" vertical="center"/>
    </xf>
    <xf numFmtId="187" fontId="196" fillId="0" borderId="68" xfId="203" applyNumberFormat="1" applyFont="1" applyFill="1" applyBorder="1" applyAlignment="1" applyProtection="1">
      <alignment horizontal="right" vertical="center"/>
    </xf>
    <xf numFmtId="188" fontId="225" fillId="0" borderId="66" xfId="203" applyNumberFormat="1" applyFont="1" applyFill="1" applyBorder="1" applyAlignment="1" applyProtection="1">
      <alignment horizontal="center" vertical="center"/>
    </xf>
    <xf numFmtId="188" fontId="225" fillId="0" borderId="0" xfId="203" applyNumberFormat="1" applyFont="1" applyFill="1" applyBorder="1" applyAlignment="1" applyProtection="1">
      <alignment horizontal="center" vertical="center"/>
    </xf>
    <xf numFmtId="188" fontId="225" fillId="0" borderId="66" xfId="203" applyNumberFormat="1" applyFont="1" applyFill="1" applyBorder="1" applyAlignment="1" applyProtection="1">
      <alignment horizontal="right" vertical="center"/>
    </xf>
    <xf numFmtId="188" fontId="225" fillId="0" borderId="0" xfId="203" applyNumberFormat="1" applyFont="1" applyFill="1" applyBorder="1" applyAlignment="1" applyProtection="1">
      <alignment horizontal="right" vertical="center"/>
    </xf>
    <xf numFmtId="187" fontId="225" fillId="0" borderId="66" xfId="203" applyNumberFormat="1" applyFont="1" applyFill="1" applyBorder="1" applyAlignment="1" applyProtection="1">
      <alignment vertical="center"/>
    </xf>
    <xf numFmtId="188" fontId="196" fillId="0" borderId="68" xfId="203" applyNumberFormat="1" applyFont="1" applyFill="1" applyBorder="1" applyAlignment="1" applyProtection="1">
      <alignment vertical="center"/>
    </xf>
    <xf numFmtId="189" fontId="193" fillId="0" borderId="66" xfId="203" applyNumberFormat="1" applyFont="1" applyFill="1" applyBorder="1" applyAlignment="1" applyProtection="1">
      <alignment vertical="center"/>
    </xf>
    <xf numFmtId="189" fontId="196" fillId="0" borderId="66" xfId="203" applyNumberFormat="1" applyFont="1" applyFill="1" applyBorder="1" applyAlignment="1" applyProtection="1">
      <alignment vertical="center"/>
    </xf>
    <xf numFmtId="187" fontId="193" fillId="0" borderId="66" xfId="203" applyNumberFormat="1" applyFont="1" applyFill="1" applyBorder="1" applyAlignment="1" applyProtection="1">
      <alignment vertical="center"/>
    </xf>
    <xf numFmtId="188" fontId="196" fillId="0" borderId="70" xfId="203" applyNumberFormat="1" applyFont="1" applyFill="1" applyBorder="1" applyAlignment="1" applyProtection="1">
      <alignment vertical="center"/>
    </xf>
    <xf numFmtId="188" fontId="196" fillId="0" borderId="70" xfId="203" applyNumberFormat="1" applyFont="1" applyFill="1" applyBorder="1" applyAlignment="1" applyProtection="1">
      <alignment horizontal="right" vertical="center"/>
    </xf>
    <xf numFmtId="189" fontId="193" fillId="0" borderId="67" xfId="203" applyNumberFormat="1" applyFont="1" applyFill="1" applyBorder="1" applyAlignment="1" applyProtection="1">
      <alignment vertical="center"/>
    </xf>
    <xf numFmtId="187" fontId="193" fillId="0" borderId="67" xfId="203" applyNumberFormat="1" applyFont="1" applyFill="1" applyBorder="1" applyAlignment="1" applyProtection="1">
      <alignment horizontal="right" vertical="center"/>
    </xf>
    <xf numFmtId="189" fontId="196" fillId="0" borderId="67" xfId="203" applyNumberFormat="1" applyFont="1" applyFill="1" applyBorder="1" applyAlignment="1" applyProtection="1">
      <alignment vertical="center"/>
    </xf>
    <xf numFmtId="188" fontId="196" fillId="2" borderId="53" xfId="203" applyNumberFormat="1" applyFont="1" applyFill="1" applyBorder="1" applyAlignment="1" applyProtection="1">
      <alignment vertical="center"/>
    </xf>
    <xf numFmtId="186" fontId="223" fillId="18" borderId="66" xfId="203" applyNumberFormat="1" applyFont="1" applyFill="1" applyBorder="1" applyAlignment="1" applyProtection="1">
      <alignment horizontal="center" vertical="center"/>
    </xf>
    <xf numFmtId="187" fontId="197" fillId="0" borderId="66" xfId="203" applyNumberFormat="1" applyFont="1" applyFill="1" applyBorder="1" applyAlignment="1" applyProtection="1">
      <alignment vertical="center"/>
    </xf>
    <xf numFmtId="185" fontId="215" fillId="31" borderId="1" xfId="0" applyNumberFormat="1" applyFont="1" applyFill="1" applyBorder="1" applyAlignment="1" applyProtection="1">
      <protection locked="0"/>
    </xf>
    <xf numFmtId="185" fontId="206" fillId="31" borderId="1" xfId="0" applyNumberFormat="1" applyFont="1" applyFill="1" applyBorder="1" applyProtection="1">
      <protection locked="0"/>
    </xf>
    <xf numFmtId="191" fontId="205" fillId="31" borderId="1" xfId="219" applyNumberFormat="1" applyFont="1" applyFill="1" applyBorder="1" applyProtection="1">
      <protection locked="0"/>
    </xf>
    <xf numFmtId="185" fontId="204" fillId="31" borderId="1" xfId="0" applyNumberFormat="1" applyFont="1" applyFill="1" applyBorder="1" applyProtection="1">
      <protection locked="0"/>
    </xf>
    <xf numFmtId="170" fontId="210" fillId="31" borderId="1" xfId="0" applyNumberFormat="1" applyFont="1" applyFill="1" applyBorder="1" applyProtection="1">
      <protection locked="0"/>
    </xf>
    <xf numFmtId="183" fontId="210" fillId="31" borderId="1" xfId="0" applyNumberFormat="1" applyFont="1" applyFill="1" applyBorder="1" applyProtection="1">
      <protection locked="0"/>
    </xf>
    <xf numFmtId="170" fontId="209" fillId="31" borderId="1" xfId="0" applyNumberFormat="1" applyFont="1" applyFill="1" applyBorder="1" applyProtection="1">
      <protection locked="0"/>
    </xf>
    <xf numFmtId="170" fontId="226" fillId="31" borderId="1" xfId="0" applyNumberFormat="1" applyFont="1" applyFill="1" applyBorder="1" applyAlignment="1" applyProtection="1">
      <protection locked="0"/>
    </xf>
    <xf numFmtId="171" fontId="206" fillId="31" borderId="1" xfId="0" applyNumberFormat="1" applyFont="1" applyFill="1" applyBorder="1" applyProtection="1">
      <protection locked="0"/>
    </xf>
    <xf numFmtId="171" fontId="211" fillId="31" borderId="1" xfId="0" applyNumberFormat="1" applyFont="1" applyFill="1" applyBorder="1" applyProtection="1">
      <protection locked="0"/>
    </xf>
    <xf numFmtId="171" fontId="205" fillId="31" borderId="1" xfId="0" applyNumberFormat="1" applyFont="1" applyFill="1" applyBorder="1" applyProtection="1">
      <protection locked="0"/>
    </xf>
    <xf numFmtId="172" fontId="205" fillId="31" borderId="1" xfId="0" applyNumberFormat="1" applyFont="1" applyFill="1" applyBorder="1" applyProtection="1">
      <protection locked="0"/>
    </xf>
    <xf numFmtId="170" fontId="204" fillId="31" borderId="1" xfId="0" applyNumberFormat="1" applyFont="1" applyFill="1" applyBorder="1" applyProtection="1">
      <protection locked="0"/>
    </xf>
    <xf numFmtId="0" fontId="196" fillId="0" borderId="0" xfId="199" applyFont="1" applyAlignment="1">
      <alignment vertical="center"/>
    </xf>
    <xf numFmtId="0" fontId="196" fillId="0" borderId="0" xfId="199" applyFont="1" applyBorder="1" applyAlignment="1">
      <alignment horizontal="left" vertical="center"/>
    </xf>
    <xf numFmtId="191" fontId="196" fillId="0" borderId="0" xfId="219" applyNumberFormat="1" applyFont="1" applyBorder="1" applyAlignment="1">
      <alignment horizontal="left" vertical="center"/>
    </xf>
    <xf numFmtId="0" fontId="205" fillId="0" borderId="0" xfId="199" applyFont="1"/>
    <xf numFmtId="0" fontId="223" fillId="14" borderId="25" xfId="199" applyFont="1" applyFill="1" applyBorder="1" applyAlignment="1">
      <alignment vertical="center" wrapText="1"/>
    </xf>
    <xf numFmtId="0" fontId="223" fillId="14" borderId="17" xfId="199" applyFont="1" applyFill="1" applyBorder="1" applyAlignment="1">
      <alignment vertical="center" wrapText="1"/>
    </xf>
    <xf numFmtId="0" fontId="196" fillId="0" borderId="14" xfId="199" applyFont="1" applyBorder="1" applyAlignment="1">
      <alignment vertical="center" wrapText="1"/>
    </xf>
    <xf numFmtId="0" fontId="197" fillId="0" borderId="14" xfId="199" applyFont="1" applyBorder="1" applyAlignment="1">
      <alignment horizontal="center" vertical="center" wrapText="1"/>
    </xf>
    <xf numFmtId="0" fontId="197" fillId="0" borderId="14" xfId="199" applyFont="1" applyBorder="1" applyAlignment="1">
      <alignment vertical="center" wrapText="1"/>
    </xf>
    <xf numFmtId="191" fontId="196" fillId="0" borderId="14" xfId="219" applyNumberFormat="1" applyFont="1" applyBorder="1" applyAlignment="1">
      <alignment vertical="center" wrapText="1"/>
    </xf>
    <xf numFmtId="188" fontId="196" fillId="0" borderId="14" xfId="60" applyNumberFormat="1" applyFont="1" applyBorder="1" applyAlignment="1">
      <alignment vertical="center" wrapText="1"/>
    </xf>
    <xf numFmtId="0" fontId="196" fillId="0" borderId="0" xfId="199" applyFont="1"/>
    <xf numFmtId="190" fontId="196" fillId="0" borderId="0" xfId="199" applyNumberFormat="1" applyFont="1"/>
    <xf numFmtId="0" fontId="193" fillId="0" borderId="0" xfId="199" applyFont="1" applyAlignment="1">
      <alignment vertical="center"/>
    </xf>
    <xf numFmtId="0" fontId="193" fillId="0" borderId="14" xfId="199" applyFont="1" applyBorder="1" applyAlignment="1">
      <alignment vertical="center" wrapText="1"/>
    </xf>
    <xf numFmtId="188" fontId="193" fillId="0" borderId="14" xfId="60" applyNumberFormat="1" applyFont="1" applyBorder="1" applyAlignment="1">
      <alignment vertical="center" wrapText="1"/>
    </xf>
    <xf numFmtId="187" fontId="193" fillId="0" borderId="14" xfId="60" applyNumberFormat="1" applyFont="1" applyBorder="1" applyAlignment="1">
      <alignment vertical="center" wrapText="1"/>
    </xf>
    <xf numFmtId="0" fontId="209" fillId="0" borderId="0" xfId="199" applyFont="1"/>
    <xf numFmtId="188" fontId="196" fillId="0" borderId="14" xfId="199" applyNumberFormat="1" applyFont="1" applyBorder="1" applyAlignment="1">
      <alignment vertical="center" wrapText="1"/>
    </xf>
    <xf numFmtId="188" fontId="197" fillId="0" borderId="14" xfId="60" applyNumberFormat="1" applyFont="1" applyBorder="1" applyAlignment="1">
      <alignment vertical="center" wrapText="1"/>
    </xf>
    <xf numFmtId="0" fontId="197" fillId="0" borderId="27" xfId="199" applyFont="1" applyBorder="1" applyAlignment="1">
      <alignment vertical="center" wrapText="1"/>
    </xf>
    <xf numFmtId="0" fontId="197" fillId="0" borderId="12" xfId="199" applyFont="1" applyBorder="1" applyAlignment="1">
      <alignment vertical="center" wrapText="1"/>
    </xf>
    <xf numFmtId="169" fontId="196" fillId="0" borderId="14" xfId="60" applyFont="1" applyBorder="1" applyAlignment="1">
      <alignment vertical="center" wrapText="1"/>
    </xf>
    <xf numFmtId="169" fontId="196" fillId="0" borderId="74" xfId="60" applyFont="1" applyBorder="1" applyAlignment="1">
      <alignment vertical="center" wrapText="1"/>
    </xf>
    <xf numFmtId="169" fontId="196" fillId="0" borderId="0" xfId="60" applyFont="1" applyBorder="1" applyAlignment="1">
      <alignment vertical="center" wrapText="1"/>
    </xf>
    <xf numFmtId="188" fontId="196" fillId="0" borderId="0" xfId="199" applyNumberFormat="1" applyFont="1" applyBorder="1" applyAlignment="1">
      <alignment vertical="center" wrapText="1"/>
    </xf>
    <xf numFmtId="0" fontId="196" fillId="0" borderId="14" xfId="199" applyFont="1" applyFill="1" applyBorder="1" applyAlignment="1">
      <alignment horizontal="left" vertical="center" wrapText="1"/>
    </xf>
    <xf numFmtId="191" fontId="196" fillId="0" borderId="14" xfId="199" applyNumberFormat="1" applyFont="1" applyBorder="1" applyAlignment="1">
      <alignment vertical="center" wrapText="1"/>
    </xf>
    <xf numFmtId="0" fontId="196" fillId="0" borderId="0" xfId="199" applyFont="1" applyBorder="1" applyAlignment="1">
      <alignment vertical="center" wrapText="1"/>
    </xf>
    <xf numFmtId="0" fontId="240" fillId="0" borderId="17" xfId="199" applyFont="1" applyBorder="1" applyAlignment="1">
      <alignment vertical="center" wrapText="1"/>
    </xf>
    <xf numFmtId="0" fontId="205" fillId="0" borderId="17" xfId="199" applyFont="1" applyBorder="1"/>
    <xf numFmtId="0" fontId="196" fillId="0" borderId="14" xfId="199" applyFont="1" applyBorder="1" applyAlignment="1">
      <alignment vertical="center"/>
    </xf>
    <xf numFmtId="194" fontId="196" fillId="0" borderId="14" xfId="199" applyNumberFormat="1" applyFont="1" applyBorder="1" applyAlignment="1">
      <alignment horizontal="center" vertical="center"/>
    </xf>
    <xf numFmtId="242" fontId="196" fillId="0" borderId="14" xfId="199" applyNumberFormat="1" applyFont="1" applyBorder="1" applyAlignment="1">
      <alignment horizontal="center" vertical="center"/>
    </xf>
    <xf numFmtId="2" fontId="196" fillId="2" borderId="14" xfId="199" applyNumberFormat="1" applyFont="1" applyFill="1" applyBorder="1" applyAlignment="1">
      <alignment horizontal="center" vertical="center"/>
    </xf>
    <xf numFmtId="2" fontId="196" fillId="0" borderId="14" xfId="199" applyNumberFormat="1" applyFont="1" applyBorder="1" applyAlignment="1">
      <alignment horizontal="center" vertical="center"/>
    </xf>
    <xf numFmtId="9" fontId="196" fillId="2" borderId="14" xfId="219" applyNumberFormat="1" applyFont="1" applyFill="1" applyBorder="1" applyAlignment="1">
      <alignment horizontal="center" vertical="center"/>
    </xf>
    <xf numFmtId="0" fontId="196" fillId="0" borderId="14" xfId="199" applyFont="1" applyFill="1" applyBorder="1" applyAlignment="1">
      <alignment vertical="center" wrapText="1"/>
    </xf>
    <xf numFmtId="188" fontId="196" fillId="0" borderId="14" xfId="60" applyNumberFormat="1" applyFont="1" applyFill="1" applyBorder="1" applyAlignment="1">
      <alignment horizontal="center" vertical="center"/>
    </xf>
    <xf numFmtId="198" fontId="196" fillId="0" borderId="0" xfId="199" applyNumberFormat="1" applyFont="1" applyAlignment="1">
      <alignment vertical="center"/>
    </xf>
    <xf numFmtId="3" fontId="196" fillId="0" borderId="0" xfId="199" applyNumberFormat="1" applyFont="1" applyAlignment="1">
      <alignment vertical="center"/>
    </xf>
    <xf numFmtId="0" fontId="197" fillId="0" borderId="14" xfId="199" applyFont="1" applyFill="1" applyBorder="1" applyAlignment="1">
      <alignment vertical="center" wrapText="1"/>
    </xf>
    <xf numFmtId="169" fontId="197" fillId="0" borderId="14" xfId="60" applyFont="1" applyBorder="1" applyAlignment="1">
      <alignment horizontal="center" vertical="center"/>
    </xf>
    <xf numFmtId="10" fontId="196" fillId="0" borderId="0" xfId="219" applyNumberFormat="1" applyFont="1" applyBorder="1" applyAlignment="1">
      <alignment vertical="center"/>
    </xf>
    <xf numFmtId="0" fontId="196" fillId="0" borderId="0" xfId="199" applyFont="1" applyBorder="1" applyAlignment="1">
      <alignment vertical="center"/>
    </xf>
    <xf numFmtId="0" fontId="196" fillId="0" borderId="14" xfId="199" applyFont="1" applyBorder="1" applyAlignment="1">
      <alignment horizontal="center" vertical="center" wrapText="1"/>
    </xf>
    <xf numFmtId="9" fontId="196" fillId="0" borderId="0" xfId="219" applyNumberFormat="1" applyFont="1" applyAlignment="1">
      <alignment vertical="center"/>
    </xf>
    <xf numFmtId="169" fontId="196" fillId="0" borderId="0" xfId="199" applyNumberFormat="1" applyFont="1" applyAlignment="1">
      <alignment vertical="center"/>
    </xf>
    <xf numFmtId="0" fontId="196" fillId="0" borderId="14" xfId="199" applyFont="1" applyFill="1" applyBorder="1" applyAlignment="1">
      <alignment horizontal="center" vertical="center"/>
    </xf>
    <xf numFmtId="191" fontId="233" fillId="0" borderId="14" xfId="219" applyNumberFormat="1" applyFont="1" applyFill="1" applyBorder="1" applyAlignment="1">
      <alignment horizontal="center" vertical="center"/>
    </xf>
    <xf numFmtId="0" fontId="196" fillId="0" borderId="27" xfId="199" applyFont="1" applyBorder="1" applyAlignment="1">
      <alignment vertical="center"/>
    </xf>
    <xf numFmtId="0" fontId="196" fillId="0" borderId="28" xfId="199" applyFont="1" applyBorder="1" applyAlignment="1">
      <alignment horizontal="left" vertical="center"/>
    </xf>
    <xf numFmtId="0" fontId="196" fillId="0" borderId="14" xfId="199" applyFont="1" applyBorder="1" applyAlignment="1">
      <alignment horizontal="center" vertical="center"/>
    </xf>
    <xf numFmtId="2" fontId="196" fillId="0" borderId="0" xfId="199" applyNumberFormat="1" applyFont="1" applyAlignment="1">
      <alignment vertical="center"/>
    </xf>
    <xf numFmtId="0" fontId="240" fillId="0" borderId="28" xfId="199" applyFont="1" applyBorder="1" applyAlignment="1">
      <alignment horizontal="left" vertical="center"/>
    </xf>
    <xf numFmtId="0" fontId="240" fillId="0" borderId="14" xfId="199" applyFont="1" applyBorder="1" applyAlignment="1">
      <alignment horizontal="left" vertical="center"/>
    </xf>
    <xf numFmtId="191" fontId="196" fillId="0" borderId="0" xfId="199" applyNumberFormat="1" applyFont="1" applyFill="1" applyAlignment="1">
      <alignment vertical="center"/>
    </xf>
    <xf numFmtId="188" fontId="196" fillId="0" borderId="14" xfId="199" applyNumberFormat="1" applyFont="1" applyBorder="1" applyAlignment="1">
      <alignment vertical="center"/>
    </xf>
    <xf numFmtId="10" fontId="196" fillId="0" borderId="0" xfId="199" applyNumberFormat="1" applyFont="1" applyFill="1" applyAlignment="1">
      <alignment vertical="center"/>
    </xf>
    <xf numFmtId="0" fontId="197" fillId="0" borderId="14" xfId="199" applyFont="1" applyBorder="1" applyAlignment="1">
      <alignment vertical="center"/>
    </xf>
    <xf numFmtId="191" fontId="197" fillId="0" borderId="14" xfId="219" applyNumberFormat="1" applyFont="1" applyBorder="1" applyAlignment="1">
      <alignment vertical="center"/>
    </xf>
    <xf numFmtId="0" fontId="197" fillId="0" borderId="27" xfId="199" applyFont="1" applyFill="1" applyBorder="1" applyAlignment="1">
      <alignment vertical="center" wrapText="1"/>
    </xf>
    <xf numFmtId="0" fontId="197" fillId="0" borderId="28" xfId="199" applyFont="1" applyFill="1" applyBorder="1" applyAlignment="1">
      <alignment vertical="center" wrapText="1"/>
    </xf>
    <xf numFmtId="0" fontId="223" fillId="14" borderId="27" xfId="199" applyFont="1" applyFill="1" applyBorder="1" applyAlignment="1">
      <alignment vertical="center" wrapText="1"/>
    </xf>
    <xf numFmtId="0" fontId="223" fillId="14" borderId="28" xfId="199" applyFont="1" applyFill="1" applyBorder="1" applyAlignment="1">
      <alignment vertical="center" wrapText="1"/>
    </xf>
    <xf numFmtId="170" fontId="215" fillId="31" borderId="1" xfId="0" applyNumberFormat="1" applyFont="1" applyFill="1" applyBorder="1" applyAlignment="1" applyProtection="1">
      <alignment horizontal="center"/>
      <protection locked="0"/>
    </xf>
    <xf numFmtId="170" fontId="228" fillId="31" borderId="1" xfId="0" applyNumberFormat="1" applyFont="1" applyFill="1" applyBorder="1" applyProtection="1">
      <protection locked="0"/>
    </xf>
    <xf numFmtId="185" fontId="215" fillId="31" borderId="46" xfId="0" applyNumberFormat="1" applyFont="1" applyFill="1" applyBorder="1" applyAlignment="1" applyProtection="1">
      <alignment horizontal="center"/>
      <protection locked="0"/>
    </xf>
    <xf numFmtId="188" fontId="241" fillId="0" borderId="14" xfId="60" applyNumberFormat="1" applyFont="1" applyBorder="1" applyAlignment="1">
      <alignment vertical="center" wrapText="1"/>
    </xf>
    <xf numFmtId="0" fontId="205" fillId="0" borderId="0" xfId="0" applyFont="1"/>
    <xf numFmtId="191" fontId="220" fillId="0" borderId="14" xfId="199" applyNumberFormat="1" applyFont="1" applyBorder="1" applyAlignment="1">
      <alignment vertical="center" wrapText="1"/>
    </xf>
    <xf numFmtId="0" fontId="242" fillId="0" borderId="0" xfId="199" applyFont="1"/>
    <xf numFmtId="0" fontId="225" fillId="0" borderId="0" xfId="199" applyFont="1" applyFill="1" applyBorder="1" applyAlignment="1">
      <alignment vertical="center"/>
    </xf>
    <xf numFmtId="0" fontId="229" fillId="0" borderId="0" xfId="199" applyFont="1" applyFill="1" applyBorder="1"/>
    <xf numFmtId="10" fontId="220" fillId="0" borderId="0" xfId="219" applyNumberFormat="1" applyFont="1" applyBorder="1" applyAlignment="1">
      <alignment vertical="center"/>
    </xf>
    <xf numFmtId="0" fontId="224" fillId="0" borderId="0" xfId="199" applyFont="1" applyFill="1" applyBorder="1" applyAlignment="1">
      <alignment horizontal="center" vertical="center" wrapText="1"/>
    </xf>
    <xf numFmtId="0" fontId="243" fillId="0" borderId="0" xfId="199" applyFont="1" applyFill="1" applyBorder="1" applyAlignment="1">
      <alignment horizontal="center" vertical="center"/>
    </xf>
    <xf numFmtId="191" fontId="243" fillId="0" borderId="0" xfId="199" applyNumberFormat="1" applyFont="1" applyFill="1" applyBorder="1" applyAlignment="1">
      <alignment vertical="center"/>
    </xf>
    <xf numFmtId="188" fontId="243" fillId="0" borderId="0" xfId="60" applyNumberFormat="1" applyFont="1" applyFill="1" applyBorder="1" applyAlignment="1">
      <alignment vertical="center"/>
    </xf>
    <xf numFmtId="188" fontId="197" fillId="0" borderId="14" xfId="60" applyNumberFormat="1" applyFont="1" applyFill="1" applyBorder="1" applyAlignment="1">
      <alignment vertical="center" wrapText="1"/>
    </xf>
    <xf numFmtId="0" fontId="204" fillId="0" borderId="17" xfId="0" applyFont="1" applyBorder="1"/>
    <xf numFmtId="0" fontId="204" fillId="0" borderId="17" xfId="0" applyFont="1" applyBorder="1" applyAlignment="1">
      <alignment horizontal="right"/>
    </xf>
    <xf numFmtId="0" fontId="205" fillId="0" borderId="29" xfId="0" applyFont="1" applyBorder="1"/>
    <xf numFmtId="37" fontId="205" fillId="0" borderId="74" xfId="0" applyNumberFormat="1" applyFont="1" applyBorder="1"/>
    <xf numFmtId="37" fontId="205" fillId="0" borderId="30" xfId="0" applyNumberFormat="1" applyFont="1" applyBorder="1"/>
    <xf numFmtId="0" fontId="205" fillId="0" borderId="13" xfId="0" applyFont="1" applyBorder="1"/>
    <xf numFmtId="174" fontId="205" fillId="0" borderId="0" xfId="0" applyNumberFormat="1" applyFont="1" applyBorder="1"/>
    <xf numFmtId="174" fontId="205" fillId="0" borderId="7" xfId="0" applyNumberFormat="1" applyFont="1" applyBorder="1"/>
    <xf numFmtId="0" fontId="193" fillId="0" borderId="13" xfId="0" applyFont="1" applyBorder="1" applyAlignment="1">
      <alignment horizontal="left" indent="1"/>
    </xf>
    <xf numFmtId="174" fontId="193" fillId="0" borderId="0" xfId="0" applyNumberFormat="1" applyFont="1" applyBorder="1"/>
    <xf numFmtId="174" fontId="193" fillId="0" borderId="7" xfId="0" applyNumberFormat="1" applyFont="1" applyBorder="1"/>
    <xf numFmtId="37" fontId="205" fillId="0" borderId="0" xfId="0" applyNumberFormat="1" applyFont="1" applyBorder="1"/>
    <xf numFmtId="37" fontId="205" fillId="0" borderId="7" xfId="0" applyNumberFormat="1" applyFont="1" applyBorder="1"/>
    <xf numFmtId="37" fontId="205" fillId="0" borderId="0" xfId="0" applyNumberFormat="1" applyFont="1"/>
    <xf numFmtId="0" fontId="205" fillId="0" borderId="25" xfId="0" applyFont="1" applyBorder="1"/>
    <xf numFmtId="174" fontId="205" fillId="0" borderId="17" xfId="0" applyNumberFormat="1" applyFont="1" applyBorder="1"/>
    <xf numFmtId="174" fontId="205" fillId="0" borderId="26" xfId="0" applyNumberFormat="1" applyFont="1" applyBorder="1"/>
    <xf numFmtId="174" fontId="205" fillId="0" borderId="74" xfId="0" applyNumberFormat="1" applyFont="1" applyBorder="1"/>
    <xf numFmtId="174" fontId="205" fillId="0" borderId="30" xfId="0" applyNumberFormat="1" applyFont="1" applyBorder="1"/>
    <xf numFmtId="0" fontId="205" fillId="0" borderId="17" xfId="0" applyFont="1" applyBorder="1"/>
    <xf numFmtId="9" fontId="205" fillId="0" borderId="17" xfId="219" applyFont="1" applyBorder="1"/>
    <xf numFmtId="9" fontId="205" fillId="0" borderId="26" xfId="219" applyFont="1" applyBorder="1"/>
    <xf numFmtId="9" fontId="205" fillId="0" borderId="0" xfId="219" applyFont="1"/>
    <xf numFmtId="0" fontId="205" fillId="0" borderId="0" xfId="0" applyFont="1" applyAlignment="1">
      <alignment horizontal="right"/>
    </xf>
    <xf numFmtId="187" fontId="196" fillId="21" borderId="66" xfId="203" applyNumberFormat="1" applyFont="1" applyFill="1" applyBorder="1" applyAlignment="1" applyProtection="1">
      <alignment horizontal="right" vertical="center"/>
    </xf>
    <xf numFmtId="188" fontId="196" fillId="31" borderId="14" xfId="60" applyNumberFormat="1" applyFont="1" applyFill="1" applyBorder="1" applyAlignment="1" applyProtection="1">
      <alignment vertical="center" wrapText="1"/>
      <protection locked="0"/>
    </xf>
    <xf numFmtId="188" fontId="195" fillId="31" borderId="14" xfId="60" applyNumberFormat="1" applyFont="1" applyFill="1" applyBorder="1" applyAlignment="1" applyProtection="1">
      <alignment vertical="center" wrapText="1"/>
      <protection locked="0"/>
    </xf>
    <xf numFmtId="187" fontId="195" fillId="31" borderId="14" xfId="60" applyNumberFormat="1" applyFont="1" applyFill="1" applyBorder="1" applyAlignment="1" applyProtection="1">
      <alignment vertical="center" wrapText="1"/>
      <protection locked="0"/>
    </xf>
    <xf numFmtId="191" fontId="196" fillId="31" borderId="14" xfId="219" applyNumberFormat="1" applyFont="1" applyFill="1" applyBorder="1" applyAlignment="1" applyProtection="1">
      <alignment vertical="center" wrapText="1"/>
      <protection locked="0"/>
    </xf>
    <xf numFmtId="188" fontId="196" fillId="0" borderId="14" xfId="60" applyNumberFormat="1" applyFont="1" applyFill="1" applyBorder="1" applyAlignment="1">
      <alignment vertical="center" wrapText="1"/>
    </xf>
    <xf numFmtId="191" fontId="196" fillId="0" borderId="14" xfId="219" applyNumberFormat="1" applyFont="1" applyFill="1" applyBorder="1" applyAlignment="1">
      <alignment vertical="center" wrapText="1"/>
    </xf>
    <xf numFmtId="9" fontId="196" fillId="0" borderId="14" xfId="219" applyFont="1" applyFill="1" applyBorder="1" applyAlignment="1">
      <alignment horizontal="center" vertical="center" wrapText="1"/>
    </xf>
    <xf numFmtId="191" fontId="196" fillId="0" borderId="14" xfId="219" applyNumberFormat="1" applyFont="1" applyBorder="1" applyAlignment="1" applyProtection="1">
      <alignment vertical="center" wrapText="1"/>
      <protection locked="0"/>
    </xf>
    <xf numFmtId="188" fontId="196" fillId="0" borderId="14" xfId="60" applyNumberFormat="1" applyFont="1" applyBorder="1" applyAlignment="1" applyProtection="1">
      <alignment vertical="center" wrapText="1"/>
      <protection locked="0"/>
    </xf>
    <xf numFmtId="9" fontId="196" fillId="31" borderId="14" xfId="219" applyFont="1" applyFill="1" applyBorder="1" applyAlignment="1" applyProtection="1">
      <alignment horizontal="center" vertical="center" wrapText="1"/>
      <protection locked="0"/>
    </xf>
    <xf numFmtId="169" fontId="233" fillId="0" borderId="14" xfId="60" applyFont="1" applyFill="1" applyBorder="1" applyAlignment="1">
      <alignment vertical="center" wrapText="1"/>
    </xf>
    <xf numFmtId="188" fontId="241" fillId="0" borderId="14" xfId="60" applyNumberFormat="1" applyFont="1" applyFill="1" applyBorder="1" applyAlignment="1">
      <alignment vertical="center" wrapText="1"/>
    </xf>
    <xf numFmtId="169" fontId="233" fillId="31" borderId="14" xfId="60" applyFont="1" applyFill="1" applyBorder="1" applyAlignment="1" applyProtection="1">
      <alignment vertical="center" wrapText="1"/>
      <protection locked="0"/>
    </xf>
    <xf numFmtId="191" fontId="196" fillId="31" borderId="14" xfId="199" applyNumberFormat="1" applyFont="1" applyFill="1" applyBorder="1" applyAlignment="1" applyProtection="1">
      <alignment horizontal="center" vertical="center" wrapText="1"/>
      <protection locked="0"/>
    </xf>
    <xf numFmtId="188" fontId="196" fillId="31" borderId="14" xfId="60" applyNumberFormat="1" applyFont="1" applyFill="1" applyBorder="1" applyAlignment="1" applyProtection="1">
      <alignment horizontal="center" vertical="center"/>
      <protection locked="0"/>
    </xf>
    <xf numFmtId="191" fontId="233" fillId="31" borderId="14" xfId="219" applyNumberFormat="1" applyFont="1" applyFill="1" applyBorder="1" applyAlignment="1" applyProtection="1">
      <alignment horizontal="center" vertical="center"/>
      <protection locked="0"/>
    </xf>
    <xf numFmtId="39" fontId="233" fillId="31" borderId="14" xfId="60" applyNumberFormat="1" applyFont="1" applyFill="1" applyBorder="1" applyAlignment="1" applyProtection="1">
      <alignment horizontal="center" vertical="center"/>
      <protection locked="0"/>
    </xf>
    <xf numFmtId="10" fontId="197" fillId="31" borderId="14" xfId="219" applyNumberFormat="1" applyFont="1" applyFill="1" applyBorder="1" applyAlignment="1" applyProtection="1">
      <alignment horizontal="center" vertical="center"/>
      <protection locked="0"/>
    </xf>
    <xf numFmtId="10" fontId="241" fillId="31" borderId="14" xfId="219" applyNumberFormat="1" applyFont="1" applyFill="1" applyBorder="1" applyAlignment="1" applyProtection="1">
      <alignment horizontal="center" vertical="center"/>
      <protection locked="0"/>
    </xf>
    <xf numFmtId="187" fontId="196" fillId="31" borderId="14" xfId="199" applyNumberFormat="1" applyFont="1" applyFill="1" applyBorder="1" applyAlignment="1" applyProtection="1">
      <alignment vertical="center" wrapText="1"/>
      <protection locked="0"/>
    </xf>
    <xf numFmtId="169" fontId="196" fillId="31" borderId="14" xfId="60" applyFont="1" applyFill="1" applyBorder="1" applyAlignment="1" applyProtection="1">
      <alignment vertical="center" wrapText="1"/>
      <protection locked="0"/>
    </xf>
    <xf numFmtId="188" fontId="225" fillId="31" borderId="14" xfId="60" applyNumberFormat="1" applyFont="1" applyFill="1" applyBorder="1" applyAlignment="1" applyProtection="1">
      <alignment vertical="center" wrapText="1"/>
      <protection locked="0"/>
    </xf>
    <xf numFmtId="0" fontId="213" fillId="14" borderId="17" xfId="199" applyFont="1" applyFill="1" applyBorder="1" applyAlignment="1" applyProtection="1">
      <alignment vertical="center"/>
      <protection locked="0"/>
    </xf>
    <xf numFmtId="0" fontId="205" fillId="0" borderId="0" xfId="199" applyFont="1" applyProtection="1">
      <protection locked="0"/>
    </xf>
    <xf numFmtId="0" fontId="196" fillId="0" borderId="14" xfId="199" applyFont="1" applyBorder="1" applyAlignment="1" applyProtection="1">
      <alignment vertical="center"/>
      <protection locked="0"/>
    </xf>
    <xf numFmtId="2" fontId="196" fillId="0" borderId="14" xfId="199" applyNumberFormat="1" applyFont="1" applyBorder="1" applyAlignment="1" applyProtection="1">
      <alignment vertical="center"/>
      <protection locked="0"/>
    </xf>
    <xf numFmtId="191" fontId="197" fillId="0" borderId="14" xfId="199" applyNumberFormat="1" applyFont="1" applyBorder="1" applyAlignment="1" applyProtection="1">
      <alignment horizontal="center" vertical="center"/>
      <protection locked="0"/>
    </xf>
    <xf numFmtId="191" fontId="197" fillId="2" borderId="14" xfId="199" applyNumberFormat="1" applyFont="1" applyFill="1" applyBorder="1" applyAlignment="1" applyProtection="1">
      <alignment horizontal="center" vertical="center"/>
      <protection locked="0"/>
    </xf>
    <xf numFmtId="37" fontId="196" fillId="0" borderId="14" xfId="199" applyNumberFormat="1" applyFont="1" applyBorder="1" applyAlignment="1" applyProtection="1">
      <alignment horizontal="center" vertical="center"/>
      <protection locked="0"/>
    </xf>
    <xf numFmtId="37" fontId="197" fillId="0" borderId="14" xfId="199" applyNumberFormat="1" applyFont="1" applyBorder="1" applyAlignment="1" applyProtection="1">
      <alignment horizontal="center" vertical="center"/>
      <protection locked="0"/>
    </xf>
    <xf numFmtId="43" fontId="196" fillId="31" borderId="14" xfId="60" applyNumberFormat="1" applyFont="1" applyFill="1" applyBorder="1" applyAlignment="1" applyProtection="1">
      <alignment vertical="center" wrapText="1"/>
      <protection locked="0"/>
    </xf>
    <xf numFmtId="188" fontId="196" fillId="0" borderId="0" xfId="199" applyNumberFormat="1" applyFont="1"/>
    <xf numFmtId="0" fontId="193" fillId="0" borderId="0" xfId="199" applyFont="1"/>
    <xf numFmtId="0" fontId="225" fillId="0" borderId="0" xfId="199" applyFont="1" applyFill="1" applyBorder="1"/>
    <xf numFmtId="9" fontId="225" fillId="0" borderId="0" xfId="219" applyNumberFormat="1" applyFont="1" applyFill="1" applyBorder="1" applyAlignment="1">
      <alignment horizontal="center" vertical="center"/>
    </xf>
    <xf numFmtId="170" fontId="205" fillId="0" borderId="1" xfId="0" applyNumberFormat="1" applyFont="1" applyBorder="1" applyProtection="1"/>
    <xf numFmtId="170" fontId="205" fillId="0" borderId="1" xfId="0" applyNumberFormat="1" applyFont="1" applyBorder="1" applyAlignment="1" applyProtection="1">
      <alignment horizontal="center"/>
    </xf>
    <xf numFmtId="170" fontId="209" fillId="0" borderId="1" xfId="0" applyNumberFormat="1" applyFont="1" applyBorder="1" applyProtection="1"/>
    <xf numFmtId="170" fontId="204" fillId="0" borderId="1" xfId="0" applyNumberFormat="1" applyFont="1" applyBorder="1" applyAlignment="1" applyProtection="1">
      <alignment horizontal="center"/>
    </xf>
    <xf numFmtId="170" fontId="204" fillId="0" borderId="1" xfId="0" applyNumberFormat="1" applyFont="1" applyBorder="1" applyProtection="1"/>
    <xf numFmtId="170" fontId="204" fillId="0" borderId="34" xfId="0" applyNumberFormat="1" applyFont="1" applyBorder="1" applyProtection="1"/>
    <xf numFmtId="170" fontId="205" fillId="0" borderId="34" xfId="0" applyNumberFormat="1" applyFont="1" applyBorder="1" applyProtection="1"/>
    <xf numFmtId="170" fontId="204" fillId="0" borderId="44" xfId="0" applyNumberFormat="1" applyFont="1" applyBorder="1" applyAlignment="1" applyProtection="1">
      <alignment horizontal="center"/>
    </xf>
    <xf numFmtId="170" fontId="204" fillId="2" borderId="35" xfId="0" applyNumberFormat="1" applyFont="1" applyFill="1" applyBorder="1" applyAlignment="1" applyProtection="1">
      <alignment horizontal="right"/>
    </xf>
    <xf numFmtId="170" fontId="204" fillId="2" borderId="36" xfId="0" applyNumberFormat="1" applyFont="1" applyFill="1" applyBorder="1" applyAlignment="1" applyProtection="1">
      <alignment horizontal="right"/>
    </xf>
    <xf numFmtId="170" fontId="204" fillId="2" borderId="60" xfId="0" applyNumberFormat="1" applyFont="1" applyFill="1" applyBorder="1" applyAlignment="1" applyProtection="1">
      <alignment horizontal="right"/>
    </xf>
    <xf numFmtId="170" fontId="204" fillId="10" borderId="37" xfId="0" applyNumberFormat="1" applyFont="1" applyFill="1" applyBorder="1" applyAlignment="1" applyProtection="1">
      <alignment horizontal="right"/>
    </xf>
    <xf numFmtId="170" fontId="204" fillId="10" borderId="38" xfId="0" applyNumberFormat="1" applyFont="1" applyFill="1" applyBorder="1" applyAlignment="1" applyProtection="1">
      <alignment horizontal="right"/>
    </xf>
    <xf numFmtId="170" fontId="204" fillId="10" borderId="39" xfId="0" applyNumberFormat="1" applyFont="1" applyFill="1" applyBorder="1" applyAlignment="1" applyProtection="1">
      <alignment horizontal="right"/>
    </xf>
    <xf numFmtId="170" fontId="204" fillId="4" borderId="40" xfId="0" applyNumberFormat="1" applyFont="1" applyFill="1" applyBorder="1" applyAlignment="1" applyProtection="1">
      <alignment horizontal="right"/>
    </xf>
    <xf numFmtId="170" fontId="204" fillId="4" borderId="41" xfId="0" applyNumberFormat="1" applyFont="1" applyFill="1" applyBorder="1" applyAlignment="1" applyProtection="1">
      <alignment horizontal="right"/>
    </xf>
    <xf numFmtId="170" fontId="204" fillId="4" borderId="42" xfId="0" applyNumberFormat="1" applyFont="1" applyFill="1" applyBorder="1" applyAlignment="1" applyProtection="1">
      <alignment horizontal="right"/>
    </xf>
    <xf numFmtId="170" fontId="205" fillId="0" borderId="43" xfId="0" applyNumberFormat="1" applyFont="1" applyBorder="1" applyProtection="1"/>
    <xf numFmtId="170" fontId="205" fillId="0" borderId="61" xfId="0" applyNumberFormat="1" applyFont="1" applyBorder="1" applyProtection="1"/>
    <xf numFmtId="170" fontId="205" fillId="0" borderId="62" xfId="0" applyNumberFormat="1" applyFont="1" applyBorder="1" applyProtection="1"/>
    <xf numFmtId="170" fontId="213" fillId="17" borderId="1" xfId="0" applyNumberFormat="1" applyFont="1" applyFill="1" applyBorder="1" applyAlignment="1" applyProtection="1">
      <alignment horizontal="center"/>
    </xf>
    <xf numFmtId="170" fontId="213" fillId="17" borderId="1" xfId="0" applyNumberFormat="1" applyFont="1" applyFill="1" applyBorder="1" applyProtection="1"/>
    <xf numFmtId="170" fontId="213" fillId="17" borderId="46" xfId="0" applyNumberFormat="1" applyFont="1" applyFill="1" applyBorder="1" applyProtection="1"/>
    <xf numFmtId="170" fontId="205" fillId="0" borderId="46" xfId="0" applyNumberFormat="1" applyFont="1" applyBorder="1" applyProtection="1"/>
    <xf numFmtId="171" fontId="211" fillId="0" borderId="1" xfId="0" applyNumberFormat="1" applyFont="1" applyBorder="1" applyAlignment="1" applyProtection="1">
      <alignment horizontal="center"/>
    </xf>
    <xf numFmtId="171" fontId="211" fillId="0" borderId="1" xfId="0" applyNumberFormat="1" applyFont="1" applyBorder="1" applyProtection="1"/>
    <xf numFmtId="171" fontId="211" fillId="0" borderId="46" xfId="0" applyNumberFormat="1" applyFont="1" applyBorder="1" applyProtection="1"/>
    <xf numFmtId="171" fontId="205" fillId="0" borderId="1" xfId="0" applyNumberFormat="1" applyFont="1" applyBorder="1" applyAlignment="1" applyProtection="1">
      <alignment horizontal="center"/>
    </xf>
    <xf numFmtId="171" fontId="205" fillId="0" borderId="1" xfId="0" applyNumberFormat="1" applyFont="1" applyBorder="1" applyProtection="1"/>
    <xf numFmtId="171" fontId="205" fillId="0" borderId="46" xfId="0" applyNumberFormat="1" applyFont="1" applyBorder="1" applyProtection="1"/>
    <xf numFmtId="172" fontId="205" fillId="0" borderId="1" xfId="0" applyNumberFormat="1" applyFont="1" applyBorder="1" applyAlignment="1" applyProtection="1">
      <alignment horizontal="center"/>
    </xf>
    <xf numFmtId="172" fontId="205" fillId="0" borderId="1" xfId="0" applyNumberFormat="1" applyFont="1" applyBorder="1" applyProtection="1"/>
    <xf numFmtId="172" fontId="205" fillId="0" borderId="46" xfId="0" applyNumberFormat="1" applyFont="1" applyBorder="1" applyProtection="1"/>
    <xf numFmtId="170" fontId="211" fillId="0" borderId="1" xfId="0" applyNumberFormat="1" applyFont="1" applyBorder="1" applyAlignment="1" applyProtection="1">
      <alignment horizontal="center"/>
    </xf>
    <xf numFmtId="170" fontId="211" fillId="0" borderId="1" xfId="0" applyNumberFormat="1" applyFont="1" applyBorder="1" applyProtection="1"/>
    <xf numFmtId="170" fontId="211" fillId="0" borderId="46" xfId="0" applyNumberFormat="1" applyFont="1" applyBorder="1" applyProtection="1"/>
    <xf numFmtId="170" fontId="205" fillId="0" borderId="1" xfId="0" applyNumberFormat="1" applyFont="1" applyBorder="1" applyAlignment="1" applyProtection="1">
      <alignment horizontal="left" indent="1"/>
    </xf>
    <xf numFmtId="170" fontId="204" fillId="0" borderId="46" xfId="0" applyNumberFormat="1" applyFont="1" applyBorder="1" applyProtection="1"/>
    <xf numFmtId="170" fontId="205" fillId="0" borderId="0" xfId="0" applyNumberFormat="1" applyFont="1" applyBorder="1" applyAlignment="1" applyProtection="1">
      <alignment horizontal="center"/>
    </xf>
    <xf numFmtId="170" fontId="205" fillId="0" borderId="0" xfId="0" applyNumberFormat="1" applyFont="1" applyBorder="1" applyProtection="1"/>
    <xf numFmtId="170" fontId="205" fillId="0" borderId="1" xfId="0" applyNumberFormat="1" applyFont="1" applyFill="1" applyBorder="1" applyProtection="1"/>
    <xf numFmtId="170" fontId="209" fillId="0" borderId="1" xfId="0" applyNumberFormat="1" applyFont="1" applyFill="1" applyBorder="1" applyProtection="1"/>
    <xf numFmtId="170" fontId="204" fillId="0" borderId="1" xfId="0" applyNumberFormat="1" applyFont="1" applyFill="1" applyBorder="1" applyProtection="1"/>
    <xf numFmtId="170" fontId="204" fillId="0" borderId="1" xfId="0" applyNumberFormat="1" applyFont="1" applyFill="1" applyBorder="1" applyAlignment="1" applyProtection="1">
      <alignment horizontal="center"/>
    </xf>
    <xf numFmtId="170" fontId="213" fillId="0" borderId="1" xfId="0" applyNumberFormat="1" applyFont="1" applyFill="1" applyBorder="1" applyProtection="1"/>
    <xf numFmtId="171" fontId="211" fillId="0" borderId="1" xfId="0" applyNumberFormat="1" applyFont="1" applyFill="1" applyBorder="1" applyProtection="1"/>
    <xf numFmtId="171" fontId="205" fillId="31" borderId="1" xfId="0" applyNumberFormat="1" applyFont="1" applyFill="1" applyBorder="1" applyProtection="1"/>
    <xf numFmtId="171" fontId="205" fillId="0" borderId="1" xfId="0" applyNumberFormat="1" applyFont="1" applyFill="1" applyBorder="1" applyProtection="1"/>
    <xf numFmtId="172" fontId="205" fillId="0" borderId="1" xfId="0" applyNumberFormat="1" applyFont="1" applyFill="1" applyBorder="1" applyProtection="1"/>
    <xf numFmtId="170" fontId="211" fillId="0" borderId="1" xfId="0" applyNumberFormat="1" applyFont="1" applyFill="1" applyBorder="1" applyProtection="1"/>
    <xf numFmtId="170" fontId="205" fillId="0" borderId="0" xfId="0" applyNumberFormat="1" applyFont="1" applyFill="1" applyBorder="1" applyProtection="1"/>
    <xf numFmtId="170" fontId="227" fillId="0" borderId="44" xfId="0" applyNumberFormat="1" applyFont="1" applyBorder="1" applyAlignment="1" applyProtection="1"/>
    <xf numFmtId="170" fontId="227" fillId="0" borderId="51" xfId="0" applyNumberFormat="1" applyFont="1" applyBorder="1" applyAlignment="1" applyProtection="1"/>
    <xf numFmtId="170" fontId="227" fillId="0" borderId="46" xfId="0" applyNumberFormat="1" applyFont="1" applyBorder="1" applyAlignment="1" applyProtection="1"/>
    <xf numFmtId="170" fontId="207" fillId="17" borderId="44" xfId="0" applyNumberFormat="1" applyFont="1" applyFill="1" applyBorder="1" applyAlignment="1" applyProtection="1"/>
    <xf numFmtId="170" fontId="207" fillId="17" borderId="51" xfId="0" applyNumberFormat="1" applyFont="1" applyFill="1" applyBorder="1" applyAlignment="1" applyProtection="1"/>
    <xf numFmtId="170" fontId="207" fillId="17" borderId="46" xfId="0" applyNumberFormat="1" applyFont="1" applyFill="1" applyBorder="1" applyAlignment="1" applyProtection="1"/>
    <xf numFmtId="37" fontId="196" fillId="0" borderId="0" xfId="0" applyNumberFormat="1" applyFont="1"/>
    <xf numFmtId="246" fontId="196" fillId="0" borderId="0" xfId="0" applyNumberFormat="1" applyFont="1"/>
    <xf numFmtId="37" fontId="205" fillId="31" borderId="74" xfId="0" applyNumberFormat="1" applyFont="1" applyFill="1" applyBorder="1" applyProtection="1">
      <protection locked="0"/>
    </xf>
    <xf numFmtId="174" fontId="205" fillId="31" borderId="0" xfId="0" applyNumberFormat="1" applyFont="1" applyFill="1" applyBorder="1" applyProtection="1">
      <protection locked="0"/>
    </xf>
    <xf numFmtId="174" fontId="205" fillId="31" borderId="7" xfId="0" applyNumberFormat="1" applyFont="1" applyFill="1" applyBorder="1" applyProtection="1">
      <protection locked="0"/>
    </xf>
    <xf numFmtId="174" fontId="193" fillId="31" borderId="0" xfId="0" applyNumberFormat="1" applyFont="1" applyFill="1" applyBorder="1" applyProtection="1">
      <protection locked="0"/>
    </xf>
    <xf numFmtId="37" fontId="205" fillId="31" borderId="0" xfId="0" applyNumberFormat="1" applyFont="1" applyFill="1" applyBorder="1" applyProtection="1">
      <protection locked="0"/>
    </xf>
    <xf numFmtId="37" fontId="205" fillId="31" borderId="7" xfId="0" applyNumberFormat="1" applyFont="1" applyFill="1" applyBorder="1" applyProtection="1">
      <protection locked="0"/>
    </xf>
    <xf numFmtId="174" fontId="205" fillId="31" borderId="17" xfId="0" applyNumberFormat="1" applyFont="1" applyFill="1" applyBorder="1" applyProtection="1">
      <protection locked="0"/>
    </xf>
    <xf numFmtId="174" fontId="205" fillId="31" borderId="26" xfId="0" applyNumberFormat="1" applyFont="1" applyFill="1" applyBorder="1" applyProtection="1">
      <protection locked="0"/>
    </xf>
    <xf numFmtId="174" fontId="205" fillId="31" borderId="74" xfId="0" applyNumberFormat="1" applyFont="1" applyFill="1" applyBorder="1" applyProtection="1">
      <protection locked="0"/>
    </xf>
    <xf numFmtId="174" fontId="205" fillId="31" borderId="30" xfId="0" applyNumberFormat="1" applyFont="1" applyFill="1" applyBorder="1" applyProtection="1">
      <protection locked="0"/>
    </xf>
    <xf numFmtId="9" fontId="205" fillId="31" borderId="17" xfId="219" applyFont="1" applyFill="1" applyBorder="1" applyProtection="1">
      <protection locked="0"/>
    </xf>
    <xf numFmtId="9" fontId="205" fillId="31" borderId="26" xfId="219" applyFont="1" applyFill="1" applyBorder="1" applyProtection="1">
      <protection locked="0"/>
    </xf>
    <xf numFmtId="170" fontId="229" fillId="0" borderId="1" xfId="0" applyNumberFormat="1" applyFont="1" applyFill="1" applyBorder="1" applyProtection="1"/>
    <xf numFmtId="170" fontId="229" fillId="0" borderId="1" xfId="0" applyNumberFormat="1" applyFont="1" applyBorder="1" applyProtection="1"/>
    <xf numFmtId="191" fontId="206" fillId="0" borderId="1" xfId="219" applyNumberFormat="1" applyFont="1" applyBorder="1" applyProtection="1"/>
    <xf numFmtId="185" fontId="229" fillId="0" borderId="1" xfId="0" applyNumberFormat="1" applyFont="1" applyFill="1" applyBorder="1" applyProtection="1"/>
    <xf numFmtId="185" fontId="229" fillId="0" borderId="1" xfId="0" applyNumberFormat="1" applyFont="1" applyBorder="1" applyProtection="1"/>
    <xf numFmtId="170" fontId="205" fillId="0" borderId="44" xfId="0" applyNumberFormat="1" applyFont="1" applyBorder="1" applyProtection="1"/>
    <xf numFmtId="185" fontId="209" fillId="0" borderId="1" xfId="0" applyNumberFormat="1" applyFont="1" applyBorder="1" applyProtection="1"/>
    <xf numFmtId="185" fontId="230" fillId="0" borderId="1" xfId="0" applyNumberFormat="1" applyFont="1" applyBorder="1" applyProtection="1"/>
    <xf numFmtId="184" fontId="209" fillId="0" borderId="1" xfId="0" applyNumberFormat="1" applyFont="1" applyBorder="1" applyProtection="1"/>
    <xf numFmtId="170" fontId="209" fillId="0" borderId="44" xfId="0" applyNumberFormat="1" applyFont="1" applyBorder="1" applyProtection="1"/>
    <xf numFmtId="185" fontId="209" fillId="0" borderId="0" xfId="0" applyNumberFormat="1" applyFont="1" applyFill="1" applyBorder="1" applyProtection="1"/>
    <xf numFmtId="170" fontId="209" fillId="0" borderId="0" xfId="0" applyNumberFormat="1" applyFont="1" applyFill="1" applyBorder="1" applyProtection="1"/>
    <xf numFmtId="170" fontId="204" fillId="0" borderId="1" xfId="0" applyNumberFormat="1" applyFont="1" applyBorder="1" applyAlignment="1" applyProtection="1">
      <alignment horizontal="left"/>
    </xf>
    <xf numFmtId="39" fontId="204" fillId="0" borderId="1" xfId="0" applyNumberFormat="1" applyFont="1" applyBorder="1" applyProtection="1"/>
    <xf numFmtId="39" fontId="205" fillId="0" borderId="1" xfId="0" applyNumberFormat="1" applyFont="1" applyBorder="1" applyProtection="1"/>
    <xf numFmtId="39" fontId="231" fillId="0" borderId="1" xfId="0" applyNumberFormat="1" applyFont="1" applyBorder="1" applyAlignment="1" applyProtection="1">
      <alignment horizontal="center"/>
    </xf>
    <xf numFmtId="170" fontId="204" fillId="0" borderId="44" xfId="0" applyNumberFormat="1" applyFont="1" applyBorder="1" applyProtection="1"/>
    <xf numFmtId="39" fontId="204" fillId="0" borderId="0" xfId="0" applyNumberFormat="1" applyFont="1" applyFill="1" applyBorder="1" applyProtection="1"/>
    <xf numFmtId="170" fontId="204" fillId="0" borderId="0" xfId="0" applyNumberFormat="1" applyFont="1" applyFill="1" applyBorder="1" applyProtection="1"/>
    <xf numFmtId="191" fontId="205" fillId="0" borderId="34" xfId="219" applyNumberFormat="1" applyFont="1" applyBorder="1" applyProtection="1"/>
    <xf numFmtId="185" fontId="205" fillId="0" borderId="34" xfId="0" applyNumberFormat="1" applyFont="1" applyBorder="1" applyProtection="1"/>
    <xf numFmtId="191" fontId="205" fillId="0" borderId="0" xfId="0" applyNumberFormat="1" applyFont="1" applyFill="1" applyBorder="1" applyProtection="1"/>
    <xf numFmtId="170" fontId="204" fillId="20" borderId="35" xfId="0" applyNumberFormat="1" applyFont="1" applyFill="1" applyBorder="1" applyAlignment="1" applyProtection="1">
      <alignment horizontal="right"/>
    </xf>
    <xf numFmtId="170" fontId="204" fillId="20" borderId="36" xfId="0" applyNumberFormat="1" applyFont="1" applyFill="1" applyBorder="1" applyAlignment="1" applyProtection="1">
      <alignment horizontal="right"/>
    </xf>
    <xf numFmtId="170" fontId="204" fillId="32" borderId="37" xfId="0" applyNumberFormat="1" applyFont="1" applyFill="1" applyBorder="1" applyAlignment="1" applyProtection="1">
      <alignment horizontal="right"/>
    </xf>
    <xf numFmtId="170" fontId="204" fillId="32" borderId="38" xfId="0" applyNumberFormat="1" applyFont="1" applyFill="1" applyBorder="1" applyAlignment="1" applyProtection="1">
      <alignment horizontal="right"/>
    </xf>
    <xf numFmtId="170" fontId="204" fillId="32" borderId="76" xfId="0" applyNumberFormat="1" applyFont="1" applyFill="1" applyBorder="1" applyAlignment="1" applyProtection="1">
      <alignment horizontal="right"/>
    </xf>
    <xf numFmtId="170" fontId="204" fillId="32" borderId="79" xfId="0" applyNumberFormat="1" applyFont="1" applyFill="1" applyBorder="1" applyAlignment="1" applyProtection="1">
      <alignment horizontal="right"/>
    </xf>
    <xf numFmtId="170" fontId="204" fillId="4" borderId="79" xfId="0" applyNumberFormat="1" applyFont="1" applyFill="1" applyBorder="1" applyAlignment="1" applyProtection="1">
      <alignment horizontal="right"/>
    </xf>
    <xf numFmtId="170" fontId="204" fillId="21" borderId="0" xfId="0" applyNumberFormat="1" applyFont="1" applyFill="1" applyBorder="1" applyAlignment="1" applyProtection="1">
      <alignment horizontal="right"/>
    </xf>
    <xf numFmtId="170" fontId="204" fillId="0" borderId="0" xfId="0" applyNumberFormat="1" applyFont="1" applyFill="1" applyBorder="1" applyAlignment="1" applyProtection="1">
      <alignment horizontal="center"/>
    </xf>
    <xf numFmtId="170" fontId="205" fillId="20" borderId="43" xfId="0" applyNumberFormat="1" applyFont="1" applyFill="1" applyBorder="1" applyProtection="1"/>
    <xf numFmtId="184" fontId="205" fillId="0" borderId="43" xfId="0" applyNumberFormat="1" applyFont="1" applyBorder="1" applyProtection="1"/>
    <xf numFmtId="183" fontId="205" fillId="0" borderId="43" xfId="0" applyNumberFormat="1" applyFont="1" applyBorder="1" applyProtection="1"/>
    <xf numFmtId="170" fontId="206" fillId="0" borderId="1" xfId="0" applyNumberFormat="1" applyFont="1" applyBorder="1" applyAlignment="1" applyProtection="1">
      <alignment horizontal="center"/>
    </xf>
    <xf numFmtId="170" fontId="206" fillId="0" borderId="1" xfId="131" applyNumberFormat="1" applyFont="1" applyBorder="1" applyAlignment="1" applyProtection="1"/>
    <xf numFmtId="170" fontId="206" fillId="20" borderId="1" xfId="0" applyNumberFormat="1" applyFont="1" applyFill="1" applyBorder="1" applyProtection="1"/>
    <xf numFmtId="170" fontId="206" fillId="0" borderId="1" xfId="0" applyNumberFormat="1" applyFont="1" applyBorder="1" applyProtection="1"/>
    <xf numFmtId="170" fontId="206" fillId="0" borderId="46" xfId="0" applyNumberFormat="1" applyFont="1" applyBorder="1" applyProtection="1"/>
    <xf numFmtId="9" fontId="206" fillId="0" borderId="1" xfId="219" applyFont="1" applyBorder="1" applyProtection="1"/>
    <xf numFmtId="170" fontId="206" fillId="0" borderId="0" xfId="0" applyNumberFormat="1" applyFont="1" applyFill="1" applyBorder="1" applyProtection="1"/>
    <xf numFmtId="0" fontId="226" fillId="0" borderId="0" xfId="0" applyFont="1" applyProtection="1"/>
    <xf numFmtId="170" fontId="210" fillId="0" borderId="1" xfId="0" applyNumberFormat="1" applyFont="1" applyBorder="1" applyAlignment="1" applyProtection="1">
      <alignment horizontal="center"/>
    </xf>
    <xf numFmtId="170" fontId="210" fillId="0" borderId="1" xfId="131" applyNumberFormat="1" applyFont="1" applyBorder="1" applyAlignment="1" applyProtection="1"/>
    <xf numFmtId="170" fontId="210" fillId="20" borderId="1" xfId="0" applyNumberFormat="1" applyFont="1" applyFill="1" applyBorder="1" applyProtection="1"/>
    <xf numFmtId="170" fontId="210" fillId="0" borderId="1" xfId="0" applyNumberFormat="1" applyFont="1" applyBorder="1" applyProtection="1"/>
    <xf numFmtId="170" fontId="210" fillId="0" borderId="46" xfId="0" applyNumberFormat="1" applyFont="1" applyBorder="1" applyProtection="1"/>
    <xf numFmtId="170" fontId="210" fillId="0" borderId="0" xfId="0" applyNumberFormat="1" applyFont="1" applyFill="1" applyBorder="1" applyProtection="1"/>
    <xf numFmtId="170" fontId="205" fillId="20" borderId="1" xfId="0" applyNumberFormat="1" applyFont="1" applyFill="1" applyBorder="1" applyProtection="1"/>
    <xf numFmtId="170" fontId="211" fillId="20" borderId="1" xfId="0" applyNumberFormat="1" applyFont="1" applyFill="1" applyBorder="1" applyProtection="1"/>
    <xf numFmtId="183" fontId="211" fillId="20" borderId="1" xfId="0" applyNumberFormat="1" applyFont="1" applyFill="1" applyBorder="1" applyProtection="1"/>
    <xf numFmtId="170" fontId="211" fillId="0" borderId="0" xfId="0" applyNumberFormat="1" applyFont="1" applyFill="1" applyBorder="1" applyProtection="1"/>
    <xf numFmtId="188" fontId="210" fillId="0" borderId="46" xfId="0" applyNumberFormat="1" applyFont="1" applyBorder="1" applyProtection="1"/>
    <xf numFmtId="184" fontId="210" fillId="0" borderId="1" xfId="0" applyNumberFormat="1" applyFont="1" applyBorder="1" applyProtection="1"/>
    <xf numFmtId="185" fontId="210" fillId="0" borderId="0" xfId="0" applyNumberFormat="1" applyFont="1" applyFill="1" applyBorder="1" applyProtection="1"/>
    <xf numFmtId="184" fontId="205" fillId="0" borderId="46" xfId="0" applyNumberFormat="1" applyFont="1" applyBorder="1" applyProtection="1"/>
    <xf numFmtId="191" fontId="205" fillId="0" borderId="46" xfId="219" applyNumberFormat="1" applyFont="1" applyBorder="1" applyProtection="1"/>
    <xf numFmtId="217" fontId="205" fillId="0" borderId="0" xfId="0" applyNumberFormat="1" applyFont="1" applyFill="1" applyBorder="1" applyProtection="1"/>
    <xf numFmtId="185" fontId="206" fillId="0" borderId="1" xfId="0" applyNumberFormat="1" applyFont="1" applyBorder="1" applyProtection="1"/>
    <xf numFmtId="170" fontId="205" fillId="0" borderId="1" xfId="131" applyNumberFormat="1" applyFont="1" applyBorder="1" applyAlignment="1" applyProtection="1"/>
    <xf numFmtId="183" fontId="205" fillId="0" borderId="1" xfId="0" applyNumberFormat="1" applyFont="1" applyBorder="1" applyProtection="1"/>
    <xf numFmtId="183" fontId="205" fillId="0" borderId="0" xfId="0" applyNumberFormat="1" applyFont="1" applyFill="1" applyBorder="1" applyProtection="1"/>
    <xf numFmtId="170" fontId="211" fillId="0" borderId="44" xfId="0" applyNumberFormat="1" applyFont="1" applyBorder="1" applyProtection="1"/>
    <xf numFmtId="170" fontId="212" fillId="0" borderId="1" xfId="0" applyNumberFormat="1" applyFont="1" applyBorder="1" applyAlignment="1" applyProtection="1">
      <alignment horizontal="center"/>
    </xf>
    <xf numFmtId="170" fontId="212" fillId="0" borderId="1" xfId="0" applyNumberFormat="1" applyFont="1" applyBorder="1" applyProtection="1"/>
    <xf numFmtId="170" fontId="212" fillId="20" borderId="1" xfId="0" applyNumberFormat="1" applyFont="1" applyFill="1" applyBorder="1" applyProtection="1"/>
    <xf numFmtId="170" fontId="212" fillId="0" borderId="46" xfId="0" applyNumberFormat="1" applyFont="1" applyBorder="1" applyProtection="1"/>
    <xf numFmtId="170" fontId="212" fillId="0" borderId="44" xfId="0" applyNumberFormat="1" applyFont="1" applyBorder="1" applyProtection="1"/>
    <xf numFmtId="170" fontId="212" fillId="0" borderId="0" xfId="0" applyNumberFormat="1" applyFont="1" applyFill="1" applyBorder="1" applyProtection="1"/>
    <xf numFmtId="170" fontId="210" fillId="0" borderId="1" xfId="0" applyNumberFormat="1" applyFont="1" applyBorder="1" applyAlignment="1" applyProtection="1">
      <alignment horizontal="left" indent="1"/>
    </xf>
    <xf numFmtId="170" fontId="210" fillId="0" borderId="44" xfId="0" applyNumberFormat="1" applyFont="1" applyBorder="1" applyProtection="1"/>
    <xf numFmtId="9" fontId="211" fillId="0" borderId="1" xfId="219" applyFont="1" applyBorder="1" applyProtection="1"/>
    <xf numFmtId="183" fontId="210" fillId="0" borderId="44" xfId="0" quotePrefix="1" applyNumberFormat="1" applyFont="1" applyBorder="1" applyProtection="1"/>
    <xf numFmtId="183" fontId="210" fillId="0" borderId="1" xfId="0" applyNumberFormat="1" applyFont="1" applyBorder="1" applyAlignment="1" applyProtection="1">
      <alignment horizontal="center"/>
    </xf>
    <xf numFmtId="183" fontId="210" fillId="0" borderId="1" xfId="0" applyNumberFormat="1" applyFont="1" applyBorder="1" applyProtection="1"/>
    <xf numFmtId="183" fontId="210" fillId="20" borderId="1" xfId="0" applyNumberFormat="1" applyFont="1" applyFill="1" applyBorder="1" applyProtection="1"/>
    <xf numFmtId="183" fontId="210" fillId="0" borderId="46" xfId="0" applyNumberFormat="1" applyFont="1" applyBorder="1" applyProtection="1"/>
    <xf numFmtId="183" fontId="210" fillId="0" borderId="0" xfId="0" applyNumberFormat="1" applyFont="1" applyFill="1" applyBorder="1" applyProtection="1"/>
    <xf numFmtId="0" fontId="196" fillId="0" borderId="0" xfId="0" applyFont="1" applyProtection="1"/>
    <xf numFmtId="183" fontId="210" fillId="0" borderId="44" xfId="0" applyNumberFormat="1" applyFont="1" applyBorder="1" applyProtection="1"/>
    <xf numFmtId="185" fontId="211" fillId="0" borderId="1" xfId="0" applyNumberFormat="1" applyFont="1" applyBorder="1" applyProtection="1"/>
    <xf numFmtId="184" fontId="205" fillId="0" borderId="1" xfId="0" applyNumberFormat="1" applyFont="1" applyBorder="1" applyProtection="1"/>
    <xf numFmtId="188" fontId="205" fillId="0" borderId="46" xfId="0" applyNumberFormat="1" applyFont="1" applyBorder="1" applyProtection="1"/>
    <xf numFmtId="170" fontId="209" fillId="0" borderId="1" xfId="0" applyNumberFormat="1" applyFont="1" applyBorder="1" applyAlignment="1" applyProtection="1">
      <alignment horizontal="center"/>
    </xf>
    <xf numFmtId="170" fontId="209" fillId="0" borderId="1" xfId="0" applyNumberFormat="1" applyFont="1" applyBorder="1" applyAlignment="1" applyProtection="1">
      <alignment horizontal="left" indent="1"/>
    </xf>
    <xf numFmtId="170" fontId="209" fillId="20" borderId="1" xfId="0" applyNumberFormat="1" applyFont="1" applyFill="1" applyBorder="1" applyProtection="1"/>
    <xf numFmtId="170" fontId="213" fillId="34" borderId="1" xfId="0" applyNumberFormat="1" applyFont="1" applyFill="1" applyBorder="1" applyAlignment="1" applyProtection="1">
      <alignment horizontal="center"/>
    </xf>
    <xf numFmtId="170" fontId="213" fillId="0" borderId="0" xfId="0" applyNumberFormat="1" applyFont="1" applyFill="1" applyBorder="1" applyProtection="1"/>
    <xf numFmtId="170" fontId="213" fillId="20" borderId="1" xfId="0" applyNumberFormat="1" applyFont="1" applyFill="1" applyBorder="1" applyProtection="1"/>
    <xf numFmtId="191" fontId="205" fillId="0" borderId="46" xfId="0" applyNumberFormat="1" applyFont="1" applyBorder="1" applyProtection="1"/>
    <xf numFmtId="170" fontId="214" fillId="0" borderId="1" xfId="131" applyNumberFormat="1" applyFont="1" applyBorder="1" applyAlignment="1" applyProtection="1"/>
    <xf numFmtId="170" fontId="209" fillId="0" borderId="1" xfId="0" applyNumberFormat="1" applyFont="1" applyBorder="1" applyAlignment="1" applyProtection="1"/>
    <xf numFmtId="170" fontId="209" fillId="20" borderId="1" xfId="0" applyNumberFormat="1" applyFont="1" applyFill="1" applyBorder="1" applyAlignment="1" applyProtection="1"/>
    <xf numFmtId="185" fontId="209" fillId="0" borderId="1" xfId="0" applyNumberFormat="1" applyFont="1" applyBorder="1" applyAlignment="1" applyProtection="1"/>
    <xf numFmtId="191" fontId="209" fillId="0" borderId="1" xfId="219" applyNumberFormat="1" applyFont="1" applyBorder="1" applyAlignment="1" applyProtection="1"/>
    <xf numFmtId="170" fontId="209" fillId="0" borderId="44" xfId="0" applyNumberFormat="1" applyFont="1" applyBorder="1" applyAlignment="1" applyProtection="1"/>
    <xf numFmtId="191" fontId="209" fillId="0" borderId="0" xfId="0" applyNumberFormat="1" applyFont="1" applyFill="1" applyBorder="1" applyAlignment="1" applyProtection="1"/>
    <xf numFmtId="170" fontId="209" fillId="0" borderId="0" xfId="0" applyNumberFormat="1" applyFont="1" applyFill="1" applyBorder="1" applyAlignment="1" applyProtection="1"/>
    <xf numFmtId="170" fontId="226" fillId="0" borderId="1" xfId="0" applyNumberFormat="1" applyFont="1" applyBorder="1" applyProtection="1"/>
    <xf numFmtId="170" fontId="226" fillId="20" borderId="1" xfId="0" applyNumberFormat="1" applyFont="1" applyFill="1" applyBorder="1" applyProtection="1"/>
    <xf numFmtId="170" fontId="226" fillId="0" borderId="46" xfId="0" applyNumberFormat="1" applyFont="1" applyBorder="1" applyProtection="1"/>
    <xf numFmtId="170" fontId="226" fillId="0" borderId="44" xfId="0" applyNumberFormat="1" applyFont="1" applyBorder="1" applyProtection="1"/>
    <xf numFmtId="170" fontId="226" fillId="0" borderId="0" xfId="0" applyNumberFormat="1" applyFont="1" applyFill="1" applyBorder="1" applyProtection="1"/>
    <xf numFmtId="185" fontId="205" fillId="0" borderId="1" xfId="0" applyNumberFormat="1" applyFont="1" applyBorder="1" applyProtection="1"/>
    <xf numFmtId="185" fontId="205" fillId="0" borderId="1" xfId="219" applyNumberFormat="1" applyFont="1" applyBorder="1" applyProtection="1"/>
    <xf numFmtId="170" fontId="206" fillId="0" borderId="1" xfId="131" applyNumberFormat="1" applyFont="1" applyBorder="1" applyAlignment="1" applyProtection="1">
      <alignment horizontal="center"/>
    </xf>
    <xf numFmtId="170" fontId="213" fillId="17" borderId="44" xfId="0" applyNumberFormat="1" applyFont="1" applyFill="1" applyBorder="1" applyProtection="1"/>
    <xf numFmtId="188" fontId="205" fillId="0" borderId="1" xfId="0" applyNumberFormat="1" applyFont="1" applyBorder="1" applyProtection="1"/>
    <xf numFmtId="185" fontId="205" fillId="0" borderId="46" xfId="0" applyNumberFormat="1" applyFont="1" applyBorder="1" applyProtection="1"/>
    <xf numFmtId="185" fontId="209" fillId="0" borderId="0" xfId="0" applyNumberFormat="1" applyFont="1" applyFill="1" applyBorder="1" applyAlignment="1" applyProtection="1"/>
    <xf numFmtId="185" fontId="209" fillId="0" borderId="46" xfId="0" applyNumberFormat="1" applyFont="1" applyBorder="1" applyAlignment="1" applyProtection="1"/>
    <xf numFmtId="191" fontId="213" fillId="17" borderId="46" xfId="219" applyNumberFormat="1" applyFont="1" applyFill="1" applyBorder="1" applyProtection="1"/>
    <xf numFmtId="170" fontId="208" fillId="0" borderId="1" xfId="131" applyNumberFormat="1" applyFont="1" applyBorder="1" applyAlignment="1" applyProtection="1"/>
    <xf numFmtId="170" fontId="226" fillId="0" borderId="1" xfId="0" applyNumberFormat="1" applyFont="1" applyBorder="1" applyAlignment="1" applyProtection="1"/>
    <xf numFmtId="170" fontId="235" fillId="20" borderId="1" xfId="0" applyNumberFormat="1" applyFont="1" applyFill="1" applyBorder="1" applyProtection="1"/>
    <xf numFmtId="170" fontId="235" fillId="0" borderId="1" xfId="0" applyNumberFormat="1" applyFont="1" applyBorder="1" applyProtection="1"/>
    <xf numFmtId="170" fontId="235" fillId="0" borderId="46" xfId="0" applyNumberFormat="1" applyFont="1" applyBorder="1" applyProtection="1"/>
    <xf numFmtId="188" fontId="235" fillId="0" borderId="46" xfId="0" applyNumberFormat="1" applyFont="1" applyBorder="1" applyProtection="1"/>
    <xf numFmtId="170" fontId="236" fillId="0" borderId="1" xfId="0" applyNumberFormat="1" applyFont="1" applyBorder="1" applyAlignment="1" applyProtection="1"/>
    <xf numFmtId="170" fontId="236" fillId="0" borderId="44" xfId="0" applyNumberFormat="1" applyFont="1" applyBorder="1" applyAlignment="1" applyProtection="1"/>
    <xf numFmtId="170" fontId="236" fillId="0" borderId="0" xfId="0" applyNumberFormat="1" applyFont="1" applyFill="1" applyBorder="1" applyAlignment="1" applyProtection="1"/>
    <xf numFmtId="185" fontId="209" fillId="20" borderId="1" xfId="0" applyNumberFormat="1" applyFont="1" applyFill="1" applyBorder="1" applyAlignment="1" applyProtection="1"/>
    <xf numFmtId="185" fontId="216" fillId="0" borderId="1" xfId="0" applyNumberFormat="1" applyFont="1" applyBorder="1" applyProtection="1"/>
    <xf numFmtId="185" fontId="216" fillId="0" borderId="46" xfId="0" applyNumberFormat="1" applyFont="1" applyBorder="1" applyProtection="1"/>
    <xf numFmtId="170" fontId="216" fillId="20" borderId="1" xfId="0" applyNumberFormat="1" applyFont="1" applyFill="1" applyBorder="1" applyProtection="1"/>
    <xf numFmtId="170" fontId="216" fillId="0" borderId="1" xfId="0" applyNumberFormat="1" applyFont="1" applyBorder="1" applyProtection="1"/>
    <xf numFmtId="170" fontId="216" fillId="0" borderId="46" xfId="0" applyNumberFormat="1" applyFont="1" applyBorder="1" applyProtection="1"/>
    <xf numFmtId="188" fontId="216" fillId="0" borderId="46" xfId="0" applyNumberFormat="1" applyFont="1" applyBorder="1" applyProtection="1"/>
    <xf numFmtId="188" fontId="209" fillId="0" borderId="0" xfId="0" applyNumberFormat="1" applyFont="1" applyFill="1" applyBorder="1" applyAlignment="1" applyProtection="1"/>
    <xf numFmtId="191" fontId="205" fillId="0" borderId="1" xfId="219" applyNumberFormat="1" applyFont="1" applyBorder="1" applyProtection="1"/>
    <xf numFmtId="188" fontId="205" fillId="20" borderId="1" xfId="0" applyNumberFormat="1" applyFont="1" applyFill="1" applyBorder="1" applyProtection="1"/>
    <xf numFmtId="170" fontId="214" fillId="0" borderId="1" xfId="131" applyNumberFormat="1" applyFont="1" applyBorder="1" applyAlignment="1" applyProtection="1">
      <alignment horizontal="center"/>
    </xf>
    <xf numFmtId="170" fontId="209" fillId="20" borderId="1" xfId="0" applyNumberFormat="1" applyFont="1" applyFill="1" applyBorder="1" applyAlignment="1" applyProtection="1">
      <alignment horizontal="center"/>
    </xf>
    <xf numFmtId="185" fontId="209" fillId="0" borderId="1" xfId="0" applyNumberFormat="1" applyFont="1" applyBorder="1" applyAlignment="1" applyProtection="1">
      <alignment horizontal="center"/>
    </xf>
    <xf numFmtId="170" fontId="209" fillId="0" borderId="44" xfId="0" applyNumberFormat="1" applyFont="1" applyBorder="1" applyAlignment="1" applyProtection="1">
      <alignment horizontal="center"/>
    </xf>
    <xf numFmtId="185" fontId="209" fillId="0" borderId="0" xfId="0" applyNumberFormat="1" applyFont="1" applyFill="1" applyBorder="1" applyAlignment="1" applyProtection="1">
      <alignment horizontal="center"/>
    </xf>
    <xf numFmtId="170" fontId="209" fillId="0" borderId="0" xfId="0" applyNumberFormat="1" applyFont="1" applyFill="1" applyBorder="1" applyAlignment="1" applyProtection="1">
      <alignment horizontal="center"/>
    </xf>
    <xf numFmtId="170" fontId="204" fillId="20" borderId="1" xfId="0" applyNumberFormat="1" applyFont="1" applyFill="1" applyBorder="1" applyProtection="1"/>
    <xf numFmtId="185" fontId="205" fillId="20" borderId="1" xfId="0" applyNumberFormat="1" applyFont="1" applyFill="1" applyBorder="1" applyProtection="1"/>
    <xf numFmtId="185" fontId="204" fillId="0" borderId="0" xfId="0" applyNumberFormat="1" applyFont="1" applyFill="1" applyBorder="1" applyProtection="1"/>
    <xf numFmtId="191" fontId="205" fillId="20" borderId="1" xfId="219" applyNumberFormat="1" applyFont="1" applyFill="1" applyBorder="1" applyProtection="1"/>
    <xf numFmtId="191" fontId="204" fillId="0" borderId="0" xfId="0" applyNumberFormat="1" applyFont="1" applyFill="1" applyBorder="1" applyProtection="1"/>
    <xf numFmtId="185" fontId="213" fillId="17" borderId="46" xfId="0" applyNumberFormat="1" applyFont="1" applyFill="1" applyBorder="1" applyProtection="1"/>
    <xf numFmtId="183" fontId="205" fillId="20" borderId="1" xfId="0" applyNumberFormat="1" applyFont="1" applyFill="1" applyBorder="1" applyProtection="1"/>
    <xf numFmtId="170" fontId="205" fillId="0" borderId="46" xfId="0" applyNumberFormat="1" applyFont="1" applyFill="1" applyBorder="1" applyProtection="1"/>
    <xf numFmtId="183" fontId="226" fillId="20" borderId="1" xfId="0" applyNumberFormat="1" applyFont="1" applyFill="1" applyBorder="1" applyProtection="1"/>
    <xf numFmtId="170" fontId="211" fillId="0" borderId="1" xfId="131" applyNumberFormat="1" applyFont="1" applyBorder="1" applyAlignment="1" applyProtection="1">
      <alignment horizontal="center"/>
    </xf>
    <xf numFmtId="185" fontId="204" fillId="20" borderId="1" xfId="0" applyNumberFormat="1" applyFont="1" applyFill="1" applyBorder="1" applyProtection="1"/>
    <xf numFmtId="183" fontId="204" fillId="0" borderId="1" xfId="0" applyNumberFormat="1" applyFont="1" applyBorder="1" applyProtection="1"/>
    <xf numFmtId="183" fontId="204" fillId="0" borderId="0" xfId="0" applyNumberFormat="1" applyFont="1" applyFill="1" applyBorder="1" applyProtection="1"/>
    <xf numFmtId="187" fontId="205" fillId="0" borderId="1" xfId="0" applyNumberFormat="1" applyFont="1" applyBorder="1" applyProtection="1"/>
    <xf numFmtId="171" fontId="206" fillId="0" borderId="1" xfId="0" applyNumberFormat="1" applyFont="1" applyBorder="1" applyAlignment="1" applyProtection="1">
      <alignment horizontal="center"/>
    </xf>
    <xf numFmtId="171" fontId="206" fillId="0" borderId="1" xfId="0" applyNumberFormat="1" applyFont="1" applyBorder="1" applyProtection="1"/>
    <xf numFmtId="171" fontId="206" fillId="20" borderId="1" xfId="0" applyNumberFormat="1" applyFont="1" applyFill="1" applyBorder="1" applyProtection="1"/>
    <xf numFmtId="171" fontId="206" fillId="0" borderId="44" xfId="0" applyNumberFormat="1" applyFont="1" applyBorder="1" applyProtection="1"/>
    <xf numFmtId="171" fontId="206" fillId="0" borderId="0" xfId="0" applyNumberFormat="1" applyFont="1" applyFill="1" applyBorder="1" applyProtection="1"/>
    <xf numFmtId="170" fontId="217" fillId="0" borderId="0" xfId="0" applyNumberFormat="1" applyFont="1" applyFill="1" applyBorder="1" applyProtection="1"/>
    <xf numFmtId="3" fontId="218" fillId="0" borderId="0" xfId="0" applyNumberFormat="1" applyFont="1" applyFill="1" applyBorder="1" applyAlignment="1" applyProtection="1">
      <alignment horizontal="right" vertical="center" wrapText="1"/>
    </xf>
    <xf numFmtId="3" fontId="218" fillId="0" borderId="0" xfId="0" applyNumberFormat="1" applyFont="1" applyFill="1" applyBorder="1" applyAlignment="1" applyProtection="1">
      <alignment horizontal="right" vertical="center"/>
    </xf>
    <xf numFmtId="170" fontId="219" fillId="0" borderId="0" xfId="0" applyNumberFormat="1" applyFont="1" applyFill="1" applyBorder="1" applyAlignment="1" applyProtection="1">
      <alignment horizontal="right" vertical="center" wrapText="1"/>
    </xf>
    <xf numFmtId="3" fontId="219" fillId="0" borderId="0" xfId="0" applyNumberFormat="1" applyFont="1" applyFill="1" applyBorder="1" applyAlignment="1" applyProtection="1">
      <alignment horizontal="right" vertical="center" wrapText="1"/>
    </xf>
    <xf numFmtId="3" fontId="219" fillId="0" borderId="0" xfId="0" applyNumberFormat="1" applyFont="1" applyFill="1" applyBorder="1" applyAlignment="1" applyProtection="1">
      <alignment horizontal="right" vertical="center"/>
    </xf>
    <xf numFmtId="0" fontId="219" fillId="0" borderId="0" xfId="0" applyFont="1" applyFill="1" applyBorder="1" applyAlignment="1" applyProtection="1">
      <alignment horizontal="right" vertical="center"/>
    </xf>
    <xf numFmtId="3" fontId="218" fillId="0" borderId="0" xfId="0" applyNumberFormat="1" applyFont="1" applyFill="1" applyAlignment="1" applyProtection="1">
      <alignment horizontal="right" vertical="center" wrapText="1"/>
    </xf>
    <xf numFmtId="3" fontId="218" fillId="0" borderId="0" xfId="0" applyNumberFormat="1" applyFont="1" applyFill="1" applyAlignment="1" applyProtection="1">
      <alignment horizontal="right" vertical="center"/>
    </xf>
    <xf numFmtId="3" fontId="199" fillId="31" borderId="0" xfId="60" applyNumberFormat="1" applyFont="1" applyFill="1" applyBorder="1" applyAlignment="1" applyProtection="1">
      <alignment horizontal="right"/>
      <protection locked="0"/>
    </xf>
    <xf numFmtId="3" fontId="199" fillId="29" borderId="0" xfId="60" applyNumberFormat="1" applyFont="1" applyFill="1" applyBorder="1" applyAlignment="1" applyProtection="1">
      <alignment horizontal="right"/>
      <protection locked="0"/>
    </xf>
    <xf numFmtId="191" fontId="201" fillId="31" borderId="0" xfId="219" applyNumberFormat="1" applyFont="1" applyFill="1" applyProtection="1">
      <protection locked="0"/>
    </xf>
    <xf numFmtId="188" fontId="196" fillId="31" borderId="0" xfId="60" applyNumberFormat="1" applyFont="1" applyFill="1" applyProtection="1">
      <protection locked="0"/>
    </xf>
    <xf numFmtId="188" fontId="199" fillId="31" borderId="0" xfId="0" applyNumberFormat="1" applyFont="1" applyFill="1" applyBorder="1" applyProtection="1">
      <protection locked="0"/>
    </xf>
    <xf numFmtId="191" fontId="195" fillId="31" borderId="0" xfId="219" applyNumberFormat="1" applyFont="1" applyFill="1" applyProtection="1">
      <protection locked="0"/>
    </xf>
    <xf numFmtId="188" fontId="199" fillId="31" borderId="0" xfId="0" applyNumberFormat="1" applyFont="1" applyFill="1" applyProtection="1">
      <protection locked="0"/>
    </xf>
    <xf numFmtId="188" fontId="199" fillId="31" borderId="0" xfId="60" applyNumberFormat="1" applyFont="1" applyFill="1" applyBorder="1" applyProtection="1">
      <protection locked="0"/>
    </xf>
    <xf numFmtId="191" fontId="201" fillId="31" borderId="0" xfId="0" applyNumberFormat="1" applyFont="1" applyFill="1" applyProtection="1">
      <protection locked="0"/>
    </xf>
    <xf numFmtId="187" fontId="244" fillId="31" borderId="0" xfId="0" applyNumberFormat="1" applyFont="1" applyFill="1" applyBorder="1" applyProtection="1">
      <protection locked="0"/>
    </xf>
    <xf numFmtId="170" fontId="204" fillId="0" borderId="1" xfId="0" applyNumberFormat="1" applyFont="1" applyBorder="1" applyAlignment="1" applyProtection="1">
      <alignment horizontal="right"/>
    </xf>
    <xf numFmtId="170" fontId="204" fillId="0" borderId="44" xfId="0" applyNumberFormat="1" applyFont="1" applyBorder="1" applyAlignment="1" applyProtection="1">
      <alignment horizontal="right"/>
    </xf>
    <xf numFmtId="170" fontId="204" fillId="10" borderId="76" xfId="0" applyNumberFormat="1" applyFont="1" applyFill="1" applyBorder="1" applyAlignment="1" applyProtection="1">
      <alignment horizontal="right"/>
    </xf>
    <xf numFmtId="170" fontId="204" fillId="0" borderId="0" xfId="0" applyNumberFormat="1" applyFont="1" applyFill="1" applyBorder="1" applyAlignment="1" applyProtection="1">
      <alignment horizontal="right"/>
    </xf>
    <xf numFmtId="170" fontId="210" fillId="0" borderId="1" xfId="131" applyNumberFormat="1" applyFont="1" applyBorder="1" applyAlignment="1" applyProtection="1">
      <alignment horizontal="left" indent="1"/>
    </xf>
    <xf numFmtId="185" fontId="210" fillId="0" borderId="1" xfId="0" applyNumberFormat="1" applyFont="1" applyBorder="1" applyProtection="1"/>
    <xf numFmtId="10" fontId="210" fillId="0" borderId="0" xfId="219" applyNumberFormat="1" applyFont="1" applyFill="1" applyBorder="1" applyProtection="1"/>
    <xf numFmtId="183" fontId="205" fillId="0" borderId="46" xfId="0" applyNumberFormat="1" applyFont="1" applyBorder="1" applyProtection="1"/>
    <xf numFmtId="188" fontId="196" fillId="0" borderId="0" xfId="60" applyNumberFormat="1" applyFont="1" applyFill="1" applyBorder="1" applyProtection="1"/>
    <xf numFmtId="169" fontId="196" fillId="0" borderId="0" xfId="60" applyNumberFormat="1" applyFont="1" applyFill="1" applyBorder="1" applyProtection="1"/>
    <xf numFmtId="0" fontId="197" fillId="0" borderId="0" xfId="0" applyFont="1" applyFill="1" applyProtection="1"/>
    <xf numFmtId="170" fontId="215" fillId="0" borderId="1" xfId="0" applyNumberFormat="1" applyFont="1" applyBorder="1" applyAlignment="1" applyProtection="1">
      <alignment horizontal="center"/>
    </xf>
    <xf numFmtId="170" fontId="228" fillId="0" borderId="1" xfId="0" applyNumberFormat="1" applyFont="1" applyBorder="1" applyProtection="1"/>
    <xf numFmtId="185" fontId="215" fillId="0" borderId="46" xfId="0" applyNumberFormat="1" applyFont="1" applyBorder="1" applyAlignment="1" applyProtection="1">
      <alignment horizontal="center"/>
    </xf>
    <xf numFmtId="170" fontId="209" fillId="0" borderId="46" xfId="0" applyNumberFormat="1" applyFont="1" applyBorder="1" applyProtection="1"/>
    <xf numFmtId="170" fontId="237" fillId="0" borderId="1" xfId="131" applyNumberFormat="1" applyFont="1" applyBorder="1" applyAlignment="1" applyProtection="1">
      <alignment horizontal="center"/>
    </xf>
    <xf numFmtId="170" fontId="238" fillId="0" borderId="1" xfId="0" applyNumberFormat="1" applyFont="1" applyBorder="1" applyProtection="1"/>
    <xf numFmtId="170" fontId="238" fillId="20" borderId="1" xfId="0" applyNumberFormat="1" applyFont="1" applyFill="1" applyBorder="1" applyProtection="1"/>
    <xf numFmtId="170" fontId="238" fillId="0" borderId="46" xfId="0" applyNumberFormat="1" applyFont="1" applyBorder="1" applyProtection="1"/>
    <xf numFmtId="170" fontId="236" fillId="0" borderId="1" xfId="0" applyNumberFormat="1" applyFont="1" applyBorder="1" applyProtection="1"/>
    <xf numFmtId="170" fontId="239" fillId="0" borderId="0" xfId="0" applyNumberFormat="1" applyFont="1" applyFill="1" applyBorder="1" applyProtection="1"/>
    <xf numFmtId="170" fontId="238" fillId="0" borderId="0" xfId="0" applyNumberFormat="1" applyFont="1" applyFill="1" applyBorder="1" applyProtection="1"/>
    <xf numFmtId="185" fontId="204" fillId="0" borderId="46" xfId="0" applyNumberFormat="1" applyFont="1" applyBorder="1" applyProtection="1"/>
    <xf numFmtId="241" fontId="205" fillId="0" borderId="1" xfId="0" applyNumberFormat="1" applyFont="1" applyBorder="1" applyProtection="1"/>
    <xf numFmtId="0" fontId="210" fillId="0" borderId="0" xfId="0" applyFont="1" applyFill="1" applyBorder="1" applyProtection="1"/>
    <xf numFmtId="170" fontId="204" fillId="2" borderId="64" xfId="0" applyNumberFormat="1" applyFont="1" applyFill="1" applyBorder="1" applyAlignment="1" applyProtection="1">
      <alignment horizontal="center"/>
    </xf>
    <xf numFmtId="0" fontId="197" fillId="0" borderId="0" xfId="0" applyFont="1" applyProtection="1"/>
    <xf numFmtId="173" fontId="205" fillId="0" borderId="1" xfId="0" applyNumberFormat="1" applyFont="1" applyBorder="1" applyAlignment="1" applyProtection="1">
      <alignment horizontal="center"/>
    </xf>
    <xf numFmtId="173" fontId="205" fillId="0" borderId="1" xfId="0" applyNumberFormat="1" applyFont="1" applyBorder="1" applyProtection="1"/>
    <xf numFmtId="173" fontId="205" fillId="0" borderId="46" xfId="0" applyNumberFormat="1" applyFont="1" applyBorder="1" applyProtection="1"/>
    <xf numFmtId="173" fontId="205" fillId="0" borderId="1" xfId="0" applyNumberFormat="1" applyFont="1" applyFill="1" applyBorder="1" applyProtection="1"/>
    <xf numFmtId="10" fontId="205" fillId="0" borderId="1" xfId="219" applyNumberFormat="1" applyFont="1" applyBorder="1" applyProtection="1"/>
    <xf numFmtId="170" fontId="234" fillId="0" borderId="1" xfId="0" applyNumberFormat="1" applyFont="1" applyBorder="1" applyAlignment="1" applyProtection="1">
      <alignment horizontal="center"/>
    </xf>
    <xf numFmtId="170" fontId="234" fillId="0" borderId="1" xfId="0" applyNumberFormat="1" applyFont="1" applyBorder="1" applyProtection="1"/>
    <xf numFmtId="170" fontId="234" fillId="20" borderId="1" xfId="0" applyNumberFormat="1" applyFont="1" applyFill="1" applyBorder="1" applyProtection="1"/>
    <xf numFmtId="170" fontId="234" fillId="0" borderId="46" xfId="0" applyNumberFormat="1" applyFont="1" applyBorder="1" applyProtection="1"/>
    <xf numFmtId="170" fontId="234" fillId="0" borderId="0" xfId="0" applyNumberFormat="1" applyFont="1" applyFill="1" applyBorder="1" applyProtection="1"/>
    <xf numFmtId="170" fontId="217" fillId="0" borderId="1" xfId="0" applyNumberFormat="1" applyFont="1" applyBorder="1" applyProtection="1"/>
    <xf numFmtId="170" fontId="211" fillId="22" borderId="1" xfId="0" applyNumberFormat="1" applyFont="1" applyFill="1" applyBorder="1" applyProtection="1"/>
    <xf numFmtId="0" fontId="0" fillId="0" borderId="0" xfId="0" applyProtection="1"/>
    <xf numFmtId="0" fontId="204" fillId="0" borderId="0" xfId="0" applyFont="1" applyProtection="1"/>
    <xf numFmtId="10" fontId="4" fillId="0" borderId="0" xfId="219" applyNumberFormat="1" applyFont="1" applyBorder="1" applyProtection="1"/>
    <xf numFmtId="10" fontId="0" fillId="0" borderId="0" xfId="219" applyNumberFormat="1" applyFont="1" applyProtection="1"/>
    <xf numFmtId="0" fontId="204" fillId="35" borderId="0" xfId="0" applyFont="1" applyFill="1" applyAlignment="1" applyProtection="1">
      <alignment horizontal="center"/>
    </xf>
    <xf numFmtId="15" fontId="205" fillId="0" borderId="0" xfId="0" applyNumberFormat="1" applyFont="1" applyProtection="1"/>
    <xf numFmtId="0" fontId="205" fillId="0" borderId="0" xfId="0" applyFont="1" applyProtection="1"/>
    <xf numFmtId="169" fontId="205" fillId="0" borderId="0" xfId="60" applyFont="1" applyProtection="1"/>
    <xf numFmtId="10" fontId="205" fillId="0" borderId="0" xfId="0" applyNumberFormat="1" applyFont="1" applyProtection="1"/>
    <xf numFmtId="15" fontId="0" fillId="0" borderId="0" xfId="0" applyNumberFormat="1" applyProtection="1"/>
    <xf numFmtId="9" fontId="4" fillId="31" borderId="64" xfId="0" applyNumberFormat="1" applyFont="1" applyFill="1" applyBorder="1" applyProtection="1">
      <protection locked="0"/>
    </xf>
    <xf numFmtId="10" fontId="4" fillId="31" borderId="64" xfId="219" applyNumberFormat="1" applyFont="1" applyFill="1" applyBorder="1" applyProtection="1">
      <protection locked="0"/>
    </xf>
    <xf numFmtId="10" fontId="4" fillId="31" borderId="64" xfId="0" applyNumberFormat="1" applyFont="1" applyFill="1" applyBorder="1" applyProtection="1">
      <protection locked="0"/>
    </xf>
    <xf numFmtId="169" fontId="4" fillId="31" borderId="64" xfId="60" applyFont="1" applyFill="1" applyBorder="1" applyProtection="1">
      <protection locked="0"/>
    </xf>
    <xf numFmtId="0" fontId="4" fillId="0" borderId="0" xfId="0" applyFont="1" applyProtection="1"/>
    <xf numFmtId="188" fontId="196" fillId="29" borderId="0" xfId="60" applyNumberFormat="1" applyFont="1" applyFill="1" applyProtection="1">
      <protection locked="0"/>
    </xf>
    <xf numFmtId="191" fontId="193" fillId="31" borderId="0" xfId="0" applyNumberFormat="1" applyFont="1" applyFill="1" applyProtection="1">
      <protection locked="0"/>
    </xf>
    <xf numFmtId="188" fontId="199" fillId="29" borderId="0" xfId="0" applyNumberFormat="1" applyFont="1" applyFill="1" applyProtection="1">
      <protection locked="0"/>
    </xf>
    <xf numFmtId="170" fontId="7" fillId="0" borderId="85" xfId="0" applyNumberFormat="1" applyFont="1" applyFill="1" applyBorder="1" applyAlignment="1" applyProtection="1">
      <alignment horizontal="right" vertical="center"/>
      <protection locked="0"/>
    </xf>
    <xf numFmtId="170" fontId="7" fillId="0" borderId="86" xfId="0" applyNumberFormat="1" applyFont="1" applyFill="1" applyBorder="1" applyAlignment="1" applyProtection="1">
      <alignment horizontal="right" vertical="center"/>
      <protection locked="0"/>
    </xf>
    <xf numFmtId="170" fontId="15" fillId="18" borderId="34" xfId="0" applyNumberFormat="1" applyFont="1" applyFill="1" applyBorder="1" applyAlignment="1" applyProtection="1">
      <alignment horizontal="center" vertical="center"/>
      <protection locked="0"/>
    </xf>
    <xf numFmtId="170" fontId="15" fillId="18" borderId="43" xfId="0" applyNumberFormat="1" applyFont="1" applyFill="1" applyBorder="1" applyAlignment="1" applyProtection="1">
      <alignment horizontal="center" vertical="center"/>
      <protection locked="0"/>
    </xf>
    <xf numFmtId="170" fontId="5" fillId="0" borderId="83" xfId="0" applyNumberFormat="1" applyFont="1" applyBorder="1" applyAlignment="1" applyProtection="1">
      <alignment horizontal="left"/>
      <protection locked="0"/>
    </xf>
    <xf numFmtId="170" fontId="5" fillId="0" borderId="51" xfId="0" applyNumberFormat="1" applyFont="1" applyBorder="1" applyAlignment="1" applyProtection="1">
      <alignment horizontal="left"/>
      <protection locked="0"/>
    </xf>
    <xf numFmtId="170" fontId="5" fillId="0" borderId="84" xfId="0" applyNumberFormat="1" applyFont="1" applyBorder="1" applyAlignment="1" applyProtection="1">
      <alignment horizontal="left"/>
      <protection locked="0"/>
    </xf>
    <xf numFmtId="170" fontId="4" fillId="0" borderId="87" xfId="0" applyNumberFormat="1" applyFont="1" applyBorder="1" applyAlignment="1" applyProtection="1">
      <alignment horizontal="center"/>
      <protection locked="0"/>
    </xf>
    <xf numFmtId="170" fontId="4" fillId="0" borderId="88" xfId="0" applyNumberFormat="1" applyFont="1" applyBorder="1" applyAlignment="1" applyProtection="1">
      <alignment horizontal="center"/>
      <protection locked="0"/>
    </xf>
    <xf numFmtId="170" fontId="4" fillId="0" borderId="89" xfId="0" applyNumberFormat="1" applyFont="1" applyBorder="1" applyAlignment="1" applyProtection="1">
      <alignment horizontal="center"/>
      <protection locked="0"/>
    </xf>
    <xf numFmtId="170" fontId="4" fillId="0" borderId="83" xfId="0" applyNumberFormat="1" applyFont="1" applyBorder="1" applyAlignment="1" applyProtection="1">
      <alignment horizontal="center"/>
      <protection locked="0"/>
    </xf>
    <xf numFmtId="170" fontId="4" fillId="0" borderId="51" xfId="0" applyNumberFormat="1" applyFont="1" applyBorder="1" applyAlignment="1" applyProtection="1">
      <alignment horizontal="center"/>
      <protection locked="0"/>
    </xf>
    <xf numFmtId="170" fontId="4" fillId="0" borderId="84" xfId="0" applyNumberFormat="1" applyFont="1" applyBorder="1" applyAlignment="1" applyProtection="1">
      <alignment horizontal="center"/>
      <protection locked="0"/>
    </xf>
    <xf numFmtId="170" fontId="4" fillId="19" borderId="90" xfId="0" applyNumberFormat="1" applyFont="1" applyFill="1" applyBorder="1" applyAlignment="1" applyProtection="1">
      <alignment horizontal="center"/>
      <protection locked="0"/>
    </xf>
    <xf numFmtId="170" fontId="4" fillId="19" borderId="91" xfId="0" applyNumberFormat="1" applyFont="1" applyFill="1" applyBorder="1" applyAlignment="1" applyProtection="1">
      <alignment horizontal="center"/>
      <protection locked="0"/>
    </xf>
    <xf numFmtId="170" fontId="4" fillId="19" borderId="92" xfId="0" applyNumberFormat="1" applyFont="1" applyFill="1" applyBorder="1" applyAlignment="1" applyProtection="1">
      <alignment horizontal="center"/>
      <protection locked="0"/>
    </xf>
    <xf numFmtId="170" fontId="5" fillId="0" borderId="93" xfId="0" applyNumberFormat="1" applyFont="1" applyBorder="1" applyAlignment="1" applyProtection="1">
      <alignment horizontal="center"/>
      <protection locked="0"/>
    </xf>
    <xf numFmtId="170" fontId="5" fillId="0" borderId="94" xfId="0" applyNumberFormat="1" applyFont="1" applyBorder="1" applyAlignment="1" applyProtection="1">
      <alignment horizontal="center"/>
      <protection locked="0"/>
    </xf>
    <xf numFmtId="170" fontId="5" fillId="0" borderId="95" xfId="0" applyNumberFormat="1" applyFont="1" applyBorder="1" applyAlignment="1" applyProtection="1">
      <alignment horizontal="center"/>
      <protection locked="0"/>
    </xf>
    <xf numFmtId="170" fontId="7" fillId="19" borderId="90" xfId="0" applyNumberFormat="1" applyFont="1" applyFill="1" applyBorder="1" applyAlignment="1" applyProtection="1">
      <alignment horizontal="center"/>
      <protection locked="0"/>
    </xf>
    <xf numFmtId="170" fontId="7" fillId="19" borderId="91" xfId="0" applyNumberFormat="1" applyFont="1" applyFill="1" applyBorder="1" applyAlignment="1" applyProtection="1">
      <alignment horizontal="center"/>
      <protection locked="0"/>
    </xf>
    <xf numFmtId="170" fontId="7" fillId="19" borderId="92" xfId="0" applyNumberFormat="1" applyFont="1" applyFill="1" applyBorder="1" applyAlignment="1" applyProtection="1">
      <alignment horizontal="center"/>
      <protection locked="0"/>
    </xf>
    <xf numFmtId="170" fontId="7" fillId="0" borderId="63" xfId="0" applyNumberFormat="1" applyFont="1" applyFill="1" applyBorder="1" applyAlignment="1" applyProtection="1">
      <alignment horizontal="right" vertical="center"/>
      <protection locked="0"/>
    </xf>
    <xf numFmtId="170" fontId="38" fillId="0" borderId="98" xfId="0" applyNumberFormat="1" applyFont="1" applyFill="1" applyBorder="1" applyAlignment="1" applyProtection="1">
      <alignment horizontal="left" vertical="center"/>
      <protection locked="0"/>
    </xf>
    <xf numFmtId="170" fontId="38" fillId="0" borderId="65" xfId="0" applyNumberFormat="1" applyFont="1" applyFill="1" applyBorder="1" applyAlignment="1" applyProtection="1">
      <alignment horizontal="left" vertical="center"/>
      <protection locked="0"/>
    </xf>
    <xf numFmtId="170" fontId="13" fillId="17" borderId="51" xfId="0" applyNumberFormat="1" applyFont="1" applyFill="1" applyBorder="1" applyAlignment="1" applyProtection="1">
      <alignment horizontal="center"/>
      <protection locked="0"/>
    </xf>
    <xf numFmtId="170" fontId="13" fillId="17" borderId="46" xfId="0" applyNumberFormat="1" applyFont="1" applyFill="1" applyBorder="1" applyAlignment="1" applyProtection="1">
      <alignment horizontal="center"/>
      <protection locked="0"/>
    </xf>
    <xf numFmtId="170" fontId="4" fillId="29" borderId="96" xfId="0" applyNumberFormat="1" applyFont="1" applyFill="1" applyBorder="1" applyAlignment="1" applyProtection="1">
      <alignment horizontal="center"/>
      <protection locked="0"/>
    </xf>
    <xf numFmtId="170" fontId="4" fillId="29" borderId="97" xfId="0" applyNumberFormat="1" applyFont="1" applyFill="1" applyBorder="1" applyAlignment="1" applyProtection="1">
      <alignment horizontal="center"/>
      <protection locked="0"/>
    </xf>
    <xf numFmtId="170" fontId="4" fillId="21" borderId="0" xfId="0" applyNumberFormat="1" applyFont="1" applyFill="1" applyBorder="1" applyAlignment="1" applyProtection="1">
      <alignment horizontal="center"/>
      <protection locked="0"/>
    </xf>
    <xf numFmtId="170" fontId="7" fillId="0" borderId="98" xfId="0" applyNumberFormat="1" applyFont="1" applyFill="1" applyBorder="1" applyAlignment="1" applyProtection="1">
      <alignment horizontal="left" vertical="center"/>
      <protection locked="0"/>
    </xf>
    <xf numFmtId="170" fontId="7" fillId="0" borderId="65" xfId="0" applyNumberFormat="1" applyFont="1" applyFill="1" applyBorder="1" applyAlignment="1" applyProtection="1">
      <alignment horizontal="left" vertical="center"/>
      <protection locked="0"/>
    </xf>
    <xf numFmtId="0" fontId="223" fillId="14" borderId="17" xfId="199" applyFont="1" applyFill="1" applyBorder="1" applyAlignment="1">
      <alignment horizontal="center" vertical="center"/>
    </xf>
    <xf numFmtId="0" fontId="223" fillId="14" borderId="26" xfId="199" applyFont="1" applyFill="1" applyBorder="1" applyAlignment="1">
      <alignment horizontal="center" vertical="center"/>
    </xf>
    <xf numFmtId="0" fontId="220" fillId="0" borderId="27" xfId="199" applyFont="1" applyBorder="1" applyAlignment="1" applyProtection="1">
      <alignment horizontal="center" vertical="center"/>
      <protection locked="0"/>
    </xf>
    <xf numFmtId="0" fontId="220" fillId="0" borderId="12" xfId="199" applyFont="1" applyBorder="1" applyAlignment="1" applyProtection="1">
      <alignment horizontal="center" vertical="center"/>
      <protection locked="0"/>
    </xf>
    <xf numFmtId="0" fontId="220" fillId="0" borderId="28" xfId="199" applyFont="1" applyBorder="1" applyAlignment="1" applyProtection="1">
      <alignment horizontal="center" vertical="center"/>
      <protection locked="0"/>
    </xf>
    <xf numFmtId="0" fontId="196" fillId="0" borderId="9" xfId="199" applyFont="1" applyBorder="1" applyAlignment="1" applyProtection="1">
      <alignment horizontal="center" vertical="center" wrapText="1"/>
      <protection locked="0"/>
    </xf>
    <xf numFmtId="0" fontId="205" fillId="0" borderId="5" xfId="199" applyFont="1" applyBorder="1" applyAlignment="1" applyProtection="1">
      <alignment vertical="center" wrapText="1"/>
      <protection locked="0"/>
    </xf>
    <xf numFmtId="0" fontId="205" fillId="0" borderId="24" xfId="199" applyFont="1" applyBorder="1" applyAlignment="1" applyProtection="1">
      <alignment vertical="center" wrapText="1"/>
      <protection locked="0"/>
    </xf>
    <xf numFmtId="0" fontId="233" fillId="0" borderId="27" xfId="199" applyFont="1" applyFill="1" applyBorder="1" applyAlignment="1">
      <alignment horizontal="center" vertical="center"/>
    </xf>
    <xf numFmtId="0" fontId="233" fillId="0" borderId="28" xfId="199" applyFont="1" applyFill="1" applyBorder="1" applyAlignment="1">
      <alignment horizontal="center" vertical="center"/>
    </xf>
    <xf numFmtId="0" fontId="197" fillId="0" borderId="27" xfId="199" applyFont="1" applyFill="1" applyBorder="1" applyAlignment="1">
      <alignment horizontal="center" vertical="center"/>
    </xf>
    <xf numFmtId="0" fontId="197" fillId="0" borderId="28" xfId="199" applyFont="1" applyFill="1" applyBorder="1" applyAlignment="1">
      <alignment horizontal="center" vertical="center"/>
    </xf>
    <xf numFmtId="0" fontId="241" fillId="0" borderId="27" xfId="199" applyFont="1" applyFill="1" applyBorder="1" applyAlignment="1">
      <alignment horizontal="center" vertical="center" wrapText="1"/>
    </xf>
    <xf numFmtId="0" fontId="241" fillId="0" borderId="28" xfId="199" applyFont="1" applyFill="1" applyBorder="1" applyAlignment="1">
      <alignment horizontal="center" vertical="center" wrapText="1"/>
    </xf>
    <xf numFmtId="0" fontId="241" fillId="0" borderId="27" xfId="199" applyFont="1" applyFill="1" applyBorder="1" applyAlignment="1">
      <alignment horizontal="center" vertical="center"/>
    </xf>
    <xf numFmtId="0" fontId="241" fillId="0" borderId="28" xfId="199" applyFont="1" applyFill="1" applyBorder="1" applyAlignment="1">
      <alignment horizontal="center" vertical="center"/>
    </xf>
    <xf numFmtId="0" fontId="196" fillId="0" borderId="12" xfId="199" applyFont="1" applyBorder="1" applyAlignment="1">
      <alignment horizontal="center" vertical="center"/>
    </xf>
    <xf numFmtId="0" fontId="196" fillId="0" borderId="28" xfId="199" applyFont="1" applyBorder="1" applyAlignment="1">
      <alignment horizontal="center" vertical="center"/>
    </xf>
    <xf numFmtId="170" fontId="204" fillId="0" borderId="44" xfId="131" applyNumberFormat="1" applyFont="1" applyBorder="1" applyAlignment="1" applyProtection="1">
      <alignment horizontal="left"/>
    </xf>
    <xf numFmtId="170" fontId="204" fillId="0" borderId="46" xfId="131" applyNumberFormat="1" applyFont="1" applyBorder="1" applyAlignment="1" applyProtection="1">
      <alignment horizontal="left"/>
    </xf>
    <xf numFmtId="170" fontId="4" fillId="0" borderId="44" xfId="131" applyNumberFormat="1" applyFont="1" applyBorder="1" applyAlignment="1" applyProtection="1">
      <alignment horizontal="left"/>
      <protection locked="0"/>
    </xf>
    <xf numFmtId="170" fontId="4" fillId="0" borderId="46" xfId="131" applyNumberFormat="1" applyFont="1" applyBorder="1" applyAlignment="1" applyProtection="1">
      <alignment horizontal="left"/>
      <protection locked="0"/>
    </xf>
    <xf numFmtId="170" fontId="0" fillId="0" borderId="44" xfId="0" applyNumberFormat="1" applyBorder="1" applyAlignment="1" applyProtection="1">
      <alignment horizontal="center"/>
      <protection locked="0"/>
    </xf>
    <xf numFmtId="170" fontId="0" fillId="0" borderId="51" xfId="0" applyNumberFormat="1" applyBorder="1" applyAlignment="1" applyProtection="1">
      <alignment horizontal="center"/>
      <protection locked="0"/>
    </xf>
    <xf numFmtId="170" fontId="0" fillId="0" borderId="46" xfId="0" applyNumberFormat="1" applyBorder="1" applyAlignment="1" applyProtection="1">
      <alignment horizontal="center"/>
      <protection locked="0"/>
    </xf>
    <xf numFmtId="0" fontId="45" fillId="21" borderId="0" xfId="0" applyFont="1" applyFill="1" applyBorder="1" applyAlignment="1">
      <alignment horizontal="center"/>
    </xf>
    <xf numFmtId="187" fontId="44" fillId="0" borderId="27" xfId="203" applyNumberFormat="1" applyFont="1" applyFill="1" applyBorder="1" applyAlignment="1" applyProtection="1">
      <alignment horizontal="center" vertical="center"/>
    </xf>
    <xf numFmtId="0" fontId="0" fillId="0" borderId="12" xfId="0" applyBorder="1" applyAlignment="1">
      <alignment horizontal="center" vertical="center"/>
    </xf>
    <xf numFmtId="0" fontId="0" fillId="0" borderId="28" xfId="0" applyBorder="1" applyAlignment="1">
      <alignment horizontal="center" vertical="center"/>
    </xf>
    <xf numFmtId="0" fontId="0" fillId="0" borderId="12" xfId="0" applyBorder="1" applyAlignment="1"/>
    <xf numFmtId="0" fontId="0" fillId="0" borderId="28" xfId="0" applyBorder="1" applyAlignment="1"/>
    <xf numFmtId="170" fontId="231" fillId="0" borderId="44" xfId="131" applyNumberFormat="1" applyFont="1" applyFill="1" applyBorder="1" applyAlignment="1" applyProtection="1">
      <alignment horizontal="left"/>
    </xf>
    <xf numFmtId="170" fontId="231" fillId="0" borderId="46" xfId="131" applyNumberFormat="1" applyFont="1" applyFill="1" applyBorder="1" applyAlignment="1" applyProtection="1">
      <alignment horizontal="left"/>
    </xf>
    <xf numFmtId="170" fontId="232" fillId="0" borderId="44" xfId="0" applyNumberFormat="1" applyFont="1" applyFill="1" applyBorder="1" applyAlignment="1" applyProtection="1">
      <alignment horizontal="center"/>
    </xf>
    <xf numFmtId="170" fontId="232" fillId="0" borderId="51" xfId="0" applyNumberFormat="1" applyFont="1" applyFill="1" applyBorder="1" applyAlignment="1" applyProtection="1">
      <alignment horizontal="center"/>
    </xf>
    <xf numFmtId="170" fontId="208" fillId="0" borderId="44" xfId="0" applyNumberFormat="1" applyFont="1" applyBorder="1" applyAlignment="1" applyProtection="1">
      <alignment horizontal="center" wrapText="1"/>
    </xf>
    <xf numFmtId="170" fontId="208" fillId="0" borderId="51" xfId="0" applyNumberFormat="1" applyFont="1" applyBorder="1" applyAlignment="1" applyProtection="1">
      <alignment horizontal="center" wrapText="1"/>
    </xf>
    <xf numFmtId="170" fontId="207" fillId="17" borderId="44" xfId="0" applyNumberFormat="1" applyFont="1" applyFill="1" applyBorder="1" applyAlignment="1" applyProtection="1">
      <alignment horizontal="center"/>
    </xf>
    <xf numFmtId="170" fontId="207" fillId="17" borderId="51" xfId="0" applyNumberFormat="1" applyFont="1" applyFill="1" applyBorder="1" applyAlignment="1" applyProtection="1">
      <alignment horizontal="center"/>
    </xf>
    <xf numFmtId="170" fontId="227" fillId="0" borderId="44" xfId="0" applyNumberFormat="1" applyFont="1" applyBorder="1" applyAlignment="1" applyProtection="1">
      <alignment horizontal="center"/>
    </xf>
    <xf numFmtId="170" fontId="227" fillId="0" borderId="51" xfId="0" applyNumberFormat="1" applyFont="1" applyBorder="1" applyAlignment="1" applyProtection="1">
      <alignment horizontal="center"/>
    </xf>
    <xf numFmtId="0" fontId="5" fillId="0" borderId="0" xfId="0" applyFont="1" applyAlignment="1">
      <alignment wrapText="1"/>
    </xf>
    <xf numFmtId="0" fontId="0" fillId="0" borderId="0" xfId="0" applyAlignment="1"/>
    <xf numFmtId="188" fontId="68" fillId="0" borderId="0" xfId="60" applyNumberFormat="1" applyFont="1" applyAlignment="1">
      <alignment horizontal="center"/>
    </xf>
    <xf numFmtId="169" fontId="68" fillId="0" borderId="0" xfId="60" applyNumberFormat="1" applyFont="1" applyAlignment="1">
      <alignment horizontal="center" vertical="center"/>
    </xf>
    <xf numFmtId="188" fontId="69" fillId="0" borderId="74" xfId="60" applyNumberFormat="1" applyFont="1" applyBorder="1" applyAlignment="1">
      <alignment horizontal="center"/>
    </xf>
    <xf numFmtId="170" fontId="227" fillId="0" borderId="44" xfId="0" applyNumberFormat="1" applyFont="1" applyBorder="1" applyAlignment="1" applyProtection="1">
      <alignment horizontal="center" wrapText="1"/>
    </xf>
    <xf numFmtId="170" fontId="227" fillId="0" borderId="51" xfId="0" applyNumberFormat="1" applyFont="1" applyBorder="1" applyAlignment="1" applyProtection="1">
      <alignment horizontal="center" wrapText="1"/>
    </xf>
    <xf numFmtId="188" fontId="17" fillId="0" borderId="0" xfId="60" applyNumberFormat="1" applyFont="1" applyFill="1" applyAlignment="1">
      <alignment horizontal="center"/>
    </xf>
    <xf numFmtId="9" fontId="17" fillId="0" borderId="0" xfId="219" applyFont="1" applyFill="1" applyAlignment="1">
      <alignment horizontal="center"/>
    </xf>
    <xf numFmtId="174" fontId="19" fillId="0" borderId="0" xfId="0" applyNumberFormat="1" applyFont="1" applyAlignment="1">
      <alignment horizontal="center" vertical="center"/>
    </xf>
    <xf numFmtId="0" fontId="19" fillId="0" borderId="0" xfId="0" applyFont="1" applyAlignment="1">
      <alignment horizontal="center" vertical="center"/>
    </xf>
    <xf numFmtId="0" fontId="21" fillId="0" borderId="0" xfId="0" applyFont="1" applyAlignment="1">
      <alignment horizontal="right" wrapText="1"/>
    </xf>
    <xf numFmtId="0" fontId="0" fillId="0" borderId="0" xfId="0" applyAlignment="1">
      <alignment horizontal="right" wrapText="1"/>
    </xf>
    <xf numFmtId="0" fontId="19" fillId="0" borderId="0" xfId="0" applyFont="1" applyAlignment="1">
      <alignment horizontal="center" vertical="center" wrapText="1"/>
    </xf>
    <xf numFmtId="0" fontId="0" fillId="0" borderId="0" xfId="0" applyAlignment="1">
      <alignment wrapText="1"/>
    </xf>
    <xf numFmtId="43" fontId="196" fillId="31" borderId="0" xfId="60" applyNumberFormat="1" applyFont="1" applyFill="1" applyProtection="1">
      <protection locked="0"/>
    </xf>
  </cellXfs>
  <cellStyles count="347">
    <cellStyle name="_x000a_386grabber=M" xfId="1"/>
    <cellStyle name="$" xfId="2"/>
    <cellStyle name="$m" xfId="3"/>
    <cellStyle name="$q" xfId="4"/>
    <cellStyle name="$q*" xfId="5"/>
    <cellStyle name="$qA" xfId="6"/>
    <cellStyle name="$qRange" xfId="7"/>
    <cellStyle name="_~att3A2F" xfId="8"/>
    <cellStyle name="_Bajaj Auto financials" xfId="9"/>
    <cellStyle name="_Bajaj-Model" xfId="10"/>
    <cellStyle name="_Book11" xfId="11"/>
    <cellStyle name="_BS" xfId="12"/>
    <cellStyle name="_CFS" xfId="13"/>
    <cellStyle name="_CommodityAssumptLast" xfId="14"/>
    <cellStyle name="_EARNINGS" xfId="15"/>
    <cellStyle name="_ENAM Templates" xfId="16"/>
    <cellStyle name="_HEROERN.XLS Chart 1" xfId="17"/>
    <cellStyle name="_HEROERN.XLS Chart 2" xfId="18"/>
    <cellStyle name="_hroh.bo" xfId="19"/>
    <cellStyle name="_Mahindra &amp; Mahindra" xfId="20"/>
    <cellStyle name="_New Financials - Jan2008" xfId="21"/>
    <cellStyle name="_NPV-calculation-HCC" xfId="22"/>
    <cellStyle name="_P&amp;L" xfId="23"/>
    <cellStyle name="_Q" xfId="24"/>
    <cellStyle name="_Q_1" xfId="25"/>
    <cellStyle name="_Q_Q" xfId="26"/>
    <cellStyle name="_Q_Q_1" xfId="27"/>
    <cellStyle name="_tamo07" xfId="28"/>
    <cellStyle name="_tata break up" xfId="29"/>
    <cellStyle name="_VAL" xfId="30"/>
    <cellStyle name="_VALS" xfId="31"/>
    <cellStyle name="’Ê‰Ý [0.00]_PRODUCT DETAIL Q1" xfId="32"/>
    <cellStyle name="’Ê‰Ý_PRODUCT DETAIL Q1" xfId="33"/>
    <cellStyle name="=C:\WINNT\SYSTEM32\COMMAND.COM" xfId="34"/>
    <cellStyle name="•W?_BOOKSHIP" xfId="35"/>
    <cellStyle name="Actual" xfId="36"/>
    <cellStyle name="AeE­ [0]_¿u°￡" xfId="37"/>
    <cellStyle name="ÅëÈ­ [0]_¿ù°£" xfId="38"/>
    <cellStyle name="AeE­_¿u°￡" xfId="39"/>
    <cellStyle name="ÅëÈ­_¿ù°£" xfId="40"/>
    <cellStyle name="Arial6Bold" xfId="41"/>
    <cellStyle name="Arial8Bold" xfId="42"/>
    <cellStyle name="Arial8Italic" xfId="43"/>
    <cellStyle name="ArialNormal" xfId="44"/>
    <cellStyle name="AÞ¸¶ [0]_¿u°￡" xfId="45"/>
    <cellStyle name="ÄÞ¸¶ [0]_¿ù°£" xfId="46"/>
    <cellStyle name="AÞ¸¶_¿u°￡" xfId="47"/>
    <cellStyle name="ÄÞ¸¶_¿ù°£" xfId="48"/>
    <cellStyle name="Blank" xfId="49"/>
    <cellStyle name="C?mma [0]_PH-CTY" xfId="50"/>
    <cellStyle name="C￥AØ_¿μ¾÷CoE² " xfId="51"/>
    <cellStyle name="Ç¥ÁØ_»çÀ¯¾ç½Ä" xfId="52"/>
    <cellStyle name="Calc Currency (0)" xfId="53"/>
    <cellStyle name="Calc_0dp" xfId="54"/>
    <cellStyle name="Calculated" xfId="55"/>
    <cellStyle name="Co Name" xfId="56"/>
    <cellStyle name="Code" xfId="57"/>
    <cellStyle name="Code Section" xfId="58"/>
    <cellStyle name="Codes" xfId="59"/>
    <cellStyle name="Comma" xfId="60" builtinId="3"/>
    <cellStyle name="Comma 2" xfId="345"/>
    <cellStyle name="Comma 3" xfId="61"/>
    <cellStyle name="Comma 4" xfId="346"/>
    <cellStyle name="Comma 4 2" xfId="62"/>
    <cellStyle name="Comma 6" xfId="63"/>
    <cellStyle name="Comma(1)" xfId="64"/>
    <cellStyle name="Comma_MODELNEW 2" xfId="65"/>
    <cellStyle name="Comma_SPH" xfId="66"/>
    <cellStyle name="Comma0 - Modelo1" xfId="67"/>
    <cellStyle name="Comma0 - Style1" xfId="68"/>
    <cellStyle name="Comma1 - Modelo2" xfId="69"/>
    <cellStyle name="Comma1 - Style2" xfId="70"/>
    <cellStyle name="Copied" xfId="71"/>
    <cellStyle name="CoTitle" xfId="72"/>
    <cellStyle name="Cover Date" xfId="73"/>
    <cellStyle name="Cover Subtitle" xfId="74"/>
    <cellStyle name="Cover Title" xfId="75"/>
    <cellStyle name="Currency1" xfId="76"/>
    <cellStyle name="Custom - Style1" xfId="77"/>
    <cellStyle name="Custom - Style8" xfId="78"/>
    <cellStyle name="d" xfId="79"/>
    <cellStyle name="d_Deseasonalized Data v 7.0" xfId="80"/>
    <cellStyle name="d_yield" xfId="81"/>
    <cellStyle name="DarkBlue" xfId="82"/>
    <cellStyle name="Data   - Style2" xfId="83"/>
    <cellStyle name="Data_0dp" xfId="84"/>
    <cellStyle name="Date" xfId="85"/>
    <cellStyle name="Derive" xfId="86"/>
    <cellStyle name="Dia" xfId="87"/>
    <cellStyle name="Dollar" xfId="88"/>
    <cellStyle name="Encabez1" xfId="89"/>
    <cellStyle name="Encabez2" xfId="90"/>
    <cellStyle name="Entered" xfId="91"/>
    <cellStyle name="eps" xfId="92"/>
    <cellStyle name="eps$" xfId="93"/>
    <cellStyle name="eps$A" xfId="94"/>
    <cellStyle name="eps$E" xfId="95"/>
    <cellStyle name="epsA" xfId="96"/>
    <cellStyle name="epsE" xfId="97"/>
    <cellStyle name="EsText" xfId="98"/>
    <cellStyle name="Estimate" xfId="99"/>
    <cellStyle name="Euro" xfId="100"/>
    <cellStyle name="F2" xfId="101"/>
    <cellStyle name="F3" xfId="102"/>
    <cellStyle name="F4" xfId="103"/>
    <cellStyle name="F5" xfId="104"/>
    <cellStyle name="F6" xfId="105"/>
    <cellStyle name="F7" xfId="106"/>
    <cellStyle name="F8" xfId="107"/>
    <cellStyle name="Figure" xfId="108"/>
    <cellStyle name="Fijo" xfId="109"/>
    <cellStyle name="Financiero" xfId="110"/>
    <cellStyle name="Footer SBILogo1" xfId="111"/>
    <cellStyle name="Footer SBILogo2" xfId="112"/>
    <cellStyle name="Footnote" xfId="113"/>
    <cellStyle name="Footnote Reference" xfId="114"/>
    <cellStyle name="fourdecplace" xfId="115"/>
    <cellStyle name="fy_eps$" xfId="116"/>
    <cellStyle name="g_rate" xfId="117"/>
    <cellStyle name="General" xfId="118"/>
    <cellStyle name="Grey" xfId="119"/>
    <cellStyle name="Growth" xfId="120"/>
    <cellStyle name="Head - Style2" xfId="121"/>
    <cellStyle name="Header" xfId="122"/>
    <cellStyle name="Header Draft Stamp" xfId="123"/>
    <cellStyle name="Header1" xfId="124"/>
    <cellStyle name="Header2" xfId="125"/>
    <cellStyle name="Heading 1 Above" xfId="126"/>
    <cellStyle name="Heading 1+" xfId="127"/>
    <cellStyle name="Heading 2 Below" xfId="128"/>
    <cellStyle name="Heading 2+" xfId="129"/>
    <cellStyle name="Heading 3+" xfId="130"/>
    <cellStyle name="Hyperlink" xfId="131" builtinId="8"/>
    <cellStyle name="iles|_x0005_h" xfId="132"/>
    <cellStyle name="Info_Main" xfId="133"/>
    <cellStyle name="Input" xfId="134" builtinId="20" customBuiltin="1"/>
    <cellStyle name="Input [yellow]" xfId="135"/>
    <cellStyle name="Input1dp" xfId="136"/>
    <cellStyle name="InputData" xfId="137"/>
    <cellStyle name="InputDate" xfId="138"/>
    <cellStyle name="InputInfo" xfId="139"/>
    <cellStyle name="InputPercent" xfId="140"/>
    <cellStyle name="InputSheet" xfId="141"/>
    <cellStyle name="Integer" xfId="142"/>
    <cellStyle name="Italic" xfId="143"/>
    <cellStyle name="Item1" xfId="144"/>
    <cellStyle name="Item2" xfId="145"/>
    <cellStyle name="Item3" xfId="146"/>
    <cellStyle name="ItemTot" xfId="147"/>
    <cellStyle name="Labels - Style3" xfId="148"/>
    <cellStyle name="les" xfId="149"/>
    <cellStyle name="LEVERS69" xfId="150"/>
    <cellStyle name="Ligne détail" xfId="151"/>
    <cellStyle name="Link" xfId="152"/>
    <cellStyle name="m" xfId="153"/>
    <cellStyle name="m$" xfId="154"/>
    <cellStyle name="m_BRR" xfId="155"/>
    <cellStyle name="m_Bsnx.xls Chart 1" xfId="156"/>
    <cellStyle name="m_Bsnx.xls Chart 2" xfId="157"/>
    <cellStyle name="m_Bsnx.xls Chart 3" xfId="158"/>
    <cellStyle name="m_COG.XLS Chart 1" xfId="159"/>
    <cellStyle name="m_COG.XLS Chart 2" xfId="160"/>
    <cellStyle name="m_COG.XLS Chart 3" xfId="161"/>
    <cellStyle name="m_LD.xls Chart 1" xfId="162"/>
    <cellStyle name="m_LD.xls Chart 2" xfId="163"/>
    <cellStyle name="m_LD.xls Chart 3" xfId="164"/>
    <cellStyle name="m_MARY.xls Chart 1" xfId="165"/>
    <cellStyle name="m_MARY.xls Chart 2" xfId="166"/>
    <cellStyle name="m_MARY.xls Chart 3" xfId="167"/>
    <cellStyle name="m_nev.xls Chart 1" xfId="168"/>
    <cellStyle name="m_nev.xls Chart 2" xfId="169"/>
    <cellStyle name="m_nev.xls Chart 3" xfId="170"/>
    <cellStyle name="m_OEI.xls Chart 1" xfId="171"/>
    <cellStyle name="m_OEI.xls Chart 2" xfId="172"/>
    <cellStyle name="m_OEI.xls Chart 3" xfId="173"/>
    <cellStyle name="m_SPNX.xls Chart 1" xfId="174"/>
    <cellStyle name="m_SPNX.xls Chart 2" xfId="175"/>
    <cellStyle name="m_SPNX.xls Chart 3" xfId="176"/>
    <cellStyle name="mahesh" xfId="177"/>
    <cellStyle name="main" xfId="178"/>
    <cellStyle name="MedLine(B)" xfId="179"/>
    <cellStyle name="MedLines(2)" xfId="180"/>
    <cellStyle name="Millares [0]_10 AVERIAS MASIVAS + ANT" xfId="181"/>
    <cellStyle name="Millares_10 AVERIAS MASIVAS + ANT" xfId="182"/>
    <cellStyle name="mm" xfId="183"/>
    <cellStyle name="Moneda [0]_10 AVERIAS MASIVAS + ANT" xfId="184"/>
    <cellStyle name="Moneda_10 AVERIAS MASIVAS + ANT" xfId="185"/>
    <cellStyle name="Monetario" xfId="186"/>
    <cellStyle name="no dec" xfId="187"/>
    <cellStyle name="Normal" xfId="0" builtinId="0"/>
    <cellStyle name="Normal - Style1" xfId="188"/>
    <cellStyle name="Normal (no,)" xfId="189"/>
    <cellStyle name="Normal 2" xfId="190"/>
    <cellStyle name="Normal 2 11" xfId="191"/>
    <cellStyle name="Normal 2_Asok FY08E equitec" xfId="192"/>
    <cellStyle name="Normal 3" xfId="193"/>
    <cellStyle name="Normal 4" xfId="343"/>
    <cellStyle name="Normal 5" xfId="344"/>
    <cellStyle name="Normal_Bajaj FY08E" xfId="194"/>
    <cellStyle name="Normal_Emkay Non Banking Uploader Final" xfId="195"/>
    <cellStyle name="Normal_Final Religare Uploader" xfId="196"/>
    <cellStyle name="Normal_Final Religare Uploader_Emkay Non Banking Uploader Final" xfId="197"/>
    <cellStyle name="Normal_HKMod 2" xfId="198"/>
    <cellStyle name="Normal_HLL_Final" xfId="199"/>
    <cellStyle name="Normal_ICBKG" xfId="200"/>
    <cellStyle name="Normal_MODELNEW 2" xfId="201"/>
    <cellStyle name="Normal_MRTIG - Emkay Template (2)" xfId="202"/>
    <cellStyle name="Normal_New Financials - Jan2008" xfId="203"/>
    <cellStyle name="Normal_TEMP_CO" xfId="204"/>
    <cellStyle name="NormalGB" xfId="205"/>
    <cellStyle name="Number" xfId="206"/>
    <cellStyle name="NUMERO" xfId="207"/>
    <cellStyle name="NumGen" xfId="208"/>
    <cellStyle name="NumPcnt(2)" xfId="209"/>
    <cellStyle name="NumTh(0)" xfId="210"/>
    <cellStyle name="NumThRed(2)" xfId="211"/>
    <cellStyle name="Œ…‹æØ‚è [0.00]_PRODUCT DETAIL Q1" xfId="212"/>
    <cellStyle name="Œ…‹æØ‚è_PRODUCT DETAIL Q1" xfId="213"/>
    <cellStyle name="Output" xfId="214" builtinId="21" customBuiltin="1"/>
    <cellStyle name="Page Number" xfId="215"/>
    <cellStyle name="ParaHead" xfId="216"/>
    <cellStyle name="pe" xfId="217"/>
    <cellStyle name="PEG" xfId="218"/>
    <cellStyle name="Percent" xfId="219" builtinId="5"/>
    <cellStyle name="Percent (0.0)" xfId="220"/>
    <cellStyle name="Percent (0.00)" xfId="221"/>
    <cellStyle name="Percent [2]" xfId="222"/>
    <cellStyle name="Percent 0.0" xfId="223"/>
    <cellStyle name="Percent 2" xfId="224"/>
    <cellStyle name="Percent(1)" xfId="225"/>
    <cellStyle name="Percent(2)" xfId="226"/>
    <cellStyle name="Porcentaje" xfId="227"/>
    <cellStyle name="price" xfId="228"/>
    <cellStyle name="ProfileTitle" xfId="229"/>
    <cellStyle name="PSChar" xfId="230"/>
    <cellStyle name="q" xfId="231"/>
    <cellStyle name="R?" xfId="232"/>
    <cellStyle name="range" xfId="233"/>
    <cellStyle name="Red (#,###0)" xfId="234"/>
    <cellStyle name="Reset  - Style4" xfId="235"/>
    <cellStyle name="Reset  - Style7" xfId="236"/>
    <cellStyle name="Result F1" xfId="237"/>
    <cellStyle name="Result Item" xfId="238"/>
    <cellStyle name="Result Item Total" xfId="239"/>
    <cellStyle name="Result T1" xfId="240"/>
    <cellStyle name="Result T2" xfId="241"/>
    <cellStyle name="Result T3" xfId="242"/>
    <cellStyle name="Result T4" xfId="243"/>
    <cellStyle name="Result Total" xfId="244"/>
    <cellStyle name="RevList" xfId="245"/>
    <cellStyle name="RM" xfId="246"/>
    <cellStyle name="Rs Notation" xfId="247"/>
    <cellStyle name="Salomon Logo" xfId="248"/>
    <cellStyle name="sche|_x0005_" xfId="249"/>
    <cellStyle name="Shade" xfId="250"/>
    <cellStyle name="STYL1 - Style1" xfId="251"/>
    <cellStyle name="STYL2 - Style2" xfId="252"/>
    <cellStyle name="Style 1" xfId="253"/>
    <cellStyle name="Style 1_Asok FY08E equitec" xfId="254"/>
    <cellStyle name="Style 1_Emkay Non Banking Uploader Final" xfId="255"/>
    <cellStyle name="Sub - Style3" xfId="256"/>
    <cellStyle name="SUBHEAD2" xfId="257"/>
    <cellStyle name="SubTot 1" xfId="258"/>
    <cellStyle name="SubTot 2" xfId="259"/>
    <cellStyle name="SubTot 3" xfId="260"/>
    <cellStyle name="Subtotal" xfId="261"/>
    <cellStyle name="SubtotalData" xfId="262"/>
    <cellStyle name="SymbolBlue" xfId="263"/>
    <cellStyle name="Synopsis" xfId="264"/>
    <cellStyle name="Table  - Style5" xfId="265"/>
    <cellStyle name="Table  - Style6" xfId="266"/>
    <cellStyle name="Table body" xfId="267"/>
    <cellStyle name="Table Head" xfId="268"/>
    <cellStyle name="Table Source" xfId="269"/>
    <cellStyle name="Table subhead" xfId="270"/>
    <cellStyle name="Table Text" xfId="271"/>
    <cellStyle name="Table Title" xfId="272"/>
    <cellStyle name="Table Units" xfId="273"/>
    <cellStyle name="tcn" xfId="274"/>
    <cellStyle name="Text 1" xfId="275"/>
    <cellStyle name="Text 2" xfId="276"/>
    <cellStyle name="Text Head 1" xfId="277"/>
    <cellStyle name="Text Head 2" xfId="278"/>
    <cellStyle name="Text Indent 1" xfId="279"/>
    <cellStyle name="Text Indent 2" xfId="280"/>
    <cellStyle name="Thin2Lines(B)" xfId="281"/>
    <cellStyle name="ThinBotRow" xfId="282"/>
    <cellStyle name="ThinLine(B)" xfId="283"/>
    <cellStyle name="ThinLine(BL)" xfId="284"/>
    <cellStyle name="ThinLine(Box)" xfId="285"/>
    <cellStyle name="ThinLine(BR)" xfId="286"/>
    <cellStyle name="ThinLine(LBox)" xfId="287"/>
    <cellStyle name="ThinLine(RBox)" xfId="288"/>
    <cellStyle name="ThinLine(TB)" xfId="289"/>
    <cellStyle name="ThinLine(TL)" xfId="290"/>
    <cellStyle name="ThinLine(TR)" xfId="291"/>
    <cellStyle name="ThinMidRow" xfId="292"/>
    <cellStyle name="ThinTopRow" xfId="293"/>
    <cellStyle name="ThinTotLine" xfId="294"/>
    <cellStyle name="ThinTotLine(Box)" xfId="295"/>
    <cellStyle name="threedecplace" xfId="296"/>
    <cellStyle name="Times 12" xfId="297"/>
    <cellStyle name="Title  - Style1" xfId="298"/>
    <cellStyle name="Title  - Style6" xfId="299"/>
    <cellStyle name="Title1" xfId="300"/>
    <cellStyle name="tn" xfId="301"/>
    <cellStyle name="TOC 1" xfId="302"/>
    <cellStyle name="TOC 2" xfId="303"/>
    <cellStyle name="TotCol - Style5" xfId="304"/>
    <cellStyle name="TotCol - Style7" xfId="305"/>
    <cellStyle name="TotRow - Style4" xfId="306"/>
    <cellStyle name="TotRow - Style8" xfId="307"/>
    <cellStyle name="twodecplace" xfId="308"/>
    <cellStyle name="Use_1dp" xfId="309"/>
    <cellStyle name="UseB_1dp" xfId="310"/>
    <cellStyle name="WingdingsBlack" xfId="311"/>
    <cellStyle name="WingdingsRed" xfId="312"/>
    <cellStyle name="WingdingsWhite" xfId="313"/>
    <cellStyle name="XLS'|_x0005_t" xfId="314"/>
    <cellStyle name="YE Num" xfId="315"/>
    <cellStyle name="YE String" xfId="316"/>
    <cellStyle name="Year" xfId="317"/>
    <cellStyle name="YearEnd" xfId="318"/>
    <cellStyle name="ZZ_Balance" xfId="319"/>
    <cellStyle name="똿뗦먛귟 [0.00]_PRODUCT DETAIL Q1" xfId="320"/>
    <cellStyle name="똿뗦먛귟_PRODUCT DETAIL Q1" xfId="321"/>
    <cellStyle name="묮뎋 [0.00]_PRODUCT DETAIL Q1" xfId="322"/>
    <cellStyle name="묮뎋_PRODUCT DETAIL Q1" xfId="323"/>
    <cellStyle name="믅됞 [0.00]_PRODUCT DETAIL Q1" xfId="324"/>
    <cellStyle name="믅됞_PRODUCT DETAIL Q1" xfId="325"/>
    <cellStyle name="뷭?_BOOKSHIP" xfId="326"/>
    <cellStyle name="셈迷?XLS!check_filesche|_x0005_" xfId="327"/>
    <cellStyle name="쉼표 [0]_(0131)00vs01수출_판매" xfId="328"/>
    <cellStyle name="쉼표_POSCO_DB" xfId="329"/>
    <cellStyle name="콤마 [0]_ 2팀층별 " xfId="330"/>
    <cellStyle name="콤마,_x0005__x0014_" xfId="331"/>
    <cellStyle name="콤마_ 2팀층별 " xfId="332"/>
    <cellStyle name="통화 [0]_Bethlehem steel valuation" xfId="333"/>
    <cellStyle name="통화_Bethlehem steel valuation" xfId="334"/>
    <cellStyle name="표준_(0209)2001_Rundown(Sedona반영)" xfId="335"/>
    <cellStyle name="一般_Book2" xfId="336"/>
    <cellStyle name="常规_Sheet1" xfId="337"/>
    <cellStyle name="桁区切り [0.00]_APELF" xfId="338"/>
    <cellStyle name="桁区切り_APELF" xfId="339"/>
    <cellStyle name="標準_6594-0005" xfId="340"/>
    <cellStyle name="通貨 [0.00]_APELF" xfId="341"/>
    <cellStyle name="通貨_APELF" xfId="342"/>
  </cellStyles>
  <dxfs count="7">
    <dxf>
      <font>
        <b/>
        <i val="0"/>
        <condense val="0"/>
        <extend val="0"/>
      </font>
      <fill>
        <patternFill>
          <bgColor indexed="47"/>
        </patternFill>
      </fill>
    </dxf>
    <dxf>
      <font>
        <b/>
        <i val="0"/>
        <condense val="0"/>
        <extend val="0"/>
      </font>
      <fill>
        <patternFill>
          <bgColor indexed="47"/>
        </patternFill>
      </fill>
    </dxf>
    <dxf>
      <font>
        <b/>
        <i val="0"/>
        <condense val="0"/>
        <extend val="0"/>
      </font>
      <fill>
        <patternFill>
          <bgColor indexed="47"/>
        </patternFill>
      </fill>
    </dxf>
    <dxf>
      <font>
        <b/>
        <i val="0"/>
        <condense val="0"/>
        <extend val="0"/>
      </font>
      <fill>
        <patternFill>
          <bgColor indexed="47"/>
        </patternFill>
      </fill>
    </dxf>
    <dxf>
      <font>
        <b/>
        <i val="0"/>
        <condense val="0"/>
        <extend val="0"/>
        <color auto="1"/>
      </font>
      <fill>
        <patternFill>
          <bgColor indexed="47"/>
        </patternFill>
      </fill>
    </dxf>
    <dxf>
      <font>
        <b/>
        <i val="0"/>
        <condense val="0"/>
        <extend val="0"/>
        <color auto="1"/>
      </font>
      <fill>
        <patternFill>
          <bgColor indexed="47"/>
        </patternFill>
      </fill>
    </dxf>
    <dxf>
      <font>
        <b/>
        <i val="0"/>
        <condense val="0"/>
        <extend val="0"/>
        <color auto="1"/>
      </font>
      <fill>
        <patternFill>
          <bgColor indexed="4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CAF393"/>
      <rgbColor rgb="00800000"/>
      <rgbColor rgb="00008000"/>
      <rgbColor rgb="00000080"/>
      <rgbColor rgb="00808000"/>
      <rgbColor rgb="00800080"/>
      <rgbColor rgb="006699FF"/>
      <rgbColor rgb="00C0C0C0"/>
      <rgbColor rgb="00CCCCCC"/>
      <rgbColor rgb="00FF9900"/>
      <rgbColor rgb="00DDDDDD"/>
      <rgbColor rgb="00969696"/>
      <rgbColor rgb="00000000"/>
      <rgbColor rgb="00FFCC00"/>
      <rgbColor rgb="00FFCC99"/>
      <rgbColor rgb="00FFFF99"/>
      <rgbColor rgb="00FF0000"/>
      <rgbColor rgb="00FF9900"/>
      <rgbColor rgb="00DDDDDD"/>
      <rgbColor rgb="00969696"/>
      <rgbColor rgb="00000000"/>
      <rgbColor rgb="00FFCC00"/>
      <rgbColor rgb="00FFCC99"/>
      <rgbColor rgb="00FFFF99"/>
      <rgbColor rgb="00FF0000"/>
      <rgbColor rgb="0000CCFF"/>
      <rgbColor rgb="00CCFFFF"/>
      <rgbColor rgb="00CCFFCC"/>
      <rgbColor rgb="00FFFF99"/>
      <rgbColor rgb="0099CCFF"/>
      <rgbColor rgb="00FF99CC"/>
      <rgbColor rgb="00CC99FF"/>
      <rgbColor rgb="00FFCC99"/>
      <rgbColor rgb="003366FF"/>
      <rgbColor rgb="00BAF034"/>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666666"/>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8.xml"/><Relationship Id="rId21" Type="http://schemas.openxmlformats.org/officeDocument/2006/relationships/worksheet" Target="worksheets/sheet21.xml"/><Relationship Id="rId34" Type="http://schemas.openxmlformats.org/officeDocument/2006/relationships/externalLink" Target="externalLinks/externalLink3.xml"/><Relationship Id="rId42" Type="http://schemas.openxmlformats.org/officeDocument/2006/relationships/externalLink" Target="externalLinks/externalLink11.xml"/><Relationship Id="rId47" Type="http://schemas.openxmlformats.org/officeDocument/2006/relationships/externalLink" Target="externalLinks/externalLink16.xml"/><Relationship Id="rId50" Type="http://schemas.openxmlformats.org/officeDocument/2006/relationships/externalLink" Target="externalLinks/externalLink19.xml"/><Relationship Id="rId55" Type="http://schemas.openxmlformats.org/officeDocument/2006/relationships/externalLink" Target="externalLinks/externalLink24.xml"/><Relationship Id="rId63" Type="http://schemas.openxmlformats.org/officeDocument/2006/relationships/externalLink" Target="externalLinks/externalLink32.xml"/><Relationship Id="rId68" Type="http://schemas.openxmlformats.org/officeDocument/2006/relationships/externalLink" Target="externalLinks/externalLink37.xml"/><Relationship Id="rId76"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externalLink" Target="externalLinks/externalLink40.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externalLink" Target="externalLinks/externalLink9.xml"/><Relationship Id="rId45" Type="http://schemas.openxmlformats.org/officeDocument/2006/relationships/externalLink" Target="externalLinks/externalLink14.xml"/><Relationship Id="rId53" Type="http://schemas.openxmlformats.org/officeDocument/2006/relationships/externalLink" Target="externalLinks/externalLink22.xml"/><Relationship Id="rId58" Type="http://schemas.openxmlformats.org/officeDocument/2006/relationships/externalLink" Target="externalLinks/externalLink27.xml"/><Relationship Id="rId66" Type="http://schemas.openxmlformats.org/officeDocument/2006/relationships/externalLink" Target="externalLinks/externalLink35.xml"/><Relationship Id="rId74" Type="http://schemas.openxmlformats.org/officeDocument/2006/relationships/externalLink" Target="externalLinks/externalLink4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49" Type="http://schemas.openxmlformats.org/officeDocument/2006/relationships/externalLink" Target="externalLinks/externalLink18.xml"/><Relationship Id="rId57" Type="http://schemas.openxmlformats.org/officeDocument/2006/relationships/externalLink" Target="externalLinks/externalLink26.xml"/><Relationship Id="rId61" Type="http://schemas.openxmlformats.org/officeDocument/2006/relationships/externalLink" Target="externalLinks/externalLink30.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13.xml"/><Relationship Id="rId52" Type="http://schemas.openxmlformats.org/officeDocument/2006/relationships/externalLink" Target="externalLinks/externalLink21.xml"/><Relationship Id="rId60" Type="http://schemas.openxmlformats.org/officeDocument/2006/relationships/externalLink" Target="externalLinks/externalLink29.xml"/><Relationship Id="rId65" Type="http://schemas.openxmlformats.org/officeDocument/2006/relationships/externalLink" Target="externalLinks/externalLink34.xml"/><Relationship Id="rId73" Type="http://schemas.openxmlformats.org/officeDocument/2006/relationships/externalLink" Target="externalLinks/externalLink42.xml"/><Relationship Id="rId78"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43" Type="http://schemas.openxmlformats.org/officeDocument/2006/relationships/externalLink" Target="externalLinks/externalLink12.xml"/><Relationship Id="rId48" Type="http://schemas.openxmlformats.org/officeDocument/2006/relationships/externalLink" Target="externalLinks/externalLink17.xml"/><Relationship Id="rId56" Type="http://schemas.openxmlformats.org/officeDocument/2006/relationships/externalLink" Target="externalLinks/externalLink25.xml"/><Relationship Id="rId64" Type="http://schemas.openxmlformats.org/officeDocument/2006/relationships/externalLink" Target="externalLinks/externalLink33.xml"/><Relationship Id="rId69" Type="http://schemas.openxmlformats.org/officeDocument/2006/relationships/externalLink" Target="externalLinks/externalLink38.xml"/><Relationship Id="rId77"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20.xml"/><Relationship Id="rId72" Type="http://schemas.openxmlformats.org/officeDocument/2006/relationships/externalLink" Target="externalLinks/externalLink4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 Id="rId46" Type="http://schemas.openxmlformats.org/officeDocument/2006/relationships/externalLink" Target="externalLinks/externalLink15.xml"/><Relationship Id="rId59" Type="http://schemas.openxmlformats.org/officeDocument/2006/relationships/externalLink" Target="externalLinks/externalLink28.xml"/><Relationship Id="rId67" Type="http://schemas.openxmlformats.org/officeDocument/2006/relationships/externalLink" Target="externalLinks/externalLink36.xml"/><Relationship Id="rId20" Type="http://schemas.openxmlformats.org/officeDocument/2006/relationships/worksheet" Target="worksheets/sheet20.xml"/><Relationship Id="rId41" Type="http://schemas.openxmlformats.org/officeDocument/2006/relationships/externalLink" Target="externalLinks/externalLink10.xml"/><Relationship Id="rId54" Type="http://schemas.openxmlformats.org/officeDocument/2006/relationships/externalLink" Target="externalLinks/externalLink23.xml"/><Relationship Id="rId62" Type="http://schemas.openxmlformats.org/officeDocument/2006/relationships/externalLink" Target="externalLinks/externalLink31.xml"/><Relationship Id="rId70" Type="http://schemas.openxmlformats.org/officeDocument/2006/relationships/externalLink" Target="externalLinks/externalLink39.xml"/><Relationship Id="rId75"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4585635359116026E-2"/>
          <c:y val="0.17647104902408772"/>
          <c:w val="0.91436464088397795"/>
          <c:h val="0.53476075461844763"/>
        </c:manualLayout>
      </c:layout>
      <c:barChart>
        <c:barDir val="col"/>
        <c:grouping val="clustered"/>
        <c:varyColors val="0"/>
        <c:ser>
          <c:idx val="2"/>
          <c:order val="0"/>
          <c:tx>
            <c:strRef>
              <c:f>Quarterly!$B$318</c:f>
              <c:strCache>
                <c:ptCount val="1"/>
                <c:pt idx="0">
                  <c:v>Avg. USD/INR</c:v>
                </c:pt>
              </c:strCache>
            </c:strRef>
          </c:tx>
          <c:spPr>
            <a:solidFill>
              <a:srgbClr val="FF9900"/>
            </a:solidFill>
            <a:ln w="25400">
              <a:noFill/>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Quarterly!$AI$318:$AO$318</c:f>
              <c:numCache>
                <c:formatCode>#,##0.0</c:formatCode>
                <c:ptCount val="7"/>
                <c:pt idx="0">
                  <c:v>59.9</c:v>
                </c:pt>
                <c:pt idx="1">
                  <c:v>61.5</c:v>
                </c:pt>
                <c:pt idx="2">
                  <c:v>62.8</c:v>
                </c:pt>
                <c:pt idx="3">
                  <c:v>62.8</c:v>
                </c:pt>
                <c:pt idx="4">
                  <c:v>63.9</c:v>
                </c:pt>
                <c:pt idx="5">
                  <c:v>65.2</c:v>
                </c:pt>
                <c:pt idx="6">
                  <c:v>66</c:v>
                </c:pt>
              </c:numCache>
            </c:numRef>
          </c:val>
          <c:extLst>
            <c:ext xmlns:c16="http://schemas.microsoft.com/office/drawing/2014/chart" uri="{C3380CC4-5D6E-409C-BE32-E72D297353CC}">
              <c16:uniqueId val="{00000000-E335-4A0D-998D-2B9F946EBE2C}"/>
            </c:ext>
          </c:extLst>
        </c:ser>
        <c:dLbls>
          <c:showLegendKey val="0"/>
          <c:showVal val="0"/>
          <c:showCatName val="0"/>
          <c:showSerName val="0"/>
          <c:showPercent val="0"/>
          <c:showBubbleSize val="0"/>
        </c:dLbls>
        <c:gapWidth val="150"/>
        <c:axId val="126566400"/>
        <c:axId val="126567936"/>
      </c:barChart>
      <c:catAx>
        <c:axId val="12656640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en-US"/>
          </a:p>
        </c:txPr>
        <c:crossAx val="126567936"/>
        <c:crosses val="autoZero"/>
        <c:auto val="1"/>
        <c:lblAlgn val="ctr"/>
        <c:lblOffset val="100"/>
        <c:tickLblSkip val="1"/>
        <c:tickMarkSkip val="1"/>
        <c:noMultiLvlLbl val="0"/>
      </c:catAx>
      <c:valAx>
        <c:axId val="126567936"/>
        <c:scaling>
          <c:orientation val="minMax"/>
        </c:scaling>
        <c:delete val="0"/>
        <c:axPos val="l"/>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6566400"/>
        <c:crosses val="autoZero"/>
        <c:crossBetween val="between"/>
        <c:majorUnit val="1"/>
      </c:valAx>
      <c:spPr>
        <a:noFill/>
        <a:ln w="25400">
          <a:noFill/>
        </a:ln>
      </c:spPr>
    </c:plotArea>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255526092645663E-2"/>
          <c:y val="8.0214113192767153E-2"/>
          <c:w val="0.92113635610979716"/>
          <c:h val="0.52328370620756359"/>
        </c:manualLayout>
      </c:layout>
      <c:barChart>
        <c:barDir val="col"/>
        <c:grouping val="clustered"/>
        <c:varyColors val="0"/>
        <c:ser>
          <c:idx val="0"/>
          <c:order val="0"/>
          <c:tx>
            <c:strRef>
              <c:f>Quarterly!$B$39</c:f>
              <c:strCache>
                <c:ptCount val="1"/>
                <c:pt idx="0">
                  <c:v>EBITDA margin</c:v>
                </c:pt>
              </c:strCache>
            </c:strRef>
          </c:tx>
          <c:spPr>
            <a:solidFill>
              <a:srgbClr val="FF9900"/>
            </a:solidFill>
            <a:ln w="25400">
              <a:noFill/>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Quarterly!$AI$39:$AO$39</c:f>
              <c:numCache>
                <c:formatCode>0.0%</c:formatCode>
                <c:ptCount val="7"/>
                <c:pt idx="0">
                  <c:v>0.189</c:v>
                </c:pt>
                <c:pt idx="1">
                  <c:v>0.2</c:v>
                </c:pt>
                <c:pt idx="2">
                  <c:v>0.20300000000000001</c:v>
                </c:pt>
                <c:pt idx="3">
                  <c:v>0.17599999999999999</c:v>
                </c:pt>
                <c:pt idx="4">
                  <c:v>0.20399999999999999</c:v>
                </c:pt>
                <c:pt idx="5">
                  <c:v>0.217</c:v>
                </c:pt>
                <c:pt idx="6">
                  <c:v>0.21099999999999999</c:v>
                </c:pt>
              </c:numCache>
            </c:numRef>
          </c:val>
          <c:extLst>
            <c:ext xmlns:c16="http://schemas.microsoft.com/office/drawing/2014/chart" uri="{C3380CC4-5D6E-409C-BE32-E72D297353CC}">
              <c16:uniqueId val="{00000000-B2D7-4578-8654-000960A4ADE0}"/>
            </c:ext>
          </c:extLst>
        </c:ser>
        <c:dLbls>
          <c:showLegendKey val="0"/>
          <c:showVal val="0"/>
          <c:showCatName val="0"/>
          <c:showSerName val="0"/>
          <c:showPercent val="0"/>
          <c:showBubbleSize val="0"/>
        </c:dLbls>
        <c:gapWidth val="150"/>
        <c:axId val="126912000"/>
        <c:axId val="126913536"/>
      </c:barChart>
      <c:catAx>
        <c:axId val="12691200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en-US"/>
          </a:p>
        </c:txPr>
        <c:crossAx val="126913536"/>
        <c:crosses val="autoZero"/>
        <c:auto val="1"/>
        <c:lblAlgn val="ctr"/>
        <c:lblOffset val="100"/>
        <c:tickLblSkip val="1"/>
        <c:tickMarkSkip val="1"/>
        <c:noMultiLvlLbl val="0"/>
      </c:catAx>
      <c:valAx>
        <c:axId val="126913536"/>
        <c:scaling>
          <c:orientation val="minMax"/>
          <c:min val="0.17"/>
        </c:scaling>
        <c:delete val="0"/>
        <c:axPos val="l"/>
        <c:numFmt formatCode="0.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6912000"/>
        <c:crosses val="autoZero"/>
        <c:crossBetween val="between"/>
      </c:valAx>
      <c:spPr>
        <a:noFill/>
        <a:ln w="25400">
          <a:noFill/>
        </a:ln>
      </c:spPr>
    </c:plotArea>
    <c:legend>
      <c:legendPos val="b"/>
      <c:layout>
        <c:manualLayout>
          <c:xMode val="edge"/>
          <c:yMode val="edge"/>
          <c:x val="0.35544145970058982"/>
          <c:y val="0.89533559790980966"/>
          <c:w val="0.2891167823696455"/>
          <c:h val="0.1046644020901904"/>
        </c:manualLayout>
      </c:layout>
      <c:overlay val="0"/>
    </c:legend>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1160220994475141E-2"/>
          <c:y val="0.12541690537413788"/>
          <c:w val="0.7983425414364641"/>
          <c:h val="0.50826260930581646"/>
        </c:manualLayout>
      </c:layout>
      <c:barChart>
        <c:barDir val="col"/>
        <c:grouping val="clustered"/>
        <c:varyColors val="0"/>
        <c:ser>
          <c:idx val="0"/>
          <c:order val="0"/>
          <c:tx>
            <c:strRef>
              <c:f>Quarterly!$B$320</c:f>
              <c:strCache>
                <c:ptCount val="1"/>
                <c:pt idx="0">
                  <c:v>Domestic Vols</c:v>
                </c:pt>
              </c:strCache>
            </c:strRef>
          </c:tx>
          <c:spPr>
            <a:solidFill>
              <a:srgbClr val="FF9900"/>
            </a:solidFill>
            <a:ln w="25400">
              <a:noFill/>
            </a:ln>
          </c:spPr>
          <c:invertIfNegative val="0"/>
          <c:cat>
            <c:strRef>
              <c:f>Quarterly!$AI$7:$AO$7</c:f>
              <c:strCache>
                <c:ptCount val="7"/>
                <c:pt idx="0">
                  <c:v>Q1FY15</c:v>
                </c:pt>
                <c:pt idx="1">
                  <c:v>Q2FY15</c:v>
                </c:pt>
                <c:pt idx="2">
                  <c:v>Q3FY15</c:v>
                </c:pt>
                <c:pt idx="3">
                  <c:v>Q4FY15</c:v>
                </c:pt>
                <c:pt idx="4">
                  <c:v>Q1FY16</c:v>
                </c:pt>
                <c:pt idx="5">
                  <c:v>Q2FY16</c:v>
                </c:pt>
                <c:pt idx="6">
                  <c:v>Q3FY16</c:v>
                </c:pt>
              </c:strCache>
            </c:strRef>
          </c:cat>
          <c:val>
            <c:numRef>
              <c:f>Quarterly!$AI$320:$AO$320</c:f>
              <c:numCache>
                <c:formatCode>#,##0</c:formatCode>
                <c:ptCount val="7"/>
                <c:pt idx="0">
                  <c:v>546.46299999999997</c:v>
                </c:pt>
                <c:pt idx="1">
                  <c:v>536.48900000000003</c:v>
                </c:pt>
                <c:pt idx="2">
                  <c:v>494.10599999999999</c:v>
                </c:pt>
                <c:pt idx="3">
                  <c:v>428.065</c:v>
                </c:pt>
                <c:pt idx="4">
                  <c:v>536.53300000000002</c:v>
                </c:pt>
                <c:pt idx="5">
                  <c:v>536.447</c:v>
                </c:pt>
                <c:pt idx="6">
                  <c:v>541.06100000000004</c:v>
                </c:pt>
              </c:numCache>
            </c:numRef>
          </c:val>
          <c:extLst>
            <c:ext xmlns:c16="http://schemas.microsoft.com/office/drawing/2014/chart" uri="{C3380CC4-5D6E-409C-BE32-E72D297353CC}">
              <c16:uniqueId val="{00000000-31F6-45AE-846C-89F7E226EA96}"/>
            </c:ext>
          </c:extLst>
        </c:ser>
        <c:dLbls>
          <c:showLegendKey val="0"/>
          <c:showVal val="0"/>
          <c:showCatName val="0"/>
          <c:showSerName val="0"/>
          <c:showPercent val="0"/>
          <c:showBubbleSize val="0"/>
        </c:dLbls>
        <c:gapWidth val="150"/>
        <c:axId val="127534592"/>
        <c:axId val="127536128"/>
      </c:barChart>
      <c:lineChart>
        <c:grouping val="standard"/>
        <c:varyColors val="0"/>
        <c:ser>
          <c:idx val="1"/>
          <c:order val="1"/>
          <c:tx>
            <c:strRef>
              <c:f>Quarterly!$B$321</c:f>
              <c:strCache>
                <c:ptCount val="1"/>
                <c:pt idx="0">
                  <c:v>% YoY (RHS)</c:v>
                </c:pt>
              </c:strCache>
            </c:strRef>
          </c:tx>
          <c:spPr>
            <a:ln w="25400">
              <a:solidFill>
                <a:srgbClr val="969696"/>
              </a:solidFill>
              <a:prstDash val="solid"/>
            </a:ln>
          </c:spPr>
          <c:marker>
            <c:symbol val="diamond"/>
            <c:size val="5"/>
            <c:spPr>
              <a:noFill/>
              <a:ln w="9525">
                <a:noFill/>
              </a:ln>
            </c:spPr>
          </c:marker>
          <c:dLbls>
            <c:dLbl>
              <c:idx val="6"/>
              <c:spPr>
                <a:noFill/>
                <a:ln w="25400">
                  <a:noFill/>
                </a:ln>
              </c:spPr>
              <c:txPr>
                <a:bodyPr/>
                <a:lstStyle/>
                <a:p>
                  <a:pPr>
                    <a:defRPr sz="800" b="0" i="0" u="none" strike="noStrike" baseline="0">
                      <a:solidFill>
                        <a:srgbClr val="000000"/>
                      </a:solidFill>
                      <a:latin typeface="Arial"/>
                      <a:ea typeface="Arial"/>
                      <a:cs typeface="Arial"/>
                    </a:defRPr>
                  </a:pPr>
                  <a:endParaRPr lang="en-US"/>
                </a:p>
              </c:txPr>
              <c:dLblPos val="t"/>
              <c:showLegendKey val="0"/>
              <c:showVal val="1"/>
              <c:showCatName val="0"/>
              <c:showSerName val="0"/>
              <c:showPercent val="0"/>
              <c:showBubbleSize val="0"/>
              <c:extLst>
                <c:ext xmlns:c16="http://schemas.microsoft.com/office/drawing/2014/chart" uri="{C3380CC4-5D6E-409C-BE32-E72D297353CC}">
                  <c16:uniqueId val="{00000001-31F6-45AE-846C-89F7E226EA96}"/>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Quarterly!$AI$321:$AO$321</c:f>
              <c:numCache>
                <c:formatCode>0%</c:formatCode>
                <c:ptCount val="7"/>
                <c:pt idx="0">
                  <c:v>-0.11390892345211379</c:v>
                </c:pt>
                <c:pt idx="1">
                  <c:v>-4.2496876673210782E-2</c:v>
                </c:pt>
                <c:pt idx="2">
                  <c:v>-0.13494425614162864</c:v>
                </c:pt>
                <c:pt idx="3">
                  <c:v>-0.20426027891275333</c:v>
                </c:pt>
                <c:pt idx="4">
                  <c:v>-1.8171404102382049E-2</c:v>
                </c:pt>
                <c:pt idx="5">
                  <c:v>-7.8286786867942659E-5</c:v>
                </c:pt>
                <c:pt idx="6">
                  <c:v>9.5030216188429106E-2</c:v>
                </c:pt>
              </c:numCache>
            </c:numRef>
          </c:val>
          <c:smooth val="1"/>
          <c:extLst>
            <c:ext xmlns:c16="http://schemas.microsoft.com/office/drawing/2014/chart" uri="{C3380CC4-5D6E-409C-BE32-E72D297353CC}">
              <c16:uniqueId val="{00000002-31F6-45AE-846C-89F7E226EA96}"/>
            </c:ext>
          </c:extLst>
        </c:ser>
        <c:dLbls>
          <c:showLegendKey val="0"/>
          <c:showVal val="0"/>
          <c:showCatName val="0"/>
          <c:showSerName val="0"/>
          <c:showPercent val="0"/>
          <c:showBubbleSize val="0"/>
        </c:dLbls>
        <c:marker val="1"/>
        <c:smooth val="0"/>
        <c:axId val="127546112"/>
        <c:axId val="127547648"/>
      </c:lineChart>
      <c:catAx>
        <c:axId val="127534592"/>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en-US"/>
          </a:p>
        </c:txPr>
        <c:crossAx val="127536128"/>
        <c:crosses val="autoZero"/>
        <c:auto val="1"/>
        <c:lblAlgn val="ctr"/>
        <c:lblOffset val="100"/>
        <c:tickLblSkip val="1"/>
        <c:tickMarkSkip val="1"/>
        <c:noMultiLvlLbl val="0"/>
      </c:catAx>
      <c:valAx>
        <c:axId val="127536128"/>
        <c:scaling>
          <c:orientation val="minMax"/>
          <c:min val="400"/>
        </c:scaling>
        <c:delete val="0"/>
        <c:axPos val="l"/>
        <c:numFmt formatCode="#,##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7534592"/>
        <c:crosses val="autoZero"/>
        <c:crossBetween val="between"/>
        <c:majorUnit val="50"/>
      </c:valAx>
      <c:catAx>
        <c:axId val="127546112"/>
        <c:scaling>
          <c:orientation val="minMax"/>
        </c:scaling>
        <c:delete val="1"/>
        <c:axPos val="b"/>
        <c:numFmt formatCode="General" sourceLinked="1"/>
        <c:majorTickMark val="out"/>
        <c:minorTickMark val="none"/>
        <c:tickLblPos val="nextTo"/>
        <c:crossAx val="127547648"/>
        <c:crosses val="autoZero"/>
        <c:auto val="1"/>
        <c:lblAlgn val="ctr"/>
        <c:lblOffset val="100"/>
        <c:noMultiLvlLbl val="0"/>
      </c:catAx>
      <c:valAx>
        <c:axId val="127547648"/>
        <c:scaling>
          <c:orientation val="minMax"/>
        </c:scaling>
        <c:delete val="0"/>
        <c:axPos val="r"/>
        <c:numFmt formatCode="0%"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7546112"/>
        <c:crosses val="max"/>
        <c:crossBetween val="between"/>
        <c:majorUnit val="0.1"/>
      </c:valAx>
      <c:spPr>
        <a:noFill/>
        <a:ln w="25400">
          <a:noFill/>
        </a:ln>
      </c:spPr>
    </c:plotArea>
    <c:legend>
      <c:legendPos val="b"/>
      <c:layout>
        <c:manualLayout>
          <c:xMode val="edge"/>
          <c:yMode val="edge"/>
          <c:x val="0.17448941674127366"/>
          <c:y val="0.90036128098200918"/>
          <c:w val="0.63587112443731608"/>
          <c:h val="9.9638719017990776E-2"/>
        </c:manualLayout>
      </c:layout>
      <c:overlay val="0"/>
      <c:spPr>
        <a:solidFill>
          <a:srgbClr val="FFFFFF"/>
        </a:solidFill>
        <a:ln w="25400">
          <a:noFill/>
        </a:ln>
      </c:spPr>
      <c:txPr>
        <a:bodyPr/>
        <a:lstStyle/>
        <a:p>
          <a:pPr>
            <a:defRPr sz="73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2596685082873"/>
          <c:y val="0.13781470526844045"/>
          <c:w val="0.77624309392265189"/>
          <c:h val="0.50996520422256864"/>
        </c:manualLayout>
      </c:layout>
      <c:barChart>
        <c:barDir val="col"/>
        <c:grouping val="clustered"/>
        <c:varyColors val="0"/>
        <c:ser>
          <c:idx val="0"/>
          <c:order val="0"/>
          <c:tx>
            <c:strRef>
              <c:f>Quarterly!$B$323</c:f>
              <c:strCache>
                <c:ptCount val="1"/>
                <c:pt idx="0">
                  <c:v>Export Vols</c:v>
                </c:pt>
              </c:strCache>
            </c:strRef>
          </c:tx>
          <c:spPr>
            <a:solidFill>
              <a:srgbClr val="FF9900"/>
            </a:solidFill>
            <a:ln w="25400">
              <a:noFill/>
            </a:ln>
          </c:spPr>
          <c:invertIfNegative val="0"/>
          <c:cat>
            <c:strRef>
              <c:f>Quarterly!$AI$7:$AO$7</c:f>
              <c:strCache>
                <c:ptCount val="7"/>
                <c:pt idx="0">
                  <c:v>Q1FY15</c:v>
                </c:pt>
                <c:pt idx="1">
                  <c:v>Q2FY15</c:v>
                </c:pt>
                <c:pt idx="2">
                  <c:v>Q3FY15</c:v>
                </c:pt>
                <c:pt idx="3">
                  <c:v>Q4FY15</c:v>
                </c:pt>
                <c:pt idx="4">
                  <c:v>Q1FY16</c:v>
                </c:pt>
                <c:pt idx="5">
                  <c:v>Q2FY16</c:v>
                </c:pt>
                <c:pt idx="6">
                  <c:v>Q3FY16</c:v>
                </c:pt>
              </c:strCache>
            </c:strRef>
          </c:cat>
          <c:val>
            <c:numRef>
              <c:f>Quarterly!$AI$323:$AO$323</c:f>
              <c:numCache>
                <c:formatCode>_(* #,##0_);_(* \(#,##0\);_(* "-"??_);_(@_)</c:formatCode>
                <c:ptCount val="7"/>
                <c:pt idx="0">
                  <c:v>441.96699999999998</c:v>
                </c:pt>
                <c:pt idx="1">
                  <c:v>519.09299999999996</c:v>
                </c:pt>
                <c:pt idx="2">
                  <c:v>490.41399999999999</c:v>
                </c:pt>
                <c:pt idx="3">
                  <c:v>354.60399999999998</c:v>
                </c:pt>
                <c:pt idx="4">
                  <c:v>476.49599999999998</c:v>
                </c:pt>
                <c:pt idx="5">
                  <c:v>520.149</c:v>
                </c:pt>
                <c:pt idx="6">
                  <c:v>410.43700000000001</c:v>
                </c:pt>
              </c:numCache>
            </c:numRef>
          </c:val>
          <c:extLst>
            <c:ext xmlns:c16="http://schemas.microsoft.com/office/drawing/2014/chart" uri="{C3380CC4-5D6E-409C-BE32-E72D297353CC}">
              <c16:uniqueId val="{00000000-7CD8-4F35-B607-566EE1E7337F}"/>
            </c:ext>
          </c:extLst>
        </c:ser>
        <c:dLbls>
          <c:showLegendKey val="0"/>
          <c:showVal val="0"/>
          <c:showCatName val="0"/>
          <c:showSerName val="0"/>
          <c:showPercent val="0"/>
          <c:showBubbleSize val="0"/>
        </c:dLbls>
        <c:gapWidth val="150"/>
        <c:axId val="127587840"/>
        <c:axId val="127589376"/>
      </c:barChart>
      <c:lineChart>
        <c:grouping val="standard"/>
        <c:varyColors val="0"/>
        <c:ser>
          <c:idx val="1"/>
          <c:order val="1"/>
          <c:tx>
            <c:strRef>
              <c:f>Quarterly!$B$324</c:f>
              <c:strCache>
                <c:ptCount val="1"/>
                <c:pt idx="0">
                  <c:v>% YoY</c:v>
                </c:pt>
              </c:strCache>
            </c:strRef>
          </c:tx>
          <c:spPr>
            <a:ln w="25400">
              <a:solidFill>
                <a:srgbClr val="969696"/>
              </a:solidFill>
              <a:prstDash val="solid"/>
            </a:ln>
          </c:spPr>
          <c:marker>
            <c:symbol val="diamond"/>
            <c:size val="5"/>
            <c:spPr>
              <a:noFill/>
              <a:ln w="9525">
                <a:noFill/>
              </a:ln>
            </c:spPr>
          </c:marker>
          <c:dLbls>
            <c:dLbl>
              <c:idx val="6"/>
              <c:layout>
                <c:manualLayout>
                  <c:x val="-4.4690723819950318E-2"/>
                  <c:y val="-8.5392352982904166E-2"/>
                </c:manualLayout>
              </c:layout>
              <c:spPr>
                <a:noFill/>
                <a:ln w="25400">
                  <a:noFill/>
                </a:ln>
              </c:spPr>
              <c:txPr>
                <a:bodyPr/>
                <a:lstStyle/>
                <a:p>
                  <a:pPr>
                    <a:defRPr sz="800" b="0" i="0" u="none" strike="noStrike" baseline="0">
                      <a:solidFill>
                        <a:srgbClr val="000000"/>
                      </a:solidFill>
                      <a:latin typeface="Arial"/>
                      <a:ea typeface="Arial"/>
                      <a:cs typeface="Arial"/>
                    </a:defRPr>
                  </a:pPr>
                  <a:endParaRPr lang="en-US"/>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CD8-4F35-B607-566EE1E7337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Quarterly!$AI$324:$AO$324</c:f>
              <c:numCache>
                <c:formatCode>0%</c:formatCode>
                <c:ptCount val="7"/>
                <c:pt idx="0">
                  <c:v>0.21900745525605214</c:v>
                </c:pt>
                <c:pt idx="1">
                  <c:v>0.29439942148966414</c:v>
                </c:pt>
                <c:pt idx="2">
                  <c:v>0.16072671157332685</c:v>
                </c:pt>
                <c:pt idx="3">
                  <c:v>-0.11418388563806514</c:v>
                </c:pt>
                <c:pt idx="4">
                  <c:v>1.4061877468966255E-2</c:v>
                </c:pt>
                <c:pt idx="5">
                  <c:v>-8.5371038303825308E-3</c:v>
                </c:pt>
                <c:pt idx="6">
                  <c:v>-0.13262852149512006</c:v>
                </c:pt>
              </c:numCache>
            </c:numRef>
          </c:val>
          <c:smooth val="1"/>
          <c:extLst>
            <c:ext xmlns:c16="http://schemas.microsoft.com/office/drawing/2014/chart" uri="{C3380CC4-5D6E-409C-BE32-E72D297353CC}">
              <c16:uniqueId val="{00000002-7CD8-4F35-B607-566EE1E7337F}"/>
            </c:ext>
          </c:extLst>
        </c:ser>
        <c:dLbls>
          <c:showLegendKey val="0"/>
          <c:showVal val="0"/>
          <c:showCatName val="0"/>
          <c:showSerName val="0"/>
          <c:showPercent val="0"/>
          <c:showBubbleSize val="0"/>
        </c:dLbls>
        <c:marker val="1"/>
        <c:smooth val="0"/>
        <c:axId val="127615744"/>
        <c:axId val="127617280"/>
      </c:lineChart>
      <c:catAx>
        <c:axId val="12758784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en-US"/>
          </a:p>
        </c:txPr>
        <c:crossAx val="127589376"/>
        <c:crosses val="autoZero"/>
        <c:auto val="1"/>
        <c:lblAlgn val="ctr"/>
        <c:lblOffset val="100"/>
        <c:tickLblSkip val="1"/>
        <c:tickMarkSkip val="1"/>
        <c:noMultiLvlLbl val="0"/>
      </c:catAx>
      <c:valAx>
        <c:axId val="127589376"/>
        <c:scaling>
          <c:orientation val="minMax"/>
          <c:min val="300"/>
        </c:scaling>
        <c:delete val="0"/>
        <c:axPos val="l"/>
        <c:numFmt formatCode="_(* #,##0_);_(* \(#,##0\);_(* &quot;-&quot;??_);_(@_)"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7587840"/>
        <c:crosses val="autoZero"/>
        <c:crossBetween val="between"/>
      </c:valAx>
      <c:catAx>
        <c:axId val="127615744"/>
        <c:scaling>
          <c:orientation val="minMax"/>
        </c:scaling>
        <c:delete val="1"/>
        <c:axPos val="b"/>
        <c:numFmt formatCode="General" sourceLinked="1"/>
        <c:majorTickMark val="out"/>
        <c:minorTickMark val="none"/>
        <c:tickLblPos val="nextTo"/>
        <c:crossAx val="127617280"/>
        <c:crossesAt val="0"/>
        <c:auto val="1"/>
        <c:lblAlgn val="ctr"/>
        <c:lblOffset val="100"/>
        <c:noMultiLvlLbl val="0"/>
      </c:catAx>
      <c:valAx>
        <c:axId val="127617280"/>
        <c:scaling>
          <c:orientation val="minMax"/>
          <c:max val="0.35000000000000003"/>
          <c:min val="-0.2"/>
        </c:scaling>
        <c:delete val="0"/>
        <c:axPos val="r"/>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7615744"/>
        <c:crosses val="max"/>
        <c:crossBetween val="between"/>
        <c:majorUnit val="0.1"/>
        <c:minorUnit val="0.02"/>
      </c:valAx>
      <c:spPr>
        <a:noFill/>
        <a:ln w="25400">
          <a:noFill/>
        </a:ln>
      </c:spPr>
    </c:plotArea>
    <c:legend>
      <c:legendPos val="b"/>
      <c:layout>
        <c:manualLayout>
          <c:xMode val="edge"/>
          <c:yMode val="edge"/>
          <c:x val="0.26289648639348845"/>
          <c:y val="0.90036128098200918"/>
          <c:w val="0.48930193196952249"/>
          <c:h val="9.9638719017990776E-2"/>
        </c:manualLayout>
      </c:layout>
      <c:overlay val="0"/>
      <c:spPr>
        <a:solidFill>
          <a:srgbClr val="FFFFFF"/>
        </a:solidFill>
        <a:ln w="25400">
          <a:noFill/>
        </a:ln>
      </c:spPr>
      <c:txPr>
        <a:bodyPr/>
        <a:lstStyle/>
        <a:p>
          <a:pPr>
            <a:defRPr sz="73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736041503185241E-2"/>
          <c:y val="0.10402649541903711"/>
          <c:w val="0.85829442540764866"/>
          <c:h val="0.55228803886823796"/>
        </c:manualLayout>
      </c:layout>
      <c:barChart>
        <c:barDir val="col"/>
        <c:grouping val="clustered"/>
        <c:varyColors val="0"/>
        <c:ser>
          <c:idx val="0"/>
          <c:order val="0"/>
          <c:tx>
            <c:strRef>
              <c:f>Quarterly!$B$306</c:f>
              <c:strCache>
                <c:ptCount val="1"/>
                <c:pt idx="0">
                  <c:v>Gross Domestic Realizations</c:v>
                </c:pt>
              </c:strCache>
            </c:strRef>
          </c:tx>
          <c:spPr>
            <a:solidFill>
              <a:srgbClr val="FF9900"/>
            </a:solidFill>
            <a:ln w="25400">
              <a:noFill/>
            </a:ln>
          </c:spPr>
          <c:invertIfNegative val="0"/>
          <c:dLbls>
            <c:spPr>
              <a:noFill/>
              <a:ln w="25400">
                <a:noFill/>
              </a:ln>
            </c:spPr>
            <c:txPr>
              <a:bodyPr rot="-5400000" vert="horz" wrap="square" lIns="38100" tIns="19050" rIns="38100" bIns="19050" anchor="ctr">
                <a:spAutoFit/>
              </a:bodyPr>
              <a:lstStyle/>
              <a:p>
                <a:pPr algn="l">
                  <a:defRPr sz="800" b="0" i="0" u="none" strike="noStrike" baseline="0">
                    <a:solidFill>
                      <a:srgbClr val="000000"/>
                    </a:solidFill>
                    <a:latin typeface="Arial"/>
                    <a:ea typeface="Arial"/>
                    <a:cs typeface="Aria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Quarterly!$AI$306:$AO$306</c:f>
              <c:numCache>
                <c:formatCode>#,##0_);_(* \(#,##0\);_(* "--"_);_(@_)</c:formatCode>
                <c:ptCount val="7"/>
                <c:pt idx="0">
                  <c:v>56430.353015666202</c:v>
                </c:pt>
                <c:pt idx="1">
                  <c:v>61852.526333251932</c:v>
                </c:pt>
                <c:pt idx="2">
                  <c:v>61799.897188052761</c:v>
                </c:pt>
                <c:pt idx="3">
                  <c:v>65401.516124887574</c:v>
                </c:pt>
                <c:pt idx="4">
                  <c:v>58501.713780885795</c:v>
                </c:pt>
                <c:pt idx="5">
                  <c:v>64393.87302007468</c:v>
                </c:pt>
                <c:pt idx="6">
                  <c:v>64716.362850029851</c:v>
                </c:pt>
              </c:numCache>
            </c:numRef>
          </c:val>
          <c:extLst>
            <c:ext xmlns:c16="http://schemas.microsoft.com/office/drawing/2014/chart" uri="{C3380CC4-5D6E-409C-BE32-E72D297353CC}">
              <c16:uniqueId val="{00000000-2658-4867-BB94-34E3DC945380}"/>
            </c:ext>
          </c:extLst>
        </c:ser>
        <c:dLbls>
          <c:showLegendKey val="0"/>
          <c:showVal val="0"/>
          <c:showCatName val="0"/>
          <c:showSerName val="0"/>
          <c:showPercent val="0"/>
          <c:showBubbleSize val="0"/>
        </c:dLbls>
        <c:gapWidth val="150"/>
        <c:axId val="127657472"/>
        <c:axId val="127659008"/>
      </c:barChart>
      <c:lineChart>
        <c:grouping val="standard"/>
        <c:varyColors val="0"/>
        <c:ser>
          <c:idx val="1"/>
          <c:order val="1"/>
          <c:tx>
            <c:strRef>
              <c:f>Quarterly!$B$307</c:f>
              <c:strCache>
                <c:ptCount val="1"/>
                <c:pt idx="0">
                  <c:v>% YoY</c:v>
                </c:pt>
              </c:strCache>
            </c:strRef>
          </c:tx>
          <c:spPr>
            <a:ln w="25400">
              <a:solidFill>
                <a:srgbClr val="969696"/>
              </a:solidFill>
              <a:prstDash val="solid"/>
            </a:ln>
          </c:spPr>
          <c:marker>
            <c:symbol val="none"/>
          </c:marker>
          <c:cat>
            <c:strRef>
              <c:f>Quarterly!$AI$7:$AO$7</c:f>
              <c:strCache>
                <c:ptCount val="7"/>
                <c:pt idx="0">
                  <c:v>Q1FY15</c:v>
                </c:pt>
                <c:pt idx="1">
                  <c:v>Q2FY15</c:v>
                </c:pt>
                <c:pt idx="2">
                  <c:v>Q3FY15</c:v>
                </c:pt>
                <c:pt idx="3">
                  <c:v>Q4FY15</c:v>
                </c:pt>
                <c:pt idx="4">
                  <c:v>Q1FY16</c:v>
                </c:pt>
                <c:pt idx="5">
                  <c:v>Q2FY16</c:v>
                </c:pt>
                <c:pt idx="6">
                  <c:v>Q3FY16</c:v>
                </c:pt>
              </c:strCache>
            </c:strRef>
          </c:cat>
          <c:val>
            <c:numRef>
              <c:f>Quarterly!$AI$307:$AO$307</c:f>
              <c:numCache>
                <c:formatCode>#,##0.0%_);_(* \(#,##0.0%\);_(* "--"_);_(@_)</c:formatCode>
                <c:ptCount val="7"/>
                <c:pt idx="0">
                  <c:v>9.3643770198593712E-2</c:v>
                </c:pt>
                <c:pt idx="1">
                  <c:v>7.9877557202494565E-2</c:v>
                </c:pt>
                <c:pt idx="2">
                  <c:v>0.11299246347876357</c:v>
                </c:pt>
                <c:pt idx="3">
                  <c:v>0.18695334142973485</c:v>
                </c:pt>
                <c:pt idx="4">
                  <c:v>3.6706500217082549E-2</c:v>
                </c:pt>
                <c:pt idx="5">
                  <c:v>4.1087192997265154E-2</c:v>
                </c:pt>
                <c:pt idx="6">
                  <c:v>4.7192079512729412E-2</c:v>
                </c:pt>
              </c:numCache>
            </c:numRef>
          </c:val>
          <c:smooth val="1"/>
          <c:extLst>
            <c:ext xmlns:c16="http://schemas.microsoft.com/office/drawing/2014/chart" uri="{C3380CC4-5D6E-409C-BE32-E72D297353CC}">
              <c16:uniqueId val="{00000001-2658-4867-BB94-34E3DC945380}"/>
            </c:ext>
          </c:extLst>
        </c:ser>
        <c:dLbls>
          <c:showLegendKey val="0"/>
          <c:showVal val="0"/>
          <c:showCatName val="0"/>
          <c:showSerName val="0"/>
          <c:showPercent val="0"/>
          <c:showBubbleSize val="0"/>
        </c:dLbls>
        <c:marker val="1"/>
        <c:smooth val="0"/>
        <c:axId val="128058112"/>
        <c:axId val="128059648"/>
      </c:lineChart>
      <c:catAx>
        <c:axId val="127657472"/>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en-US"/>
          </a:p>
        </c:txPr>
        <c:crossAx val="127659008"/>
        <c:crosses val="autoZero"/>
        <c:auto val="1"/>
        <c:lblAlgn val="ctr"/>
        <c:lblOffset val="100"/>
        <c:tickLblSkip val="1"/>
        <c:tickMarkSkip val="1"/>
        <c:noMultiLvlLbl val="0"/>
      </c:catAx>
      <c:valAx>
        <c:axId val="127659008"/>
        <c:scaling>
          <c:orientation val="minMax"/>
          <c:max val="70000"/>
          <c:min val="0"/>
        </c:scaling>
        <c:delete val="0"/>
        <c:axPos val="l"/>
        <c:numFmt formatCode="#,##0_);_(* \(#,##0\);_(* &quot;--&quot;_);_(@_)"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7657472"/>
        <c:crosses val="autoZero"/>
        <c:crossBetween val="between"/>
        <c:majorUnit val="15000"/>
      </c:valAx>
      <c:catAx>
        <c:axId val="128058112"/>
        <c:scaling>
          <c:orientation val="minMax"/>
        </c:scaling>
        <c:delete val="1"/>
        <c:axPos val="b"/>
        <c:numFmt formatCode="General" sourceLinked="1"/>
        <c:majorTickMark val="out"/>
        <c:minorTickMark val="none"/>
        <c:tickLblPos val="nextTo"/>
        <c:crossAx val="128059648"/>
        <c:crosses val="autoZero"/>
        <c:auto val="1"/>
        <c:lblAlgn val="ctr"/>
        <c:lblOffset val="100"/>
        <c:noMultiLvlLbl val="0"/>
      </c:catAx>
      <c:valAx>
        <c:axId val="128059648"/>
        <c:scaling>
          <c:orientation val="minMax"/>
        </c:scaling>
        <c:delete val="0"/>
        <c:axPos val="r"/>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8058112"/>
        <c:crosses val="max"/>
        <c:crossBetween val="between"/>
        <c:majorUnit val="0.03"/>
      </c:valAx>
      <c:spPr>
        <a:noFill/>
        <a:ln w="25400">
          <a:noFill/>
        </a:ln>
      </c:spPr>
    </c:plotArea>
    <c:legend>
      <c:legendPos val="b"/>
      <c:layout>
        <c:manualLayout>
          <c:xMode val="edge"/>
          <c:yMode val="edge"/>
          <c:x val="0.17457620143114214"/>
          <c:y val="0.90036128098200918"/>
          <c:w val="0.65084759713771567"/>
          <c:h val="9.9638719017990776E-2"/>
        </c:manualLayout>
      </c:layout>
      <c:overlay val="0"/>
      <c:spPr>
        <a:solidFill>
          <a:srgbClr val="FFFFFF"/>
        </a:solidFill>
        <a:ln w="25400">
          <a:noFill/>
        </a:ln>
      </c:spPr>
      <c:txPr>
        <a:bodyPr/>
        <a:lstStyle/>
        <a:p>
          <a:pPr>
            <a:defRPr sz="73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317364821076294"/>
          <c:y val="8.2875903202455026E-2"/>
          <c:w val="0.76470588235294112"/>
          <c:h val="0.56099531023089111"/>
        </c:manualLayout>
      </c:layout>
      <c:barChart>
        <c:barDir val="col"/>
        <c:grouping val="clustered"/>
        <c:varyColors val="0"/>
        <c:ser>
          <c:idx val="0"/>
          <c:order val="0"/>
          <c:tx>
            <c:strRef>
              <c:f>Quarterly!$B$312</c:f>
              <c:strCache>
                <c:ptCount val="1"/>
                <c:pt idx="0">
                  <c:v>Export Realizations</c:v>
                </c:pt>
              </c:strCache>
            </c:strRef>
          </c:tx>
          <c:spPr>
            <a:solidFill>
              <a:srgbClr val="FF9900"/>
            </a:solidFill>
            <a:ln w="25400">
              <a:noFill/>
            </a:ln>
          </c:spPr>
          <c:invertIfNegative val="0"/>
          <c:dLbls>
            <c:spPr>
              <a:noFill/>
              <a:ln w="25400">
                <a:noFill/>
              </a:ln>
            </c:spPr>
            <c:txPr>
              <a:bodyPr rot="-5400000" vert="horz" wrap="square" lIns="38100" tIns="19050" rIns="38100" bIns="19050" anchor="ctr">
                <a:spAutoFit/>
              </a:bodyPr>
              <a:lstStyle/>
              <a:p>
                <a:pPr algn="l">
                  <a:defRPr sz="800" b="0" i="0" u="none" strike="noStrike" baseline="0">
                    <a:solidFill>
                      <a:srgbClr val="000000"/>
                    </a:solidFill>
                    <a:latin typeface="Arial"/>
                    <a:ea typeface="Arial"/>
                    <a:cs typeface="Aria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Quarterly!$AI$312:$AO$312</c:f>
              <c:numCache>
                <c:formatCode>#,##0_);_(* \(#,##0\);_(* "--"_);_(@_)</c:formatCode>
                <c:ptCount val="7"/>
                <c:pt idx="0">
                  <c:v>50931.404380870066</c:v>
                </c:pt>
                <c:pt idx="1">
                  <c:v>52707.318341800026</c:v>
                </c:pt>
                <c:pt idx="2">
                  <c:v>54647.705815902482</c:v>
                </c:pt>
                <c:pt idx="3">
                  <c:v>58967.185931348773</c:v>
                </c:pt>
                <c:pt idx="4">
                  <c:v>55278.533293039189</c:v>
                </c:pt>
                <c:pt idx="5">
                  <c:v>54522.838648156583</c:v>
                </c:pt>
                <c:pt idx="6">
                  <c:v>55574.91161859189</c:v>
                </c:pt>
              </c:numCache>
            </c:numRef>
          </c:val>
          <c:extLst>
            <c:ext xmlns:c16="http://schemas.microsoft.com/office/drawing/2014/chart" uri="{C3380CC4-5D6E-409C-BE32-E72D297353CC}">
              <c16:uniqueId val="{00000000-2194-4603-A760-27E546758A45}"/>
            </c:ext>
          </c:extLst>
        </c:ser>
        <c:dLbls>
          <c:showLegendKey val="0"/>
          <c:showVal val="0"/>
          <c:showCatName val="0"/>
          <c:showSerName val="0"/>
          <c:showPercent val="0"/>
          <c:showBubbleSize val="0"/>
        </c:dLbls>
        <c:gapWidth val="150"/>
        <c:axId val="128124032"/>
        <c:axId val="128125568"/>
      </c:barChart>
      <c:lineChart>
        <c:grouping val="standard"/>
        <c:varyColors val="0"/>
        <c:ser>
          <c:idx val="1"/>
          <c:order val="1"/>
          <c:tx>
            <c:strRef>
              <c:f>Quarterly!$B$313</c:f>
              <c:strCache>
                <c:ptCount val="1"/>
                <c:pt idx="0">
                  <c:v>% YoY</c:v>
                </c:pt>
              </c:strCache>
            </c:strRef>
          </c:tx>
          <c:spPr>
            <a:ln w="25400">
              <a:solidFill>
                <a:srgbClr val="969696"/>
              </a:solidFill>
              <a:prstDash val="solid"/>
            </a:ln>
          </c:spPr>
          <c:marker>
            <c:symbol val="none"/>
          </c:marker>
          <c:cat>
            <c:strRef>
              <c:f>Quarterly!$AI$7:$AO$7</c:f>
              <c:strCache>
                <c:ptCount val="7"/>
                <c:pt idx="0">
                  <c:v>Q1FY15</c:v>
                </c:pt>
                <c:pt idx="1">
                  <c:v>Q2FY15</c:v>
                </c:pt>
                <c:pt idx="2">
                  <c:v>Q3FY15</c:v>
                </c:pt>
                <c:pt idx="3">
                  <c:v>Q4FY15</c:v>
                </c:pt>
                <c:pt idx="4">
                  <c:v>Q1FY16</c:v>
                </c:pt>
                <c:pt idx="5">
                  <c:v>Q2FY16</c:v>
                </c:pt>
                <c:pt idx="6">
                  <c:v>Q3FY16</c:v>
                </c:pt>
              </c:strCache>
            </c:strRef>
          </c:cat>
          <c:val>
            <c:numRef>
              <c:f>Quarterly!$AI$313:$AO$313</c:f>
              <c:numCache>
                <c:formatCode>#,##0.0%_);_(* \(#,##0.0%\);_(* "--"_);_(@_)</c:formatCode>
                <c:ptCount val="7"/>
                <c:pt idx="0">
                  <c:v>-1.5680023105469343E-2</c:v>
                </c:pt>
                <c:pt idx="1">
                  <c:v>-5.3074882535498746E-3</c:v>
                </c:pt>
                <c:pt idx="2">
                  <c:v>8.7563994039269621E-2</c:v>
                </c:pt>
                <c:pt idx="3">
                  <c:v>0.13002260993179537</c:v>
                </c:pt>
                <c:pt idx="4">
                  <c:v>8.5352622120153265E-2</c:v>
                </c:pt>
                <c:pt idx="5">
                  <c:v>3.4445317338726023E-2</c:v>
                </c:pt>
                <c:pt idx="6">
                  <c:v>1.6966966661198679E-2</c:v>
                </c:pt>
              </c:numCache>
            </c:numRef>
          </c:val>
          <c:smooth val="1"/>
          <c:extLst>
            <c:ext xmlns:c16="http://schemas.microsoft.com/office/drawing/2014/chart" uri="{C3380CC4-5D6E-409C-BE32-E72D297353CC}">
              <c16:uniqueId val="{00000001-2194-4603-A760-27E546758A45}"/>
            </c:ext>
          </c:extLst>
        </c:ser>
        <c:dLbls>
          <c:showLegendKey val="0"/>
          <c:showVal val="0"/>
          <c:showCatName val="0"/>
          <c:showSerName val="0"/>
          <c:showPercent val="0"/>
          <c:showBubbleSize val="0"/>
        </c:dLbls>
        <c:marker val="1"/>
        <c:smooth val="0"/>
        <c:axId val="128139648"/>
        <c:axId val="128141184"/>
      </c:lineChart>
      <c:catAx>
        <c:axId val="128124032"/>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en-US"/>
          </a:p>
        </c:txPr>
        <c:crossAx val="128125568"/>
        <c:crosses val="autoZero"/>
        <c:auto val="1"/>
        <c:lblAlgn val="ctr"/>
        <c:lblOffset val="100"/>
        <c:tickLblSkip val="1"/>
        <c:tickMarkSkip val="1"/>
        <c:noMultiLvlLbl val="0"/>
      </c:catAx>
      <c:valAx>
        <c:axId val="128125568"/>
        <c:scaling>
          <c:orientation val="minMax"/>
          <c:max val="70000"/>
          <c:min val="0"/>
        </c:scaling>
        <c:delete val="0"/>
        <c:axPos val="l"/>
        <c:numFmt formatCode="#,##0_);_(* \(#,##0\);_(* &quot;--&quot;_);_(@_)"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8124032"/>
        <c:crosses val="autoZero"/>
        <c:crossBetween val="between"/>
        <c:majorUnit val="15000"/>
      </c:valAx>
      <c:catAx>
        <c:axId val="128139648"/>
        <c:scaling>
          <c:orientation val="minMax"/>
        </c:scaling>
        <c:delete val="1"/>
        <c:axPos val="b"/>
        <c:numFmt formatCode="General" sourceLinked="1"/>
        <c:majorTickMark val="out"/>
        <c:minorTickMark val="none"/>
        <c:tickLblPos val="nextTo"/>
        <c:crossAx val="128141184"/>
        <c:crosses val="autoZero"/>
        <c:auto val="1"/>
        <c:lblAlgn val="ctr"/>
        <c:lblOffset val="100"/>
        <c:noMultiLvlLbl val="0"/>
      </c:catAx>
      <c:valAx>
        <c:axId val="128141184"/>
        <c:scaling>
          <c:orientation val="minMax"/>
        </c:scaling>
        <c:delete val="0"/>
        <c:axPos val="r"/>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8139648"/>
        <c:crosses val="max"/>
        <c:crossBetween val="between"/>
        <c:majorUnit val="0.1"/>
      </c:valAx>
      <c:spPr>
        <a:noFill/>
        <a:ln w="25400">
          <a:noFill/>
        </a:ln>
      </c:spPr>
    </c:plotArea>
    <c:legend>
      <c:legendPos val="b"/>
      <c:layout>
        <c:manualLayout>
          <c:xMode val="edge"/>
          <c:yMode val="edge"/>
          <c:x val="0.19325940987819182"/>
          <c:y val="0.90036128098200918"/>
          <c:w val="0.6059334284788046"/>
          <c:h val="9.9638719017990776E-2"/>
        </c:manualLayout>
      </c:layout>
      <c:overlay val="0"/>
      <c:spPr>
        <a:solidFill>
          <a:srgbClr val="FFFFFF"/>
        </a:solidFill>
        <a:ln w="25400">
          <a:noFill/>
        </a:ln>
      </c:spPr>
      <c:txPr>
        <a:bodyPr/>
        <a:lstStyle/>
        <a:p>
          <a:pPr>
            <a:defRPr sz="73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02209944751381"/>
          <c:y val="0.19251387166264117"/>
          <c:w val="0.8729281767955801"/>
          <c:h val="0.51871793197989424"/>
        </c:manualLayout>
      </c:layout>
      <c:barChart>
        <c:barDir val="col"/>
        <c:grouping val="clustered"/>
        <c:varyColors val="0"/>
        <c:ser>
          <c:idx val="2"/>
          <c:order val="0"/>
          <c:tx>
            <c:strRef>
              <c:f>Quarterly!$B$51</c:f>
              <c:strCache>
                <c:ptCount val="1"/>
                <c:pt idx="0">
                  <c:v>Other income</c:v>
                </c:pt>
              </c:strCache>
            </c:strRef>
          </c:tx>
          <c:spPr>
            <a:solidFill>
              <a:srgbClr val="FF9900"/>
            </a:solidFill>
            <a:ln w="25400">
              <a:noFill/>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Quarterly!$AI$51:$AO$51</c:f>
              <c:numCache>
                <c:formatCode>#,##0_);_(* \(#,##0\);_(* "--"_);_(@_)</c:formatCode>
                <c:ptCount val="7"/>
                <c:pt idx="0">
                  <c:v>2192.6999999999998</c:v>
                </c:pt>
                <c:pt idx="1">
                  <c:v>1136.0999999999999</c:v>
                </c:pt>
                <c:pt idx="2">
                  <c:v>952.7</c:v>
                </c:pt>
                <c:pt idx="3">
                  <c:v>1542.7</c:v>
                </c:pt>
                <c:pt idx="4">
                  <c:v>3062.6</c:v>
                </c:pt>
                <c:pt idx="5" formatCode="_(* #,##0_);_(* \(#,##0\);_(* &quot;-&quot;??_);_(@_)">
                  <c:v>2679.8</c:v>
                </c:pt>
                <c:pt idx="6" formatCode="_(* #,##0_);_(* \(#,##0\);_(* &quot;-&quot;??_);_(@_)">
                  <c:v>2424.6</c:v>
                </c:pt>
              </c:numCache>
            </c:numRef>
          </c:val>
          <c:extLst>
            <c:ext xmlns:c16="http://schemas.microsoft.com/office/drawing/2014/chart" uri="{C3380CC4-5D6E-409C-BE32-E72D297353CC}">
              <c16:uniqueId val="{00000000-9837-4FD4-AC8C-B3151D2596F2}"/>
            </c:ext>
          </c:extLst>
        </c:ser>
        <c:dLbls>
          <c:showLegendKey val="0"/>
          <c:showVal val="0"/>
          <c:showCatName val="0"/>
          <c:showSerName val="0"/>
          <c:showPercent val="0"/>
          <c:showBubbleSize val="0"/>
        </c:dLbls>
        <c:gapWidth val="150"/>
        <c:axId val="128162432"/>
        <c:axId val="128172416"/>
      </c:barChart>
      <c:catAx>
        <c:axId val="128162432"/>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en-US"/>
          </a:p>
        </c:txPr>
        <c:crossAx val="128172416"/>
        <c:crosses val="autoZero"/>
        <c:auto val="1"/>
        <c:lblAlgn val="ctr"/>
        <c:lblOffset val="100"/>
        <c:tickLblSkip val="1"/>
        <c:tickMarkSkip val="1"/>
        <c:noMultiLvlLbl val="0"/>
      </c:catAx>
      <c:valAx>
        <c:axId val="128172416"/>
        <c:scaling>
          <c:orientation val="minMax"/>
          <c:min val="800"/>
        </c:scaling>
        <c:delete val="0"/>
        <c:axPos val="l"/>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8162432"/>
        <c:crosses val="autoZero"/>
        <c:crossBetween val="between"/>
        <c:majorUnit val="800"/>
        <c:minorUnit val="200"/>
      </c:valAx>
      <c:spPr>
        <a:noFill/>
        <a:ln w="25400">
          <a:noFill/>
        </a:ln>
      </c:spPr>
    </c:plotArea>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3833850264487692E-2"/>
          <c:y val="0.11863483752348215"/>
          <c:w val="0.89544353144312827"/>
          <c:h val="0.55434369878892042"/>
        </c:manualLayout>
      </c:layout>
      <c:barChart>
        <c:barDir val="col"/>
        <c:grouping val="stacked"/>
        <c:varyColors val="0"/>
        <c:ser>
          <c:idx val="0"/>
          <c:order val="0"/>
          <c:tx>
            <c:strRef>
              <c:f>Quarterly!$B$201</c:f>
              <c:strCache>
                <c:ptCount val="1"/>
                <c:pt idx="0">
                  <c:v>Economy</c:v>
                </c:pt>
              </c:strCache>
            </c:strRef>
          </c:tx>
          <c:spPr>
            <a:solidFill>
              <a:srgbClr val="FF9900"/>
            </a:solidFill>
            <a:ln w="25400">
              <a:noFill/>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Quarterly!$AI$201:$AO$201</c:f>
              <c:numCache>
                <c:formatCode>_(* #,##0.0_);_(* \(#,##0.0\);_(* "-"??_);_(@_)</c:formatCode>
                <c:ptCount val="7"/>
                <c:pt idx="0">
                  <c:v>31.213162714606156</c:v>
                </c:pt>
                <c:pt idx="1">
                  <c:v>24.728203772980024</c:v>
                </c:pt>
                <c:pt idx="2">
                  <c:v>26.446454247360712</c:v>
                </c:pt>
                <c:pt idx="3">
                  <c:v>35.528164095752388</c:v>
                </c:pt>
                <c:pt idx="4">
                  <c:v>51.548728124524004</c:v>
                </c:pt>
                <c:pt idx="5">
                  <c:v>45.871135448405177</c:v>
                </c:pt>
                <c:pt idx="6">
                  <c:v>45.981292480770456</c:v>
                </c:pt>
              </c:numCache>
            </c:numRef>
          </c:val>
          <c:extLst>
            <c:ext xmlns:c16="http://schemas.microsoft.com/office/drawing/2014/chart" uri="{C3380CC4-5D6E-409C-BE32-E72D297353CC}">
              <c16:uniqueId val="{00000000-72A8-472A-A4F4-29A2AC0F9570}"/>
            </c:ext>
          </c:extLst>
        </c:ser>
        <c:ser>
          <c:idx val="1"/>
          <c:order val="1"/>
          <c:tx>
            <c:strRef>
              <c:f>Quarterly!$B$202</c:f>
              <c:strCache>
                <c:ptCount val="1"/>
                <c:pt idx="0">
                  <c:v>Executive</c:v>
                </c:pt>
              </c:strCache>
            </c:strRef>
          </c:tx>
          <c:spPr>
            <a:solidFill>
              <a:srgbClr val="DDDDDD"/>
            </a:solidFill>
            <a:ln w="25400">
              <a:noFill/>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Quarterly!$AI$202:$AO$202</c:f>
              <c:numCache>
                <c:formatCode>_(* #,##0.0_);_(* \(#,##0.0\);_(* "-"??_);_(@_)</c:formatCode>
                <c:ptCount val="7"/>
                <c:pt idx="0">
                  <c:v>32.809810101438138</c:v>
                </c:pt>
                <c:pt idx="1">
                  <c:v>35.634711069617524</c:v>
                </c:pt>
                <c:pt idx="2">
                  <c:v>33.534769362582573</c:v>
                </c:pt>
                <c:pt idx="3">
                  <c:v>21.119711572672141</c:v>
                </c:pt>
                <c:pt idx="4">
                  <c:v>12.957321466063423</c:v>
                </c:pt>
                <c:pt idx="5">
                  <c:v>13.667781731404343</c:v>
                </c:pt>
                <c:pt idx="6">
                  <c:v>12.282402573881916</c:v>
                </c:pt>
              </c:numCache>
            </c:numRef>
          </c:val>
          <c:extLst>
            <c:ext xmlns:c16="http://schemas.microsoft.com/office/drawing/2014/chart" uri="{C3380CC4-5D6E-409C-BE32-E72D297353CC}">
              <c16:uniqueId val="{00000001-72A8-472A-A4F4-29A2AC0F9570}"/>
            </c:ext>
          </c:extLst>
        </c:ser>
        <c:ser>
          <c:idx val="2"/>
          <c:order val="2"/>
          <c:tx>
            <c:strRef>
              <c:f>Quarterly!$B$203</c:f>
              <c:strCache>
                <c:ptCount val="1"/>
                <c:pt idx="0">
                  <c:v>Premium</c:v>
                </c:pt>
              </c:strCache>
            </c:strRef>
          </c:tx>
          <c:spPr>
            <a:solidFill>
              <a:srgbClr val="969696"/>
            </a:solidFill>
            <a:ln w="25400">
              <a:noFill/>
            </a:ln>
          </c:spPr>
          <c:invertIfNegative val="0"/>
          <c:dLbls>
            <c:spPr>
              <a:noFill/>
              <a:ln w="25400">
                <a:noFill/>
              </a:ln>
            </c:spPr>
            <c:txPr>
              <a:bodyPr wrap="square" lIns="38100" tIns="19050" rIns="38100" bIns="19050" anchor="ctr">
                <a:spAutoFit/>
              </a:bodyPr>
              <a:lstStyle/>
              <a:p>
                <a:pPr>
                  <a:defRPr sz="800" b="0" i="0" u="none" strike="noStrike" baseline="0">
                    <a:solidFill>
                      <a:srgbClr val="000000"/>
                    </a:solidFill>
                    <a:latin typeface="Arial"/>
                    <a:ea typeface="Arial"/>
                    <a:cs typeface="Aria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Quarterly!$AI$7:$AO$7</c:f>
              <c:strCache>
                <c:ptCount val="7"/>
                <c:pt idx="0">
                  <c:v>Q1FY15</c:v>
                </c:pt>
                <c:pt idx="1">
                  <c:v>Q2FY15</c:v>
                </c:pt>
                <c:pt idx="2">
                  <c:v>Q3FY15</c:v>
                </c:pt>
                <c:pt idx="3">
                  <c:v>Q4FY15</c:v>
                </c:pt>
                <c:pt idx="4">
                  <c:v>Q1FY16</c:v>
                </c:pt>
                <c:pt idx="5">
                  <c:v>Q2FY16</c:v>
                </c:pt>
                <c:pt idx="6">
                  <c:v>Q3FY16</c:v>
                </c:pt>
              </c:strCache>
            </c:strRef>
          </c:cat>
          <c:val>
            <c:numRef>
              <c:f>Quarterly!$AI$203:$AO$203</c:f>
              <c:numCache>
                <c:formatCode>_(* #,##0.0_);_(* \(#,##0.0\);_(* "-"??_);_(@_)</c:formatCode>
                <c:ptCount val="7"/>
                <c:pt idx="0">
                  <c:v>35.978657039652347</c:v>
                </c:pt>
                <c:pt idx="1">
                  <c:v>39.665028343922145</c:v>
                </c:pt>
                <c:pt idx="2">
                  <c:v>40.018776390056715</c:v>
                </c:pt>
                <c:pt idx="3">
                  <c:v>43.352124331575467</c:v>
                </c:pt>
                <c:pt idx="4">
                  <c:v>35.493950409412577</c:v>
                </c:pt>
                <c:pt idx="5">
                  <c:v>40.461082820190484</c:v>
                </c:pt>
                <c:pt idx="6">
                  <c:v>42.950162998316749</c:v>
                </c:pt>
              </c:numCache>
            </c:numRef>
          </c:val>
          <c:extLst>
            <c:ext xmlns:c16="http://schemas.microsoft.com/office/drawing/2014/chart" uri="{C3380CC4-5D6E-409C-BE32-E72D297353CC}">
              <c16:uniqueId val="{00000002-72A8-472A-A4F4-29A2AC0F9570}"/>
            </c:ext>
          </c:extLst>
        </c:ser>
        <c:dLbls>
          <c:showLegendKey val="0"/>
          <c:showVal val="0"/>
          <c:showCatName val="0"/>
          <c:showSerName val="0"/>
          <c:showPercent val="0"/>
          <c:showBubbleSize val="0"/>
        </c:dLbls>
        <c:gapWidth val="150"/>
        <c:overlap val="100"/>
        <c:axId val="128232064"/>
        <c:axId val="128242048"/>
      </c:barChart>
      <c:catAx>
        <c:axId val="128232064"/>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0" i="0" u="none" strike="noStrike" baseline="0">
                <a:solidFill>
                  <a:srgbClr val="000000"/>
                </a:solidFill>
                <a:latin typeface="Arial"/>
                <a:ea typeface="Arial"/>
                <a:cs typeface="Arial"/>
              </a:defRPr>
            </a:pPr>
            <a:endParaRPr lang="en-US"/>
          </a:p>
        </c:txPr>
        <c:crossAx val="128242048"/>
        <c:crosses val="autoZero"/>
        <c:auto val="1"/>
        <c:lblAlgn val="ctr"/>
        <c:lblOffset val="100"/>
        <c:tickLblSkip val="1"/>
        <c:tickMarkSkip val="1"/>
        <c:noMultiLvlLbl val="0"/>
      </c:catAx>
      <c:valAx>
        <c:axId val="128242048"/>
        <c:scaling>
          <c:orientation val="minMax"/>
          <c:max val="100"/>
        </c:scaling>
        <c:delete val="0"/>
        <c:axPos val="l"/>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en-US"/>
          </a:p>
        </c:txPr>
        <c:crossAx val="128232064"/>
        <c:crosses val="autoZero"/>
        <c:crossBetween val="between"/>
      </c:valAx>
      <c:spPr>
        <a:noFill/>
        <a:ln w="25400">
          <a:noFill/>
        </a:ln>
      </c:spPr>
    </c:plotArea>
    <c:legend>
      <c:legendPos val="b"/>
      <c:layout>
        <c:manualLayout>
          <c:xMode val="edge"/>
          <c:yMode val="edge"/>
          <c:x val="0.24162633930136743"/>
          <c:y val="0.90036128098200918"/>
          <c:w val="0.51674732139726509"/>
          <c:h val="9.9638719017990776E-2"/>
        </c:manualLayout>
      </c:layout>
      <c:overlay val="0"/>
      <c:spPr>
        <a:solidFill>
          <a:srgbClr val="FFFFFF"/>
        </a:solidFill>
        <a:ln w="25400">
          <a:noFill/>
        </a:ln>
      </c:spPr>
      <c:txPr>
        <a:bodyPr/>
        <a:lstStyle/>
        <a:p>
          <a:pPr>
            <a:defRPr sz="735" b="0" i="0" u="none" strike="noStrike" baseline="0">
              <a:solidFill>
                <a:srgbClr val="000000"/>
              </a:solidFill>
              <a:latin typeface="Arial"/>
              <a:ea typeface="Arial"/>
              <a:cs typeface="Arial"/>
            </a:defRPr>
          </a:pPr>
          <a:endParaRPr lang="en-US"/>
        </a:p>
      </c:txPr>
    </c:legend>
    <c:plotVisOnly val="1"/>
    <c:dispBlanksAs val="gap"/>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w="25400">
              <a:noFill/>
            </a:ln>
          </c:spPr>
          <c:dPt>
            <c:idx val="0"/>
            <c:bubble3D val="0"/>
            <c:spPr>
              <a:solidFill>
                <a:srgbClr val="F79633"/>
              </a:solidFill>
              <a:ln w="25400">
                <a:noFill/>
              </a:ln>
            </c:spPr>
            <c:extLst>
              <c:ext xmlns:c16="http://schemas.microsoft.com/office/drawing/2014/chart" uri="{C3380CC4-5D6E-409C-BE32-E72D297353CC}">
                <c16:uniqueId val="{00000001-A979-4C50-880F-7A3A47D2A98B}"/>
              </c:ext>
            </c:extLst>
          </c:dPt>
          <c:dPt>
            <c:idx val="1"/>
            <c:bubble3D val="0"/>
            <c:spPr>
              <a:solidFill>
                <a:srgbClr val="5E5754"/>
              </a:solidFill>
              <a:ln w="25400">
                <a:noFill/>
              </a:ln>
            </c:spPr>
            <c:extLst>
              <c:ext xmlns:c16="http://schemas.microsoft.com/office/drawing/2014/chart" uri="{C3380CC4-5D6E-409C-BE32-E72D297353CC}">
                <c16:uniqueId val="{00000003-A979-4C50-880F-7A3A47D2A98B}"/>
              </c:ext>
            </c:extLst>
          </c:dPt>
          <c:dPt>
            <c:idx val="2"/>
            <c:bubble3D val="0"/>
            <c:spPr>
              <a:solidFill>
                <a:srgbClr val="FEC66D"/>
              </a:solidFill>
              <a:ln w="25400">
                <a:noFill/>
              </a:ln>
            </c:spPr>
            <c:extLst>
              <c:ext xmlns:c16="http://schemas.microsoft.com/office/drawing/2014/chart" uri="{C3380CC4-5D6E-409C-BE32-E72D297353CC}">
                <c16:uniqueId val="{00000005-A979-4C50-880F-7A3A47D2A98B}"/>
              </c:ext>
            </c:extLst>
          </c:dPt>
          <c:dPt>
            <c:idx val="3"/>
            <c:bubble3D val="0"/>
            <c:spPr>
              <a:solidFill>
                <a:srgbClr val="799DC8"/>
              </a:solidFill>
              <a:ln w="25400">
                <a:noFill/>
              </a:ln>
            </c:spPr>
            <c:extLst>
              <c:ext xmlns:c16="http://schemas.microsoft.com/office/drawing/2014/chart" uri="{C3380CC4-5D6E-409C-BE32-E72D297353CC}">
                <c16:uniqueId val="{00000007-A979-4C50-880F-7A3A47D2A98B}"/>
              </c:ext>
            </c:extLst>
          </c:dPt>
          <c:dPt>
            <c:idx val="4"/>
            <c:bubble3D val="0"/>
            <c:spPr>
              <a:solidFill>
                <a:srgbClr val="663300"/>
              </a:solidFill>
              <a:ln w="25400">
                <a:noFill/>
              </a:ln>
            </c:spPr>
            <c:extLst>
              <c:ext xmlns:c16="http://schemas.microsoft.com/office/drawing/2014/chart" uri="{C3380CC4-5D6E-409C-BE32-E72D297353CC}">
                <c16:uniqueId val="{00000009-A979-4C50-880F-7A3A47D2A98B}"/>
              </c:ext>
            </c:extLst>
          </c:dPt>
          <c:dLbls>
            <c:spPr>
              <a:noFill/>
              <a:ln>
                <a:noFill/>
              </a:ln>
              <a:effectLst/>
            </c:spPr>
            <c:dLblPos val="outEnd"/>
            <c:showLegendKey val="0"/>
            <c:showVal val="1"/>
            <c:showCatName val="0"/>
            <c:showSerName val="0"/>
            <c:showPercent val="0"/>
            <c:showBubbleSize val="0"/>
            <c:showLeaderLines val="1"/>
            <c:extLst>
              <c:ext xmlns:c15="http://schemas.microsoft.com/office/drawing/2012/chart" uri="{CE6537A1-D6FC-4f65-9D91-7224C49458BB}"/>
            </c:extLst>
          </c:dLbls>
          <c:cat>
            <c:strRef>
              <c:f>'Export analysis'!$B$39:$B$42</c:f>
              <c:strCache>
                <c:ptCount val="4"/>
                <c:pt idx="0">
                  <c:v>Africa</c:v>
                </c:pt>
                <c:pt idx="1">
                  <c:v>South East &amp; Middle East</c:v>
                </c:pt>
                <c:pt idx="2">
                  <c:v>Latin America</c:v>
                </c:pt>
                <c:pt idx="3">
                  <c:v>ASEAN</c:v>
                </c:pt>
              </c:strCache>
            </c:strRef>
          </c:cat>
          <c:val>
            <c:numRef>
              <c:f>'Export analysis'!$C$39:$C$42</c:f>
              <c:numCache>
                <c:formatCode>0%</c:formatCode>
                <c:ptCount val="4"/>
                <c:pt idx="0">
                  <c:v>0.43</c:v>
                </c:pt>
                <c:pt idx="1">
                  <c:v>0.32</c:v>
                </c:pt>
                <c:pt idx="2">
                  <c:v>0.19</c:v>
                </c:pt>
                <c:pt idx="3">
                  <c:v>0.06</c:v>
                </c:pt>
              </c:numCache>
            </c:numRef>
          </c:val>
          <c:extLst>
            <c:ext xmlns:c16="http://schemas.microsoft.com/office/drawing/2014/chart" uri="{C3380CC4-5D6E-409C-BE32-E72D297353CC}">
              <c16:uniqueId val="{0000000A-A979-4C50-880F-7A3A47D2A98B}"/>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legend>
    <c:plotVisOnly val="1"/>
    <c:dispBlanksAs val="gap"/>
    <c:showDLblsOverMax val="0"/>
  </c:chart>
  <c:spPr>
    <a:ln w="9525">
      <a:noFill/>
    </a:ln>
  </c:spPr>
  <c:txPr>
    <a:bodyPr/>
    <a:lstStyle/>
    <a:p>
      <a:pPr>
        <a:defRPr sz="800">
          <a:latin typeface="Arial"/>
          <a:ea typeface="Arial"/>
          <a:cs typeface="Arial"/>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w="25400">
              <a:noFill/>
            </a:ln>
          </c:spPr>
          <c:dPt>
            <c:idx val="0"/>
            <c:bubble3D val="0"/>
            <c:spPr>
              <a:solidFill>
                <a:srgbClr val="F79633"/>
              </a:solidFill>
              <a:ln w="25400">
                <a:noFill/>
              </a:ln>
            </c:spPr>
            <c:extLst>
              <c:ext xmlns:c16="http://schemas.microsoft.com/office/drawing/2014/chart" uri="{C3380CC4-5D6E-409C-BE32-E72D297353CC}">
                <c16:uniqueId val="{00000001-EAB6-40AF-9C32-D43BF9A43767}"/>
              </c:ext>
            </c:extLst>
          </c:dPt>
          <c:dPt>
            <c:idx val="1"/>
            <c:bubble3D val="0"/>
            <c:spPr>
              <a:solidFill>
                <a:srgbClr val="5E5754"/>
              </a:solidFill>
              <a:ln w="25400">
                <a:noFill/>
              </a:ln>
            </c:spPr>
            <c:extLst>
              <c:ext xmlns:c16="http://schemas.microsoft.com/office/drawing/2014/chart" uri="{C3380CC4-5D6E-409C-BE32-E72D297353CC}">
                <c16:uniqueId val="{00000003-EAB6-40AF-9C32-D43BF9A43767}"/>
              </c:ext>
            </c:extLst>
          </c:dPt>
          <c:dPt>
            <c:idx val="2"/>
            <c:bubble3D val="0"/>
            <c:spPr>
              <a:solidFill>
                <a:srgbClr val="FEC66D"/>
              </a:solidFill>
              <a:ln w="25400">
                <a:noFill/>
              </a:ln>
            </c:spPr>
            <c:extLst>
              <c:ext xmlns:c16="http://schemas.microsoft.com/office/drawing/2014/chart" uri="{C3380CC4-5D6E-409C-BE32-E72D297353CC}">
                <c16:uniqueId val="{00000005-EAB6-40AF-9C32-D43BF9A43767}"/>
              </c:ext>
            </c:extLst>
          </c:dPt>
          <c:dPt>
            <c:idx val="3"/>
            <c:bubble3D val="0"/>
            <c:spPr>
              <a:solidFill>
                <a:srgbClr val="799DC8"/>
              </a:solidFill>
              <a:ln w="25400">
                <a:noFill/>
              </a:ln>
            </c:spPr>
            <c:extLst>
              <c:ext xmlns:c16="http://schemas.microsoft.com/office/drawing/2014/chart" uri="{C3380CC4-5D6E-409C-BE32-E72D297353CC}">
                <c16:uniqueId val="{00000007-EAB6-40AF-9C32-D43BF9A43767}"/>
              </c:ext>
            </c:extLst>
          </c:dPt>
          <c:dPt>
            <c:idx val="4"/>
            <c:bubble3D val="0"/>
            <c:spPr>
              <a:solidFill>
                <a:srgbClr val="663300"/>
              </a:solidFill>
              <a:ln w="25400">
                <a:noFill/>
              </a:ln>
            </c:spPr>
            <c:extLst>
              <c:ext xmlns:c16="http://schemas.microsoft.com/office/drawing/2014/chart" uri="{C3380CC4-5D6E-409C-BE32-E72D297353CC}">
                <c16:uniqueId val="{00000009-EAB6-40AF-9C32-D43BF9A43767}"/>
              </c:ext>
            </c:extLst>
          </c:dPt>
          <c:dLbls>
            <c:spPr>
              <a:noFill/>
              <a:ln>
                <a:noFill/>
              </a:ln>
              <a:effectLst/>
            </c:spPr>
            <c:dLblPos val="outEnd"/>
            <c:showLegendKey val="0"/>
            <c:showVal val="1"/>
            <c:showCatName val="0"/>
            <c:showSerName val="0"/>
            <c:showPercent val="0"/>
            <c:showBubbleSize val="0"/>
            <c:showLeaderLines val="1"/>
            <c:extLst>
              <c:ext xmlns:c15="http://schemas.microsoft.com/office/drawing/2012/chart" uri="{CE6537A1-D6FC-4f65-9D91-7224C49458BB}"/>
            </c:extLst>
          </c:dLbls>
          <c:cat>
            <c:strRef>
              <c:f>'Export analysis'!$B$51:$B$54</c:f>
              <c:strCache>
                <c:ptCount val="4"/>
                <c:pt idx="0">
                  <c:v>Africa and Middle East</c:v>
                </c:pt>
                <c:pt idx="1">
                  <c:v>South Asia (excl. India)</c:v>
                </c:pt>
                <c:pt idx="2">
                  <c:v>Latin America</c:v>
                </c:pt>
                <c:pt idx="3">
                  <c:v>South East Asia</c:v>
                </c:pt>
              </c:strCache>
            </c:strRef>
          </c:cat>
          <c:val>
            <c:numRef>
              <c:f>'Export analysis'!$C$51:$C$54</c:f>
              <c:numCache>
                <c:formatCode>0%</c:formatCode>
                <c:ptCount val="4"/>
                <c:pt idx="0">
                  <c:v>0.51</c:v>
                </c:pt>
                <c:pt idx="1">
                  <c:v>0.15</c:v>
                </c:pt>
                <c:pt idx="2">
                  <c:v>0.25</c:v>
                </c:pt>
                <c:pt idx="3">
                  <c:v>0.09</c:v>
                </c:pt>
              </c:numCache>
            </c:numRef>
          </c:val>
          <c:extLst>
            <c:ext xmlns:c16="http://schemas.microsoft.com/office/drawing/2014/chart" uri="{C3380CC4-5D6E-409C-BE32-E72D297353CC}">
              <c16:uniqueId val="{0000000A-EAB6-40AF-9C32-D43BF9A43767}"/>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legend>
    <c:plotVisOnly val="1"/>
    <c:dispBlanksAs val="gap"/>
    <c:showDLblsOverMax val="0"/>
  </c:chart>
  <c:spPr>
    <a:ln w="9525">
      <a:noFill/>
    </a:ln>
  </c:spPr>
  <c:txPr>
    <a:bodyPr/>
    <a:lstStyle/>
    <a:p>
      <a:pPr>
        <a:defRPr sz="800">
          <a:latin typeface="Arial"/>
          <a:ea typeface="Arial"/>
          <a:cs typeface="Arial"/>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w="25400">
              <a:noFill/>
            </a:ln>
          </c:spPr>
          <c:dPt>
            <c:idx val="0"/>
            <c:bubble3D val="0"/>
            <c:spPr>
              <a:solidFill>
                <a:srgbClr val="F79633"/>
              </a:solidFill>
              <a:ln w="25400">
                <a:noFill/>
              </a:ln>
            </c:spPr>
            <c:extLst>
              <c:ext xmlns:c16="http://schemas.microsoft.com/office/drawing/2014/chart" uri="{C3380CC4-5D6E-409C-BE32-E72D297353CC}">
                <c16:uniqueId val="{00000001-0693-496A-9906-3334FE736428}"/>
              </c:ext>
            </c:extLst>
          </c:dPt>
          <c:dPt>
            <c:idx val="1"/>
            <c:bubble3D val="0"/>
            <c:spPr>
              <a:solidFill>
                <a:srgbClr val="5E5754"/>
              </a:solidFill>
              <a:ln w="25400">
                <a:noFill/>
              </a:ln>
            </c:spPr>
            <c:extLst>
              <c:ext xmlns:c16="http://schemas.microsoft.com/office/drawing/2014/chart" uri="{C3380CC4-5D6E-409C-BE32-E72D297353CC}">
                <c16:uniqueId val="{00000003-0693-496A-9906-3334FE736428}"/>
              </c:ext>
            </c:extLst>
          </c:dPt>
          <c:dPt>
            <c:idx val="2"/>
            <c:bubble3D val="0"/>
            <c:spPr>
              <a:solidFill>
                <a:srgbClr val="FEC66D"/>
              </a:solidFill>
              <a:ln w="25400">
                <a:noFill/>
              </a:ln>
            </c:spPr>
            <c:extLst>
              <c:ext xmlns:c16="http://schemas.microsoft.com/office/drawing/2014/chart" uri="{C3380CC4-5D6E-409C-BE32-E72D297353CC}">
                <c16:uniqueId val="{00000005-0693-496A-9906-3334FE736428}"/>
              </c:ext>
            </c:extLst>
          </c:dPt>
          <c:dPt>
            <c:idx val="3"/>
            <c:bubble3D val="0"/>
            <c:spPr>
              <a:solidFill>
                <a:srgbClr val="799DC8"/>
              </a:solidFill>
              <a:ln w="25400">
                <a:noFill/>
              </a:ln>
            </c:spPr>
            <c:extLst>
              <c:ext xmlns:c16="http://schemas.microsoft.com/office/drawing/2014/chart" uri="{C3380CC4-5D6E-409C-BE32-E72D297353CC}">
                <c16:uniqueId val="{00000007-0693-496A-9906-3334FE736428}"/>
              </c:ext>
            </c:extLst>
          </c:dPt>
          <c:dPt>
            <c:idx val="4"/>
            <c:bubble3D val="0"/>
            <c:spPr>
              <a:solidFill>
                <a:srgbClr val="663300"/>
              </a:solidFill>
              <a:ln w="25400">
                <a:noFill/>
              </a:ln>
            </c:spPr>
            <c:extLst>
              <c:ext xmlns:c16="http://schemas.microsoft.com/office/drawing/2014/chart" uri="{C3380CC4-5D6E-409C-BE32-E72D297353CC}">
                <c16:uniqueId val="{00000009-0693-496A-9906-3334FE736428}"/>
              </c:ext>
            </c:extLst>
          </c:dPt>
          <c:dLbls>
            <c:spPr>
              <a:noFill/>
              <a:ln>
                <a:noFill/>
              </a:ln>
              <a:effectLst/>
            </c:spPr>
            <c:dLblPos val="outEnd"/>
            <c:showLegendKey val="0"/>
            <c:showVal val="1"/>
            <c:showCatName val="0"/>
            <c:showSerName val="0"/>
            <c:showPercent val="0"/>
            <c:showBubbleSize val="0"/>
            <c:showLeaderLines val="1"/>
            <c:extLst>
              <c:ext xmlns:c15="http://schemas.microsoft.com/office/drawing/2012/chart" uri="{CE6537A1-D6FC-4f65-9D91-7224C49458BB}"/>
            </c:extLst>
          </c:dLbls>
          <c:cat>
            <c:strRef>
              <c:f>'Export analysis'!$B$39:$B$42</c:f>
              <c:strCache>
                <c:ptCount val="4"/>
                <c:pt idx="0">
                  <c:v>Africa</c:v>
                </c:pt>
                <c:pt idx="1">
                  <c:v>South East &amp; Middle East</c:v>
                </c:pt>
                <c:pt idx="2">
                  <c:v>Latin America</c:v>
                </c:pt>
                <c:pt idx="3">
                  <c:v>ASEAN</c:v>
                </c:pt>
              </c:strCache>
            </c:strRef>
          </c:cat>
          <c:val>
            <c:numRef>
              <c:f>'Export analysis'!$C$39:$C$42</c:f>
              <c:numCache>
                <c:formatCode>0%</c:formatCode>
                <c:ptCount val="4"/>
                <c:pt idx="0">
                  <c:v>0.43</c:v>
                </c:pt>
                <c:pt idx="1">
                  <c:v>0.32</c:v>
                </c:pt>
                <c:pt idx="2">
                  <c:v>0.19</c:v>
                </c:pt>
                <c:pt idx="3">
                  <c:v>0.06</c:v>
                </c:pt>
              </c:numCache>
            </c:numRef>
          </c:val>
          <c:extLst>
            <c:ext xmlns:c16="http://schemas.microsoft.com/office/drawing/2014/chart" uri="{C3380CC4-5D6E-409C-BE32-E72D297353CC}">
              <c16:uniqueId val="{0000000A-0693-496A-9906-3334FE73642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legend>
    <c:plotVisOnly val="1"/>
    <c:dispBlanksAs val="gap"/>
    <c:showDLblsOverMax val="0"/>
  </c:chart>
  <c:spPr>
    <a:ln w="9525">
      <a:noFill/>
    </a:ln>
  </c:spPr>
  <c:txPr>
    <a:bodyPr/>
    <a:lstStyle/>
    <a:p>
      <a:pPr>
        <a:defRPr sz="800">
          <a:latin typeface="Arial"/>
          <a:ea typeface="Arial"/>
          <a:cs typeface="Arial"/>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pieChart>
        <c:varyColors val="1"/>
        <c:ser>
          <c:idx val="0"/>
          <c:order val="0"/>
          <c:spPr>
            <a:ln w="25400">
              <a:noFill/>
            </a:ln>
          </c:spPr>
          <c:dPt>
            <c:idx val="0"/>
            <c:bubble3D val="0"/>
            <c:spPr>
              <a:solidFill>
                <a:srgbClr val="F79633"/>
              </a:solidFill>
              <a:ln w="25400">
                <a:noFill/>
              </a:ln>
            </c:spPr>
            <c:extLst>
              <c:ext xmlns:c16="http://schemas.microsoft.com/office/drawing/2014/chart" uri="{C3380CC4-5D6E-409C-BE32-E72D297353CC}">
                <c16:uniqueId val="{00000001-5C52-4D66-A2A8-A9201BA79DAB}"/>
              </c:ext>
            </c:extLst>
          </c:dPt>
          <c:dPt>
            <c:idx val="1"/>
            <c:bubble3D val="0"/>
            <c:spPr>
              <a:solidFill>
                <a:srgbClr val="5E5754"/>
              </a:solidFill>
              <a:ln w="25400">
                <a:noFill/>
              </a:ln>
            </c:spPr>
            <c:extLst>
              <c:ext xmlns:c16="http://schemas.microsoft.com/office/drawing/2014/chart" uri="{C3380CC4-5D6E-409C-BE32-E72D297353CC}">
                <c16:uniqueId val="{00000003-5C52-4D66-A2A8-A9201BA79DAB}"/>
              </c:ext>
            </c:extLst>
          </c:dPt>
          <c:dPt>
            <c:idx val="2"/>
            <c:bubble3D val="0"/>
            <c:spPr>
              <a:solidFill>
                <a:srgbClr val="FEC66D"/>
              </a:solidFill>
              <a:ln w="25400">
                <a:noFill/>
              </a:ln>
            </c:spPr>
            <c:extLst>
              <c:ext xmlns:c16="http://schemas.microsoft.com/office/drawing/2014/chart" uri="{C3380CC4-5D6E-409C-BE32-E72D297353CC}">
                <c16:uniqueId val="{00000005-5C52-4D66-A2A8-A9201BA79DAB}"/>
              </c:ext>
            </c:extLst>
          </c:dPt>
          <c:dPt>
            <c:idx val="3"/>
            <c:bubble3D val="0"/>
            <c:spPr>
              <a:solidFill>
                <a:srgbClr val="799DC8"/>
              </a:solidFill>
              <a:ln w="25400">
                <a:noFill/>
              </a:ln>
            </c:spPr>
            <c:extLst>
              <c:ext xmlns:c16="http://schemas.microsoft.com/office/drawing/2014/chart" uri="{C3380CC4-5D6E-409C-BE32-E72D297353CC}">
                <c16:uniqueId val="{00000007-5C52-4D66-A2A8-A9201BA79DAB}"/>
              </c:ext>
            </c:extLst>
          </c:dPt>
          <c:dPt>
            <c:idx val="4"/>
            <c:bubble3D val="0"/>
            <c:spPr>
              <a:solidFill>
                <a:srgbClr val="663300"/>
              </a:solidFill>
              <a:ln w="25400">
                <a:noFill/>
              </a:ln>
            </c:spPr>
            <c:extLst>
              <c:ext xmlns:c16="http://schemas.microsoft.com/office/drawing/2014/chart" uri="{C3380CC4-5D6E-409C-BE32-E72D297353CC}">
                <c16:uniqueId val="{00000009-5C52-4D66-A2A8-A9201BA79DAB}"/>
              </c:ext>
            </c:extLst>
          </c:dPt>
          <c:dPt>
            <c:idx val="5"/>
            <c:bubble3D val="0"/>
            <c:spPr>
              <a:solidFill>
                <a:srgbClr val="687991"/>
              </a:solidFill>
              <a:ln w="25400">
                <a:noFill/>
              </a:ln>
            </c:spPr>
            <c:extLst>
              <c:ext xmlns:c16="http://schemas.microsoft.com/office/drawing/2014/chart" uri="{C3380CC4-5D6E-409C-BE32-E72D297353CC}">
                <c16:uniqueId val="{0000000B-5C52-4D66-A2A8-A9201BA79DAB}"/>
              </c:ext>
            </c:extLst>
          </c:dPt>
          <c:dPt>
            <c:idx val="6"/>
            <c:bubble3D val="0"/>
            <c:spPr>
              <a:solidFill>
                <a:srgbClr val="C99764"/>
              </a:solidFill>
              <a:ln w="25400">
                <a:noFill/>
              </a:ln>
            </c:spPr>
            <c:extLst>
              <c:ext xmlns:c16="http://schemas.microsoft.com/office/drawing/2014/chart" uri="{C3380CC4-5D6E-409C-BE32-E72D297353CC}">
                <c16:uniqueId val="{0000000D-5C52-4D66-A2A8-A9201BA79DAB}"/>
              </c:ext>
            </c:extLst>
          </c:dPt>
          <c:dPt>
            <c:idx val="7"/>
            <c:bubble3D val="0"/>
            <c:spPr>
              <a:solidFill>
                <a:srgbClr val="ABA5A2"/>
              </a:solidFill>
              <a:ln w="25400">
                <a:noFill/>
              </a:ln>
            </c:spPr>
            <c:extLst>
              <c:ext xmlns:c16="http://schemas.microsoft.com/office/drawing/2014/chart" uri="{C3380CC4-5D6E-409C-BE32-E72D297353CC}">
                <c16:uniqueId val="{0000000F-5C52-4D66-A2A8-A9201BA79DAB}"/>
              </c:ext>
            </c:extLst>
          </c:dPt>
          <c:dPt>
            <c:idx val="8"/>
            <c:bubble3D val="0"/>
            <c:spPr>
              <a:solidFill>
                <a:srgbClr val="615A57"/>
              </a:solidFill>
              <a:ln w="25400">
                <a:noFill/>
              </a:ln>
            </c:spPr>
            <c:extLst>
              <c:ext xmlns:c16="http://schemas.microsoft.com/office/drawing/2014/chart" uri="{C3380CC4-5D6E-409C-BE32-E72D297353CC}">
                <c16:uniqueId val="{00000011-5C52-4D66-A2A8-A9201BA79DAB}"/>
              </c:ext>
            </c:extLst>
          </c:dPt>
          <c:dPt>
            <c:idx val="9"/>
            <c:bubble3D val="0"/>
            <c:spPr>
              <a:solidFill>
                <a:srgbClr val="C99764"/>
              </a:solidFill>
              <a:ln w="25400">
                <a:noFill/>
              </a:ln>
            </c:spPr>
            <c:extLst>
              <c:ext xmlns:c16="http://schemas.microsoft.com/office/drawing/2014/chart" uri="{C3380CC4-5D6E-409C-BE32-E72D297353CC}">
                <c16:uniqueId val="{00000013-5C52-4D66-A2A8-A9201BA79DAB}"/>
              </c:ext>
            </c:extLst>
          </c:dPt>
          <c:dPt>
            <c:idx val="10"/>
            <c:bubble3D val="0"/>
            <c:spPr>
              <a:solidFill>
                <a:srgbClr val="687991"/>
              </a:solidFill>
              <a:ln w="25400">
                <a:noFill/>
              </a:ln>
            </c:spPr>
            <c:extLst>
              <c:ext xmlns:c16="http://schemas.microsoft.com/office/drawing/2014/chart" uri="{C3380CC4-5D6E-409C-BE32-E72D297353CC}">
                <c16:uniqueId val="{00000015-5C52-4D66-A2A8-A9201BA79DAB}"/>
              </c:ext>
            </c:extLst>
          </c:dPt>
          <c:dLbls>
            <c:spPr>
              <a:noFill/>
              <a:ln>
                <a:noFill/>
              </a:ln>
              <a:effectLst/>
            </c:spPr>
            <c:dLblPos val="bestFit"/>
            <c:showLegendKey val="0"/>
            <c:showVal val="1"/>
            <c:showCatName val="0"/>
            <c:showSerName val="0"/>
            <c:showPercent val="0"/>
            <c:showBubbleSize val="0"/>
            <c:showLeaderLines val="1"/>
            <c:extLst>
              <c:ext xmlns:c15="http://schemas.microsoft.com/office/drawing/2012/chart" uri="{CE6537A1-D6FC-4f65-9D91-7224C49458BB}"/>
            </c:extLst>
          </c:dLbls>
          <c:cat>
            <c:strRef>
              <c:f>'AR Highlights'!$A$145:$A$153</c:f>
              <c:strCache>
                <c:ptCount val="9"/>
                <c:pt idx="0">
                  <c:v>Buildings</c:v>
                </c:pt>
                <c:pt idx="1">
                  <c:v>Plant and machinery</c:v>
                </c:pt>
                <c:pt idx="2">
                  <c:v>Computers and IT Equipment</c:v>
                </c:pt>
                <c:pt idx="3">
                  <c:v>Dies and jigs</c:v>
                </c:pt>
                <c:pt idx="4">
                  <c:v>Factory equipments</c:v>
                </c:pt>
                <c:pt idx="5">
                  <c:v>Furniture</c:v>
                </c:pt>
                <c:pt idx="6">
                  <c:v>Vehicles and aircraft</c:v>
                </c:pt>
                <c:pt idx="7">
                  <c:v>Electric installations</c:v>
                </c:pt>
                <c:pt idx="8">
                  <c:v>Others</c:v>
                </c:pt>
              </c:strCache>
            </c:strRef>
          </c:cat>
          <c:val>
            <c:numRef>
              <c:f>'AR Highlights'!$B$145:$B$153</c:f>
              <c:numCache>
                <c:formatCode>0.0%</c:formatCode>
                <c:ptCount val="9"/>
                <c:pt idx="0">
                  <c:v>0.26635248232713088</c:v>
                </c:pt>
                <c:pt idx="1">
                  <c:v>0.19354838709677419</c:v>
                </c:pt>
                <c:pt idx="2">
                  <c:v>4.5990086942390512E-2</c:v>
                </c:pt>
                <c:pt idx="3">
                  <c:v>0.27910944990655723</c:v>
                </c:pt>
                <c:pt idx="4">
                  <c:v>0.11460957178841311</c:v>
                </c:pt>
                <c:pt idx="5">
                  <c:v>1.7144714390184446E-2</c:v>
                </c:pt>
                <c:pt idx="6">
                  <c:v>6.3134801332574944E-2</c:v>
                </c:pt>
                <c:pt idx="7">
                  <c:v>7.9629479158202648E-3</c:v>
                </c:pt>
                <c:pt idx="8">
                  <c:v>1.214755830015442E-2</c:v>
                </c:pt>
              </c:numCache>
            </c:numRef>
          </c:val>
          <c:extLst>
            <c:ext xmlns:c16="http://schemas.microsoft.com/office/drawing/2014/chart" uri="{C3380CC4-5D6E-409C-BE32-E72D297353CC}">
              <c16:uniqueId val="{00000016-5C52-4D66-A2A8-A9201BA79DAB}"/>
            </c:ext>
          </c:extLst>
        </c:ser>
        <c:dLbls>
          <c:dLblPos val="bestFit"/>
          <c:showLegendKey val="0"/>
          <c:showVal val="1"/>
          <c:showCatName val="0"/>
          <c:showSerName val="0"/>
          <c:showPercent val="0"/>
          <c:showBubbleSize val="0"/>
          <c:showLeaderLines val="1"/>
        </c:dLbls>
        <c:firstSliceAng val="0"/>
      </c:pieChart>
      <c:spPr>
        <a:noFill/>
        <a:ln w="25400">
          <a:noFill/>
        </a:ln>
      </c:spPr>
    </c:plotArea>
    <c:legend>
      <c:legendPos val="r"/>
      <c:overlay val="0"/>
    </c:legend>
    <c:plotVisOnly val="1"/>
    <c:dispBlanksAs val="gap"/>
    <c:showDLblsOverMax val="0"/>
  </c:chart>
  <c:spPr>
    <a:ln w="9525">
      <a:noFill/>
    </a:ln>
  </c:spPr>
  <c:txPr>
    <a:bodyPr/>
    <a:lstStyle/>
    <a:p>
      <a:pPr>
        <a:defRPr sz="800">
          <a:latin typeface="Arial"/>
          <a:ea typeface="Arial"/>
          <a:cs typeface="Arial"/>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29</xdr:col>
      <xdr:colOff>811786</xdr:colOff>
      <xdr:row>341</xdr:row>
      <xdr:rowOff>69636</xdr:rowOff>
    </xdr:from>
    <xdr:to>
      <xdr:col>34</xdr:col>
      <xdr:colOff>107263</xdr:colOff>
      <xdr:row>352</xdr:row>
      <xdr:rowOff>89829</xdr:rowOff>
    </xdr:to>
    <xdr:graphicFrame macro="">
      <xdr:nvGraphicFramePr>
        <xdr:cNvPr id="5099605" name="Chart 50">
          <a:extLst>
            <a:ext uri="{FF2B5EF4-FFF2-40B4-BE49-F238E27FC236}">
              <a16:creationId xmlns:a16="http://schemas.microsoft.com/office/drawing/2014/main" id="{00000000-0008-0000-0700-000055D04D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25</xdr:col>
      <xdr:colOff>925286</xdr:colOff>
      <xdr:row>340</xdr:row>
      <xdr:rowOff>46264</xdr:rowOff>
    </xdr:from>
    <xdr:to>
      <xdr:col>29</xdr:col>
      <xdr:colOff>316012</xdr:colOff>
      <xdr:row>351</xdr:row>
      <xdr:rowOff>66456</xdr:rowOff>
    </xdr:to>
    <xdr:graphicFrame macro="">
      <xdr:nvGraphicFramePr>
        <xdr:cNvPr id="5099606" name="Chart 54">
          <a:extLst>
            <a:ext uri="{FF2B5EF4-FFF2-40B4-BE49-F238E27FC236}">
              <a16:creationId xmlns:a16="http://schemas.microsoft.com/office/drawing/2014/main" id="{00000000-0008-0000-0700-000056D04D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25</xdr:col>
      <xdr:colOff>938893</xdr:colOff>
      <xdr:row>329</xdr:row>
      <xdr:rowOff>63953</xdr:rowOff>
    </xdr:from>
    <xdr:to>
      <xdr:col>29</xdr:col>
      <xdr:colOff>329619</xdr:colOff>
      <xdr:row>340</xdr:row>
      <xdr:rowOff>84146</xdr:rowOff>
    </xdr:to>
    <xdr:graphicFrame macro="">
      <xdr:nvGraphicFramePr>
        <xdr:cNvPr id="5099607" name="Chart 56">
          <a:extLst>
            <a:ext uri="{FF2B5EF4-FFF2-40B4-BE49-F238E27FC236}">
              <a16:creationId xmlns:a16="http://schemas.microsoft.com/office/drawing/2014/main" id="{00000000-0008-0000-0700-000057D04D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29</xdr:col>
      <xdr:colOff>706210</xdr:colOff>
      <xdr:row>329</xdr:row>
      <xdr:rowOff>78921</xdr:rowOff>
    </xdr:from>
    <xdr:to>
      <xdr:col>34</xdr:col>
      <xdr:colOff>4409</xdr:colOff>
      <xdr:row>340</xdr:row>
      <xdr:rowOff>99114</xdr:rowOff>
    </xdr:to>
    <xdr:graphicFrame macro="">
      <xdr:nvGraphicFramePr>
        <xdr:cNvPr id="5099608" name="Chart 57">
          <a:extLst>
            <a:ext uri="{FF2B5EF4-FFF2-40B4-BE49-F238E27FC236}">
              <a16:creationId xmlns:a16="http://schemas.microsoft.com/office/drawing/2014/main" id="{00000000-0008-0000-0700-000058D04D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25</xdr:col>
      <xdr:colOff>911679</xdr:colOff>
      <xdr:row>353</xdr:row>
      <xdr:rowOff>72117</xdr:rowOff>
    </xdr:from>
    <xdr:to>
      <xdr:col>29</xdr:col>
      <xdr:colOff>302405</xdr:colOff>
      <xdr:row>364</xdr:row>
      <xdr:rowOff>92310</xdr:rowOff>
    </xdr:to>
    <xdr:graphicFrame macro="">
      <xdr:nvGraphicFramePr>
        <xdr:cNvPr id="5099609" name="Chart 61">
          <a:extLst>
            <a:ext uri="{FF2B5EF4-FFF2-40B4-BE49-F238E27FC236}">
              <a16:creationId xmlns:a16="http://schemas.microsoft.com/office/drawing/2014/main" id="{00000000-0008-0000-0700-000059D04D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29</xdr:col>
      <xdr:colOff>662668</xdr:colOff>
      <xdr:row>353</xdr:row>
      <xdr:rowOff>24492</xdr:rowOff>
    </xdr:from>
    <xdr:to>
      <xdr:col>33</xdr:col>
      <xdr:colOff>760966</xdr:colOff>
      <xdr:row>364</xdr:row>
      <xdr:rowOff>44685</xdr:rowOff>
    </xdr:to>
    <xdr:graphicFrame macro="">
      <xdr:nvGraphicFramePr>
        <xdr:cNvPr id="5099610" name="Chart 62">
          <a:extLst>
            <a:ext uri="{FF2B5EF4-FFF2-40B4-BE49-F238E27FC236}">
              <a16:creationId xmlns:a16="http://schemas.microsoft.com/office/drawing/2014/main" id="{00000000-0008-0000-0700-00005AD04D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26</xdr:col>
      <xdr:colOff>54429</xdr:colOff>
      <xdr:row>365</xdr:row>
      <xdr:rowOff>73478</xdr:rowOff>
    </xdr:from>
    <xdr:to>
      <xdr:col>29</xdr:col>
      <xdr:colOff>438476</xdr:colOff>
      <xdr:row>376</xdr:row>
      <xdr:rowOff>93671</xdr:rowOff>
    </xdr:to>
    <xdr:graphicFrame macro="">
      <xdr:nvGraphicFramePr>
        <xdr:cNvPr id="5099611" name="Chart 67">
          <a:extLst>
            <a:ext uri="{FF2B5EF4-FFF2-40B4-BE49-F238E27FC236}">
              <a16:creationId xmlns:a16="http://schemas.microsoft.com/office/drawing/2014/main" id="{00000000-0008-0000-0700-00005BD04D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800100</xdr:colOff>
      <xdr:row>365</xdr:row>
      <xdr:rowOff>130628</xdr:rowOff>
    </xdr:from>
    <xdr:to>
      <xdr:col>34</xdr:col>
      <xdr:colOff>98299</xdr:colOff>
      <xdr:row>376</xdr:row>
      <xdr:rowOff>150821</xdr:rowOff>
    </xdr:to>
    <xdr:graphicFrame macro="">
      <xdr:nvGraphicFramePr>
        <xdr:cNvPr id="5099612" name="Chart 71">
          <a:extLst>
            <a:ext uri="{FF2B5EF4-FFF2-40B4-BE49-F238E27FC236}">
              <a16:creationId xmlns:a16="http://schemas.microsoft.com/office/drawing/2014/main" id="{00000000-0008-0000-0700-00005CD04D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0.01377</cdr:x>
      <cdr:y>0.0266</cdr:y>
    </cdr:from>
    <cdr:to>
      <cdr:x>0.19562</cdr:x>
      <cdr:y>0.14329</cdr:y>
    </cdr:to>
    <cdr:sp macro="" textlink="">
      <cdr:nvSpPr>
        <cdr:cNvPr id="5594113" name="Text Box 1025"/>
        <cdr:cNvSpPr txBox="1">
          <a:spLocks xmlns:a="http://schemas.openxmlformats.org/drawingml/2006/main" noChangeArrowheads="1"/>
        </cdr:cNvSpPr>
      </cdr:nvSpPr>
      <cdr:spPr bwMode="auto">
        <a:xfrm xmlns:a="http://schemas.openxmlformats.org/drawingml/2006/main">
          <a:off x="50800" y="50800"/>
          <a:ext cx="628755" cy="20896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27432" bIns="22860" anchor="ctr"/>
        <a:lstStyle xmlns:a="http://schemas.openxmlformats.org/drawingml/2006/main"/>
        <a:p xmlns:a="http://schemas.openxmlformats.org/drawingml/2006/main">
          <a:pPr algn="ctr" rtl="0">
            <a:defRPr sz="1000"/>
          </a:pPr>
          <a:r>
            <a:rPr lang="en-IN" sz="825" b="0" i="0" u="none" strike="noStrike" baseline="0">
              <a:solidFill>
                <a:srgbClr val="000000"/>
              </a:solidFill>
              <a:latin typeface="Arial"/>
              <a:cs typeface="Arial"/>
            </a:rPr>
            <a:t>(USD/INR)</a:t>
          </a:r>
        </a:p>
      </cdr:txBody>
    </cdr:sp>
  </cdr:relSizeAnchor>
</c:userShapes>
</file>

<file path=xl/drawings/drawing3.xml><?xml version="1.0" encoding="utf-8"?>
<c:userShapes xmlns:c="http://schemas.openxmlformats.org/drawingml/2006/chart">
  <cdr:relSizeAnchor xmlns:cdr="http://schemas.openxmlformats.org/drawingml/2006/chartDrawing">
    <cdr:from>
      <cdr:x>0.00525</cdr:x>
      <cdr:y>0</cdr:y>
    </cdr:from>
    <cdr:to>
      <cdr:x>0.22279</cdr:x>
      <cdr:y>0.13468</cdr:y>
    </cdr:to>
    <cdr:sp macro="" textlink="">
      <cdr:nvSpPr>
        <cdr:cNvPr id="5596161" name="Text Box 1"/>
        <cdr:cNvSpPr txBox="1">
          <a:spLocks xmlns:a="http://schemas.openxmlformats.org/drawingml/2006/main" noChangeArrowheads="1"/>
        </cdr:cNvSpPr>
      </cdr:nvSpPr>
      <cdr:spPr bwMode="auto">
        <a:xfrm xmlns:a="http://schemas.openxmlformats.org/drawingml/2006/main">
          <a:off x="17598" y="0"/>
          <a:ext cx="729434" cy="24260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27432" bIns="22860" anchor="ctr"/>
        <a:lstStyle xmlns:a="http://schemas.openxmlformats.org/drawingml/2006/main"/>
        <a:p xmlns:a="http://schemas.openxmlformats.org/drawingml/2006/main">
          <a:pPr algn="ctr" rtl="0">
            <a:defRPr sz="1000"/>
          </a:pPr>
          <a:r>
            <a:rPr lang="en-IN" sz="800" b="0" i="0" u="none" strike="noStrike" baseline="0">
              <a:solidFill>
                <a:srgbClr val="000000"/>
              </a:solidFill>
              <a:latin typeface="Arial"/>
              <a:cs typeface="Arial"/>
            </a:rPr>
            <a:t>('000 units)</a:t>
          </a:r>
        </a:p>
        <a:p xmlns:a="http://schemas.openxmlformats.org/drawingml/2006/main">
          <a:pPr algn="ctr" rtl="0">
            <a:defRPr sz="1000"/>
          </a:pPr>
          <a:endParaRPr lang="en-IN" sz="800" b="0" i="0" u="none" strike="noStrike" baseline="0">
            <a:solidFill>
              <a:srgbClr val="000000"/>
            </a:solidFill>
            <a:latin typeface="Arial"/>
            <a:cs typeface="Arial"/>
          </a:endParaRPr>
        </a:p>
      </cdr:txBody>
    </cdr:sp>
  </cdr:relSizeAnchor>
  <cdr:relSizeAnchor xmlns:cdr="http://schemas.openxmlformats.org/drawingml/2006/chartDrawing">
    <cdr:from>
      <cdr:x>0.83809</cdr:x>
      <cdr:y>0</cdr:y>
    </cdr:from>
    <cdr:to>
      <cdr:x>0.97764</cdr:x>
      <cdr:y>0.13468</cdr:y>
    </cdr:to>
    <cdr:sp macro="" textlink="">
      <cdr:nvSpPr>
        <cdr:cNvPr id="5596162" name="Text Box 2"/>
        <cdr:cNvSpPr txBox="1">
          <a:spLocks xmlns:a="http://schemas.openxmlformats.org/drawingml/2006/main" noChangeArrowheads="1"/>
        </cdr:cNvSpPr>
      </cdr:nvSpPr>
      <cdr:spPr bwMode="auto">
        <a:xfrm xmlns:a="http://schemas.openxmlformats.org/drawingml/2006/main">
          <a:off x="2810223" y="0"/>
          <a:ext cx="467929" cy="24260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27432" bIns="22860" anchor="ctr"/>
        <a:lstStyle xmlns:a="http://schemas.openxmlformats.org/drawingml/2006/main"/>
        <a:p xmlns:a="http://schemas.openxmlformats.org/drawingml/2006/main">
          <a:pPr algn="ctr" rtl="0">
            <a:defRPr sz="1000"/>
          </a:pPr>
          <a:r>
            <a:rPr lang="en-IN" sz="800" b="0" i="0" u="none" strike="noStrike" baseline="0">
              <a:solidFill>
                <a:srgbClr val="000000"/>
              </a:solidFill>
              <a:latin typeface="Arial"/>
              <a:cs typeface="Arial"/>
            </a:rPr>
            <a:t>(% YoY)</a:t>
          </a:r>
        </a:p>
      </cdr:txBody>
    </cdr:sp>
  </cdr:relSizeAnchor>
</c:userShapes>
</file>

<file path=xl/drawings/drawing4.xml><?xml version="1.0" encoding="utf-8"?>
<c:userShapes xmlns:c="http://schemas.openxmlformats.org/drawingml/2006/chart">
  <cdr:relSizeAnchor xmlns:cdr="http://schemas.openxmlformats.org/drawingml/2006/chartDrawing">
    <cdr:from>
      <cdr:x>0.01333</cdr:x>
      <cdr:y>0.02688</cdr:y>
    </cdr:from>
    <cdr:to>
      <cdr:x>0.21328</cdr:x>
      <cdr:y>0.12246</cdr:y>
    </cdr:to>
    <cdr:sp macro="" textlink="">
      <cdr:nvSpPr>
        <cdr:cNvPr id="5540865" name="Text Box 1025"/>
        <cdr:cNvSpPr txBox="1">
          <a:spLocks xmlns:a="http://schemas.openxmlformats.org/drawingml/2006/main" noChangeArrowheads="1"/>
        </cdr:cNvSpPr>
      </cdr:nvSpPr>
      <cdr:spPr bwMode="auto">
        <a:xfrm xmlns:a="http://schemas.openxmlformats.org/drawingml/2006/main">
          <a:off x="50800" y="50800"/>
          <a:ext cx="633615" cy="175603"/>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1">
            <a:defRPr sz="1000"/>
          </a:pPr>
          <a:r>
            <a:rPr lang="en-US" sz="800" b="0" i="0" strike="noStrike">
              <a:solidFill>
                <a:srgbClr val="000000"/>
              </a:solidFill>
              <a:latin typeface="Arial"/>
              <a:cs typeface="Arial"/>
            </a:rPr>
            <a:t>('000 units)</a:t>
          </a:r>
        </a:p>
      </cdr:txBody>
    </cdr:sp>
  </cdr:relSizeAnchor>
  <cdr:relSizeAnchor xmlns:cdr="http://schemas.openxmlformats.org/drawingml/2006/chartDrawing">
    <cdr:from>
      <cdr:x>0.8034</cdr:x>
      <cdr:y>0.0266</cdr:y>
    </cdr:from>
    <cdr:to>
      <cdr:x>0.94587</cdr:x>
      <cdr:y>0.12057</cdr:y>
    </cdr:to>
    <cdr:sp macro="" textlink="">
      <cdr:nvSpPr>
        <cdr:cNvPr id="5597186" name="Text Box 1026"/>
        <cdr:cNvSpPr txBox="1">
          <a:spLocks xmlns:a="http://schemas.openxmlformats.org/drawingml/2006/main" noChangeArrowheads="1"/>
        </cdr:cNvSpPr>
      </cdr:nvSpPr>
      <cdr:spPr bwMode="auto">
        <a:xfrm xmlns:a="http://schemas.openxmlformats.org/drawingml/2006/main">
          <a:off x="2781008" y="50800"/>
          <a:ext cx="492581" cy="16827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27432" bIns="22860" anchor="ctr"/>
        <a:lstStyle xmlns:a="http://schemas.openxmlformats.org/drawingml/2006/main"/>
        <a:p xmlns:a="http://schemas.openxmlformats.org/drawingml/2006/main">
          <a:pPr algn="l" rtl="0">
            <a:defRPr sz="1000"/>
          </a:pPr>
          <a:r>
            <a:rPr lang="en-IN" sz="800" b="0" i="0" u="none" strike="noStrike" baseline="0">
              <a:solidFill>
                <a:srgbClr val="000000"/>
              </a:solidFill>
              <a:latin typeface="Arial"/>
              <a:cs typeface="Arial"/>
            </a:rPr>
            <a:t>(% YoY)</a:t>
          </a:r>
        </a:p>
      </cdr:txBody>
    </cdr:sp>
  </cdr:relSizeAnchor>
  <cdr:relSizeAnchor xmlns:cdr="http://schemas.openxmlformats.org/drawingml/2006/chartDrawing">
    <cdr:from>
      <cdr:x>0.09877</cdr:x>
      <cdr:y>0.49672</cdr:y>
    </cdr:from>
    <cdr:to>
      <cdr:x>0.88449</cdr:x>
      <cdr:y>0.49672</cdr:y>
    </cdr:to>
    <cdr:sp macro="" textlink="">
      <cdr:nvSpPr>
        <cdr:cNvPr id="5540867" name="Line 1027"/>
        <cdr:cNvSpPr>
          <a:spLocks xmlns:a="http://schemas.openxmlformats.org/drawingml/2006/main" noChangeShapeType="1"/>
        </cdr:cNvSpPr>
      </cdr:nvSpPr>
      <cdr:spPr bwMode="auto">
        <a:xfrm xmlns:a="http://schemas.openxmlformats.org/drawingml/2006/main" flipH="1">
          <a:off x="382818" y="775005"/>
          <a:ext cx="2808244" cy="0"/>
        </a:xfrm>
        <a:prstGeom xmlns:a="http://schemas.openxmlformats.org/drawingml/2006/main" prst="line">
          <a:avLst/>
        </a:prstGeom>
        <a:noFill xmlns:a="http://schemas.openxmlformats.org/drawingml/2006/main"/>
        <a:ln xmlns:a="http://schemas.openxmlformats.org/drawingml/2006/main" w="9525">
          <a:solidFill>
            <a:srgbClr val="000000"/>
          </a:solidFill>
          <a:prstDash val="dash"/>
          <a:round/>
          <a:headEnd/>
          <a:tailEnd/>
        </a:ln>
        <a:effectLst xmlns:a="http://schemas.openxmlformats.org/drawingml/2006/main"/>
      </cdr:spPr>
      <cdr:txBody>
        <a:bodyPr xmlns:a="http://schemas.openxmlformats.org/drawingml/2006/main"/>
        <a:lstStyle xmlns:a="http://schemas.openxmlformats.org/drawingml/2006/main"/>
        <a:p xmlns:a="http://schemas.openxmlformats.org/drawingml/2006/main">
          <a:endParaRPr lang="en-IN"/>
        </a:p>
      </cdr:txBody>
    </cdr:sp>
  </cdr:relSizeAnchor>
</c:userShapes>
</file>

<file path=xl/drawings/drawing5.xml><?xml version="1.0" encoding="utf-8"?>
<c:userShapes xmlns:c="http://schemas.openxmlformats.org/drawingml/2006/chart">
  <cdr:relSizeAnchor xmlns:cdr="http://schemas.openxmlformats.org/drawingml/2006/chartDrawing">
    <cdr:from>
      <cdr:x>0.00804</cdr:x>
      <cdr:y>0.00016</cdr:y>
    </cdr:from>
    <cdr:to>
      <cdr:x>0.19347</cdr:x>
      <cdr:y>0.09626</cdr:y>
    </cdr:to>
    <cdr:sp macro="" textlink="">
      <cdr:nvSpPr>
        <cdr:cNvPr id="5551105" name="Text Box 1"/>
        <cdr:cNvSpPr txBox="1">
          <a:spLocks xmlns:a="http://schemas.openxmlformats.org/drawingml/2006/main" noChangeArrowheads="1"/>
        </cdr:cNvSpPr>
      </cdr:nvSpPr>
      <cdr:spPr bwMode="auto">
        <a:xfrm xmlns:a="http://schemas.openxmlformats.org/drawingml/2006/main">
          <a:off x="26959" y="291"/>
          <a:ext cx="621770" cy="17311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IN" sz="825" b="0" i="0" u="none" strike="noStrike" baseline="0">
              <a:solidFill>
                <a:srgbClr val="000000"/>
              </a:solidFill>
              <a:latin typeface="Arial"/>
              <a:cs typeface="Arial"/>
            </a:rPr>
            <a:t>(Rs '000)</a:t>
          </a:r>
        </a:p>
      </cdr:txBody>
    </cdr:sp>
  </cdr:relSizeAnchor>
  <cdr:relSizeAnchor xmlns:cdr="http://schemas.openxmlformats.org/drawingml/2006/chartDrawing">
    <cdr:from>
      <cdr:x>0.83101</cdr:x>
      <cdr:y>0</cdr:y>
    </cdr:from>
    <cdr:to>
      <cdr:x>0.99764</cdr:x>
      <cdr:y>0.09586</cdr:y>
    </cdr:to>
    <cdr:sp macro="" textlink="">
      <cdr:nvSpPr>
        <cdr:cNvPr id="5551106" name="Text Box 2"/>
        <cdr:cNvSpPr txBox="1">
          <a:spLocks xmlns:a="http://schemas.openxmlformats.org/drawingml/2006/main" noChangeArrowheads="1"/>
        </cdr:cNvSpPr>
      </cdr:nvSpPr>
      <cdr:spPr bwMode="auto">
        <a:xfrm xmlns:a="http://schemas.openxmlformats.org/drawingml/2006/main">
          <a:off x="2786485" y="0"/>
          <a:ext cx="558732" cy="172680"/>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IN" sz="825" b="0" i="0" u="none" strike="noStrike" baseline="0">
              <a:solidFill>
                <a:srgbClr val="000000"/>
              </a:solidFill>
              <a:latin typeface="Arial"/>
              <a:cs typeface="Arial"/>
            </a:rPr>
            <a:t>(% YoY)</a:t>
          </a:r>
        </a:p>
      </cdr:txBody>
    </cdr:sp>
  </cdr:relSizeAnchor>
</c:userShapes>
</file>

<file path=xl/drawings/drawing6.xml><?xml version="1.0" encoding="utf-8"?>
<c:userShapes xmlns:c="http://schemas.openxmlformats.org/drawingml/2006/chart">
  <cdr:relSizeAnchor xmlns:cdr="http://schemas.openxmlformats.org/drawingml/2006/chartDrawing">
    <cdr:from>
      <cdr:x>0.01333</cdr:x>
      <cdr:y>0</cdr:y>
    </cdr:from>
    <cdr:to>
      <cdr:x>0.19946</cdr:x>
      <cdr:y>0.0961</cdr:y>
    </cdr:to>
    <cdr:sp macro="" textlink="">
      <cdr:nvSpPr>
        <cdr:cNvPr id="5552129" name="Text Box 1"/>
        <cdr:cNvSpPr txBox="1">
          <a:spLocks xmlns:a="http://schemas.openxmlformats.org/drawingml/2006/main" noChangeArrowheads="1"/>
        </cdr:cNvSpPr>
      </cdr:nvSpPr>
      <cdr:spPr bwMode="auto">
        <a:xfrm xmlns:a="http://schemas.openxmlformats.org/drawingml/2006/main">
          <a:off x="44860" y="0"/>
          <a:ext cx="626397" cy="17311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n-IN" sz="800" b="0" i="0" u="none" strike="noStrike" baseline="0">
              <a:solidFill>
                <a:srgbClr val="000000"/>
              </a:solidFill>
              <a:latin typeface="Arial"/>
              <a:cs typeface="Arial"/>
            </a:rPr>
            <a:t>(Rs '000)</a:t>
          </a:r>
        </a:p>
      </cdr:txBody>
    </cdr:sp>
  </cdr:relSizeAnchor>
  <cdr:relSizeAnchor xmlns:cdr="http://schemas.openxmlformats.org/drawingml/2006/chartDrawing">
    <cdr:from>
      <cdr:x>0.82184</cdr:x>
      <cdr:y>0</cdr:y>
    </cdr:from>
    <cdr:to>
      <cdr:x>0.95616</cdr:x>
      <cdr:y>0.09515</cdr:y>
    </cdr:to>
    <cdr:sp macro="" textlink="">
      <cdr:nvSpPr>
        <cdr:cNvPr id="5599234" name="Text Box 2"/>
        <cdr:cNvSpPr txBox="1">
          <a:spLocks xmlns:a="http://schemas.openxmlformats.org/drawingml/2006/main" noChangeArrowheads="1"/>
        </cdr:cNvSpPr>
      </cdr:nvSpPr>
      <cdr:spPr bwMode="auto">
        <a:xfrm xmlns:a="http://schemas.openxmlformats.org/drawingml/2006/main">
          <a:off x="2765799" y="0"/>
          <a:ext cx="452037" cy="171401"/>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27432" bIns="22860" anchor="ctr"/>
        <a:lstStyle xmlns:a="http://schemas.openxmlformats.org/drawingml/2006/main"/>
        <a:p xmlns:a="http://schemas.openxmlformats.org/drawingml/2006/main">
          <a:pPr algn="ctr" rtl="0">
            <a:defRPr sz="1000"/>
          </a:pPr>
          <a:r>
            <a:rPr lang="en-IN" sz="800" b="0" i="0" u="none" strike="noStrike" baseline="0">
              <a:solidFill>
                <a:srgbClr val="000000"/>
              </a:solidFill>
              <a:latin typeface="Arial"/>
              <a:cs typeface="Arial"/>
            </a:rPr>
            <a:t>(% YoY)</a:t>
          </a:r>
        </a:p>
      </cdr:txBody>
    </cdr:sp>
  </cdr:relSizeAnchor>
</c:userShapes>
</file>

<file path=xl/drawings/drawing7.xml><?xml version="1.0" encoding="utf-8"?>
<c:userShapes xmlns:c="http://schemas.openxmlformats.org/drawingml/2006/chart">
  <cdr:relSizeAnchor xmlns:cdr="http://schemas.openxmlformats.org/drawingml/2006/chartDrawing">
    <cdr:from>
      <cdr:x>0.01377</cdr:x>
      <cdr:y>0.0266</cdr:y>
    </cdr:from>
    <cdr:to>
      <cdr:x>0.20437</cdr:x>
      <cdr:y>0.17193</cdr:y>
    </cdr:to>
    <cdr:sp macro="" textlink="">
      <cdr:nvSpPr>
        <cdr:cNvPr id="5600257" name="Text Box 1"/>
        <cdr:cNvSpPr txBox="1">
          <a:spLocks xmlns:a="http://schemas.openxmlformats.org/drawingml/2006/main" noChangeArrowheads="1"/>
        </cdr:cNvSpPr>
      </cdr:nvSpPr>
      <cdr:spPr bwMode="auto">
        <a:xfrm xmlns:a="http://schemas.openxmlformats.org/drawingml/2006/main">
          <a:off x="50800" y="50800"/>
          <a:ext cx="659016" cy="260252"/>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cdr:spPr>
      <cdr:txBody>
        <a:bodyPr xmlns:a="http://schemas.openxmlformats.org/drawingml/2006/main" vertOverflow="clip" wrap="square" lIns="27432" tIns="22860" rIns="0" bIns="22860" anchor="ctr"/>
        <a:lstStyle xmlns:a="http://schemas.openxmlformats.org/drawingml/2006/main"/>
        <a:p xmlns:a="http://schemas.openxmlformats.org/drawingml/2006/main">
          <a:pPr algn="l" rtl="0">
            <a:defRPr sz="1000"/>
          </a:pPr>
          <a:r>
            <a:rPr lang="en-IN" sz="825" b="0" i="0" u="none" strike="noStrike" baseline="0">
              <a:solidFill>
                <a:srgbClr val="000000"/>
              </a:solidFill>
              <a:latin typeface="Arial"/>
              <a:cs typeface="Arial"/>
            </a:rPr>
            <a:t>(Rs mn)</a:t>
          </a:r>
        </a:p>
      </cdr:txBody>
    </cdr:sp>
  </cdr:relSizeAnchor>
</c:userShapes>
</file>

<file path=xl/drawings/drawing8.xml><?xml version="1.0" encoding="utf-8"?>
<c:userShapes xmlns:c="http://schemas.openxmlformats.org/drawingml/2006/chart">
  <cdr:relSizeAnchor xmlns:cdr="http://schemas.openxmlformats.org/drawingml/2006/chartDrawing">
    <cdr:from>
      <cdr:x>0.0251</cdr:x>
      <cdr:y>0.02674</cdr:y>
    </cdr:from>
    <cdr:to>
      <cdr:x>0.09103</cdr:x>
      <cdr:y>0.11711</cdr:y>
    </cdr:to>
    <cdr:sp macro="" textlink="">
      <cdr:nvSpPr>
        <cdr:cNvPr id="5569537" name="Text Box 1"/>
        <cdr:cNvSpPr txBox="1">
          <a:spLocks xmlns:a="http://schemas.openxmlformats.org/drawingml/2006/main" noChangeArrowheads="1"/>
        </cdr:cNvSpPr>
      </cdr:nvSpPr>
      <cdr:spPr bwMode="auto">
        <a:xfrm xmlns:a="http://schemas.openxmlformats.org/drawingml/2006/main">
          <a:off x="154813" y="50800"/>
          <a:ext cx="226228" cy="15552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1">
            <a:defRPr sz="1000"/>
          </a:pPr>
          <a:r>
            <a:rPr lang="en-US" sz="800" b="0" i="0" strike="noStrike">
              <a:solidFill>
                <a:srgbClr val="000000"/>
              </a:solidFill>
              <a:latin typeface="Arial"/>
              <a:cs typeface="Arial"/>
            </a:rPr>
            <a:t>(%)</a:t>
          </a:r>
        </a:p>
      </cdr:txBody>
    </cdr:sp>
  </cdr:relSizeAnchor>
</c:userShapes>
</file>

<file path=xl/drawings/drawing9.xml><?xml version="1.0" encoding="utf-8"?>
<xdr:wsDr xmlns:xdr="http://schemas.openxmlformats.org/drawingml/2006/spreadsheetDrawing" xmlns:a="http://schemas.openxmlformats.org/drawingml/2006/main">
  <xdr:twoCellAnchor>
    <xdr:from>
      <xdr:col>13</xdr:col>
      <xdr:colOff>657225</xdr:colOff>
      <xdr:row>84</xdr:row>
      <xdr:rowOff>38100</xdr:rowOff>
    </xdr:from>
    <xdr:to>
      <xdr:col>14</xdr:col>
      <xdr:colOff>704850</xdr:colOff>
      <xdr:row>85</xdr:row>
      <xdr:rowOff>66675</xdr:rowOff>
    </xdr:to>
    <xdr:sp macro="" textlink="">
      <xdr:nvSpPr>
        <xdr:cNvPr id="5531670" name="Line 11">
          <a:extLst>
            <a:ext uri="{FF2B5EF4-FFF2-40B4-BE49-F238E27FC236}">
              <a16:creationId xmlns:a16="http://schemas.microsoft.com/office/drawing/2014/main" id="{00000000-0008-0000-1200-000016685400}"/>
            </a:ext>
          </a:extLst>
        </xdr:cNvPr>
        <xdr:cNvSpPr>
          <a:spLocks noChangeShapeType="1"/>
        </xdr:cNvSpPr>
      </xdr:nvSpPr>
      <xdr:spPr bwMode="auto">
        <a:xfrm flipV="1">
          <a:off x="10963275" y="12849225"/>
          <a:ext cx="781050" cy="180975"/>
        </a:xfrm>
        <a:prstGeom prst="line">
          <a:avLst/>
        </a:prstGeom>
        <a:noFill/>
        <a:ln w="9525">
          <a:solidFill>
            <a:srgbClr val="000000"/>
          </a:solidFill>
          <a:round/>
          <a:headEnd/>
          <a:tailEnd/>
        </a:ln>
        <a:effectLst>
          <a:outerShdw dist="35921" dir="2700000" algn="ctr" rotWithShape="0">
            <a:srgbClr val="000000"/>
          </a:outerShdw>
        </a:effectLst>
        <a:extLst>
          <a:ext uri="{909E8E84-426E-40DD-AFC4-6F175D3DCCD1}">
            <a14:hiddenFill xmlns:a14="http://schemas.microsoft.com/office/drawing/2010/main">
              <a:noFill/>
            </a14:hiddenFill>
          </a:ext>
        </a:extLst>
      </xdr:spPr>
    </xdr:sp>
    <xdr:clientData/>
  </xdr:twoCellAnchor>
  <xdr:twoCellAnchor>
    <xdr:from>
      <xdr:col>14</xdr:col>
      <xdr:colOff>19050</xdr:colOff>
      <xdr:row>85</xdr:row>
      <xdr:rowOff>76200</xdr:rowOff>
    </xdr:from>
    <xdr:to>
      <xdr:col>14</xdr:col>
      <xdr:colOff>676275</xdr:colOff>
      <xdr:row>86</xdr:row>
      <xdr:rowOff>57150</xdr:rowOff>
    </xdr:to>
    <xdr:sp macro="" textlink="">
      <xdr:nvSpPr>
        <xdr:cNvPr id="5531671" name="Line 12">
          <a:extLst>
            <a:ext uri="{FF2B5EF4-FFF2-40B4-BE49-F238E27FC236}">
              <a16:creationId xmlns:a16="http://schemas.microsoft.com/office/drawing/2014/main" id="{00000000-0008-0000-1200-000017685400}"/>
            </a:ext>
          </a:extLst>
        </xdr:cNvPr>
        <xdr:cNvSpPr>
          <a:spLocks noChangeShapeType="1"/>
        </xdr:cNvSpPr>
      </xdr:nvSpPr>
      <xdr:spPr bwMode="auto">
        <a:xfrm>
          <a:off x="11058525" y="13039725"/>
          <a:ext cx="657225" cy="133350"/>
        </a:xfrm>
        <a:prstGeom prst="line">
          <a:avLst/>
        </a:prstGeom>
        <a:noFill/>
        <a:ln w="9525">
          <a:solidFill>
            <a:srgbClr val="000000"/>
          </a:solidFill>
          <a:round/>
          <a:headEnd/>
          <a:tailEnd/>
        </a:ln>
        <a:effectLst>
          <a:outerShdw dist="35921" dir="2700000" algn="ctr" rotWithShape="0">
            <a:srgbClr val="000000"/>
          </a:outerShdw>
        </a:effectLst>
        <a:extLst>
          <a:ext uri="{909E8E84-426E-40DD-AFC4-6F175D3DCCD1}">
            <a14:hiddenFill xmlns:a14="http://schemas.microsoft.com/office/drawing/2010/main">
              <a:noFill/>
            </a14:hiddenFill>
          </a:ext>
        </a:extLst>
      </xdr:spPr>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123270</xdr:colOff>
      <xdr:row>37</xdr:row>
      <xdr:rowOff>54909</xdr:rowOff>
    </xdr:from>
    <xdr:to>
      <xdr:col>12</xdr:col>
      <xdr:colOff>45270</xdr:colOff>
      <xdr:row>46</xdr:row>
      <xdr:rowOff>140409</xdr:rowOff>
    </xdr:to>
    <xdr:graphicFrame macro="">
      <xdr:nvGraphicFramePr>
        <xdr:cNvPr id="3" name="Chart 2">
          <a:extLst>
            <a:ext uri="{FF2B5EF4-FFF2-40B4-BE49-F238E27FC236}">
              <a16:creationId xmlns:a16="http://schemas.microsoft.com/office/drawing/2014/main" id="{00000000-0008-0000-1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48</xdr:row>
      <xdr:rowOff>0</xdr:rowOff>
    </xdr:from>
    <xdr:to>
      <xdr:col>11</xdr:col>
      <xdr:colOff>527118</xdr:colOff>
      <xdr:row>57</xdr:row>
      <xdr:rowOff>85500</xdr:rowOff>
    </xdr:to>
    <xdr:graphicFrame macro="">
      <xdr:nvGraphicFramePr>
        <xdr:cNvPr id="4" name="Chart 3">
          <a:extLst>
            <a:ext uri="{FF2B5EF4-FFF2-40B4-BE49-F238E27FC236}">
              <a16:creationId xmlns:a16="http://schemas.microsoft.com/office/drawing/2014/main" id="{00000000-0008-0000-19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123270</xdr:colOff>
      <xdr:row>60</xdr:row>
      <xdr:rowOff>54909</xdr:rowOff>
    </xdr:from>
    <xdr:to>
      <xdr:col>12</xdr:col>
      <xdr:colOff>45270</xdr:colOff>
      <xdr:row>69</xdr:row>
      <xdr:rowOff>140409</xdr:rowOff>
    </xdr:to>
    <xdr:graphicFrame macro="">
      <xdr:nvGraphicFramePr>
        <xdr:cNvPr id="5" name="Chart 4">
          <a:extLst>
            <a:ext uri="{FF2B5EF4-FFF2-40B4-BE49-F238E27FC236}">
              <a16:creationId xmlns:a16="http://schemas.microsoft.com/office/drawing/2014/main" id="{00000000-0008-0000-19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4</xdr:col>
      <xdr:colOff>352425</xdr:colOff>
      <xdr:row>143</xdr:row>
      <xdr:rowOff>19050</xdr:rowOff>
    </xdr:from>
    <xdr:to>
      <xdr:col>12</xdr:col>
      <xdr:colOff>322050</xdr:colOff>
      <xdr:row>156</xdr:row>
      <xdr:rowOff>104550</xdr:rowOff>
    </xdr:to>
    <xdr:graphicFrame macro="">
      <xdr:nvGraphicFramePr>
        <xdr:cNvPr id="2" name="Chart 1">
          <a:extLst>
            <a:ext uri="{FF2B5EF4-FFF2-40B4-BE49-F238E27FC236}">
              <a16:creationId xmlns:a16="http://schemas.microsoft.com/office/drawing/2014/main" id="{00000000-0008-0000-1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m32\Automobiles\RoadshowSG\EARNINGS\Rlup079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lpesh\D\kalpesh\Telco\Financials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X:\CD1%20Data\Colgate%20Palmolive\MODEL\COLGATE%20F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_BNPPPI\RESEARCH$\Sandeep\Aluminium\Hindalcomodel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JCBK1\DATA\RESEARCH\RAMRSH\FOOD\HKGA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192.168.51.5\Common\Documents%20and%20Settings\duttaa\Local%20Settings\Temporary%20Internet%20Files\OLK2\HALC.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72.23.10.6\RonaldS\Documents%20and%20Settings\shishirm\Local%20Settings\Temp\ITC%20FM_Jul'0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92.168.51.5\Common\USER\KRISHNAN\ALU\INDAL\INDAL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192.168.51.5\Common\clientrequests\BSE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J:\ISEC-EM\SUNPHAR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172.23.10.129\Engineering\Elecon\Elecon.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Ronak%20Sarda\Auto\financial%20models\Bajaj%20FY08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Isecfile01\eq_rsch\EQUITY\EQ_RSCH\RAJESH\CIPLA-0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92.168.51.5\Common\RESEARCH\Dutta\Companies\jindalsteelpowerltd\JSPL-CIO.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RIL.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92.168.51.5\Common\TEMP\FPH.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192.168.51.15\Int-Common\WINNT\Profiles\Rvora\Temporary%20Internet%20Files\OLKE\vora.r\Ranbaxy-report\NewModel\Ranbaxy-temp.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BSE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192.168.51.15\Int-Common\Documents%20and%20Settings\Sdoshi\Local%20Settings\Temporary%20Internet%20Files\OLK9\RIL2205.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192.168.51.5\Common\My%20Documents\Chirag\chirag\maruti\Maruti%20FY08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192.168.51.5\Common\TEMP\RIL.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192.168.51.15\Int-Common\TEMP\RI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192.168.51.5\Common\RESEARCH\Dutta\Parmalat\presentation%20for%20mexico\company%20wise%20information\ciosmallcap%20report%20-%20Exide.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192.168.51.5\Common\RESEARCH\TELECOMS\WIRELESS\BM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192.168.51.5\Common\parekh\daily\Consensus%20Estimates.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92.168.51.15\Int-Common\Naveen\Ashok%20Leyland\For2002.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JCBK1\DATA\RESEARCH\AXTRSH\SAWPIPES\SAW.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92.168.51.15\Int-Common\Documents%20and%20Settings\Sdoshi\Local%20Settings\Temporary%20Internet%20Files\OLK9\ONGC%20modelSEP02new.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Htopiwalla\D\CAD.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192.168.51.5\Common\RESEARCH\Dutta\Companies\Pantaloon\pantaloon-final.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192.168.51.5\Common\Documents%20and%20Settings\Administrator\Desktop\Achala\Anish\AUTO\HEROHOND\EARNINGS\HEROERN.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192.168.51.5\Common\Chirag%20Shah\financial%20models\Achala\Anish\AUTO\HEROHOND\EARNINGS\HEROERN.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192.168.101.12\Common\RESEARCH\SOFTWARE\APTH-MM.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192.168.51.5\Common\Q2%20FY02\Analysis\Q2\Analysis%20Actual%20H1%20Previous%20Year%20%20Vs%20Actual%20H1%20Current.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172.23.10.6\RonaldS\Shishir\HLL\blank.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192.168.51.15\Int-Common\WINNT\Profiles\Rvora\Temporary%20Internet%20Files\OLKE\vora.r\Ranbaxy-report\Model\CIPLA.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V:\Infotech\Infosys%201Q05%20v.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N_BNPPPI\RESEARCH$\RESEARCH\OTHERS\BABA\TOBACCO\ITC3.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N_BNPPPI\RESEARCH$\alum\SAIL.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192.168.51.15\Int-Common\WINNT\Profiles\Jirani\Temporary%20Internet%20Files\OLK3\RIL2205.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192.168.51.5\Common\Hughes%20Telecom\HTIL%20MODEL%20-%20CL.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JCBK1\DATA\RESEARCH\EVERYONE\ANUPAM\AUTO\M&amp;M.XLW"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172.23.10.6\RonaldS\Ram\GACL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el"/>
      <sheetName val="Profile"/>
      <sheetName val="Debt"/>
      <sheetName val="Formats"/>
      <sheetName val="Input"/>
      <sheetName val="Capital"/>
      <sheetName val="CapEx"/>
      <sheetName val="Ta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nthly Sales- Car"/>
      <sheetName val="MUV data"/>
      <sheetName val="Monthly Sales- LCV"/>
      <sheetName val="M&amp;HCV Sales volume"/>
      <sheetName val="Sales Breakup"/>
      <sheetName val="Sales volume breakup"/>
      <sheetName val="Quarterly FY01-02"/>
      <sheetName val="Quarterly FY02-03"/>
      <sheetName val="P&amp;L"/>
      <sheetName val="Cost breakup-last eight quarter"/>
      <sheetName val="Cost breakup"/>
      <sheetName val="Interest cal."/>
      <sheetName val="Equity calcualtions"/>
      <sheetName val="Sheet1"/>
      <sheetName val="DCF"/>
      <sheetName val="EV-EBITDA"/>
      <sheetName val="Reserves"/>
      <sheetName val="B-Sheet"/>
      <sheetName val="Product Mix - 02-03"/>
    </sheetNames>
    <sheetDataSet>
      <sheetData sheetId="0"/>
      <sheetData sheetId="1"/>
      <sheetData sheetId="2"/>
      <sheetData sheetId="3"/>
      <sheetData sheetId="4"/>
      <sheetData sheetId="5"/>
      <sheetData sheetId="6"/>
      <sheetData sheetId="7"/>
      <sheetData sheetId="8" refreshError="1">
        <row r="19">
          <cell r="A19" t="str">
            <v>Profit and Loss Account</v>
          </cell>
        </row>
      </sheetData>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arnings model"/>
      <sheetName val="QTRFinal model "/>
      <sheetName val="Halfye"/>
      <sheetName val="Colgate"/>
      <sheetName val="quest"/>
      <sheetName val="Text"/>
      <sheetName val="Final model"/>
      <sheetName val="Qly_flash"/>
      <sheetName val="Q1_pre"/>
      <sheetName val="other Qly_pre"/>
      <sheetName val="other Qly_rev"/>
      <sheetName val="Q1_rev"/>
      <sheetName val="PROFILE"/>
      <sheetName val="SEGMENT"/>
      <sheetName val="DILUTION"/>
      <sheetName val="PRIMARY"/>
      <sheetName val="P&amp;L"/>
      <sheetName val="BSHEET"/>
      <sheetName val="CFLOW"/>
      <sheetName val="RATIOS"/>
      <sheetName val="SUMMARY"/>
      <sheetName val="Preview"/>
      <sheetName val="Flash"/>
      <sheetName val="Earnings Guide"/>
      <sheetName val="Maruti Suzuki"/>
      <sheetName val="Qtrly"/>
      <sheetName val="Chart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Prices"/>
      <sheetName val="Operating Statistics"/>
      <sheetName val="Sales"/>
      <sheetName val="Charts"/>
      <sheetName val="PER"/>
      <sheetName val="Cost Of Sales"/>
      <sheetName val="Other income"/>
      <sheetName val="Half yearly"/>
      <sheetName val="Summ"/>
      <sheetName val="Financials"/>
      <sheetName val="Quarterly"/>
      <sheetName val="eva summary"/>
      <sheetName val="DCF"/>
      <sheetName val="Income Tax"/>
      <sheetName val="FS1"/>
      <sheetName val="FS2"/>
      <sheetName val="Debt"/>
      <sheetName val="Earnings Monitor"/>
      <sheetName val="Capex &amp; Depreciation "/>
      <sheetName val="Capital History"/>
      <sheetName val="Sheet2"/>
      <sheetName val="Financials(O)"/>
      <sheetName val="Company Report"/>
      <sheetName val="One Pager"/>
      <sheetName val="Market Info"/>
      <sheetName val="Sheet1"/>
      <sheetName val="First Page"/>
      <sheetName val="Sheet13"/>
      <sheetName val="E&amp;C"/>
    </sheetNames>
    <sheetDataSet>
      <sheetData sheetId="0" refreshError="1">
        <row r="4">
          <cell r="D4" t="str">
            <v>HINDALCO INDUSTRIES</v>
          </cell>
        </row>
        <row r="6">
          <cell r="D6" t="str">
            <v>Rajesh B. Majumdar</v>
          </cell>
        </row>
        <row r="7">
          <cell r="D7">
            <v>36600</v>
          </cell>
        </row>
        <row r="9">
          <cell r="D9">
            <v>1996</v>
          </cell>
        </row>
        <row r="10">
          <cell r="D10">
            <v>2000</v>
          </cell>
        </row>
        <row r="11">
          <cell r="D11" t="str">
            <v>31-Mar</v>
          </cell>
        </row>
        <row r="13">
          <cell r="D13" t="str">
            <v>HALC.BO</v>
          </cell>
        </row>
        <row r="14">
          <cell r="D14" t="str">
            <v>HNDL IN</v>
          </cell>
        </row>
        <row r="15">
          <cell r="D15">
            <v>440</v>
          </cell>
        </row>
        <row r="16">
          <cell r="D16">
            <v>5345</v>
          </cell>
        </row>
        <row r="20">
          <cell r="D20" t="str">
            <v>Rs.</v>
          </cell>
        </row>
        <row r="24">
          <cell r="D24" t="str">
            <v>Ingots</v>
          </cell>
        </row>
        <row r="25">
          <cell r="D25"/>
        </row>
        <row r="26">
          <cell r="D26" t="str">
            <v>Rolled Products</v>
          </cell>
        </row>
        <row r="27">
          <cell r="D27"/>
        </row>
        <row r="28">
          <cell r="D28" t="str">
            <v>Extrusions</v>
          </cell>
        </row>
        <row r="29">
          <cell r="D29"/>
        </row>
        <row r="30">
          <cell r="D30" t="str">
            <v>Cond. Rods</v>
          </cell>
        </row>
        <row r="31">
          <cell r="D31" t="str">
            <v>Commercial alloy rods</v>
          </cell>
        </row>
        <row r="32">
          <cell r="D32" t="str">
            <v>Foils</v>
          </cell>
        </row>
        <row r="35">
          <cell r="D35">
            <v>74469000</v>
          </cell>
        </row>
        <row r="39">
          <cell r="D39" t="str">
            <v>OUTPERFORM</v>
          </cell>
        </row>
        <row r="40">
          <cell r="D40">
            <v>0.17399999999999999</v>
          </cell>
        </row>
        <row r="42">
          <cell r="D42">
            <v>31.37</v>
          </cell>
          <cell r="F42">
            <v>31.37</v>
          </cell>
        </row>
        <row r="43">
          <cell r="D43">
            <v>33.409050000000001</v>
          </cell>
          <cell r="F43">
            <v>33.409050000000001</v>
          </cell>
        </row>
        <row r="44">
          <cell r="D44">
            <v>36</v>
          </cell>
          <cell r="F44">
            <v>34.92</v>
          </cell>
        </row>
        <row r="45">
          <cell r="D45">
            <v>37.5</v>
          </cell>
          <cell r="F45">
            <v>36</v>
          </cell>
        </row>
        <row r="46">
          <cell r="D46">
            <v>42.52</v>
          </cell>
          <cell r="F46">
            <v>42.52</v>
          </cell>
        </row>
        <row r="47">
          <cell r="D47">
            <v>44.5</v>
          </cell>
          <cell r="F47">
            <v>42.72</v>
          </cell>
        </row>
        <row r="48">
          <cell r="D48">
            <v>47</v>
          </cell>
          <cell r="F48">
            <v>45.12</v>
          </cell>
        </row>
        <row r="49">
          <cell r="D49">
            <v>48</v>
          </cell>
          <cell r="F49">
            <v>50</v>
          </cell>
        </row>
        <row r="51">
          <cell r="E51">
            <v>-0.10047058823529409</v>
          </cell>
        </row>
        <row r="52">
          <cell r="E52">
            <v>-0.16891304347826086</v>
          </cell>
        </row>
        <row r="53">
          <cell r="E53">
            <v>-0.20354166666666662</v>
          </cell>
        </row>
      </sheetData>
      <sheetData sheetId="1"/>
      <sheetData sheetId="2" refreshError="1">
        <row r="1">
          <cell r="A1" t="str">
            <v>HINDALCO INDUSTRIES</v>
          </cell>
        </row>
        <row r="2">
          <cell r="A2" t="str">
            <v>Rs.</v>
          </cell>
        </row>
        <row r="3">
          <cell r="I3" t="str">
            <v>Historical</v>
          </cell>
        </row>
        <row r="4">
          <cell r="A4" t="str">
            <v>Year ended 31st March</v>
          </cell>
          <cell r="I4">
            <v>1991</v>
          </cell>
          <cell r="J4">
            <v>1992</v>
          </cell>
          <cell r="K4">
            <v>1993</v>
          </cell>
          <cell r="L4">
            <v>1994</v>
          </cell>
          <cell r="M4">
            <v>1995</v>
          </cell>
          <cell r="N4">
            <v>1996</v>
          </cell>
          <cell r="O4">
            <v>1997</v>
          </cell>
          <cell r="P4">
            <v>1998</v>
          </cell>
        </row>
        <row r="5">
          <cell r="O5">
            <v>165417</v>
          </cell>
          <cell r="P5">
            <v>179639</v>
          </cell>
        </row>
        <row r="6">
          <cell r="A6" t="str">
            <v>Units Sold (000s)</v>
          </cell>
          <cell r="J6" t="str">
            <v xml:space="preserve"> </v>
          </cell>
          <cell r="K6" t="str">
            <v xml:space="preserve"> </v>
          </cell>
          <cell r="O6">
            <v>0</v>
          </cell>
          <cell r="P6">
            <v>8373</v>
          </cell>
        </row>
        <row r="7">
          <cell r="B7" t="str">
            <v>Ingots</v>
          </cell>
          <cell r="F7" t="str">
            <v>Domestic</v>
          </cell>
          <cell r="I7">
            <v>55626</v>
          </cell>
          <cell r="J7">
            <v>70380</v>
          </cell>
          <cell r="K7">
            <v>79173</v>
          </cell>
          <cell r="L7">
            <v>71210</v>
          </cell>
          <cell r="M7">
            <v>66985</v>
          </cell>
          <cell r="N7">
            <v>81454</v>
          </cell>
          <cell r="O7">
            <v>92329</v>
          </cell>
          <cell r="P7">
            <v>96506</v>
          </cell>
        </row>
        <row r="8">
          <cell r="B8"/>
          <cell r="F8" t="str">
            <v>Exports</v>
          </cell>
          <cell r="M8">
            <v>0</v>
          </cell>
          <cell r="N8">
            <v>0</v>
          </cell>
          <cell r="O8">
            <v>0</v>
          </cell>
          <cell r="P8">
            <v>0</v>
          </cell>
        </row>
        <row r="9">
          <cell r="B9" t="str">
            <v>Rolled Products</v>
          </cell>
          <cell r="F9" t="str">
            <v>Domestic</v>
          </cell>
          <cell r="I9">
            <v>27955</v>
          </cell>
          <cell r="J9">
            <v>29856</v>
          </cell>
          <cell r="K9">
            <v>28533</v>
          </cell>
          <cell r="L9">
            <v>30055</v>
          </cell>
          <cell r="M9">
            <v>36834</v>
          </cell>
          <cell r="N9">
            <v>31794</v>
          </cell>
          <cell r="O9">
            <v>18980</v>
          </cell>
          <cell r="P9">
            <v>32954</v>
          </cell>
        </row>
        <row r="10">
          <cell r="B10"/>
          <cell r="F10" t="str">
            <v>Exports</v>
          </cell>
          <cell r="M10">
            <v>0</v>
          </cell>
          <cell r="N10">
            <v>0</v>
          </cell>
          <cell r="O10">
            <v>0</v>
          </cell>
          <cell r="P10">
            <v>0</v>
          </cell>
        </row>
        <row r="11">
          <cell r="B11" t="str">
            <v>Extrusions</v>
          </cell>
          <cell r="F11" t="str">
            <v>Domestic</v>
          </cell>
          <cell r="I11">
            <v>8869</v>
          </cell>
          <cell r="J11">
            <v>10327</v>
          </cell>
          <cell r="K11">
            <v>9888</v>
          </cell>
          <cell r="L11">
            <v>9639</v>
          </cell>
          <cell r="M11">
            <v>11093</v>
          </cell>
          <cell r="N11">
            <v>12517</v>
          </cell>
          <cell r="O11">
            <v>11854</v>
          </cell>
          <cell r="P11">
            <v>12503</v>
          </cell>
        </row>
        <row r="12">
          <cell r="B12"/>
          <cell r="F12" t="str">
            <v>Exports</v>
          </cell>
          <cell r="M12">
            <v>0</v>
          </cell>
          <cell r="N12">
            <v>0</v>
          </cell>
          <cell r="O12">
            <v>0</v>
          </cell>
          <cell r="P12">
            <v>0</v>
          </cell>
        </row>
        <row r="13">
          <cell r="B13" t="str">
            <v>Cond. Rods</v>
          </cell>
          <cell r="F13" t="str">
            <v>Domestic</v>
          </cell>
          <cell r="I13">
            <v>33399</v>
          </cell>
          <cell r="J13">
            <v>36507</v>
          </cell>
          <cell r="K13">
            <v>36170</v>
          </cell>
          <cell r="L13">
            <v>40146</v>
          </cell>
          <cell r="M13">
            <v>43333</v>
          </cell>
          <cell r="N13">
            <v>46735</v>
          </cell>
          <cell r="O13">
            <v>42254</v>
          </cell>
          <cell r="P13">
            <v>37651</v>
          </cell>
        </row>
        <row r="14">
          <cell r="B14" t="str">
            <v>Commercial alloy rods</v>
          </cell>
          <cell r="M14">
            <v>0</v>
          </cell>
          <cell r="N14">
            <v>0</v>
          </cell>
          <cell r="O14">
            <v>0</v>
          </cell>
          <cell r="P14">
            <v>8373</v>
          </cell>
        </row>
        <row r="15">
          <cell r="B15" t="str">
            <v>Foils</v>
          </cell>
          <cell r="F15" t="str">
            <v>Domestic</v>
          </cell>
          <cell r="M15">
            <v>0</v>
          </cell>
          <cell r="N15">
            <v>0</v>
          </cell>
          <cell r="O15">
            <v>0</v>
          </cell>
          <cell r="P15">
            <v>25</v>
          </cell>
        </row>
        <row r="16">
          <cell r="F16" t="str">
            <v>Exports</v>
          </cell>
          <cell r="M16">
            <v>0</v>
          </cell>
          <cell r="N16">
            <v>0</v>
          </cell>
          <cell r="O16">
            <v>0</v>
          </cell>
          <cell r="P16">
            <v>0</v>
          </cell>
        </row>
        <row r="17">
          <cell r="B17" t="str">
            <v>Aluminium alloy wheels</v>
          </cell>
        </row>
        <row r="18">
          <cell r="I18">
            <v>125849</v>
          </cell>
          <cell r="J18">
            <v>147070</v>
          </cell>
          <cell r="K18">
            <v>153764</v>
          </cell>
          <cell r="L18">
            <v>151050</v>
          </cell>
          <cell r="M18">
            <v>158245</v>
          </cell>
          <cell r="N18">
            <v>172500</v>
          </cell>
          <cell r="O18">
            <v>165417</v>
          </cell>
          <cell r="P18">
            <v>188012</v>
          </cell>
        </row>
        <row r="19">
          <cell r="A19" t="str">
            <v>Price per Unit</v>
          </cell>
        </row>
        <row r="20">
          <cell r="B20" t="str">
            <v>Ingots</v>
          </cell>
          <cell r="F20" t="str">
            <v>Domestic</v>
          </cell>
          <cell r="I20">
            <v>44137</v>
          </cell>
          <cell r="J20">
            <v>47606</v>
          </cell>
          <cell r="K20">
            <v>51217</v>
          </cell>
          <cell r="L20">
            <v>52619.688246032863</v>
          </cell>
          <cell r="M20">
            <v>62847.57781592894</v>
          </cell>
          <cell r="N20">
            <v>73986.544552753709</v>
          </cell>
          <cell r="O20">
            <v>69552.469971514904</v>
          </cell>
          <cell r="P20">
            <v>77326.280231280951</v>
          </cell>
        </row>
        <row r="21">
          <cell r="B21"/>
          <cell r="F21" t="str">
            <v>Exports</v>
          </cell>
          <cell r="M21">
            <v>52436.993916666666</v>
          </cell>
          <cell r="N21">
            <v>61338.807083333333</v>
          </cell>
          <cell r="O21">
            <v>57839.74322916667</v>
          </cell>
          <cell r="P21">
            <v>59505.122874999986</v>
          </cell>
        </row>
        <row r="22">
          <cell r="B22" t="str">
            <v>Rolled Products</v>
          </cell>
          <cell r="F22" t="str">
            <v>Domestic</v>
          </cell>
          <cell r="I22">
            <v>58671</v>
          </cell>
          <cell r="J22">
            <v>66247</v>
          </cell>
          <cell r="K22">
            <v>75982</v>
          </cell>
          <cell r="L22">
            <v>74904.841124604893</v>
          </cell>
          <cell r="M22">
            <v>83937.61198892328</v>
          </cell>
          <cell r="N22">
            <v>96177.580675599165</v>
          </cell>
          <cell r="O22">
            <v>94963.645943098003</v>
          </cell>
          <cell r="P22">
            <v>97452.813012077429</v>
          </cell>
        </row>
        <row r="23">
          <cell r="B23"/>
          <cell r="F23" t="str">
            <v>Exports</v>
          </cell>
          <cell r="M23">
            <v>68121.993916666659</v>
          </cell>
          <cell r="N23">
            <v>84725.14208333334</v>
          </cell>
          <cell r="O23">
            <v>79439.743229166663</v>
          </cell>
          <cell r="P23">
            <v>82005.122874999986</v>
          </cell>
        </row>
        <row r="24">
          <cell r="B24" t="str">
            <v>Extrusions</v>
          </cell>
          <cell r="F24" t="str">
            <v>Domestic</v>
          </cell>
          <cell r="I24">
            <v>58810</v>
          </cell>
          <cell r="J24">
            <v>66823</v>
          </cell>
          <cell r="K24">
            <v>75498</v>
          </cell>
          <cell r="L24">
            <v>72680.257288100431</v>
          </cell>
          <cell r="M24">
            <v>84899.846750202836</v>
          </cell>
          <cell r="N24">
            <v>103046.25709035712</v>
          </cell>
          <cell r="O24">
            <v>104115.91024126876</v>
          </cell>
          <cell r="P24">
            <v>105163.56074542108</v>
          </cell>
        </row>
        <row r="25">
          <cell r="B25"/>
          <cell r="F25" t="str">
            <v>Exports</v>
          </cell>
          <cell r="M25">
            <v>71258.993916666659</v>
          </cell>
          <cell r="N25">
            <v>81384.237083333341</v>
          </cell>
          <cell r="O25">
            <v>90599.743229166663</v>
          </cell>
          <cell r="P25">
            <v>82005.122874999986</v>
          </cell>
        </row>
        <row r="26">
          <cell r="B26" t="str">
            <v>Cond. Rods</v>
          </cell>
          <cell r="F26" t="str">
            <v>Domestic</v>
          </cell>
          <cell r="I26">
            <v>46394</v>
          </cell>
          <cell r="J26">
            <v>50897</v>
          </cell>
          <cell r="K26">
            <v>56683.024606027095</v>
          </cell>
          <cell r="L26">
            <v>57269.466447466744</v>
          </cell>
          <cell r="M26">
            <v>68169.016684743736</v>
          </cell>
          <cell r="N26">
            <v>79486.038301059161</v>
          </cell>
          <cell r="O26">
            <v>78995.361385904296</v>
          </cell>
          <cell r="P26">
            <v>82036.864890706755</v>
          </cell>
        </row>
        <row r="27">
          <cell r="B27" t="str">
            <v>Commercial alloy rods</v>
          </cell>
          <cell r="M27">
            <v>60279.493916666666</v>
          </cell>
          <cell r="N27">
            <v>69691.06958333333</v>
          </cell>
          <cell r="O27">
            <v>66839.743229166663</v>
          </cell>
          <cell r="P27">
            <v>90775.110474143075</v>
          </cell>
        </row>
        <row r="28">
          <cell r="B28" t="str">
            <v>Foils</v>
          </cell>
          <cell r="F28" t="str">
            <v>Domestic</v>
          </cell>
          <cell r="M28">
            <v>0</v>
          </cell>
          <cell r="N28">
            <v>0</v>
          </cell>
          <cell r="O28">
            <v>0</v>
          </cell>
          <cell r="P28">
            <v>112800</v>
          </cell>
        </row>
        <row r="29">
          <cell r="F29" t="str">
            <v>Exports</v>
          </cell>
          <cell r="M29" t="str">
            <v xml:space="preserve"> </v>
          </cell>
          <cell r="N29" t="str">
            <v xml:space="preserve"> </v>
          </cell>
          <cell r="O29" t="str">
            <v xml:space="preserve"> </v>
          </cell>
          <cell r="P29" t="str">
            <v xml:space="preserve"> </v>
          </cell>
        </row>
        <row r="30">
          <cell r="B30" t="str">
            <v>Aluminium alloy wheels</v>
          </cell>
        </row>
        <row r="32">
          <cell r="A32" t="str">
            <v>Revenue</v>
          </cell>
        </row>
        <row r="33">
          <cell r="B33" t="str">
            <v>Ingots</v>
          </cell>
          <cell r="F33" t="str">
            <v>Domestic</v>
          </cell>
          <cell r="I33">
            <v>2455.1647619999999</v>
          </cell>
          <cell r="J33">
            <v>3350.51028</v>
          </cell>
          <cell r="K33">
            <v>4055.003541</v>
          </cell>
          <cell r="L33">
            <v>3747.0479999999998</v>
          </cell>
          <cell r="M33">
            <v>4209.8450000000003</v>
          </cell>
          <cell r="N33">
            <v>6026.5000000000009</v>
          </cell>
          <cell r="O33">
            <v>6421.71</v>
          </cell>
          <cell r="P33">
            <v>7462.45</v>
          </cell>
        </row>
        <row r="34">
          <cell r="B34"/>
          <cell r="F34" t="str">
            <v>Exports</v>
          </cell>
          <cell r="M34">
            <v>0</v>
          </cell>
          <cell r="N34">
            <v>0</v>
          </cell>
          <cell r="O34">
            <v>0</v>
          </cell>
          <cell r="P34">
            <v>0</v>
          </cell>
        </row>
        <row r="35">
          <cell r="B35" t="str">
            <v>Rolled Products</v>
          </cell>
          <cell r="F35" t="str">
            <v>Domestic</v>
          </cell>
          <cell r="I35">
            <v>1640.1478050000001</v>
          </cell>
          <cell r="J35">
            <v>1977.8704319999999</v>
          </cell>
          <cell r="K35">
            <v>2167.9944059999998</v>
          </cell>
          <cell r="L35">
            <v>2251.2649999999999</v>
          </cell>
          <cell r="M35">
            <v>3091.7579999999998</v>
          </cell>
          <cell r="N35">
            <v>3057.87</v>
          </cell>
          <cell r="O35">
            <v>1802.41</v>
          </cell>
          <cell r="P35">
            <v>3211.46</v>
          </cell>
        </row>
        <row r="36">
          <cell r="B36"/>
          <cell r="F36" t="str">
            <v>Exports</v>
          </cell>
          <cell r="M36">
            <v>0</v>
          </cell>
          <cell r="N36">
            <v>0</v>
          </cell>
          <cell r="O36">
            <v>0</v>
          </cell>
          <cell r="P36">
            <v>0</v>
          </cell>
        </row>
        <row r="37">
          <cell r="B37" t="str">
            <v>Extrusions</v>
          </cell>
          <cell r="F37" t="str">
            <v>Domestic</v>
          </cell>
          <cell r="I37">
            <v>521.58588999999995</v>
          </cell>
          <cell r="J37">
            <v>690.08112100000005</v>
          </cell>
          <cell r="K37">
            <v>746.524224</v>
          </cell>
          <cell r="L37">
            <v>700.56500000000005</v>
          </cell>
          <cell r="M37">
            <v>941.7940000000001</v>
          </cell>
          <cell r="N37">
            <v>1289.83</v>
          </cell>
          <cell r="O37">
            <v>1234.19</v>
          </cell>
          <cell r="P37">
            <v>1314.86</v>
          </cell>
        </row>
        <row r="38">
          <cell r="B38"/>
          <cell r="F38" t="str">
            <v>Exports</v>
          </cell>
          <cell r="M38">
            <v>0</v>
          </cell>
          <cell r="N38">
            <v>0</v>
          </cell>
          <cell r="O38">
            <v>0</v>
          </cell>
          <cell r="P38">
            <v>0</v>
          </cell>
        </row>
        <row r="39">
          <cell r="B39" t="str">
            <v>Cond. Rods</v>
          </cell>
          <cell r="F39" t="str">
            <v>Domestic</v>
          </cell>
          <cell r="I39">
            <v>1549.5132060000001</v>
          </cell>
          <cell r="J39">
            <v>1858.096779</v>
          </cell>
          <cell r="K39">
            <v>2050.2249999999999</v>
          </cell>
          <cell r="L39">
            <v>2299.14</v>
          </cell>
          <cell r="M39">
            <v>2953.9680000000003</v>
          </cell>
          <cell r="N39">
            <v>3714.78</v>
          </cell>
          <cell r="O39">
            <v>3337.87</v>
          </cell>
          <cell r="P39">
            <v>3088.77</v>
          </cell>
        </row>
        <row r="40">
          <cell r="B40" t="str">
            <v>Commercial alloy rods</v>
          </cell>
          <cell r="M40">
            <v>0</v>
          </cell>
          <cell r="N40">
            <v>0</v>
          </cell>
          <cell r="O40">
            <v>0</v>
          </cell>
          <cell r="P40">
            <v>760.06</v>
          </cell>
        </row>
        <row r="41">
          <cell r="B41" t="str">
            <v>Foils</v>
          </cell>
          <cell r="F41" t="str">
            <v>Domestic</v>
          </cell>
          <cell r="M41">
            <v>0</v>
          </cell>
          <cell r="N41">
            <v>0</v>
          </cell>
          <cell r="O41">
            <v>0</v>
          </cell>
          <cell r="P41">
            <v>2.82</v>
          </cell>
        </row>
        <row r="42">
          <cell r="F42" t="str">
            <v>Exports</v>
          </cell>
        </row>
        <row r="43">
          <cell r="B43" t="str">
            <v>Aluminium alloy wheels</v>
          </cell>
        </row>
        <row r="44">
          <cell r="B44" t="str">
            <v>Excess power sales</v>
          </cell>
        </row>
        <row r="45">
          <cell r="B45" t="str">
            <v>Turnover</v>
          </cell>
          <cell r="F45" t="str">
            <v>Domestic</v>
          </cell>
          <cell r="I45">
            <v>6166.4116630000008</v>
          </cell>
          <cell r="J45">
            <v>7876.5586120000007</v>
          </cell>
          <cell r="K45">
            <v>9019.7471709999991</v>
          </cell>
          <cell r="L45">
            <v>8998.018</v>
          </cell>
          <cell r="M45">
            <v>11197.365000000002</v>
          </cell>
          <cell r="N45">
            <v>14088.980000000001</v>
          </cell>
          <cell r="O45">
            <v>12796.18</v>
          </cell>
          <cell r="P45">
            <v>15840.42</v>
          </cell>
        </row>
        <row r="46">
          <cell r="F46" t="str">
            <v>Exports</v>
          </cell>
          <cell r="I46">
            <v>0</v>
          </cell>
          <cell r="J46">
            <v>0</v>
          </cell>
          <cell r="K46">
            <v>0</v>
          </cell>
          <cell r="L46">
            <v>0</v>
          </cell>
          <cell r="M46">
            <v>671.9</v>
          </cell>
          <cell r="N46">
            <v>1054.45</v>
          </cell>
          <cell r="O46">
            <v>1565.54</v>
          </cell>
          <cell r="P46">
            <v>1701.89</v>
          </cell>
        </row>
        <row r="47">
          <cell r="A47" t="str">
            <v>Gross Revenue</v>
          </cell>
          <cell r="H47">
            <v>7.4842181619961132E-2</v>
          </cell>
          <cell r="I47">
            <v>6166.4116630000008</v>
          </cell>
          <cell r="J47">
            <v>7876.5586120000007</v>
          </cell>
          <cell r="K47">
            <v>9019.7471709999991</v>
          </cell>
          <cell r="L47">
            <v>8998.018</v>
          </cell>
          <cell r="M47">
            <v>11197.365000000002</v>
          </cell>
          <cell r="N47">
            <v>14088.980000000001</v>
          </cell>
          <cell r="O47">
            <v>12796.18</v>
          </cell>
          <cell r="P47">
            <v>15840.42</v>
          </cell>
        </row>
        <row r="48">
          <cell r="B48" t="str">
            <v>Other Products &amp; Services</v>
          </cell>
          <cell r="I48">
            <v>549.92000000000007</v>
          </cell>
          <cell r="J48">
            <v>682.11999999999989</v>
          </cell>
          <cell r="K48">
            <v>736.0200000000001</v>
          </cell>
          <cell r="L48">
            <v>219</v>
          </cell>
          <cell r="M48">
            <v>109.657</v>
          </cell>
          <cell r="N48">
            <v>133.19999999999999</v>
          </cell>
          <cell r="O48">
            <v>286.48</v>
          </cell>
          <cell r="P48">
            <v>866.79000000000008</v>
          </cell>
        </row>
        <row r="49">
          <cell r="A49" t="str">
            <v>Net Revenue</v>
          </cell>
          <cell r="I49">
            <v>6716.3316630000008</v>
          </cell>
          <cell r="J49">
            <v>8558.6786119999997</v>
          </cell>
          <cell r="K49">
            <v>9755.7671709999995</v>
          </cell>
          <cell r="L49">
            <v>9217.018</v>
          </cell>
          <cell r="M49">
            <v>11307.022000000001</v>
          </cell>
          <cell r="N49">
            <v>14222.180000000002</v>
          </cell>
          <cell r="O49">
            <v>13082.66</v>
          </cell>
          <cell r="P49">
            <v>16707.21</v>
          </cell>
        </row>
        <row r="51">
          <cell r="A51" t="str">
            <v>Excise duty</v>
          </cell>
          <cell r="M51">
            <v>1744.08</v>
          </cell>
          <cell r="N51">
            <v>1704.11</v>
          </cell>
          <cell r="O51">
            <v>1511.9</v>
          </cell>
          <cell r="P51">
            <v>1974.36</v>
          </cell>
        </row>
        <row r="52">
          <cell r="A52" t="str">
            <v>% of Gross Sales</v>
          </cell>
          <cell r="M52">
            <v>0.15575807343959938</v>
          </cell>
          <cell r="N52">
            <v>0.12095339761998383</v>
          </cell>
          <cell r="O52">
            <v>0.11815244862138545</v>
          </cell>
          <cell r="P52">
            <v>0.12464063452862992</v>
          </cell>
        </row>
        <row r="54">
          <cell r="A54" t="str">
            <v>Assumptions:</v>
          </cell>
        </row>
        <row r="55">
          <cell r="B55" t="str">
            <v>Units Growth%</v>
          </cell>
        </row>
        <row r="56">
          <cell r="C56" t="str">
            <v>Ingots</v>
          </cell>
          <cell r="J56">
            <v>0.26523568115629392</v>
          </cell>
          <cell r="K56">
            <v>0.12493606138107416</v>
          </cell>
          <cell r="L56">
            <v>-0.10057721698053634</v>
          </cell>
          <cell r="M56">
            <v>-5.9331554556944277E-2</v>
          </cell>
          <cell r="N56">
            <v>0.21600358289169219</v>
          </cell>
          <cell r="O56">
            <v>0.13351093868932162</v>
          </cell>
          <cell r="P56">
            <v>4.524039034322902E-2</v>
          </cell>
        </row>
        <row r="57">
          <cell r="C57"/>
          <cell r="J57" t="str">
            <v>NA</v>
          </cell>
          <cell r="K57" t="str">
            <v>NA</v>
          </cell>
          <cell r="L57" t="str">
            <v>NA</v>
          </cell>
          <cell r="M57" t="str">
            <v>NA</v>
          </cell>
          <cell r="N57" t="str">
            <v>NA</v>
          </cell>
          <cell r="O57" t="str">
            <v>NA</v>
          </cell>
          <cell r="P57" t="str">
            <v>NA</v>
          </cell>
        </row>
        <row r="58">
          <cell r="C58" t="str">
            <v>Rolled Products</v>
          </cell>
          <cell r="J58">
            <v>6.8002146306564093E-2</v>
          </cell>
          <cell r="K58">
            <v>-4.4312700964630247E-2</v>
          </cell>
          <cell r="L58">
            <v>5.3341744646549616E-2</v>
          </cell>
          <cell r="M58">
            <v>0.2255531525536516</v>
          </cell>
          <cell r="N58">
            <v>-0.136830102622577</v>
          </cell>
          <cell r="O58">
            <v>-0.40303201861986537</v>
          </cell>
          <cell r="P58">
            <v>0.73624868282402534</v>
          </cell>
        </row>
        <row r="59">
          <cell r="C59"/>
          <cell r="J59" t="str">
            <v>NA</v>
          </cell>
          <cell r="K59" t="str">
            <v>NA</v>
          </cell>
          <cell r="L59" t="str">
            <v>NA</v>
          </cell>
          <cell r="M59" t="str">
            <v>NA</v>
          </cell>
          <cell r="N59" t="str">
            <v>NA</v>
          </cell>
          <cell r="O59" t="str">
            <v>NA</v>
          </cell>
          <cell r="P59" t="str">
            <v>NA</v>
          </cell>
        </row>
        <row r="60">
          <cell r="C60" t="str">
            <v>Extrusions</v>
          </cell>
          <cell r="J60">
            <v>0.16439282895478624</v>
          </cell>
          <cell r="K60">
            <v>-4.2509925438171781E-2</v>
          </cell>
          <cell r="L60">
            <v>-2.5182038834951403E-2</v>
          </cell>
          <cell r="M60">
            <v>0.15084552339454294</v>
          </cell>
          <cell r="N60">
            <v>0.12836924186423881</v>
          </cell>
          <cell r="O60">
            <v>-5.2967963569545473E-2</v>
          </cell>
          <cell r="P60">
            <v>5.4749451661886273E-2</v>
          </cell>
        </row>
        <row r="61">
          <cell r="C61"/>
          <cell r="J61" t="str">
            <v>NA</v>
          </cell>
          <cell r="K61" t="str">
            <v>NA</v>
          </cell>
          <cell r="L61" t="str">
            <v>NA</v>
          </cell>
          <cell r="M61" t="str">
            <v>NA</v>
          </cell>
          <cell r="N61" t="str">
            <v>NA</v>
          </cell>
          <cell r="O61" t="str">
            <v>NA</v>
          </cell>
          <cell r="P61" t="str">
            <v>NA</v>
          </cell>
        </row>
        <row r="62">
          <cell r="C62" t="str">
            <v>Cond. Rods</v>
          </cell>
          <cell r="J62">
            <v>9.3056678343663046E-2</v>
          </cell>
          <cell r="K62">
            <v>-9.2311063631632662E-3</v>
          </cell>
          <cell r="L62">
            <v>0.10992535250207358</v>
          </cell>
          <cell r="M62">
            <v>7.9385243859911414E-2</v>
          </cell>
          <cell r="N62">
            <v>7.8508296217663309E-2</v>
          </cell>
          <cell r="O62">
            <v>-9.5881031346956247E-2</v>
          </cell>
          <cell r="P62">
            <v>-0.10893643205377002</v>
          </cell>
        </row>
        <row r="63">
          <cell r="C63" t="str">
            <v>Commercial alloy rods</v>
          </cell>
          <cell r="J63" t="str">
            <v>NA</v>
          </cell>
          <cell r="K63" t="str">
            <v>NA</v>
          </cell>
          <cell r="L63" t="str">
            <v>NA</v>
          </cell>
          <cell r="M63" t="str">
            <v>NA</v>
          </cell>
          <cell r="N63" t="str">
            <v>NA</v>
          </cell>
          <cell r="O63" t="str">
            <v>NA</v>
          </cell>
          <cell r="P63" t="e">
            <v>#DIV/0!</v>
          </cell>
        </row>
        <row r="64">
          <cell r="C64" t="str">
            <v>Foils</v>
          </cell>
          <cell r="O64" t="str">
            <v>NA</v>
          </cell>
          <cell r="P64" t="str">
            <v>NA</v>
          </cell>
        </row>
        <row r="65">
          <cell r="O65" t="str">
            <v>NA</v>
          </cell>
          <cell r="P65">
            <v>0</v>
          </cell>
        </row>
        <row r="66">
          <cell r="B66" t="str">
            <v>Aluminium alloy wheels</v>
          </cell>
        </row>
        <row r="67">
          <cell r="B67" t="str">
            <v>Change in Price per Unit %</v>
          </cell>
          <cell r="I67">
            <v>1994</v>
          </cell>
          <cell r="J67">
            <v>1995</v>
          </cell>
          <cell r="K67">
            <v>1996</v>
          </cell>
          <cell r="L67" t="str">
            <v>1997E</v>
          </cell>
          <cell r="M67" t="str">
            <v>1998E</v>
          </cell>
        </row>
        <row r="68">
          <cell r="C68" t="str">
            <v>Ingots</v>
          </cell>
          <cell r="I68" t="e">
            <v>#DIV/0!</v>
          </cell>
          <cell r="J68">
            <v>7.8596189138364636E-2</v>
          </cell>
          <cell r="K68">
            <v>7.5851783388648508E-2</v>
          </cell>
          <cell r="L68">
            <v>2.7387161411891903E-2</v>
          </cell>
          <cell r="M68">
            <v>0.19437381540676801</v>
          </cell>
          <cell r="N68">
            <v>0.1772378049230332</v>
          </cell>
          <cell r="O68">
            <v>-5.9930824017294548E-2</v>
          </cell>
          <cell r="P68">
            <v>0.11176900350123864</v>
          </cell>
        </row>
        <row r="69">
          <cell r="C69"/>
          <cell r="N69">
            <v>0.16976208019882888</v>
          </cell>
          <cell r="O69">
            <v>-5.7044863122507783E-2</v>
          </cell>
          <cell r="P69">
            <v>2.8792998600199793E-2</v>
          </cell>
        </row>
        <row r="70">
          <cell r="C70" t="str">
            <v>Rolled Products</v>
          </cell>
          <cell r="I70" t="e">
            <v>#DIV/0!</v>
          </cell>
          <cell r="J70">
            <v>0.12912682585945356</v>
          </cell>
          <cell r="K70">
            <v>0.14695005056832766</v>
          </cell>
          <cell r="L70">
            <v>-1.4176500689572658E-2</v>
          </cell>
          <cell r="M70">
            <v>0.12058994757484753</v>
          </cell>
          <cell r="N70">
            <v>0.14582221719973543</v>
          </cell>
          <cell r="O70">
            <v>-1.2621805663792784E-2</v>
          </cell>
          <cell r="P70">
            <v>2.621178919847833E-2</v>
          </cell>
        </row>
        <row r="71">
          <cell r="C71"/>
          <cell r="N71">
            <v>0.24372669107391709</v>
          </cell>
          <cell r="O71">
            <v>-6.2382885696055879E-2</v>
          </cell>
          <cell r="P71">
            <v>3.2293403044276525E-2</v>
          </cell>
        </row>
        <row r="72">
          <cell r="C72" t="str">
            <v>Extrusions</v>
          </cell>
          <cell r="I72" t="e">
            <v>#DIV/0!</v>
          </cell>
          <cell r="J72">
            <v>0.13625233803774872</v>
          </cell>
          <cell r="K72">
            <v>0.12982057076156406</v>
          </cell>
          <cell r="L72">
            <v>-3.7322084186330318E-2</v>
          </cell>
          <cell r="M72">
            <v>0.16812804354371846</v>
          </cell>
          <cell r="N72">
            <v>0.21373902350549212</v>
          </cell>
          <cell r="O72">
            <v>1.0380320266981657E-2</v>
          </cell>
          <cell r="P72">
            <v>1.0062347836412133E-2</v>
          </cell>
        </row>
        <row r="73">
          <cell r="C73"/>
          <cell r="N73">
            <v>0.14209073985113485</v>
          </cell>
          <cell r="O73">
            <v>0.11323453381269788</v>
          </cell>
          <cell r="P73">
            <v>-9.4863628171959591E-2</v>
          </cell>
        </row>
        <row r="74">
          <cell r="C74" t="str">
            <v>Cond. Rods</v>
          </cell>
          <cell r="I74" t="e">
            <v>#DIV/0!</v>
          </cell>
          <cell r="J74">
            <v>9.7059964650601405E-2</v>
          </cell>
          <cell r="K74">
            <v>0.11368105401157425</v>
          </cell>
          <cell r="L74">
            <v>1.0345987101353371E-2</v>
          </cell>
          <cell r="M74">
            <v>0.19032044322038777</v>
          </cell>
          <cell r="N74">
            <v>0.16601415374160999</v>
          </cell>
          <cell r="O74">
            <v>-6.1731207850161951E-3</v>
          </cell>
          <cell r="P74">
            <v>3.850230509034902E-2</v>
          </cell>
        </row>
        <row r="75">
          <cell r="C75" t="str">
            <v>Commercial alloy rods</v>
          </cell>
          <cell r="N75">
            <v>0.15613229400495121</v>
          </cell>
          <cell r="O75">
            <v>-4.0913798155403303E-2</v>
          </cell>
          <cell r="P75">
            <v>0.35810082577534219</v>
          </cell>
        </row>
        <row r="76">
          <cell r="C76" t="str">
            <v>Foils</v>
          </cell>
          <cell r="O76">
            <v>0.05</v>
          </cell>
          <cell r="P76">
            <v>0.05</v>
          </cell>
        </row>
        <row r="77">
          <cell r="O77">
            <v>0.05</v>
          </cell>
          <cell r="P77">
            <v>0.05</v>
          </cell>
        </row>
        <row r="78">
          <cell r="B78" t="str">
            <v>Aluminium alloy wheels</v>
          </cell>
        </row>
        <row r="79">
          <cell r="B79" t="str">
            <v>Revenue growth%</v>
          </cell>
        </row>
        <row r="80">
          <cell r="C80" t="str">
            <v>Ingots</v>
          </cell>
          <cell r="J80">
            <v>0.36467838405706154</v>
          </cell>
          <cell r="K80">
            <v>0.21026446783503072</v>
          </cell>
          <cell r="L80">
            <v>-7.5944580044449372E-2</v>
          </cell>
          <cell r="M80">
            <v>0.123509760216576</v>
          </cell>
          <cell r="N80">
            <v>0.43152538870195944</v>
          </cell>
          <cell r="O80">
            <v>6.5578694101053436E-2</v>
          </cell>
          <cell r="P80">
            <v>0.16206586719113747</v>
          </cell>
        </row>
        <row r="81">
          <cell r="C81"/>
          <cell r="P81" t="e">
            <v>#DIV/0!</v>
          </cell>
        </row>
        <row r="82">
          <cell r="C82" t="str">
            <v>Rolled Products</v>
          </cell>
          <cell r="J82">
            <v>0.2059098734702145</v>
          </cell>
          <cell r="K82">
            <v>9.6125595956125798E-2</v>
          </cell>
          <cell r="L82">
            <v>3.840904467721229E-2</v>
          </cell>
          <cell r="M82">
            <v>0.37334254297028568</v>
          </cell>
          <cell r="N82">
            <v>-1.0960754366933001E-2</v>
          </cell>
          <cell r="O82">
            <v>-0.41056683246835213</v>
          </cell>
          <cell r="P82">
            <v>0.78175886729434474</v>
          </cell>
        </row>
        <row r="83">
          <cell r="C83"/>
          <cell r="P83" t="e">
            <v>#DIV/0!</v>
          </cell>
        </row>
        <row r="84">
          <cell r="C84" t="str">
            <v>Extrusions</v>
          </cell>
          <cell r="J84">
            <v>0.32304407429426463</v>
          </cell>
          <cell r="K84">
            <v>8.1791982539977326E-2</v>
          </cell>
          <cell r="L84">
            <v>-6.1564276847900334E-2</v>
          </cell>
          <cell r="M84">
            <v>0.34433492966391421</v>
          </cell>
          <cell r="N84">
            <v>0.36954578177393338</v>
          </cell>
          <cell r="O84">
            <v>-4.3137467728305179E-2</v>
          </cell>
          <cell r="P84">
            <v>6.5362707524773134E-2</v>
          </cell>
        </row>
        <row r="85">
          <cell r="C85"/>
          <cell r="P85" t="e">
            <v>#DIV/0!</v>
          </cell>
        </row>
        <row r="86">
          <cell r="C86" t="str">
            <v>Cond. Rods</v>
          </cell>
          <cell r="J86">
            <v>0.19914872090480262</v>
          </cell>
          <cell r="K86">
            <v>0.10340054574735369</v>
          </cell>
          <cell r="L86">
            <v>0.1214086258825251</v>
          </cell>
          <cell r="M86">
            <v>0.28481432187687594</v>
          </cell>
          <cell r="N86">
            <v>0.25755593831754431</v>
          </cell>
          <cell r="O86">
            <v>-0.10146226694447591</v>
          </cell>
          <cell r="P86">
            <v>-7.4628430705809379E-2</v>
          </cell>
        </row>
        <row r="87">
          <cell r="C87" t="str">
            <v>Commercial alloy rods</v>
          </cell>
          <cell r="P87" t="e">
            <v>#DIV/0!</v>
          </cell>
        </row>
        <row r="88">
          <cell r="C88" t="str">
            <v>Foils</v>
          </cell>
          <cell r="P88" t="e">
            <v>#DIV/0!</v>
          </cell>
        </row>
        <row r="90">
          <cell r="B90" t="str">
            <v>Gross Revenue Growth</v>
          </cell>
          <cell r="J90">
            <v>0.27733259510734665</v>
          </cell>
          <cell r="K90">
            <v>0.14513807556238345</v>
          </cell>
          <cell r="L90">
            <v>-2.4090665279246082E-3</v>
          </cell>
          <cell r="M90">
            <v>0.24442571686342496</v>
          </cell>
          <cell r="N90">
            <v>0.25824066644250676</v>
          </cell>
          <cell r="O90">
            <v>-9.1759658967505153E-2</v>
          </cell>
          <cell r="P90">
            <v>0.23790224895242162</v>
          </cell>
        </row>
        <row r="91">
          <cell r="C91" t="str">
            <v>Other Products &amp; Services</v>
          </cell>
          <cell r="J91">
            <v>0.24039860343322639</v>
          </cell>
          <cell r="K91">
            <v>7.9018354541723124E-2</v>
          </cell>
          <cell r="L91">
            <v>-0.70245373767017205</v>
          </cell>
          <cell r="M91">
            <v>-0.49928310502283102</v>
          </cell>
          <cell r="N91">
            <v>0.21469673618647223</v>
          </cell>
          <cell r="O91">
            <v>1.1507507507507513</v>
          </cell>
          <cell r="P91">
            <v>2.0256562412733876</v>
          </cell>
        </row>
        <row r="92">
          <cell r="B92" t="str">
            <v>Net Revenue Growth</v>
          </cell>
          <cell r="J92">
            <v>0.27430851265869038</v>
          </cell>
          <cell r="K92">
            <v>0.13986838544463853</v>
          </cell>
          <cell r="L92">
            <v>-5.5223660175233169E-2</v>
          </cell>
          <cell r="M92">
            <v>0.22675490055460457</v>
          </cell>
          <cell r="N92">
            <v>0.25781837162782573</v>
          </cell>
          <cell r="O92">
            <v>-8.012273786437818E-2</v>
          </cell>
          <cell r="P92">
            <v>0.27704992715548671</v>
          </cell>
        </row>
      </sheetData>
      <sheetData sheetId="3"/>
      <sheetData sheetId="4"/>
      <sheetData sheetId="5"/>
      <sheetData sheetId="6" refreshError="1">
        <row r="1">
          <cell r="A1" t="str">
            <v>HINDALCO INDUSTRIES</v>
          </cell>
        </row>
        <row r="2">
          <cell r="A2" t="str">
            <v>Rs.</v>
          </cell>
        </row>
        <row r="3">
          <cell r="H3" t="str">
            <v>Historical</v>
          </cell>
        </row>
        <row r="4">
          <cell r="A4" t="str">
            <v>Year ended 31st March</v>
          </cell>
          <cell r="H4">
            <v>1991</v>
          </cell>
          <cell r="I4">
            <v>1992</v>
          </cell>
          <cell r="J4">
            <v>1993</v>
          </cell>
          <cell r="K4">
            <v>1994</v>
          </cell>
          <cell r="L4">
            <v>1995</v>
          </cell>
          <cell r="M4">
            <v>1996</v>
          </cell>
          <cell r="N4">
            <v>1997</v>
          </cell>
          <cell r="O4">
            <v>1998</v>
          </cell>
        </row>
        <row r="6">
          <cell r="B6" t="str">
            <v>Raw Materials</v>
          </cell>
          <cell r="H6">
            <v>1768.875</v>
          </cell>
          <cell r="I6">
            <v>2284.8969999999999</v>
          </cell>
          <cell r="J6">
            <v>2413.058</v>
          </cell>
          <cell r="K6">
            <v>2218.7389999999996</v>
          </cell>
          <cell r="L6">
            <v>2285.0629999999996</v>
          </cell>
          <cell r="M6">
            <v>2384.0400000000004</v>
          </cell>
          <cell r="N6">
            <v>2778.32</v>
          </cell>
          <cell r="O6">
            <v>3219.46</v>
          </cell>
        </row>
        <row r="7">
          <cell r="B7" t="str">
            <v>Power</v>
          </cell>
          <cell r="H7">
            <v>1353</v>
          </cell>
          <cell r="I7">
            <v>1741.0000000000002</v>
          </cell>
          <cell r="J7">
            <v>1672</v>
          </cell>
          <cell r="K7">
            <v>1747</v>
          </cell>
          <cell r="L7">
            <v>1992.3844725522292</v>
          </cell>
          <cell r="M7">
            <v>2482.8122474431975</v>
          </cell>
          <cell r="N7">
            <v>2371.8565703534473</v>
          </cell>
          <cell r="O7">
            <v>2982.5965778703721</v>
          </cell>
        </row>
        <row r="8">
          <cell r="B8" t="str">
            <v>Other Manufacturing expenses</v>
          </cell>
        </row>
        <row r="9">
          <cell r="C9" t="str">
            <v>Stores &amp; Spares</v>
          </cell>
          <cell r="H9">
            <v>231</v>
          </cell>
          <cell r="I9">
            <v>260</v>
          </cell>
          <cell r="J9">
            <v>291</v>
          </cell>
          <cell r="K9">
            <v>314.43</v>
          </cell>
          <cell r="L9">
            <v>401.13</v>
          </cell>
          <cell r="M9">
            <v>498.13</v>
          </cell>
          <cell r="N9">
            <v>469.45</v>
          </cell>
          <cell r="O9">
            <v>517</v>
          </cell>
        </row>
        <row r="10">
          <cell r="C10" t="str">
            <v>Repairs &amp; Maintenance</v>
          </cell>
          <cell r="H10">
            <v>65</v>
          </cell>
          <cell r="I10">
            <v>93</v>
          </cell>
          <cell r="J10">
            <v>96</v>
          </cell>
          <cell r="K10">
            <v>99</v>
          </cell>
          <cell r="L10">
            <v>179.05</v>
          </cell>
          <cell r="M10">
            <v>198.05</v>
          </cell>
          <cell r="N10">
            <v>171.1</v>
          </cell>
          <cell r="O10">
            <v>196.87</v>
          </cell>
        </row>
        <row r="11">
          <cell r="C11" t="str">
            <v>Others</v>
          </cell>
          <cell r="H11">
            <v>1</v>
          </cell>
          <cell r="I11">
            <v>1</v>
          </cell>
          <cell r="J11">
            <v>3</v>
          </cell>
          <cell r="K11">
            <v>4</v>
          </cell>
          <cell r="L11">
            <v>8.7189999999999994</v>
          </cell>
          <cell r="M11">
            <v>3.3899999999999997</v>
          </cell>
          <cell r="N11">
            <v>5.99</v>
          </cell>
          <cell r="O11">
            <v>5.98</v>
          </cell>
        </row>
        <row r="12">
          <cell r="H12">
            <v>3418.875</v>
          </cell>
          <cell r="I12">
            <v>4379.8969999999999</v>
          </cell>
          <cell r="J12">
            <v>4475.058</v>
          </cell>
          <cell r="K12">
            <v>4383.1689999999999</v>
          </cell>
          <cell r="L12">
            <v>4866.346472552229</v>
          </cell>
          <cell r="M12">
            <v>5566.4222474431981</v>
          </cell>
          <cell r="N12">
            <v>5796.7165703534474</v>
          </cell>
          <cell r="O12">
            <v>6921.9065778703716</v>
          </cell>
        </row>
        <row r="13">
          <cell r="B13" t="str">
            <v>Employee Cost</v>
          </cell>
        </row>
        <row r="14">
          <cell r="C14" t="str">
            <v>Salaries &amp; Wages</v>
          </cell>
          <cell r="H14">
            <v>264</v>
          </cell>
          <cell r="I14">
            <v>289</v>
          </cell>
          <cell r="J14">
            <v>323</v>
          </cell>
          <cell r="K14">
            <v>363</v>
          </cell>
          <cell r="L14">
            <v>432</v>
          </cell>
          <cell r="M14">
            <v>572.69000000000005</v>
          </cell>
          <cell r="N14">
            <v>634.66</v>
          </cell>
          <cell r="O14">
            <v>697.27</v>
          </cell>
        </row>
        <row r="15">
          <cell r="C15" t="str">
            <v>Others</v>
          </cell>
          <cell r="H15">
            <v>85</v>
          </cell>
          <cell r="I15">
            <v>93</v>
          </cell>
          <cell r="J15">
            <v>112</v>
          </cell>
          <cell r="K15">
            <v>135</v>
          </cell>
          <cell r="L15">
            <v>161</v>
          </cell>
          <cell r="M15">
            <v>179.91</v>
          </cell>
          <cell r="N15">
            <v>265.65999999999997</v>
          </cell>
          <cell r="O15">
            <v>289.16999999999996</v>
          </cell>
        </row>
        <row r="16">
          <cell r="H16">
            <v>3767.875</v>
          </cell>
          <cell r="I16">
            <v>4761.8969999999999</v>
          </cell>
          <cell r="J16">
            <v>4910.058</v>
          </cell>
          <cell r="K16">
            <v>4881.1689999999999</v>
          </cell>
          <cell r="L16">
            <v>5459.346472552229</v>
          </cell>
          <cell r="M16">
            <v>6319.0222474431976</v>
          </cell>
          <cell r="N16">
            <v>6697.0365703534471</v>
          </cell>
          <cell r="O16">
            <v>7908.3465778703721</v>
          </cell>
        </row>
        <row r="17">
          <cell r="B17" t="str">
            <v>Excise Duty</v>
          </cell>
          <cell r="H17">
            <v>1554</v>
          </cell>
          <cell r="I17">
            <v>2015</v>
          </cell>
          <cell r="J17">
            <v>2203</v>
          </cell>
          <cell r="K17">
            <v>1722</v>
          </cell>
          <cell r="L17">
            <v>1744</v>
          </cell>
          <cell r="M17">
            <v>1704.11</v>
          </cell>
          <cell r="N17">
            <v>1511.9</v>
          </cell>
          <cell r="O17">
            <v>1974.36</v>
          </cell>
        </row>
        <row r="18">
          <cell r="H18">
            <v>5321.875</v>
          </cell>
          <cell r="I18">
            <v>6776.8969999999999</v>
          </cell>
          <cell r="J18">
            <v>7113.058</v>
          </cell>
          <cell r="K18">
            <v>6603.1689999999999</v>
          </cell>
          <cell r="L18">
            <v>7203.346472552229</v>
          </cell>
          <cell r="M18">
            <v>8023.1322474431972</v>
          </cell>
          <cell r="N18">
            <v>8208.9365703534477</v>
          </cell>
          <cell r="O18">
            <v>9882.7065778703727</v>
          </cell>
        </row>
        <row r="19">
          <cell r="B19" t="str">
            <v>Stock Adjustment</v>
          </cell>
          <cell r="H19">
            <v>-42</v>
          </cell>
          <cell r="I19">
            <v>-143</v>
          </cell>
          <cell r="J19">
            <v>76</v>
          </cell>
          <cell r="K19">
            <v>-54.850000000000023</v>
          </cell>
          <cell r="L19">
            <v>-197.8359999999999</v>
          </cell>
          <cell r="M19">
            <v>-135.91</v>
          </cell>
          <cell r="N19">
            <v>-173.28</v>
          </cell>
          <cell r="O19">
            <v>-149.99</v>
          </cell>
        </row>
        <row r="20">
          <cell r="B20" t="str">
            <v>Cost Of Goods Sold</v>
          </cell>
          <cell r="H20">
            <v>5279.875</v>
          </cell>
          <cell r="I20">
            <v>6633.8969999999999</v>
          </cell>
          <cell r="J20">
            <v>7189.058</v>
          </cell>
          <cell r="K20">
            <v>6548.3189999999995</v>
          </cell>
          <cell r="L20">
            <v>7005.5104725522287</v>
          </cell>
          <cell r="M20">
            <v>7887.2222474431974</v>
          </cell>
          <cell r="N20">
            <v>8035.6565703534479</v>
          </cell>
          <cell r="O20">
            <v>9732.7165778703729</v>
          </cell>
        </row>
        <row r="21">
          <cell r="B21" t="str">
            <v>Cost Per Tonne</v>
          </cell>
          <cell r="H21">
            <v>26658.712668679611</v>
          </cell>
          <cell r="I21">
            <v>27791.699007803993</v>
          </cell>
          <cell r="J21">
            <v>30498.565617640761</v>
          </cell>
          <cell r="K21">
            <v>30985.413550246845</v>
          </cell>
          <cell r="L21">
            <v>32027.699492039377</v>
          </cell>
          <cell r="M21">
            <v>35251.89709941503</v>
          </cell>
          <cell r="N21">
            <v>39235.448965270443</v>
          </cell>
          <cell r="O21">
            <v>38732.908867872706</v>
          </cell>
        </row>
        <row r="22">
          <cell r="B22" t="str">
            <v>Depreciation per tonne</v>
          </cell>
          <cell r="H22">
            <v>1227.2291466922341</v>
          </cell>
          <cell r="I22">
            <v>1308.0861868746128</v>
          </cell>
          <cell r="J22">
            <v>2321.6197204636524</v>
          </cell>
          <cell r="K22">
            <v>1769.4416445708489</v>
          </cell>
          <cell r="L22">
            <v>2005.7219381543705</v>
          </cell>
          <cell r="M22">
            <v>1986.1115862210509</v>
          </cell>
          <cell r="N22">
            <v>2545.6969227129853</v>
          </cell>
          <cell r="O22">
            <v>3875.8586947839285</v>
          </cell>
          <cell r="P22">
            <v>5171.6294629886352</v>
          </cell>
          <cell r="Q22">
            <v>5639.4670621760797</v>
          </cell>
          <cell r="R22">
            <v>5868.2336516087616</v>
          </cell>
          <cell r="S22">
            <v>6306.9295343137255</v>
          </cell>
          <cell r="T22">
            <v>6838.5220270659393</v>
          </cell>
          <cell r="U22">
            <v>8330.2312599681045</v>
          </cell>
          <cell r="V22">
            <v>8303.3894013383997</v>
          </cell>
          <cell r="W22">
            <v>-4304.707602339181</v>
          </cell>
        </row>
        <row r="23">
          <cell r="B23" t="str">
            <v>Operating cost</v>
          </cell>
          <cell r="H23">
            <v>28994.970020463355</v>
          </cell>
          <cell r="I23">
            <v>30351.311997208133</v>
          </cell>
          <cell r="J23">
            <v>34942.70422362908</v>
          </cell>
          <cell r="K23">
            <v>35439.99460712244</v>
          </cell>
          <cell r="L23">
            <v>36857.076166010644</v>
          </cell>
          <cell r="M23">
            <v>40733.702778823012</v>
          </cell>
          <cell r="N23">
            <v>46209.452696385037</v>
          </cell>
          <cell r="O23">
            <v>47156.12269350588</v>
          </cell>
        </row>
        <row r="24">
          <cell r="B24" t="str">
            <v>Exchange rate</v>
          </cell>
          <cell r="H24">
            <v>17.8</v>
          </cell>
          <cell r="I24">
            <v>26.5</v>
          </cell>
          <cell r="J24">
            <v>29.4</v>
          </cell>
          <cell r="K24">
            <v>31.4</v>
          </cell>
          <cell r="L24">
            <v>31.4</v>
          </cell>
          <cell r="M24">
            <v>33.6</v>
          </cell>
          <cell r="N24">
            <v>34.5</v>
          </cell>
          <cell r="O24">
            <v>37.5</v>
          </cell>
        </row>
        <row r="25">
          <cell r="B25" t="str">
            <v>Op. Cost (UScents/lb)</v>
          </cell>
          <cell r="H25">
            <v>76.874357062193226</v>
          </cell>
          <cell r="I25">
            <v>54.207270668503696</v>
          </cell>
          <cell r="J25">
            <v>57.305539748227815</v>
          </cell>
          <cell r="K25">
            <v>55.189829211678038</v>
          </cell>
          <cell r="L25">
            <v>57.441706574735875</v>
          </cell>
          <cell r="M25">
            <v>59.834140790056743</v>
          </cell>
          <cell r="N25">
            <v>66.716415684830878</v>
          </cell>
          <cell r="O25">
            <v>62.670882211339546</v>
          </cell>
        </row>
        <row r="26">
          <cell r="A26" t="str">
            <v>B.</v>
          </cell>
          <cell r="B26" t="str">
            <v>Sales, Distribution &amp; Other Expenses</v>
          </cell>
        </row>
        <row r="27">
          <cell r="C27" t="str">
            <v xml:space="preserve">Packaging, Forwarding &amp; Transport </v>
          </cell>
          <cell r="H27">
            <v>33</v>
          </cell>
          <cell r="I27">
            <v>61</v>
          </cell>
          <cell r="J27">
            <v>119</v>
          </cell>
          <cell r="K27">
            <v>125</v>
          </cell>
          <cell r="L27">
            <v>140.9</v>
          </cell>
          <cell r="M27">
            <v>196.23</v>
          </cell>
          <cell r="N27">
            <v>235.99</v>
          </cell>
          <cell r="O27">
            <v>302.61</v>
          </cell>
        </row>
        <row r="28">
          <cell r="C28" t="str">
            <v>Commission on sales</v>
          </cell>
          <cell r="H28">
            <v>32</v>
          </cell>
          <cell r="I28">
            <v>45</v>
          </cell>
          <cell r="J28">
            <v>43</v>
          </cell>
          <cell r="K28">
            <v>59.24</v>
          </cell>
          <cell r="L28">
            <v>68.95</v>
          </cell>
          <cell r="M28">
            <v>74.819999999999993</v>
          </cell>
          <cell r="N28">
            <v>89.48</v>
          </cell>
          <cell r="O28">
            <v>92.77</v>
          </cell>
        </row>
        <row r="29">
          <cell r="C29" t="str">
            <v>Insurance</v>
          </cell>
          <cell r="H29">
            <v>14</v>
          </cell>
          <cell r="I29">
            <v>19</v>
          </cell>
          <cell r="J29">
            <v>52</v>
          </cell>
          <cell r="K29">
            <v>57</v>
          </cell>
          <cell r="L29">
            <v>81.56</v>
          </cell>
          <cell r="M29">
            <v>93.66</v>
          </cell>
          <cell r="N29">
            <v>97.66</v>
          </cell>
          <cell r="O29">
            <v>164.11</v>
          </cell>
        </row>
        <row r="30">
          <cell r="C30" t="str">
            <v>Travelling</v>
          </cell>
          <cell r="H30">
            <v>5.4</v>
          </cell>
          <cell r="I30">
            <v>20</v>
          </cell>
          <cell r="J30">
            <v>29</v>
          </cell>
          <cell r="K30">
            <v>39</v>
          </cell>
          <cell r="L30">
            <v>40.53</v>
          </cell>
          <cell r="M30">
            <v>56.21</v>
          </cell>
          <cell r="N30">
            <v>71.010000000000005</v>
          </cell>
          <cell r="O30">
            <v>71.239999999999995</v>
          </cell>
        </row>
        <row r="31">
          <cell r="C31" t="str">
            <v>Others</v>
          </cell>
          <cell r="H31">
            <v>70.599999999999994</v>
          </cell>
          <cell r="I31">
            <v>63</v>
          </cell>
          <cell r="J31">
            <v>104</v>
          </cell>
          <cell r="K31">
            <v>138</v>
          </cell>
          <cell r="L31">
            <v>131.93</v>
          </cell>
          <cell r="M31">
            <v>192.21775255680217</v>
          </cell>
          <cell r="N31">
            <v>242.1634296465524</v>
          </cell>
          <cell r="O31">
            <v>280.12342212962801</v>
          </cell>
        </row>
        <row r="32">
          <cell r="C32" t="str">
            <v>Total</v>
          </cell>
          <cell r="H32">
            <v>155</v>
          </cell>
          <cell r="I32">
            <v>208</v>
          </cell>
          <cell r="J32">
            <v>347</v>
          </cell>
          <cell r="K32">
            <v>418.24</v>
          </cell>
          <cell r="L32">
            <v>463.87000000000006</v>
          </cell>
          <cell r="M32">
            <v>613.13775255680207</v>
          </cell>
          <cell r="N32">
            <v>736.30342964655233</v>
          </cell>
          <cell r="O32">
            <v>910.85342212962803</v>
          </cell>
        </row>
        <row r="33">
          <cell r="H33">
            <v>1109.0282050915127</v>
          </cell>
          <cell r="I33">
            <v>1251.5268025295281</v>
          </cell>
          <cell r="J33">
            <v>2122.5188855246661</v>
          </cell>
          <cell r="K33">
            <v>2685.1394123047489</v>
          </cell>
          <cell r="L33">
            <v>2823.6547358168982</v>
          </cell>
          <cell r="M33">
            <v>3495.6940931869349</v>
          </cell>
          <cell r="N33">
            <v>4428.3068084016086</v>
          </cell>
          <cell r="O33">
            <v>4547.3551308492497</v>
          </cell>
        </row>
        <row r="34">
          <cell r="B34" t="str">
            <v>Increase in costs %</v>
          </cell>
          <cell r="H34">
            <v>2.8320434246463546</v>
          </cell>
          <cell r="I34">
            <v>2.1467012050249195</v>
          </cell>
          <cell r="J34">
            <v>3.281569087082044</v>
          </cell>
          <cell r="K34">
            <v>3.8869997282929196</v>
          </cell>
          <cell r="L34">
            <v>4.0875140935392276</v>
          </cell>
          <cell r="M34">
            <v>4.7290233944628444</v>
          </cell>
          <cell r="N34">
            <v>5.8343963220047534</v>
          </cell>
          <cell r="O34">
            <v>5.5119456131506048</v>
          </cell>
        </row>
        <row r="35">
          <cell r="C35" t="str">
            <v>Raw Materials</v>
          </cell>
          <cell r="H35" t="e">
            <v>#DIV/0!</v>
          </cell>
          <cell r="I35">
            <v>0.29172327044025148</v>
          </cell>
          <cell r="J35">
            <v>5.6090493357030979E-2</v>
          </cell>
          <cell r="K35">
            <v>-8.0528109974977946E-2</v>
          </cell>
          <cell r="L35">
            <v>2.9892655242459876E-2</v>
          </cell>
          <cell r="M35">
            <v>4.3314779504985523E-2</v>
          </cell>
          <cell r="N35">
            <v>0.16538313115551739</v>
          </cell>
          <cell r="O35">
            <v>0.15877940625989795</v>
          </cell>
        </row>
        <row r="36">
          <cell r="C36" t="str">
            <v>Power</v>
          </cell>
          <cell r="H36" t="e">
            <v>#DIV/0!</v>
          </cell>
          <cell r="I36">
            <v>0.2867701404286771</v>
          </cell>
          <cell r="J36">
            <v>-3.9632395175186796E-2</v>
          </cell>
          <cell r="K36">
            <v>4.4856459330143483E-2</v>
          </cell>
          <cell r="L36">
            <v>0.14046048800928967</v>
          </cell>
          <cell r="M36">
            <v>0.24615117295244437</v>
          </cell>
          <cell r="N36">
            <v>-4.46895157714855E-2</v>
          </cell>
          <cell r="O36">
            <v>0.25749449403928937</v>
          </cell>
        </row>
        <row r="37">
          <cell r="C37" t="str">
            <v>Other Manufacturing expenses</v>
          </cell>
          <cell r="H37" t="e">
            <v>#DIV/0!</v>
          </cell>
          <cell r="I37">
            <v>0.28109304961427362</v>
          </cell>
          <cell r="J37">
            <v>2.1726766634009964E-2</v>
          </cell>
          <cell r="K37">
            <v>-2.0533588614940923E-2</v>
          </cell>
          <cell r="L37">
            <v>0.11023473485786872</v>
          </cell>
          <cell r="M37">
            <v>0.14386065169005602</v>
          </cell>
          <cell r="N37">
            <v>4.1372054198013819E-2</v>
          </cell>
          <cell r="O37">
            <v>0.1941081634509374</v>
          </cell>
        </row>
        <row r="38">
          <cell r="C38" t="str">
            <v>Employee Cost</v>
          </cell>
          <cell r="H38" t="e">
            <v>#DIV/0!</v>
          </cell>
          <cell r="I38">
            <v>9.4696969696969724E-2</v>
          </cell>
          <cell r="J38">
            <v>0.11764705882352944</v>
          </cell>
          <cell r="K38">
            <v>0.12383900928792579</v>
          </cell>
          <cell r="L38">
            <v>0.19008264462809921</v>
          </cell>
          <cell r="M38">
            <v>0.32567129629629643</v>
          </cell>
          <cell r="N38">
            <v>0.10820862945048781</v>
          </cell>
          <cell r="O38">
            <v>9.8651246336621146E-2</v>
          </cell>
        </row>
        <row r="39">
          <cell r="C39" t="str">
            <v>Excise Duty</v>
          </cell>
          <cell r="H39" t="e">
            <v>#DIV/0!</v>
          </cell>
          <cell r="I39">
            <v>0.29665379665379676</v>
          </cell>
          <cell r="J39">
            <v>9.3300248138957764E-2</v>
          </cell>
          <cell r="K39">
            <v>-0.21833862914207902</v>
          </cell>
          <cell r="L39">
            <v>1.2775842044134622E-2</v>
          </cell>
          <cell r="M39">
            <v>-2.2872706422018441E-2</v>
          </cell>
          <cell r="N39">
            <v>-0.11279201459999633</v>
          </cell>
          <cell r="O39">
            <v>0.30588001851974322</v>
          </cell>
        </row>
        <row r="42">
          <cell r="B42" t="str">
            <v>Assumptions</v>
          </cell>
        </row>
        <row r="43">
          <cell r="C43" t="str">
            <v>Raw MaterialsAs a % Of COGS</v>
          </cell>
          <cell r="H43">
            <v>0.33502213594071828</v>
          </cell>
          <cell r="I43">
            <v>0.34442756648166228</v>
          </cell>
          <cell r="J43">
            <v>0.33565704992225687</v>
          </cell>
          <cell r="K43">
            <v>0.33882573527648846</v>
          </cell>
          <cell r="L43">
            <v>0.32618079852323906</v>
          </cell>
          <cell r="M43">
            <v>0.30226611159243488</v>
          </cell>
          <cell r="N43">
            <v>0.34574897218109907</v>
          </cell>
          <cell r="O43">
            <v>0.33078739879472108</v>
          </cell>
        </row>
        <row r="44">
          <cell r="C44" t="str">
            <v>PowerAs a % Of COGS</v>
          </cell>
          <cell r="H44">
            <v>0.25625606666824496</v>
          </cell>
          <cell r="I44">
            <v>0.26244001075084528</v>
          </cell>
          <cell r="J44">
            <v>0.23257567264028195</v>
          </cell>
          <cell r="K44">
            <v>0.2667860255433494</v>
          </cell>
          <cell r="L44">
            <v>0.28440246865070617</v>
          </cell>
          <cell r="M44">
            <v>0.31478918300394682</v>
          </cell>
          <cell r="N44">
            <v>0.29516649319037802</v>
          </cell>
          <cell r="O44">
            <v>0.30645057358929045</v>
          </cell>
        </row>
        <row r="45">
          <cell r="C45" t="str">
            <v>Other Manufacturing expensesAs a % Of COGS</v>
          </cell>
          <cell r="H45">
            <v>5.6251331707663534E-2</v>
          </cell>
          <cell r="I45">
            <v>5.3362299716139698E-2</v>
          </cell>
          <cell r="J45">
            <v>5.4249110245041837E-2</v>
          </cell>
          <cell r="K45">
            <v>6.374613087725263E-2</v>
          </cell>
          <cell r="L45">
            <v>8.4062253893891339E-2</v>
          </cell>
          <cell r="M45">
            <v>8.8696625764131329E-2</v>
          </cell>
          <cell r="N45">
            <v>8.0458888995496469E-2</v>
          </cell>
          <cell r="O45">
            <v>7.3961878396495054E-2</v>
          </cell>
        </row>
        <row r="46">
          <cell r="C46" t="str">
            <v>Employee CostAs a % Of COGS</v>
          </cell>
          <cell r="H46">
            <v>6.6100049717086107E-2</v>
          </cell>
          <cell r="I46">
            <v>5.7583046586342841E-2</v>
          </cell>
          <cell r="J46">
            <v>6.0508622965623593E-2</v>
          </cell>
          <cell r="K46">
            <v>7.6050051929357751E-2</v>
          </cell>
          <cell r="L46">
            <v>8.4647650206703617E-2</v>
          </cell>
          <cell r="M46">
            <v>9.5420158883435871E-2</v>
          </cell>
          <cell r="N46">
            <v>0.11204062693789307</v>
          </cell>
          <cell r="O46">
            <v>0.10135299760427668</v>
          </cell>
        </row>
        <row r="47">
          <cell r="C47" t="str">
            <v>Excise Duty as a % of Turnover</v>
          </cell>
          <cell r="H47" t="e">
            <v>#DIV/0!</v>
          </cell>
          <cell r="I47" t="e">
            <v>#DIV/0!</v>
          </cell>
          <cell r="J47" t="e">
            <v>#DIV/0!</v>
          </cell>
          <cell r="K47" t="e">
            <v>#DIV/0!</v>
          </cell>
          <cell r="L47">
            <v>0.18236912975835462</v>
          </cell>
          <cell r="M47">
            <v>0.13613200756985699</v>
          </cell>
          <cell r="N47">
            <v>0.1306655742578707</v>
          </cell>
          <cell r="O47">
            <v>0.13401073112126982</v>
          </cell>
        </row>
        <row r="49">
          <cell r="B49" t="str">
            <v xml:space="preserve">Change % </v>
          </cell>
        </row>
        <row r="50">
          <cell r="C50" t="str">
            <v xml:space="preserve">Packaging, Forwarding &amp; Transport </v>
          </cell>
          <cell r="H50" t="e">
            <v>#DIV/0!</v>
          </cell>
          <cell r="I50">
            <v>0.8484848484848484</v>
          </cell>
          <cell r="J50">
            <v>0.95081967213114749</v>
          </cell>
          <cell r="K50">
            <v>5.0420168067226934E-2</v>
          </cell>
          <cell r="L50">
            <v>0.12719999999999998</v>
          </cell>
          <cell r="M50">
            <v>0.39268985095812625</v>
          </cell>
          <cell r="N50">
            <v>0.20261937522295281</v>
          </cell>
          <cell r="O50">
            <v>0.28230009746175688</v>
          </cell>
        </row>
        <row r="51">
          <cell r="C51" t="str">
            <v>Commission &amp; sales</v>
          </cell>
          <cell r="H51" t="e">
            <v>#DIV/0!</v>
          </cell>
          <cell r="I51">
            <v>0.40625</v>
          </cell>
          <cell r="J51">
            <v>-4.4444444444444398E-2</v>
          </cell>
          <cell r="K51">
            <v>0.37767441860465123</v>
          </cell>
          <cell r="L51">
            <v>0.16390952059419317</v>
          </cell>
          <cell r="M51">
            <v>8.5134155184916516E-2</v>
          </cell>
          <cell r="N51">
            <v>0.19593691526329882</v>
          </cell>
          <cell r="O51">
            <v>3.6767992847563713E-2</v>
          </cell>
        </row>
        <row r="52">
          <cell r="C52" t="str">
            <v>Insurance</v>
          </cell>
          <cell r="H52" t="e">
            <v>#DIV/0!</v>
          </cell>
          <cell r="I52">
            <v>0.35714285714285721</v>
          </cell>
          <cell r="J52">
            <v>1.736842105263158</v>
          </cell>
          <cell r="K52">
            <v>9.6153846153846256E-2</v>
          </cell>
          <cell r="L52">
            <v>0.43087719298245619</v>
          </cell>
          <cell r="M52">
            <v>0.14835703776360964</v>
          </cell>
          <cell r="N52">
            <v>4.2707666026051694E-2</v>
          </cell>
          <cell r="O52">
            <v>0.68042187180012315</v>
          </cell>
        </row>
        <row r="53">
          <cell r="C53" t="str">
            <v>Travelling</v>
          </cell>
          <cell r="H53" t="e">
            <v>#DIV/0!</v>
          </cell>
          <cell r="I53">
            <v>2.7037037037037033</v>
          </cell>
          <cell r="J53">
            <v>0.44999999999999996</v>
          </cell>
          <cell r="K53">
            <v>0.34482758620689657</v>
          </cell>
          <cell r="L53">
            <v>3.923076923076918E-2</v>
          </cell>
          <cell r="M53">
            <v>0.386873920552677</v>
          </cell>
          <cell r="N53">
            <v>0.26329834549012632</v>
          </cell>
          <cell r="O53">
            <v>3.2389804252921373E-3</v>
          </cell>
        </row>
        <row r="54">
          <cell r="C54" t="str">
            <v>Others</v>
          </cell>
          <cell r="H54" t="e">
            <v>#DIV/0!</v>
          </cell>
          <cell r="I54">
            <v>-0.10764872521246449</v>
          </cell>
          <cell r="J54">
            <v>0.6507936507936507</v>
          </cell>
          <cell r="K54">
            <v>0.32692307692307687</v>
          </cell>
          <cell r="L54">
            <v>-4.3985507246376732E-2</v>
          </cell>
          <cell r="M54">
            <v>0.45696772952931219</v>
          </cell>
          <cell r="N54">
            <v>0.25983904413298564</v>
          </cell>
          <cell r="O54">
            <v>0.1567536127914928</v>
          </cell>
          <cell r="P54">
            <v>0.61107263103956222</v>
          </cell>
          <cell r="Q54">
            <v>0.1</v>
          </cell>
          <cell r="R54">
            <v>0.15</v>
          </cell>
          <cell r="S54">
            <v>0.15</v>
          </cell>
          <cell r="T54">
            <v>0.15</v>
          </cell>
          <cell r="U54">
            <v>0.15</v>
          </cell>
          <cell r="V54">
            <v>0.15</v>
          </cell>
          <cell r="W54">
            <v>0.15</v>
          </cell>
        </row>
        <row r="57">
          <cell r="A57" t="str">
            <v>HINDALCO INDUSTRIES</v>
          </cell>
        </row>
        <row r="59">
          <cell r="H59" t="str">
            <v>Rs.</v>
          </cell>
        </row>
        <row r="60">
          <cell r="A60" t="str">
            <v>Year ended 31st March</v>
          </cell>
          <cell r="H60">
            <v>1991</v>
          </cell>
          <cell r="I60">
            <v>1992</v>
          </cell>
          <cell r="J60">
            <v>1993</v>
          </cell>
          <cell r="K60">
            <v>1994</v>
          </cell>
          <cell r="L60">
            <v>1995</v>
          </cell>
          <cell r="M60">
            <v>1996</v>
          </cell>
          <cell r="N60">
            <v>1997</v>
          </cell>
          <cell r="O60">
            <v>1998</v>
          </cell>
        </row>
        <row r="61">
          <cell r="B61" t="str">
            <v>AluminiumFlouride</v>
          </cell>
        </row>
        <row r="62">
          <cell r="B62" t="str">
            <v>Flourspar/Cryolite</v>
          </cell>
          <cell r="H62">
            <v>195.49900000000002</v>
          </cell>
          <cell r="I62">
            <v>275.25099999999998</v>
          </cell>
          <cell r="J62">
            <v>270.86799999999999</v>
          </cell>
          <cell r="K62">
            <v>275.31799999999998</v>
          </cell>
          <cell r="L62">
            <v>233.83799999999997</v>
          </cell>
          <cell r="M62">
            <v>177.57</v>
          </cell>
          <cell r="N62">
            <v>180.35</v>
          </cell>
          <cell r="O62">
            <v>177.49</v>
          </cell>
        </row>
        <row r="63">
          <cell r="B63" t="str">
            <v>Calcined petroleum coke</v>
          </cell>
          <cell r="H63">
            <v>358.495</v>
          </cell>
          <cell r="I63">
            <v>584.93100000000004</v>
          </cell>
          <cell r="J63">
            <v>610.76800000000003</v>
          </cell>
          <cell r="K63">
            <v>487.42999999999995</v>
          </cell>
          <cell r="L63">
            <v>427.33600000000001</v>
          </cell>
          <cell r="M63">
            <v>404.57</v>
          </cell>
          <cell r="N63">
            <v>494.36</v>
          </cell>
          <cell r="O63">
            <v>628.85</v>
          </cell>
        </row>
        <row r="64">
          <cell r="B64" t="str">
            <v>Caustic soda</v>
          </cell>
          <cell r="H64">
            <v>223.86000000000004</v>
          </cell>
          <cell r="I64">
            <v>326.69299999999998</v>
          </cell>
          <cell r="J64">
            <v>399.68599999999998</v>
          </cell>
          <cell r="K64">
            <v>282.18299999999999</v>
          </cell>
          <cell r="L64">
            <v>365.53100000000001</v>
          </cell>
          <cell r="M64">
            <v>434.16</v>
          </cell>
          <cell r="N64">
            <v>488.3</v>
          </cell>
          <cell r="O64">
            <v>476.71</v>
          </cell>
        </row>
        <row r="65">
          <cell r="B65" t="str">
            <v>Pitch</v>
          </cell>
          <cell r="H65">
            <v>202.26599999999999</v>
          </cell>
          <cell r="I65">
            <v>224.886</v>
          </cell>
          <cell r="J65">
            <v>222.267</v>
          </cell>
          <cell r="K65">
            <v>145.06100000000001</v>
          </cell>
          <cell r="L65">
            <v>167.607</v>
          </cell>
          <cell r="M65">
            <v>194.34999999999997</v>
          </cell>
          <cell r="N65">
            <v>188.46000000000004</v>
          </cell>
          <cell r="O65">
            <v>232.59</v>
          </cell>
        </row>
        <row r="66">
          <cell r="B66" t="str">
            <v>Bauxite</v>
          </cell>
          <cell r="H66">
            <v>207.40399999999997</v>
          </cell>
          <cell r="I66">
            <v>256.23700000000002</v>
          </cell>
          <cell r="J66">
            <v>331.88200000000001</v>
          </cell>
          <cell r="K66">
            <v>377.47899999999998</v>
          </cell>
          <cell r="L66">
            <v>396.553</v>
          </cell>
          <cell r="M66">
            <v>453.39</v>
          </cell>
          <cell r="N66">
            <v>508.39</v>
          </cell>
          <cell r="O66">
            <v>612.74</v>
          </cell>
        </row>
        <row r="67">
          <cell r="B67" t="str">
            <v>Diesel/Oil</v>
          </cell>
          <cell r="H67">
            <v>148.54499999999999</v>
          </cell>
          <cell r="I67">
            <v>184.33699999999999</v>
          </cell>
          <cell r="J67">
            <v>225.14099999999999</v>
          </cell>
          <cell r="K67">
            <v>248.29800000000003</v>
          </cell>
          <cell r="L67">
            <v>255.08800000000002</v>
          </cell>
          <cell r="M67">
            <v>260.86</v>
          </cell>
          <cell r="N67">
            <v>309.32</v>
          </cell>
          <cell r="O67">
            <v>351.45</v>
          </cell>
        </row>
        <row r="68">
          <cell r="B68" t="str">
            <v>Steam coal/Steam</v>
          </cell>
          <cell r="H68">
            <v>128.21199999999999</v>
          </cell>
          <cell r="I68">
            <v>123.291</v>
          </cell>
          <cell r="J68">
            <v>128.33599999999998</v>
          </cell>
          <cell r="K68">
            <v>136.702</v>
          </cell>
          <cell r="L68">
            <v>154.51</v>
          </cell>
          <cell r="M68">
            <v>161.07</v>
          </cell>
          <cell r="N68">
            <v>221.09999999999997</v>
          </cell>
          <cell r="O68">
            <v>289.60000000000002</v>
          </cell>
        </row>
        <row r="69">
          <cell r="B69" t="str">
            <v>Alumina</v>
          </cell>
          <cell r="H69">
            <v>231.59399999999997</v>
          </cell>
          <cell r="I69">
            <v>106.271</v>
          </cell>
          <cell r="J69">
            <v>48.11</v>
          </cell>
          <cell r="K69">
            <v>28.068000000000001</v>
          </cell>
          <cell r="L69">
            <v>0</v>
          </cell>
          <cell r="M69">
            <v>0</v>
          </cell>
          <cell r="N69">
            <v>0</v>
          </cell>
          <cell r="O69">
            <v>7.4</v>
          </cell>
        </row>
        <row r="70">
          <cell r="B70" t="str">
            <v>Total Identifiable raw materials</v>
          </cell>
          <cell r="H70">
            <v>1695.875</v>
          </cell>
          <cell r="I70">
            <v>2081.8969999999999</v>
          </cell>
          <cell r="J70">
            <v>2237.058</v>
          </cell>
          <cell r="K70">
            <v>1980.539</v>
          </cell>
          <cell r="L70">
            <v>2000.4629999999997</v>
          </cell>
          <cell r="M70">
            <v>2085.9700000000003</v>
          </cell>
          <cell r="N70">
            <v>2390.2800000000002</v>
          </cell>
          <cell r="O70">
            <v>2776.83</v>
          </cell>
        </row>
        <row r="71">
          <cell r="B71" t="str">
            <v>Other Raw materials</v>
          </cell>
          <cell r="H71">
            <v>73</v>
          </cell>
          <cell r="I71">
            <v>203</v>
          </cell>
          <cell r="J71">
            <v>176</v>
          </cell>
          <cell r="K71">
            <v>238.19999999999982</v>
          </cell>
          <cell r="L71">
            <v>284.60000000000002</v>
          </cell>
          <cell r="M71">
            <v>298.07</v>
          </cell>
          <cell r="N71">
            <v>388.04</v>
          </cell>
          <cell r="O71">
            <v>442.63</v>
          </cell>
        </row>
        <row r="72">
          <cell r="B72" t="str">
            <v>Total Raw material cost</v>
          </cell>
          <cell r="H72">
            <v>1768.875</v>
          </cell>
          <cell r="I72">
            <v>2284.8969999999999</v>
          </cell>
          <cell r="J72">
            <v>2413.058</v>
          </cell>
          <cell r="K72">
            <v>2218.7389999999996</v>
          </cell>
          <cell r="L72">
            <v>2285.0629999999996</v>
          </cell>
          <cell r="M72">
            <v>2384.0400000000004</v>
          </cell>
          <cell r="N72">
            <v>2778.32</v>
          </cell>
          <cell r="O72">
            <v>3219.46</v>
          </cell>
        </row>
        <row r="73">
          <cell r="B73" t="str">
            <v>Other Raw Materials</v>
          </cell>
          <cell r="I73">
            <v>1.7808219178082192</v>
          </cell>
          <cell r="J73">
            <v>-0.13300492610837433</v>
          </cell>
          <cell r="K73">
            <v>0.3534090909090899</v>
          </cell>
          <cell r="L73">
            <v>0.19479429051217556</v>
          </cell>
          <cell r="M73">
            <v>4.7329585382993589E-2</v>
          </cell>
          <cell r="N73">
            <v>0.30184184923004675</v>
          </cell>
          <cell r="O73">
            <v>0.14068137305432415</v>
          </cell>
        </row>
        <row r="74">
          <cell r="A74" t="str">
            <v>Analysis of Raw Material  Costs</v>
          </cell>
        </row>
        <row r="75">
          <cell r="B75" t="str">
            <v>Quantity consumed</v>
          </cell>
        </row>
        <row r="76">
          <cell r="B76" t="str">
            <v>AluminiumFlouride</v>
          </cell>
        </row>
        <row r="77">
          <cell r="B77" t="str">
            <v>Flourspar/Cryolite</v>
          </cell>
          <cell r="H77">
            <v>5589</v>
          </cell>
          <cell r="I77">
            <v>7102</v>
          </cell>
          <cell r="J77">
            <v>6751</v>
          </cell>
          <cell r="K77">
            <v>7208</v>
          </cell>
          <cell r="L77">
            <v>6581</v>
          </cell>
          <cell r="M77">
            <v>4636</v>
          </cell>
          <cell r="N77">
            <v>4097</v>
          </cell>
          <cell r="O77">
            <v>4154</v>
          </cell>
        </row>
        <row r="78">
          <cell r="B78" t="str">
            <v>Calcined petroleum coke</v>
          </cell>
          <cell r="H78">
            <v>52299</v>
          </cell>
          <cell r="I78">
            <v>58807</v>
          </cell>
          <cell r="J78">
            <v>61136</v>
          </cell>
          <cell r="K78">
            <v>57636</v>
          </cell>
          <cell r="L78">
            <v>62126</v>
          </cell>
          <cell r="M78">
            <v>65535</v>
          </cell>
          <cell r="N78">
            <v>59887</v>
          </cell>
          <cell r="O78">
            <v>76125</v>
          </cell>
        </row>
        <row r="79">
          <cell r="B79" t="str">
            <v>Caustic soda</v>
          </cell>
          <cell r="H79">
            <v>26260</v>
          </cell>
          <cell r="I79">
            <v>33333</v>
          </cell>
          <cell r="J79">
            <v>33301</v>
          </cell>
          <cell r="K79">
            <v>29035</v>
          </cell>
          <cell r="L79">
            <v>32020</v>
          </cell>
          <cell r="M79">
            <v>31459</v>
          </cell>
          <cell r="N79">
            <v>35400</v>
          </cell>
          <cell r="O79">
            <v>40295</v>
          </cell>
        </row>
        <row r="80">
          <cell r="B80" t="str">
            <v>Pitch</v>
          </cell>
          <cell r="H80">
            <v>22863</v>
          </cell>
          <cell r="I80">
            <v>20993</v>
          </cell>
          <cell r="J80">
            <v>20244</v>
          </cell>
          <cell r="K80">
            <v>18723</v>
          </cell>
          <cell r="L80">
            <v>22140</v>
          </cell>
          <cell r="M80">
            <v>21578</v>
          </cell>
          <cell r="N80">
            <v>20164</v>
          </cell>
          <cell r="O80">
            <v>23980</v>
          </cell>
        </row>
        <row r="81">
          <cell r="B81" t="str">
            <v>Bauxite</v>
          </cell>
          <cell r="H81">
            <v>758969</v>
          </cell>
          <cell r="I81">
            <v>833048</v>
          </cell>
          <cell r="J81">
            <v>891907</v>
          </cell>
          <cell r="K81">
            <v>900995</v>
          </cell>
          <cell r="L81">
            <v>877452</v>
          </cell>
          <cell r="M81">
            <v>908421</v>
          </cell>
          <cell r="N81">
            <v>921829</v>
          </cell>
          <cell r="O81">
            <v>990370</v>
          </cell>
        </row>
        <row r="82">
          <cell r="B82" t="str">
            <v>Diesel/Oil</v>
          </cell>
          <cell r="H82">
            <v>40898</v>
          </cell>
          <cell r="I82">
            <v>42837</v>
          </cell>
          <cell r="J82">
            <v>43840</v>
          </cell>
          <cell r="K82">
            <v>43806</v>
          </cell>
          <cell r="L82">
            <v>46171</v>
          </cell>
          <cell r="M82">
            <v>47922</v>
          </cell>
          <cell r="N82">
            <v>47495</v>
          </cell>
          <cell r="O82">
            <v>51981</v>
          </cell>
        </row>
        <row r="83">
          <cell r="B83" t="str">
            <v>Steam coal/Steam</v>
          </cell>
          <cell r="H83">
            <v>368777</v>
          </cell>
          <cell r="I83">
            <v>350617</v>
          </cell>
          <cell r="J83">
            <v>395049</v>
          </cell>
          <cell r="K83">
            <v>319260</v>
          </cell>
          <cell r="L83">
            <v>389849</v>
          </cell>
          <cell r="M83">
            <v>427023</v>
          </cell>
          <cell r="N83">
            <v>430934</v>
          </cell>
          <cell r="O83">
            <v>659481</v>
          </cell>
        </row>
        <row r="84">
          <cell r="B84" t="str">
            <v>Alumina</v>
          </cell>
          <cell r="H84">
            <v>46183</v>
          </cell>
          <cell r="I84">
            <v>36978</v>
          </cell>
          <cell r="J84">
            <v>26181</v>
          </cell>
          <cell r="K84">
            <v>8775</v>
          </cell>
          <cell r="L84">
            <v>0</v>
          </cell>
          <cell r="M84">
            <v>0</v>
          </cell>
          <cell r="N84">
            <v>0</v>
          </cell>
          <cell r="O84">
            <v>21201</v>
          </cell>
        </row>
        <row r="85">
          <cell r="B85" t="str">
            <v>Average cost of Raw material</v>
          </cell>
        </row>
        <row r="86">
          <cell r="B86" t="str">
            <v>AluminiumFlouride</v>
          </cell>
        </row>
        <row r="87">
          <cell r="B87" t="str">
            <v>Flourspar/Cryolite</v>
          </cell>
          <cell r="H87">
            <v>34979.244945428523</v>
          </cell>
          <cell r="I87">
            <v>38756.829062235993</v>
          </cell>
          <cell r="J87">
            <v>40122.648496519032</v>
          </cell>
          <cell r="K87">
            <v>38196.170921198667</v>
          </cell>
          <cell r="L87">
            <v>35532.289925543228</v>
          </cell>
          <cell r="M87">
            <v>38302.415875754959</v>
          </cell>
          <cell r="N87">
            <v>44020.014644862094</v>
          </cell>
          <cell r="O87">
            <v>42727.491574386135</v>
          </cell>
        </row>
        <row r="88">
          <cell r="B88" t="str">
            <v>Calcined petroleum coke</v>
          </cell>
          <cell r="H88">
            <v>6854.719975525345</v>
          </cell>
          <cell r="I88">
            <v>9946.6220007822194</v>
          </cell>
          <cell r="J88">
            <v>9990.3166710285259</v>
          </cell>
          <cell r="K88">
            <v>8457.0407384273713</v>
          </cell>
          <cell r="L88">
            <v>6878.5371664037602</v>
          </cell>
          <cell r="M88">
            <v>6173.3424887464716</v>
          </cell>
          <cell r="N88">
            <v>8254.8800240452856</v>
          </cell>
          <cell r="O88">
            <v>8260.7553366174052</v>
          </cell>
        </row>
        <row r="89">
          <cell r="B89" t="str">
            <v>Caustic soda</v>
          </cell>
          <cell r="H89">
            <v>8524.7524752475256</v>
          </cell>
          <cell r="I89">
            <v>9800.8880088800888</v>
          </cell>
          <cell r="J89">
            <v>12002.222155490826</v>
          </cell>
          <cell r="K89">
            <v>9718.7187876700536</v>
          </cell>
          <cell r="L89">
            <v>11415.708931917552</v>
          </cell>
          <cell r="M89">
            <v>13800.82011507041</v>
          </cell>
          <cell r="N89">
            <v>13793.785310734464</v>
          </cell>
          <cell r="O89">
            <v>11830.500062042436</v>
          </cell>
        </row>
        <row r="90">
          <cell r="B90" t="str">
            <v>Pitch</v>
          </cell>
          <cell r="H90">
            <v>8846.8704894370821</v>
          </cell>
          <cell r="I90">
            <v>10712.427952174534</v>
          </cell>
          <cell r="J90">
            <v>10979.401304090101</v>
          </cell>
          <cell r="K90">
            <v>7747.7434171874165</v>
          </cell>
          <cell r="L90">
            <v>7570.3252032520322</v>
          </cell>
          <cell r="M90">
            <v>9006.8588377050692</v>
          </cell>
          <cell r="N90">
            <v>9346.3598492362635</v>
          </cell>
          <cell r="O90">
            <v>9699.3327773144301</v>
          </cell>
        </row>
        <row r="91">
          <cell r="B91" t="str">
            <v>Bauxite</v>
          </cell>
          <cell r="H91">
            <v>273.27071329659049</v>
          </cell>
          <cell r="I91">
            <v>307.58971871968964</v>
          </cell>
          <cell r="J91">
            <v>372.1038179989618</v>
          </cell>
          <cell r="K91">
            <v>418.95792984422775</v>
          </cell>
          <cell r="L91">
            <v>451.93697205089279</v>
          </cell>
          <cell r="M91">
            <v>499.09678442043941</v>
          </cell>
          <cell r="N91">
            <v>551.5014172910594</v>
          </cell>
          <cell r="O91">
            <v>618.6980623403374</v>
          </cell>
        </row>
        <row r="92">
          <cell r="B92" t="str">
            <v>Diesel/Oil</v>
          </cell>
          <cell r="H92">
            <v>3632.0846985182648</v>
          </cell>
          <cell r="I92">
            <v>4303.2191796811167</v>
          </cell>
          <cell r="J92">
            <v>5135.5155109489051</v>
          </cell>
          <cell r="K92">
            <v>5668.1276537460626</v>
          </cell>
          <cell r="L92">
            <v>5524.8532628706334</v>
          </cell>
          <cell r="M92">
            <v>5443.4289053044531</v>
          </cell>
          <cell r="N92">
            <v>6512.6855458469308</v>
          </cell>
          <cell r="O92">
            <v>6761.1242569400356</v>
          </cell>
        </row>
        <row r="93">
          <cell r="B93" t="str">
            <v>Steam coal/Steam</v>
          </cell>
          <cell r="H93">
            <v>347.66810294568262</v>
          </cell>
          <cell r="I93">
            <v>351.64010872262327</v>
          </cell>
          <cell r="J93">
            <v>324.86096661426808</v>
          </cell>
          <cell r="K93">
            <v>428.1839253273194</v>
          </cell>
          <cell r="L93">
            <v>396.33293916362487</v>
          </cell>
          <cell r="M93">
            <v>377.19279757764804</v>
          </cell>
          <cell r="N93">
            <v>513.07160725308279</v>
          </cell>
          <cell r="O93">
            <v>439.13319716564996</v>
          </cell>
        </row>
        <row r="94">
          <cell r="B94" t="str">
            <v>Alumina</v>
          </cell>
          <cell r="H94">
            <v>5014.7023796635121</v>
          </cell>
          <cell r="I94">
            <v>2873.8979934014819</v>
          </cell>
          <cell r="J94">
            <v>1837.5921469768152</v>
          </cell>
          <cell r="K94">
            <v>3198.6324786324785</v>
          </cell>
          <cell r="N94">
            <v>0</v>
          </cell>
          <cell r="O94">
            <v>349.04013961605585</v>
          </cell>
        </row>
        <row r="95">
          <cell r="B95" t="str">
            <v>Unit growth  %</v>
          </cell>
        </row>
        <row r="96">
          <cell r="B96" t="str">
            <v>AluminiumFlouride</v>
          </cell>
        </row>
        <row r="97">
          <cell r="B97" t="str">
            <v>Flourspar/Cryolite</v>
          </cell>
          <cell r="H97" t="e">
            <v>#DIV/0!</v>
          </cell>
          <cell r="I97">
            <v>0.27071032385042049</v>
          </cell>
          <cell r="J97">
            <v>-4.9422697831596696E-2</v>
          </cell>
          <cell r="K97">
            <v>6.7693675011109455E-2</v>
          </cell>
          <cell r="L97">
            <v>-8.6986681465038851E-2</v>
          </cell>
          <cell r="M97">
            <v>-0.29554778908980395</v>
          </cell>
          <cell r="N97">
            <v>-0.11626402070750652</v>
          </cell>
          <cell r="O97">
            <v>1.3912618989504466E-2</v>
          </cell>
        </row>
        <row r="98">
          <cell r="B98" t="str">
            <v>Calcined petroleum coke</v>
          </cell>
          <cell r="H98" t="e">
            <v>#DIV/0!</v>
          </cell>
          <cell r="I98">
            <v>0.12443832578060765</v>
          </cell>
          <cell r="J98">
            <v>3.9604128760181601E-2</v>
          </cell>
          <cell r="K98">
            <v>-5.7249411148913909E-2</v>
          </cell>
          <cell r="L98">
            <v>7.7902699701575484E-2</v>
          </cell>
          <cell r="M98">
            <v>5.4872356179377357E-2</v>
          </cell>
          <cell r="N98">
            <v>-8.6182955672541417E-2</v>
          </cell>
          <cell r="O98">
            <v>0.27114398784377247</v>
          </cell>
        </row>
        <row r="99">
          <cell r="B99" t="str">
            <v>Caustic soda</v>
          </cell>
          <cell r="H99" t="e">
            <v>#DIV/0!</v>
          </cell>
          <cell r="I99">
            <v>0.26934501142421929</v>
          </cell>
          <cell r="J99">
            <v>-9.6000960009601233E-4</v>
          </cell>
          <cell r="K99">
            <v>-0.12810426113329931</v>
          </cell>
          <cell r="L99">
            <v>0.10280695712071641</v>
          </cell>
          <cell r="M99">
            <v>-1.7520299812617157E-2</v>
          </cell>
          <cell r="N99">
            <v>0.1252741663752821</v>
          </cell>
          <cell r="O99">
            <v>0.13827683615819208</v>
          </cell>
        </row>
        <row r="100">
          <cell r="B100" t="str">
            <v>Pitch</v>
          </cell>
          <cell r="H100" t="e">
            <v>#DIV/0!</v>
          </cell>
          <cell r="I100">
            <v>-8.1791540917639849E-2</v>
          </cell>
          <cell r="J100">
            <v>-3.5678559519839892E-2</v>
          </cell>
          <cell r="K100">
            <v>-7.513337285121513E-2</v>
          </cell>
          <cell r="L100">
            <v>0.18250280403781449</v>
          </cell>
          <cell r="M100">
            <v>-2.5383920505871682E-2</v>
          </cell>
          <cell r="N100">
            <v>-6.5529706182222647E-2</v>
          </cell>
          <cell r="O100">
            <v>0.18924816504661779</v>
          </cell>
        </row>
        <row r="101">
          <cell r="B101" t="str">
            <v>Bauxite</v>
          </cell>
          <cell r="H101" t="e">
            <v>#DIV/0!</v>
          </cell>
          <cell r="I101">
            <v>9.7604777006702559E-2</v>
          </cell>
          <cell r="J101">
            <v>7.0654992269353123E-2</v>
          </cell>
          <cell r="K101">
            <v>1.0189403155261623E-2</v>
          </cell>
          <cell r="L101">
            <v>-2.6130000721424684E-2</v>
          </cell>
          <cell r="M101">
            <v>3.5294238317309601E-2</v>
          </cell>
          <cell r="N101">
            <v>1.475967640554332E-2</v>
          </cell>
          <cell r="O101">
            <v>7.4353269424155766E-2</v>
          </cell>
        </row>
        <row r="102">
          <cell r="B102" t="str">
            <v>Diesel/Oil</v>
          </cell>
          <cell r="H102" t="e">
            <v>#DIV/0!</v>
          </cell>
          <cell r="I102">
            <v>4.7410631326715302E-2</v>
          </cell>
          <cell r="J102">
            <v>2.341433807222737E-2</v>
          </cell>
          <cell r="K102">
            <v>-7.7554744525543118E-4</v>
          </cell>
          <cell r="L102">
            <v>5.3988038168287344E-2</v>
          </cell>
          <cell r="M102">
            <v>3.7924238158151269E-2</v>
          </cell>
          <cell r="N102">
            <v>-8.9103125912941561E-3</v>
          </cell>
          <cell r="O102">
            <v>9.4452047583956311E-2</v>
          </cell>
        </row>
        <row r="103">
          <cell r="B103" t="str">
            <v>Steam coal/Steam</v>
          </cell>
          <cell r="H103" t="e">
            <v>#DIV/0!</v>
          </cell>
          <cell r="I103">
            <v>-4.9243851975584119E-2</v>
          </cell>
          <cell r="J103">
            <v>0.12672517305207687</v>
          </cell>
          <cell r="K103">
            <v>-0.19184708732334466</v>
          </cell>
          <cell r="L103">
            <v>0.22110192319739408</v>
          </cell>
          <cell r="M103">
            <v>9.5354868166905637E-2</v>
          </cell>
          <cell r="N103">
            <v>9.1587572566349529E-3</v>
          </cell>
          <cell r="O103">
            <v>0.53035267581578616</v>
          </cell>
        </row>
        <row r="104">
          <cell r="B104" t="str">
            <v>Alumina</v>
          </cell>
          <cell r="H104" t="e">
            <v>#DIV/0!</v>
          </cell>
          <cell r="I104">
            <v>-0.19931576554143304</v>
          </cell>
          <cell r="J104">
            <v>-0.29198442317053386</v>
          </cell>
          <cell r="K104">
            <v>-0.6648332760398763</v>
          </cell>
          <cell r="L104">
            <v>-1</v>
          </cell>
        </row>
        <row r="105">
          <cell r="B105" t="str">
            <v>Increase in cost per unit %</v>
          </cell>
        </row>
        <row r="106">
          <cell r="B106" t="str">
            <v>AluminiumFlouride</v>
          </cell>
        </row>
        <row r="107">
          <cell r="B107" t="str">
            <v>Flourspar/Cryolite</v>
          </cell>
          <cell r="H107" t="e">
            <v>#DIV/0!</v>
          </cell>
          <cell r="I107">
            <v>0.10799501597878725</v>
          </cell>
          <cell r="J107">
            <v>3.5240742530556313E-2</v>
          </cell>
          <cell r="K107">
            <v>-4.8014716064606278E-2</v>
          </cell>
          <cell r="L107">
            <v>-6.9742095383100278E-2</v>
          </cell>
          <cell r="M107">
            <v>7.79608056789034E-2</v>
          </cell>
          <cell r="N107">
            <v>0.14927514722971602</v>
          </cell>
          <cell r="O107">
            <v>-2.936216811610759E-2</v>
          </cell>
        </row>
        <row r="108">
          <cell r="B108" t="str">
            <v>Calcined petroleum coke</v>
          </cell>
          <cell r="H108" t="e">
            <v>#DIV/0!</v>
          </cell>
          <cell r="I108">
            <v>0.45106175544682436</v>
          </cell>
          <cell r="J108">
            <v>4.3929155287967259E-3</v>
          </cell>
          <cell r="K108">
            <v>-0.15347620932253192</v>
          </cell>
          <cell r="L108">
            <v>-0.18664963559311665</v>
          </cell>
          <cell r="M108">
            <v>-0.10252102454306844</v>
          </cell>
          <cell r="N108">
            <v>0.33718160608994174</v>
          </cell>
          <cell r="O108">
            <v>7.1173809371005703E-4</v>
          </cell>
        </row>
        <row r="109">
          <cell r="B109" t="str">
            <v>Caustic soda</v>
          </cell>
          <cell r="H109" t="e">
            <v>#DIV/0!</v>
          </cell>
          <cell r="I109">
            <v>0.14969766422402886</v>
          </cell>
          <cell r="J109">
            <v>0.22460558110818329</v>
          </cell>
          <cell r="K109">
            <v>-0.1902567156512851</v>
          </cell>
          <cell r="L109">
            <v>0.17461047915085648</v>
          </cell>
          <cell r="M109">
            <v>0.20893237532399311</v>
          </cell>
          <cell r="N109">
            <v>-5.097381371027554E-4</v>
          </cell>
          <cell r="O109">
            <v>-0.14233114438602856</v>
          </cell>
        </row>
        <row r="110">
          <cell r="B110" t="str">
            <v>Pitch</v>
          </cell>
          <cell r="H110" t="e">
            <v>#DIV/0!</v>
          </cell>
          <cell r="I110">
            <v>0.21087202135092586</v>
          </cell>
          <cell r="J110">
            <v>2.4921834070433357E-2</v>
          </cell>
          <cell r="K110">
            <v>-0.29433826102146488</v>
          </cell>
          <cell r="L110">
            <v>-2.2899340412048774E-2</v>
          </cell>
          <cell r="M110">
            <v>0.18975851048458736</v>
          </cell>
          <cell r="N110">
            <v>3.7693608576383486E-2</v>
          </cell>
          <cell r="O110">
            <v>3.7765818326266354E-2</v>
          </cell>
        </row>
        <row r="111">
          <cell r="B111" t="str">
            <v>Bauxite</v>
          </cell>
          <cell r="H111" t="e">
            <v>#DIV/0!</v>
          </cell>
          <cell r="I111">
            <v>0.12558610840178663</v>
          </cell>
          <cell r="J111">
            <v>0.20974075319489027</v>
          </cell>
          <cell r="K111">
            <v>0.12591677262875245</v>
          </cell>
          <cell r="L111">
            <v>7.8716834931199298E-2</v>
          </cell>
          <cell r="M111">
            <v>0.10435041894345365</v>
          </cell>
          <cell r="N111">
            <v>0.10499893909649849</v>
          </cell>
          <cell r="O111">
            <v>0.12184310491774197</v>
          </cell>
        </row>
        <row r="112">
          <cell r="B112" t="str">
            <v>Diesel/Oil</v>
          </cell>
          <cell r="H112" t="e">
            <v>#DIV/0!</v>
          </cell>
          <cell r="I112">
            <v>0.18477941371704421</v>
          </cell>
          <cell r="J112">
            <v>0.19341248877066608</v>
          </cell>
          <cell r="K112">
            <v>0.10371152451231613</v>
          </cell>
          <cell r="L112">
            <v>-2.5277199037805564E-2</v>
          </cell>
          <cell r="M112">
            <v>-1.4737831701954307E-2</v>
          </cell>
          <cell r="N112">
            <v>0.19643071658390188</v>
          </cell>
          <cell r="O112">
            <v>3.8146891838119146E-2</v>
          </cell>
        </row>
        <row r="113">
          <cell r="B113" t="str">
            <v>Steam coal/Steam</v>
          </cell>
          <cell r="H113" t="e">
            <v>#DIV/0!</v>
          </cell>
          <cell r="I113">
            <v>1.1424705756113651E-2</v>
          </cell>
          <cell r="J113">
            <v>-7.6154970505593833E-2</v>
          </cell>
          <cell r="K113">
            <v>0.31805285747282297</v>
          </cell>
          <cell r="L113">
            <v>-7.4386225824209729E-2</v>
          </cell>
          <cell r="M113">
            <v>-4.8293088195919265E-2</v>
          </cell>
          <cell r="N113">
            <v>0.36023702082345044</v>
          </cell>
          <cell r="O113">
            <v>-0.14410933881780996</v>
          </cell>
        </row>
        <row r="114">
          <cell r="B114" t="str">
            <v>Alumina</v>
          </cell>
          <cell r="H114" t="e">
            <v>#DIV/0!</v>
          </cell>
          <cell r="I114">
            <v>-0.42690557169330534</v>
          </cell>
          <cell r="J114">
            <v>-0.3605924249239334</v>
          </cell>
          <cell r="K114">
            <v>0.7406650784260429</v>
          </cell>
        </row>
        <row r="115">
          <cell r="B115" t="str">
            <v>Tonnes of raw material consumed per tonne of primary metal</v>
          </cell>
        </row>
        <row r="116">
          <cell r="B116" t="str">
            <v>Primary metal production tonnes</v>
          </cell>
          <cell r="H116">
            <v>139762</v>
          </cell>
          <cell r="I116">
            <v>166197</v>
          </cell>
          <cell r="J116">
            <v>163485</v>
          </cell>
          <cell r="K116">
            <v>155761</v>
          </cell>
          <cell r="L116">
            <v>164280</v>
          </cell>
          <cell r="M116">
            <v>175398</v>
          </cell>
          <cell r="N116">
            <v>166272</v>
          </cell>
          <cell r="O116">
            <v>200304</v>
          </cell>
        </row>
        <row r="117">
          <cell r="B117" t="str">
            <v>Add: Opening stock of primary metal</v>
          </cell>
          <cell r="J117">
            <v>1403</v>
          </cell>
          <cell r="K117">
            <v>1126</v>
          </cell>
          <cell r="L117">
            <v>1126</v>
          </cell>
          <cell r="M117">
            <v>2247</v>
          </cell>
          <cell r="N117">
            <v>4405</v>
          </cell>
          <cell r="O117">
            <v>1542</v>
          </cell>
        </row>
        <row r="118">
          <cell r="B118" t="str">
            <v>Less: Sales</v>
          </cell>
          <cell r="H118">
            <v>55626</v>
          </cell>
          <cell r="I118">
            <v>70380</v>
          </cell>
          <cell r="J118">
            <v>79173</v>
          </cell>
          <cell r="K118">
            <v>71210</v>
          </cell>
          <cell r="L118">
            <v>66985</v>
          </cell>
          <cell r="M118">
            <v>81454</v>
          </cell>
          <cell r="N118">
            <v>92329</v>
          </cell>
          <cell r="O118">
            <v>96506</v>
          </cell>
        </row>
        <row r="119">
          <cell r="B119" t="str">
            <v>Less: Closing stock</v>
          </cell>
          <cell r="J119">
            <v>1126</v>
          </cell>
          <cell r="K119">
            <v>1126</v>
          </cell>
          <cell r="L119">
            <v>2247</v>
          </cell>
          <cell r="M119">
            <v>4405</v>
          </cell>
          <cell r="N119">
            <v>1542</v>
          </cell>
          <cell r="O119">
            <v>3230</v>
          </cell>
        </row>
        <row r="120">
          <cell r="B120" t="str">
            <v>Primary metal used for downstream</v>
          </cell>
          <cell r="J120">
            <v>84589</v>
          </cell>
          <cell r="K120">
            <v>84551</v>
          </cell>
          <cell r="L120">
            <v>96174</v>
          </cell>
          <cell r="M120">
            <v>91786</v>
          </cell>
          <cell r="N120">
            <v>76806</v>
          </cell>
          <cell r="O120">
            <v>102110</v>
          </cell>
        </row>
        <row r="121">
          <cell r="B121" t="str">
            <v>Downstream products produced</v>
          </cell>
        </row>
        <row r="122">
          <cell r="B122" t="str">
            <v>Rolled products</v>
          </cell>
          <cell r="H122">
            <v>27762</v>
          </cell>
          <cell r="I122">
            <v>31529</v>
          </cell>
          <cell r="J122">
            <v>30740</v>
          </cell>
          <cell r="K122">
            <v>38202</v>
          </cell>
          <cell r="L122">
            <v>31794</v>
          </cell>
          <cell r="M122">
            <v>18980</v>
          </cell>
          <cell r="N122">
            <v>32954</v>
          </cell>
          <cell r="O122">
            <v>41439</v>
          </cell>
        </row>
        <row r="123">
          <cell r="B123" t="str">
            <v>Extruded products</v>
          </cell>
          <cell r="H123">
            <v>8652</v>
          </cell>
          <cell r="I123">
            <v>10385</v>
          </cell>
          <cell r="J123">
            <v>9807</v>
          </cell>
          <cell r="K123">
            <v>10400</v>
          </cell>
          <cell r="L123">
            <v>12517</v>
          </cell>
          <cell r="M123">
            <v>11854</v>
          </cell>
          <cell r="N123">
            <v>12503</v>
          </cell>
          <cell r="O123">
            <v>11664</v>
          </cell>
        </row>
        <row r="124">
          <cell r="B124" t="str">
            <v>Conductor redraw rods</v>
          </cell>
          <cell r="H124">
            <v>33436</v>
          </cell>
          <cell r="I124">
            <v>42329</v>
          </cell>
          <cell r="J124">
            <v>40225</v>
          </cell>
          <cell r="K124">
            <v>44454</v>
          </cell>
          <cell r="L124">
            <v>46735</v>
          </cell>
          <cell r="M124">
            <v>42254</v>
          </cell>
          <cell r="N124">
            <v>46024</v>
          </cell>
          <cell r="O124">
            <v>51031</v>
          </cell>
        </row>
        <row r="125">
          <cell r="B125" t="str">
            <v>Total</v>
          </cell>
          <cell r="H125">
            <v>69850</v>
          </cell>
          <cell r="I125">
            <v>84243</v>
          </cell>
          <cell r="J125">
            <v>80772</v>
          </cell>
          <cell r="K125">
            <v>93056</v>
          </cell>
          <cell r="L125">
            <v>91046</v>
          </cell>
          <cell r="M125">
            <v>73088</v>
          </cell>
          <cell r="N125">
            <v>91481</v>
          </cell>
          <cell r="O125">
            <v>104134</v>
          </cell>
        </row>
        <row r="126">
          <cell r="B126" t="str">
            <v>Input as a % to output</v>
          </cell>
          <cell r="J126">
            <v>1.0472564750160946</v>
          </cell>
          <cell r="K126">
            <v>0.90860342159559837</v>
          </cell>
          <cell r="L126">
            <v>1.0563231772949937</v>
          </cell>
          <cell r="M126">
            <v>1.2558285901926445</v>
          </cell>
          <cell r="N126">
            <v>0.83958417594910417</v>
          </cell>
          <cell r="O126">
            <v>0.98056350471507869</v>
          </cell>
        </row>
        <row r="127">
          <cell r="B127" t="str">
            <v>AluminiumFlouride</v>
          </cell>
        </row>
        <row r="128">
          <cell r="B128" t="str">
            <v>Flourspar/Cryolite</v>
          </cell>
          <cell r="H128">
            <v>3.9989410569396547E-2</v>
          </cell>
          <cell r="I128">
            <v>4.2732419959445718E-2</v>
          </cell>
          <cell r="J128">
            <v>4.1294308346331465E-2</v>
          </cell>
          <cell r="K128">
            <v>4.6276025449245958E-2</v>
          </cell>
          <cell r="L128">
            <v>4.0059654248843439E-2</v>
          </cell>
          <cell r="M128">
            <v>2.6431316206570202E-2</v>
          </cell>
          <cell r="N128">
            <v>2.4640348344880679E-2</v>
          </cell>
          <cell r="O128">
            <v>2.0738477514178448E-2</v>
          </cell>
        </row>
        <row r="129">
          <cell r="B129" t="str">
            <v>Calcined petroleum coke</v>
          </cell>
          <cell r="H129">
            <v>0.3742004264392324</v>
          </cell>
          <cell r="I129">
            <v>0.35383911863631712</v>
          </cell>
          <cell r="J129">
            <v>0.37395479707618434</v>
          </cell>
          <cell r="K129">
            <v>0.37002844100898169</v>
          </cell>
          <cell r="L129">
            <v>0.37817141465790116</v>
          </cell>
          <cell r="M129">
            <v>0.37363595936099614</v>
          </cell>
          <cell r="N129">
            <v>0.36017489414934567</v>
          </cell>
          <cell r="O129">
            <v>0.38004732806134678</v>
          </cell>
        </row>
        <row r="130">
          <cell r="B130" t="str">
            <v>Caustic soda</v>
          </cell>
          <cell r="H130">
            <v>0.18789084300453629</v>
          </cell>
          <cell r="I130">
            <v>0.20056318706113829</v>
          </cell>
          <cell r="J130">
            <v>0.20369452855001988</v>
          </cell>
          <cell r="K130">
            <v>0.18640738053813213</v>
          </cell>
          <cell r="L130">
            <v>0.19491112734355978</v>
          </cell>
          <cell r="M130">
            <v>0.17935780339570576</v>
          </cell>
          <cell r="N130">
            <v>0.21290415704387991</v>
          </cell>
          <cell r="O130">
            <v>0.20116922278137231</v>
          </cell>
        </row>
        <row r="131">
          <cell r="B131" t="str">
            <v>Pitch</v>
          </cell>
          <cell r="H131">
            <v>0.16358523776133713</v>
          </cell>
          <cell r="I131">
            <v>0.12631395271876147</v>
          </cell>
          <cell r="J131">
            <v>0.12382787411689146</v>
          </cell>
          <cell r="K131">
            <v>0.12020338852472699</v>
          </cell>
          <cell r="L131">
            <v>0.1347699050401753</v>
          </cell>
          <cell r="M131">
            <v>0.12302306753782825</v>
          </cell>
          <cell r="N131">
            <v>0.1212711701308699</v>
          </cell>
          <cell r="O131">
            <v>0.11971802859653327</v>
          </cell>
        </row>
        <row r="132">
          <cell r="B132" t="str">
            <v>Bauxite</v>
          </cell>
          <cell r="H132">
            <v>5.4304388889683892</v>
          </cell>
          <cell r="I132">
            <v>5.0124129797770118</v>
          </cell>
          <cell r="J132">
            <v>5.4555891977857298</v>
          </cell>
          <cell r="K132">
            <v>5.7844710806941402</v>
          </cell>
          <cell r="L132">
            <v>5.3411979547114683</v>
          </cell>
          <cell r="M132">
            <v>5.1791981664557181</v>
          </cell>
          <cell r="N132">
            <v>5.5441024345650503</v>
          </cell>
          <cell r="O132">
            <v>4.9443346113906861</v>
          </cell>
        </row>
        <row r="133">
          <cell r="B133" t="str">
            <v>Diesel/Oil</v>
          </cell>
          <cell r="H133">
            <v>0.29262603568924317</v>
          </cell>
          <cell r="I133">
            <v>0.25774833480748749</v>
          </cell>
          <cell r="J133">
            <v>0.26815915833256876</v>
          </cell>
          <cell r="K133">
            <v>0.28123856421055332</v>
          </cell>
          <cell r="L133">
            <v>0.28105064523983442</v>
          </cell>
          <cell r="M133">
            <v>0.27321862278931347</v>
          </cell>
          <cell r="N133">
            <v>0.28564641070053887</v>
          </cell>
          <cell r="O133">
            <v>0.25951054397316081</v>
          </cell>
        </row>
        <row r="134">
          <cell r="B134" t="str">
            <v>Steam coal/Steam</v>
          </cell>
          <cell r="H134">
            <v>2.638607060574405</v>
          </cell>
          <cell r="I134">
            <v>2.1096469852043058</v>
          </cell>
          <cell r="J134">
            <v>2.4164235250940451</v>
          </cell>
          <cell r="K134">
            <v>2.0496786743793374</v>
          </cell>
          <cell r="L134">
            <v>2.3730764548332117</v>
          </cell>
          <cell r="M134">
            <v>2.4345944651592379</v>
          </cell>
          <cell r="N134">
            <v>2.5917412432640492</v>
          </cell>
          <cell r="O134">
            <v>3.2924005511622334</v>
          </cell>
        </row>
        <row r="135">
          <cell r="B135" t="str">
            <v>Alumina</v>
          </cell>
          <cell r="H135">
            <v>0.33044031997252471</v>
          </cell>
          <cell r="I135">
            <v>0.22249499088431199</v>
          </cell>
          <cell r="J135">
            <v>0.16014313239746766</v>
          </cell>
          <cell r="K135">
            <v>5.6336310116139467E-2</v>
          </cell>
          <cell r="L135">
            <v>0</v>
          </cell>
          <cell r="M135">
            <v>0</v>
          </cell>
          <cell r="N135">
            <v>0</v>
          </cell>
          <cell r="O135">
            <v>0.10584411694224778</v>
          </cell>
        </row>
        <row r="136">
          <cell r="B136" t="str">
            <v>Note: Other Raw materials is net of adjustnemts for intermediate raw materials</v>
          </cell>
        </row>
        <row r="139">
          <cell r="A139" t="str">
            <v>HINDALCO INDUSTRIES</v>
          </cell>
        </row>
        <row r="140">
          <cell r="N140">
            <v>37004.656553472225</v>
          </cell>
          <cell r="O140">
            <v>37004.656553472225</v>
          </cell>
        </row>
        <row r="141">
          <cell r="A141" t="str">
            <v>Year ended 31st March</v>
          </cell>
          <cell r="G141">
            <v>1990</v>
          </cell>
          <cell r="H141">
            <v>1991</v>
          </cell>
          <cell r="I141">
            <v>1992</v>
          </cell>
          <cell r="J141">
            <v>1993</v>
          </cell>
          <cell r="K141">
            <v>1994</v>
          </cell>
          <cell r="L141">
            <v>1995</v>
          </cell>
          <cell r="M141">
            <v>1996</v>
          </cell>
          <cell r="N141">
            <v>1997</v>
          </cell>
          <cell r="O141">
            <v>1998</v>
          </cell>
        </row>
        <row r="143">
          <cell r="B143" t="str">
            <v>Bought out PowerRs.</v>
          </cell>
          <cell r="G143">
            <v>173.45000000000005</v>
          </cell>
          <cell r="H143">
            <v>200.43000000000006</v>
          </cell>
          <cell r="I143">
            <v>321</v>
          </cell>
          <cell r="J143">
            <v>503.00000000000006</v>
          </cell>
          <cell r="K143">
            <v>446.67895027624309</v>
          </cell>
          <cell r="L143">
            <v>495.19674000000003</v>
          </cell>
          <cell r="M143">
            <v>787.5</v>
          </cell>
          <cell r="N143">
            <v>658.02304000000004</v>
          </cell>
          <cell r="O143">
            <v>551.96550000000002</v>
          </cell>
        </row>
        <row r="144">
          <cell r="B144" t="str">
            <v>Own GenerationRs.</v>
          </cell>
          <cell r="G144">
            <v>1085.55</v>
          </cell>
          <cell r="H144">
            <v>1152.57</v>
          </cell>
          <cell r="I144">
            <v>1420.0000000000002</v>
          </cell>
          <cell r="J144">
            <v>1169</v>
          </cell>
          <cell r="K144">
            <v>1273.1311221574858</v>
          </cell>
          <cell r="L144">
            <v>1497.1877325522291</v>
          </cell>
          <cell r="M144">
            <v>1695.3122474431975</v>
          </cell>
          <cell r="N144">
            <v>1713.8335303534473</v>
          </cell>
          <cell r="O144">
            <v>2430.6310778703723</v>
          </cell>
        </row>
        <row r="145">
          <cell r="B145" t="str">
            <v>Total Power Cost</v>
          </cell>
          <cell r="G145">
            <v>1259</v>
          </cell>
          <cell r="H145">
            <v>1353</v>
          </cell>
          <cell r="I145">
            <v>1741.0000000000002</v>
          </cell>
          <cell r="J145">
            <v>1672</v>
          </cell>
          <cell r="K145">
            <v>1719.8100724337289</v>
          </cell>
          <cell r="L145">
            <v>1992.3844725522292</v>
          </cell>
          <cell r="M145">
            <v>2482.8122474431975</v>
          </cell>
          <cell r="N145">
            <v>2371.8565703534473</v>
          </cell>
          <cell r="O145">
            <v>2982.5965778703721</v>
          </cell>
        </row>
        <row r="147">
          <cell r="B147" t="str">
            <v>Bought out Power mlln units</v>
          </cell>
          <cell r="G147">
            <v>102</v>
          </cell>
          <cell r="H147">
            <v>106</v>
          </cell>
          <cell r="I147">
            <v>204</v>
          </cell>
          <cell r="J147">
            <v>239</v>
          </cell>
          <cell r="K147">
            <v>180.87</v>
          </cell>
          <cell r="L147">
            <v>161.82900000000001</v>
          </cell>
          <cell r="M147">
            <v>315</v>
          </cell>
          <cell r="N147">
            <v>189.63200000000001</v>
          </cell>
          <cell r="O147">
            <v>122.65900000000001</v>
          </cell>
        </row>
        <row r="148">
          <cell r="B148" t="str">
            <v>Own Generation million units</v>
          </cell>
          <cell r="G148">
            <v>2193</v>
          </cell>
          <cell r="H148">
            <v>2305</v>
          </cell>
          <cell r="I148">
            <v>2525</v>
          </cell>
          <cell r="J148">
            <v>2433</v>
          </cell>
          <cell r="K148">
            <v>2371.66</v>
          </cell>
          <cell r="L148">
            <v>2578.8510000000001</v>
          </cell>
          <cell r="M148">
            <v>2658.43</v>
          </cell>
          <cell r="N148">
            <v>2554.3856000000001</v>
          </cell>
          <cell r="O148">
            <v>3083.85</v>
          </cell>
        </row>
        <row r="149">
          <cell r="B149" t="str">
            <v>Total Power utilised</v>
          </cell>
          <cell r="G149">
            <v>2295</v>
          </cell>
          <cell r="H149">
            <v>2411</v>
          </cell>
          <cell r="I149">
            <v>2729</v>
          </cell>
          <cell r="J149">
            <v>2672</v>
          </cell>
          <cell r="K149">
            <v>2552.5299999999997</v>
          </cell>
          <cell r="L149">
            <v>2740.6800000000003</v>
          </cell>
          <cell r="M149">
            <v>2973.43</v>
          </cell>
          <cell r="N149">
            <v>2744.0176000000001</v>
          </cell>
          <cell r="O149">
            <v>3206.509</v>
          </cell>
        </row>
        <row r="151">
          <cell r="B151" t="str">
            <v>Purchased power</v>
          </cell>
          <cell r="G151">
            <v>1.7004901960784318</v>
          </cell>
          <cell r="H151">
            <v>1.8908490566037741</v>
          </cell>
          <cell r="I151">
            <v>1.5735294117647058</v>
          </cell>
          <cell r="J151">
            <v>2.1046025104602513</v>
          </cell>
          <cell r="K151">
            <v>2.4696132596685083</v>
          </cell>
          <cell r="L151">
            <v>3.06</v>
          </cell>
          <cell r="M151">
            <v>2.5</v>
          </cell>
          <cell r="N151">
            <v>3.47</v>
          </cell>
          <cell r="O151">
            <v>4.5</v>
          </cell>
        </row>
        <row r="152">
          <cell r="B152" t="str">
            <v>Captive generation</v>
          </cell>
          <cell r="G152">
            <v>0.49500683994528044</v>
          </cell>
          <cell r="H152">
            <v>0.50003036876355744</v>
          </cell>
          <cell r="I152">
            <v>0.56237623762376243</v>
          </cell>
          <cell r="J152">
            <v>0.48047677764077273</v>
          </cell>
          <cell r="K152">
            <v>0.53681013389671617</v>
          </cell>
          <cell r="L152">
            <v>0.58056387614182792</v>
          </cell>
          <cell r="M152">
            <v>0.63771182519125857</v>
          </cell>
          <cell r="N152">
            <v>0.67093767297836604</v>
          </cell>
          <cell r="O152">
            <v>0.78818070848788768</v>
          </cell>
        </row>
        <row r="153">
          <cell r="B153" t="str">
            <v>Average Cost of Power</v>
          </cell>
          <cell r="G153">
            <v>0.54858387799564268</v>
          </cell>
          <cell r="H153">
            <v>0.56117793446702613</v>
          </cell>
          <cell r="I153">
            <v>0.63796262367167467</v>
          </cell>
          <cell r="J153">
            <v>0.62574850299401197</v>
          </cell>
          <cell r="K153">
            <v>0.67376684012870725</v>
          </cell>
          <cell r="L153">
            <v>0.72696720250165248</v>
          </cell>
          <cell r="M153">
            <v>0.83499939377863197</v>
          </cell>
          <cell r="N153">
            <v>0.86437367251341501</v>
          </cell>
          <cell r="O153">
            <v>0.93016940787328906</v>
          </cell>
        </row>
        <row r="154">
          <cell r="B154" t="str">
            <v>Power for alumina</v>
          </cell>
          <cell r="N154">
            <v>91</v>
          </cell>
          <cell r="O154">
            <v>104</v>
          </cell>
        </row>
        <row r="155">
          <cell r="B155" t="str">
            <v>Power for fab prod</v>
          </cell>
          <cell r="N155">
            <v>50.876100000000001</v>
          </cell>
          <cell r="O155">
            <v>61.730606000000002</v>
          </cell>
        </row>
        <row r="156">
          <cell r="B156" t="str">
            <v>Power generated through cogen</v>
          </cell>
          <cell r="N156">
            <v>2.6829999999999998</v>
          </cell>
          <cell r="O156">
            <v>197.78100000000001</v>
          </cell>
        </row>
        <row r="158">
          <cell r="B158" t="str">
            <v>Volume Growth %</v>
          </cell>
        </row>
        <row r="159">
          <cell r="C159" t="str">
            <v>Bought Out Power</v>
          </cell>
          <cell r="H159">
            <v>3.9215686274509887E-2</v>
          </cell>
          <cell r="I159">
            <v>0.92452830188679247</v>
          </cell>
          <cell r="J159">
            <v>0.17156862745098045</v>
          </cell>
          <cell r="K159">
            <v>-0.24322175732217566</v>
          </cell>
          <cell r="L159">
            <v>-0.10527450655166692</v>
          </cell>
          <cell r="M159">
            <v>0.94649908236471814</v>
          </cell>
          <cell r="N159">
            <v>-0.39799365079365079</v>
          </cell>
          <cell r="O159">
            <v>-0.3531735150185622</v>
          </cell>
        </row>
        <row r="160">
          <cell r="C160" t="str">
            <v>Own Generation</v>
          </cell>
          <cell r="H160">
            <v>5.1071591427268581E-2</v>
          </cell>
          <cell r="I160">
            <v>9.5444685466377521E-2</v>
          </cell>
          <cell r="J160">
            <v>-3.6435643564356468E-2</v>
          </cell>
          <cell r="K160">
            <v>-2.5211672831894849E-2</v>
          </cell>
          <cell r="L160">
            <v>8.7361173186713215E-2</v>
          </cell>
          <cell r="M160">
            <v>3.0858316358719273E-2</v>
          </cell>
          <cell r="N160">
            <v>-3.9137536064519196E-2</v>
          </cell>
          <cell r="O160">
            <v>0.20727661477578008</v>
          </cell>
        </row>
        <row r="162">
          <cell r="B162" t="str">
            <v>UnitCost growth %</v>
          </cell>
        </row>
        <row r="163">
          <cell r="C163" t="str">
            <v>Bought Out Power</v>
          </cell>
          <cell r="H163">
            <v>0.1119435213236375</v>
          </cell>
          <cell r="I163">
            <v>-0.16781860177089869</v>
          </cell>
          <cell r="J163">
            <v>0.33750439917100095</v>
          </cell>
          <cell r="K163">
            <v>0.17343453093593131</v>
          </cell>
          <cell r="L163">
            <v>0.23906040268456374</v>
          </cell>
          <cell r="M163">
            <v>-0.18300653594771243</v>
          </cell>
          <cell r="N163">
            <v>0.38800000000000012</v>
          </cell>
          <cell r="O163">
            <v>0.29682997118155607</v>
          </cell>
        </row>
        <row r="164">
          <cell r="C164" t="str">
            <v>Own Generation</v>
          </cell>
          <cell r="H164">
            <v>1.0148402835872483E-2</v>
          </cell>
          <cell r="I164">
            <v>0.12468416471257493</v>
          </cell>
          <cell r="J164">
            <v>-0.14563108201200636</v>
          </cell>
          <cell r="K164">
            <v>0.11724470125809261</v>
          </cell>
          <cell r="L164">
            <v>8.1506922992497177E-2</v>
          </cell>
          <cell r="M164">
            <v>9.8435247864904651E-2</v>
          </cell>
          <cell r="N164">
            <v>5.2101664850173535E-2</v>
          </cell>
          <cell r="O164">
            <v>0.17474504746330144</v>
          </cell>
        </row>
        <row r="166">
          <cell r="B166" t="str">
            <v>Average Power consumption</v>
          </cell>
          <cell r="H166">
            <v>17250.754854681531</v>
          </cell>
          <cell r="I166">
            <v>16420.272327418665</v>
          </cell>
          <cell r="J166">
            <v>16344.007095452182</v>
          </cell>
          <cell r="K166">
            <v>16387.47825193726</v>
          </cell>
          <cell r="L166">
            <v>16682.980277574876</v>
          </cell>
          <cell r="M166">
            <v>16952.473802437886</v>
          </cell>
          <cell r="N166">
            <v>16503.185142417246</v>
          </cell>
          <cell r="O166">
            <v>16008.212516974199</v>
          </cell>
        </row>
        <row r="168">
          <cell r="B168" t="str">
            <v>Power generated by Renusagar Power Supply co</v>
          </cell>
        </row>
        <row r="169">
          <cell r="L169">
            <v>233</v>
          </cell>
          <cell r="M169">
            <v>88</v>
          </cell>
          <cell r="N169">
            <v>-36</v>
          </cell>
          <cell r="O169">
            <v>514</v>
          </cell>
        </row>
        <row r="170">
          <cell r="C170" t="str">
            <v>Million units</v>
          </cell>
          <cell r="L170">
            <v>206.85100000000011</v>
          </cell>
          <cell r="M170">
            <v>79.578999999999724</v>
          </cell>
          <cell r="N170">
            <v>-104.04439999999977</v>
          </cell>
          <cell r="O170">
            <v>529.46439999999984</v>
          </cell>
        </row>
        <row r="171">
          <cell r="C171" t="str">
            <v>Production</v>
          </cell>
          <cell r="G171">
            <v>2470.1210000000001</v>
          </cell>
          <cell r="H171">
            <v>2603</v>
          </cell>
          <cell r="I171">
            <v>2851</v>
          </cell>
          <cell r="J171">
            <v>2740</v>
          </cell>
          <cell r="K171">
            <v>2666</v>
          </cell>
          <cell r="L171">
            <v>2899</v>
          </cell>
          <cell r="M171">
            <v>2987</v>
          </cell>
          <cell r="N171">
            <v>2951</v>
          </cell>
          <cell r="O171">
            <v>3465</v>
          </cell>
        </row>
        <row r="172">
          <cell r="C172" t="str">
            <v>Sales</v>
          </cell>
          <cell r="G172">
            <v>2192.8009999999999</v>
          </cell>
          <cell r="H172">
            <v>2305</v>
          </cell>
          <cell r="I172">
            <v>2525</v>
          </cell>
          <cell r="J172">
            <v>2433</v>
          </cell>
          <cell r="K172">
            <v>2372</v>
          </cell>
          <cell r="L172">
            <v>2578.8510000000001</v>
          </cell>
          <cell r="M172">
            <v>2658.43</v>
          </cell>
          <cell r="N172">
            <v>2554.3856000000001</v>
          </cell>
          <cell r="O172">
            <v>3083.85</v>
          </cell>
        </row>
        <row r="173">
          <cell r="C173" t="str">
            <v>Volume growth</v>
          </cell>
          <cell r="H173">
            <v>5.1166977760407795E-2</v>
          </cell>
          <cell r="I173">
            <v>9.5444685466377521E-2</v>
          </cell>
          <cell r="J173">
            <v>-3.6435643564356468E-2</v>
          </cell>
          <cell r="K173">
            <v>-2.507192766132349E-2</v>
          </cell>
          <cell r="L173">
            <v>8.7205311973018507E-2</v>
          </cell>
          <cell r="M173">
            <v>3.0858316358719273E-2</v>
          </cell>
          <cell r="N173">
            <v>-3.9137536064519196E-2</v>
          </cell>
          <cell r="O173">
            <v>0.20727661477578008</v>
          </cell>
        </row>
        <row r="174">
          <cell r="C174" t="str">
            <v>Realisation per unit</v>
          </cell>
          <cell r="G174">
            <v>0.49504948237436963</v>
          </cell>
          <cell r="H174">
            <v>0.50003036876355744</v>
          </cell>
          <cell r="I174">
            <v>0.55876831683168315</v>
          </cell>
          <cell r="J174" t="str">
            <v>Merged With Parent company</v>
          </cell>
        </row>
        <row r="175">
          <cell r="C175" t="str">
            <v>Sales as a % of generation</v>
          </cell>
          <cell r="G175">
            <v>0.88773019621305993</v>
          </cell>
          <cell r="H175">
            <v>0.88551671148674604</v>
          </cell>
          <cell r="I175">
            <v>0.88565415643633816</v>
          </cell>
          <cell r="J175">
            <v>0.88795620437956202</v>
          </cell>
          <cell r="K175">
            <v>0.88972243060765188</v>
          </cell>
          <cell r="L175">
            <v>0.88956571231459125</v>
          </cell>
          <cell r="M175">
            <v>0.89</v>
          </cell>
          <cell r="N175">
            <v>0.86560000000000004</v>
          </cell>
          <cell r="O175">
            <v>0.89</v>
          </cell>
        </row>
        <row r="177">
          <cell r="C177" t="str">
            <v xml:space="preserve">Raw materials  </v>
          </cell>
        </row>
        <row r="178">
          <cell r="C178" t="str">
            <v>Coal in tonnes</v>
          </cell>
          <cell r="G178">
            <v>2079302</v>
          </cell>
          <cell r="H178">
            <v>2240501</v>
          </cell>
          <cell r="I178">
            <v>2685810</v>
          </cell>
          <cell r="J178">
            <v>2535856</v>
          </cell>
          <cell r="K178">
            <v>2407156</v>
          </cell>
          <cell r="L178">
            <v>2694391</v>
          </cell>
          <cell r="M178">
            <v>2899636</v>
          </cell>
          <cell r="N178">
            <v>2638081</v>
          </cell>
          <cell r="O178">
            <v>3091747</v>
          </cell>
        </row>
        <row r="179">
          <cell r="C179" t="str">
            <v>Oil/Diesel in KL</v>
          </cell>
          <cell r="G179">
            <v>2267</v>
          </cell>
          <cell r="H179">
            <v>1983</v>
          </cell>
          <cell r="I179">
            <v>3010</v>
          </cell>
          <cell r="J179">
            <v>1816</v>
          </cell>
          <cell r="K179">
            <v>1776</v>
          </cell>
          <cell r="L179">
            <v>1932</v>
          </cell>
          <cell r="M179">
            <v>1448</v>
          </cell>
          <cell r="N179">
            <v>2146</v>
          </cell>
          <cell r="O179">
            <v>3783</v>
          </cell>
        </row>
        <row r="180">
          <cell r="C180" t="str">
            <v>Water in KL</v>
          </cell>
          <cell r="G180">
            <v>3358</v>
          </cell>
          <cell r="H180">
            <v>3513</v>
          </cell>
          <cell r="I180">
            <v>3713</v>
          </cell>
          <cell r="J180">
            <v>3898.65</v>
          </cell>
          <cell r="K180">
            <v>3793.3579927007299</v>
          </cell>
          <cell r="L180">
            <v>4124.1589598795399</v>
          </cell>
          <cell r="M180">
            <v>4536.5748558674941</v>
          </cell>
          <cell r="N180">
            <v>4536.5748558674941</v>
          </cell>
          <cell r="O180">
            <v>4536.5748558674941</v>
          </cell>
        </row>
        <row r="182">
          <cell r="C182" t="str">
            <v>Raw material cost/kwh</v>
          </cell>
        </row>
        <row r="183">
          <cell r="C183" t="str">
            <v>Coal</v>
          </cell>
          <cell r="G183">
            <v>251.92155829215767</v>
          </cell>
          <cell r="H183">
            <v>240.85416609945722</v>
          </cell>
          <cell r="I183">
            <v>277.77839832303846</v>
          </cell>
          <cell r="J183">
            <v>344.96674890056846</v>
          </cell>
          <cell r="K183">
            <v>380.96824634547988</v>
          </cell>
          <cell r="L183">
            <v>417.99018776413669</v>
          </cell>
          <cell r="M183">
            <v>440.44493860608713</v>
          </cell>
          <cell r="N183">
            <v>447.91270624366729</v>
          </cell>
          <cell r="O183">
            <v>539.32291355017082</v>
          </cell>
        </row>
        <row r="184">
          <cell r="C184" t="str">
            <v>Oil/Diesel</v>
          </cell>
          <cell r="G184">
            <v>3740.1852668725187</v>
          </cell>
          <cell r="H184">
            <v>4502.7735753908219</v>
          </cell>
          <cell r="I184">
            <v>5116.611295681063</v>
          </cell>
          <cell r="J184">
            <v>5411.3436123348019</v>
          </cell>
          <cell r="K184">
            <v>5980.2927927927931</v>
          </cell>
          <cell r="L184">
            <v>6691.5113871635613</v>
          </cell>
          <cell r="M184">
            <v>8128.4530386740335</v>
          </cell>
          <cell r="N184">
            <v>7961.7893755824789</v>
          </cell>
          <cell r="O184">
            <v>9238.435104414486</v>
          </cell>
        </row>
        <row r="185">
          <cell r="C185" t="str">
            <v>Water</v>
          </cell>
          <cell r="G185">
            <v>1022.9303156640858</v>
          </cell>
          <cell r="H185">
            <v>1086.8203814403644</v>
          </cell>
          <cell r="I185">
            <v>1086.1836789657959</v>
          </cell>
          <cell r="J185">
            <v>1140.4928629140857</v>
          </cell>
          <cell r="K185">
            <v>1197.5175060597899</v>
          </cell>
          <cell r="L185">
            <v>1197.5175060597899</v>
          </cell>
          <cell r="M185">
            <v>1317.2692566657688</v>
          </cell>
          <cell r="N185">
            <v>1317.2692566657688</v>
          </cell>
          <cell r="O185">
            <v>1317.2692566657688</v>
          </cell>
        </row>
        <row r="187">
          <cell r="C187" t="str">
            <v>Cost of Power generation Rs. M</v>
          </cell>
        </row>
        <row r="188">
          <cell r="C188" t="str">
            <v>Coal</v>
          </cell>
          <cell r="G188">
            <v>523.82100000000003</v>
          </cell>
          <cell r="H188">
            <v>539.63400000000001</v>
          </cell>
          <cell r="I188">
            <v>746.05999999999983</v>
          </cell>
          <cell r="J188">
            <v>874.78599999999983</v>
          </cell>
          <cell r="K188">
            <v>917.05</v>
          </cell>
          <cell r="L188">
            <v>1126.229</v>
          </cell>
          <cell r="M188">
            <v>1277.1300000000001</v>
          </cell>
          <cell r="N188">
            <v>1181.6300000000001</v>
          </cell>
          <cell r="O188">
            <v>1667.45</v>
          </cell>
        </row>
        <row r="189">
          <cell r="C189" t="str">
            <v>Oil/Diesel</v>
          </cell>
          <cell r="G189">
            <v>8.4789999999999992</v>
          </cell>
          <cell r="H189">
            <v>8.9290000000000003</v>
          </cell>
          <cell r="I189">
            <v>15.401</v>
          </cell>
          <cell r="J189">
            <v>9.827</v>
          </cell>
          <cell r="K189">
            <v>10.621</v>
          </cell>
          <cell r="L189">
            <v>12.928000000000001</v>
          </cell>
          <cell r="M189">
            <v>11.77</v>
          </cell>
          <cell r="N189">
            <v>17.085999999999999</v>
          </cell>
          <cell r="O189">
            <v>34.948999999999998</v>
          </cell>
        </row>
        <row r="190">
          <cell r="C190" t="str">
            <v>Furnace oil for aluminium plant</v>
          </cell>
          <cell r="N190">
            <v>83</v>
          </cell>
          <cell r="O190">
            <v>360.83199999999999</v>
          </cell>
        </row>
        <row r="191">
          <cell r="C191" t="str">
            <v>Water</v>
          </cell>
          <cell r="G191">
            <v>3.4350000000000001</v>
          </cell>
          <cell r="H191">
            <v>3.8180000000000001</v>
          </cell>
          <cell r="I191">
            <v>4.0330000000000004</v>
          </cell>
          <cell r="J191">
            <v>4.4463825000000003</v>
          </cell>
          <cell r="K191">
            <v>4.5426126030109488</v>
          </cell>
          <cell r="L191">
            <v>4.9387525522290829</v>
          </cell>
          <cell r="M191">
            <v>5.9758905881971911</v>
          </cell>
          <cell r="N191">
            <v>5.9758905881971911</v>
          </cell>
          <cell r="O191">
            <v>5.9758905881971911</v>
          </cell>
        </row>
        <row r="192">
          <cell r="C192" t="str">
            <v>Salaries &amp; Wages</v>
          </cell>
          <cell r="G192">
            <v>47.209999999999994</v>
          </cell>
          <cell r="H192">
            <v>52.400000000000006</v>
          </cell>
          <cell r="I192">
            <v>60.510000000000005</v>
          </cell>
          <cell r="J192">
            <v>66.561000000000007</v>
          </cell>
          <cell r="K192">
            <v>76.545150000000007</v>
          </cell>
          <cell r="L192">
            <v>80.372407500000008</v>
          </cell>
          <cell r="M192">
            <v>92.428268625000015</v>
          </cell>
          <cell r="N192">
            <v>106.29250891875002</v>
          </cell>
          <cell r="O192">
            <v>95.663258026875013</v>
          </cell>
        </row>
        <row r="193">
          <cell r="C193" t="str">
            <v>Maintenance</v>
          </cell>
          <cell r="G193">
            <v>101.03999999999999</v>
          </cell>
          <cell r="H193">
            <v>78.89</v>
          </cell>
          <cell r="I193">
            <v>99.89</v>
          </cell>
          <cell r="J193">
            <v>89.900999999999996</v>
          </cell>
          <cell r="K193">
            <v>107.88119999999999</v>
          </cell>
          <cell r="L193">
            <v>113.27525999999999</v>
          </cell>
          <cell r="M193">
            <v>130.03999847999998</v>
          </cell>
          <cell r="N193">
            <v>136.54199840399997</v>
          </cell>
          <cell r="O193">
            <v>109.23359872319998</v>
          </cell>
        </row>
        <row r="194">
          <cell r="C194" t="str">
            <v>Stores &amp; Spares</v>
          </cell>
          <cell r="G194">
            <v>12.37</v>
          </cell>
          <cell r="H194">
            <v>14.57</v>
          </cell>
          <cell r="I194">
            <v>20.95</v>
          </cell>
          <cell r="J194">
            <v>24.092499999999998</v>
          </cell>
          <cell r="K194">
            <v>27.706374999999998</v>
          </cell>
          <cell r="L194">
            <v>30.477012499999997</v>
          </cell>
          <cell r="M194">
            <v>33.524713749999997</v>
          </cell>
          <cell r="N194">
            <v>34.530455162499997</v>
          </cell>
          <cell r="O194">
            <v>34.530455162499997</v>
          </cell>
        </row>
        <row r="195">
          <cell r="C195" t="str">
            <v>Cost of Sales</v>
          </cell>
          <cell r="G195">
            <v>696.35500000000002</v>
          </cell>
          <cell r="H195">
            <v>698.24099999999999</v>
          </cell>
          <cell r="I195">
            <v>946.84399999999982</v>
          </cell>
          <cell r="J195">
            <v>1069.6138824999998</v>
          </cell>
          <cell r="K195">
            <v>1144.3463376030109</v>
          </cell>
          <cell r="L195">
            <v>1368.2204325522291</v>
          </cell>
          <cell r="M195">
            <v>1550.8688714431973</v>
          </cell>
          <cell r="N195">
            <v>1565.0568530734472</v>
          </cell>
          <cell r="O195">
            <v>2308.6342025007725</v>
          </cell>
        </row>
        <row r="196">
          <cell r="C196" t="str">
            <v>General Admn etc.</v>
          </cell>
          <cell r="G196">
            <v>97.37</v>
          </cell>
          <cell r="H196">
            <v>113.59</v>
          </cell>
          <cell r="I196">
            <v>111.66</v>
          </cell>
          <cell r="J196">
            <v>117.24299999999999</v>
          </cell>
          <cell r="K196">
            <v>128.96729999999999</v>
          </cell>
          <cell r="L196">
            <v>128.96729999999999</v>
          </cell>
          <cell r="M196">
            <v>144.443376</v>
          </cell>
          <cell r="N196">
            <v>148.77667728</v>
          </cell>
          <cell r="O196">
            <v>121.99687536960001</v>
          </cell>
        </row>
        <row r="197">
          <cell r="C197" t="str">
            <v>COGS</v>
          </cell>
          <cell r="G197">
            <v>793.72500000000002</v>
          </cell>
          <cell r="H197">
            <v>811.83100000000002</v>
          </cell>
          <cell r="I197">
            <v>1058.5039999999999</v>
          </cell>
          <cell r="J197">
            <v>1186.8568824999998</v>
          </cell>
          <cell r="K197">
            <v>1273.3136376030109</v>
          </cell>
          <cell r="L197">
            <v>1497.1877325522291</v>
          </cell>
          <cell r="M197">
            <v>1695.3122474431973</v>
          </cell>
          <cell r="N197">
            <v>1713.8335303534473</v>
          </cell>
          <cell r="O197">
            <v>2430.6310778703723</v>
          </cell>
        </row>
        <row r="199">
          <cell r="C199" t="str">
            <v>Operating cost/kwh</v>
          </cell>
          <cell r="G199">
            <v>0.36196855072576128</v>
          </cell>
          <cell r="H199">
            <v>0.35220433839479393</v>
          </cell>
          <cell r="I199">
            <v>0.41920950495049503</v>
          </cell>
          <cell r="J199">
            <v>0.4878162279079325</v>
          </cell>
          <cell r="K199">
            <v>0.53681013389671617</v>
          </cell>
          <cell r="L199">
            <v>0.58056387614182792</v>
          </cell>
          <cell r="M199">
            <v>0.63771182519125857</v>
          </cell>
          <cell r="N199">
            <v>0.67093767297836604</v>
          </cell>
          <cell r="O199">
            <v>0.78818070848788768</v>
          </cell>
        </row>
        <row r="200">
          <cell r="L200">
            <v>1496.43</v>
          </cell>
        </row>
        <row r="201">
          <cell r="C201" t="str">
            <v>Operating profit/kwh</v>
          </cell>
          <cell r="G201">
            <v>0.13308093164860835</v>
          </cell>
          <cell r="H201">
            <v>0.14782603036876352</v>
          </cell>
          <cell r="I201">
            <v>0.13955881188118813</v>
          </cell>
        </row>
        <row r="202">
          <cell r="C202" t="str">
            <v>Depreciation Rs. m</v>
          </cell>
          <cell r="G202">
            <v>105.56</v>
          </cell>
          <cell r="H202">
            <v>112</v>
          </cell>
          <cell r="I202">
            <v>151</v>
          </cell>
          <cell r="J202">
            <v>173.64999999999998</v>
          </cell>
          <cell r="K202">
            <v>191.01499999999999</v>
          </cell>
          <cell r="L202">
            <v>200.56574999999998</v>
          </cell>
          <cell r="M202">
            <v>210.59403749999998</v>
          </cell>
          <cell r="N202">
            <v>421.18807499999997</v>
          </cell>
          <cell r="O202">
            <v>842.37614999999994</v>
          </cell>
        </row>
        <row r="203">
          <cell r="C203" t="str">
            <v xml:space="preserve">Depreciation per unit </v>
          </cell>
          <cell r="G203">
            <v>4.2734748621626226E-2</v>
          </cell>
          <cell r="H203">
            <v>4.3027276219746446E-2</v>
          </cell>
          <cell r="I203">
            <v>5.2963872325499824E-2</v>
          </cell>
          <cell r="J203">
            <v>6.3375912408759116E-2</v>
          </cell>
          <cell r="K203">
            <v>7.1648537134283569E-2</v>
          </cell>
          <cell r="L203">
            <v>6.9184460158675395E-2</v>
          </cell>
          <cell r="M203">
            <v>7.050352778707733E-2</v>
          </cell>
          <cell r="N203">
            <v>0.14272723652998984</v>
          </cell>
          <cell r="O203">
            <v>0.24310999999999999</v>
          </cell>
        </row>
        <row r="204">
          <cell r="B204" t="str">
            <v xml:space="preserve">Cost per unit </v>
          </cell>
          <cell r="G204">
            <v>0.40470329934738752</v>
          </cell>
          <cell r="H204">
            <v>0.39523161461454037</v>
          </cell>
          <cell r="I204">
            <v>0.47217337727599484</v>
          </cell>
          <cell r="J204">
            <v>0.55119214031669161</v>
          </cell>
          <cell r="K204">
            <v>0.60845867103099971</v>
          </cell>
          <cell r="L204">
            <v>0.64974833630050333</v>
          </cell>
          <cell r="M204">
            <v>0.70821535297833593</v>
          </cell>
          <cell r="N204">
            <v>0.8136649095083559</v>
          </cell>
          <cell r="O204">
            <v>1.0312907084878877</v>
          </cell>
        </row>
        <row r="206">
          <cell r="B206" t="str">
            <v>Cost increase %</v>
          </cell>
        </row>
        <row r="207">
          <cell r="C207" t="str">
            <v>Power Cost</v>
          </cell>
          <cell r="H207">
            <v>-2.3404021534098929E-2</v>
          </cell>
          <cell r="I207">
            <v>0.19467512166630163</v>
          </cell>
          <cell r="J207">
            <v>0.16735116133942629</v>
          </cell>
          <cell r="K207">
            <v>0.10389576796469768</v>
          </cell>
          <cell r="L207">
            <v>6.7859440969984863E-2</v>
          </cell>
          <cell r="M207">
            <v>8.9984096012817094E-2</v>
          </cell>
          <cell r="N207">
            <v>0.14889476214623332</v>
          </cell>
          <cell r="O207">
            <v>0.26746366524645726</v>
          </cell>
        </row>
        <row r="208">
          <cell r="C208" t="str">
            <v>Coal</v>
          </cell>
          <cell r="H208">
            <v>-4.3931897959544219E-2</v>
          </cell>
          <cell r="I208">
            <v>0.15330534996157774</v>
          </cell>
          <cell r="J208">
            <v>0.24187752173368882</v>
          </cell>
          <cell r="K208">
            <v>0.10436222493805714</v>
          </cell>
          <cell r="L208">
            <v>9.7178549062284736E-2</v>
          </cell>
          <cell r="M208">
            <v>5.3720760676375434E-2</v>
          </cell>
          <cell r="N208">
            <v>1.6955053817201415E-2</v>
          </cell>
          <cell r="O208">
            <v>0.20408040681207162</v>
          </cell>
        </row>
        <row r="209">
          <cell r="C209" t="str">
            <v>Oil/Diesel</v>
          </cell>
          <cell r="H209">
            <v>0.20389051720851437</v>
          </cell>
          <cell r="I209">
            <v>0.13632435875636117</v>
          </cell>
          <cell r="J209">
            <v>5.7603030525793963E-2</v>
          </cell>
          <cell r="K209">
            <v>0.10514009481140851</v>
          </cell>
          <cell r="L209">
            <v>0.11892705240584545</v>
          </cell>
          <cell r="M209">
            <v>0.21474097081669496</v>
          </cell>
          <cell r="N209">
            <v>-2.0503736971671294E-2</v>
          </cell>
          <cell r="O209">
            <v>0.16034658399119084</v>
          </cell>
        </row>
        <row r="210">
          <cell r="C210" t="str">
            <v>Water</v>
          </cell>
          <cell r="H210">
            <v>6.2457886718120248E-2</v>
          </cell>
          <cell r="I210">
            <v>-5.8583965247749337E-4</v>
          </cell>
          <cell r="J210">
            <v>0.05</v>
          </cell>
          <cell r="K210">
            <v>0.05</v>
          </cell>
          <cell r="L210">
            <v>0</v>
          </cell>
          <cell r="M210">
            <v>0.1</v>
          </cell>
          <cell r="N210">
            <v>0</v>
          </cell>
          <cell r="O210">
            <v>0</v>
          </cell>
        </row>
        <row r="211">
          <cell r="C211" t="str">
            <v>Salaries &amp; Wages</v>
          </cell>
          <cell r="H211">
            <v>0.10993433594577451</v>
          </cell>
          <cell r="I211">
            <v>0.15477099236641223</v>
          </cell>
          <cell r="J211">
            <v>0.1</v>
          </cell>
          <cell r="K211">
            <v>0.15</v>
          </cell>
          <cell r="L211">
            <v>0.05</v>
          </cell>
          <cell r="M211">
            <v>0.15</v>
          </cell>
          <cell r="N211">
            <v>0.15</v>
          </cell>
          <cell r="O211">
            <v>-0.1</v>
          </cell>
        </row>
        <row r="212">
          <cell r="C212" t="str">
            <v>Maintenance</v>
          </cell>
          <cell r="H212">
            <v>-0.21922011084718918</v>
          </cell>
          <cell r="I212">
            <v>0.26619343389529715</v>
          </cell>
          <cell r="J212">
            <v>-0.1</v>
          </cell>
          <cell r="K212">
            <v>0.2</v>
          </cell>
          <cell r="L212">
            <v>0.05</v>
          </cell>
          <cell r="M212">
            <v>0.14799999999999999</v>
          </cell>
          <cell r="N212">
            <v>0.05</v>
          </cell>
          <cell r="O212">
            <v>-0.2</v>
          </cell>
        </row>
        <row r="213">
          <cell r="C213" t="str">
            <v>Stores &amp; Spares</v>
          </cell>
          <cell r="H213">
            <v>0.17784963621665328</v>
          </cell>
          <cell r="I213">
            <v>0.43788606726149615</v>
          </cell>
          <cell r="J213">
            <v>0.15</v>
          </cell>
          <cell r="K213">
            <v>0.15</v>
          </cell>
          <cell r="L213">
            <v>0.1</v>
          </cell>
          <cell r="M213">
            <v>0.1</v>
          </cell>
          <cell r="N213">
            <v>0.03</v>
          </cell>
          <cell r="O213">
            <v>0</v>
          </cell>
        </row>
        <row r="214">
          <cell r="C214" t="str">
            <v>General Admn</v>
          </cell>
          <cell r="H214">
            <v>2.7083886810606028E-3</v>
          </cell>
          <cell r="I214">
            <v>-1.6990932300378625E-2</v>
          </cell>
          <cell r="J214">
            <v>0.05</v>
          </cell>
          <cell r="K214">
            <v>0.1</v>
          </cell>
          <cell r="L214">
            <v>0</v>
          </cell>
          <cell r="M214">
            <v>0.12</v>
          </cell>
          <cell r="N214">
            <v>0.03</v>
          </cell>
          <cell r="O214">
            <v>-0.18</v>
          </cell>
        </row>
        <row r="237">
          <cell r="G237">
            <v>277</v>
          </cell>
          <cell r="H237">
            <v>299</v>
          </cell>
          <cell r="I237">
            <v>310</v>
          </cell>
          <cell r="J237">
            <v>1553</v>
          </cell>
          <cell r="K237">
            <v>1150</v>
          </cell>
          <cell r="L237">
            <v>1200</v>
          </cell>
          <cell r="M237">
            <v>1200</v>
          </cell>
        </row>
        <row r="279">
          <cell r="A279" t="str">
            <v>HINDALCO INDUSTRIES</v>
          </cell>
          <cell r="O279" t="str">
            <v>Increase/(Decrease) in Stocks</v>
          </cell>
        </row>
        <row r="280">
          <cell r="N280">
            <v>37004.656553472225</v>
          </cell>
          <cell r="O280">
            <v>37004.656553472225</v>
          </cell>
        </row>
        <row r="281">
          <cell r="A281" t="str">
            <v>Rs.</v>
          </cell>
          <cell r="G281">
            <v>1991</v>
          </cell>
          <cell r="H281">
            <v>1992</v>
          </cell>
          <cell r="I281">
            <v>1993</v>
          </cell>
          <cell r="J281">
            <v>1994</v>
          </cell>
          <cell r="K281">
            <v>1995</v>
          </cell>
          <cell r="L281" t="str">
            <v>1996E</v>
          </cell>
          <cell r="M281" t="str">
            <v>1997E</v>
          </cell>
          <cell r="N281" t="str">
            <v>1998E</v>
          </cell>
          <cell r="O281" t="str">
            <v>1999E</v>
          </cell>
        </row>
        <row r="283">
          <cell r="B283" t="str">
            <v>Opening Stock</v>
          </cell>
        </row>
        <row r="284">
          <cell r="C284" t="str">
            <v>Finished Goods</v>
          </cell>
          <cell r="G284">
            <v>66</v>
          </cell>
          <cell r="H284">
            <v>62</v>
          </cell>
          <cell r="I284">
            <v>68</v>
          </cell>
          <cell r="J284">
            <v>190</v>
          </cell>
          <cell r="K284">
            <v>66</v>
          </cell>
          <cell r="L284">
            <v>91.6</v>
          </cell>
          <cell r="M284">
            <v>133.73599999999999</v>
          </cell>
          <cell r="N284">
            <v>133.73599999999999</v>
          </cell>
          <cell r="O284">
            <v>140.4228</v>
          </cell>
        </row>
        <row r="285">
          <cell r="C285" t="str">
            <v>Materials In Process</v>
          </cell>
          <cell r="G285">
            <v>234</v>
          </cell>
          <cell r="H285">
            <v>255</v>
          </cell>
          <cell r="I285">
            <v>291</v>
          </cell>
          <cell r="J285">
            <v>312</v>
          </cell>
          <cell r="K285">
            <v>360</v>
          </cell>
          <cell r="L285">
            <v>389.25</v>
          </cell>
          <cell r="M285">
            <v>544.94999999999993</v>
          </cell>
          <cell r="N285">
            <v>544.94999999999993</v>
          </cell>
          <cell r="O285">
            <v>572.19749999999999</v>
          </cell>
        </row>
        <row r="286">
          <cell r="G286">
            <v>300</v>
          </cell>
          <cell r="H286">
            <v>317</v>
          </cell>
          <cell r="I286">
            <v>359</v>
          </cell>
          <cell r="J286">
            <v>502</v>
          </cell>
          <cell r="K286">
            <v>426</v>
          </cell>
          <cell r="L286">
            <v>480.85</v>
          </cell>
          <cell r="M286">
            <v>678.68599999999992</v>
          </cell>
          <cell r="N286">
            <v>678.68599999999992</v>
          </cell>
          <cell r="O286">
            <v>712.62030000000004</v>
          </cell>
        </row>
        <row r="287">
          <cell r="B287" t="str">
            <v>Closing Stock</v>
          </cell>
        </row>
        <row r="288">
          <cell r="C288" t="str">
            <v>Finished Goods</v>
          </cell>
          <cell r="G288">
            <v>62</v>
          </cell>
          <cell r="H288">
            <v>68</v>
          </cell>
          <cell r="I288">
            <v>190</v>
          </cell>
          <cell r="J288">
            <v>66</v>
          </cell>
          <cell r="K288">
            <v>91.6</v>
          </cell>
          <cell r="L288">
            <v>133.73599999999999</v>
          </cell>
          <cell r="M288">
            <v>133.73599999999999</v>
          </cell>
          <cell r="N288">
            <v>140.4228</v>
          </cell>
          <cell r="O288">
            <v>133.40165999999999</v>
          </cell>
        </row>
        <row r="289">
          <cell r="C289" t="str">
            <v>Materials In Process</v>
          </cell>
          <cell r="G289">
            <v>255</v>
          </cell>
          <cell r="H289">
            <v>291</v>
          </cell>
          <cell r="I289">
            <v>312</v>
          </cell>
          <cell r="J289">
            <v>360</v>
          </cell>
          <cell r="K289">
            <v>389.25</v>
          </cell>
          <cell r="L289">
            <v>544.94999999999993</v>
          </cell>
          <cell r="M289">
            <v>544.94999999999993</v>
          </cell>
          <cell r="N289">
            <v>572.19749999999999</v>
          </cell>
          <cell r="O289">
            <v>543.587625</v>
          </cell>
        </row>
        <row r="290">
          <cell r="G290">
            <v>317</v>
          </cell>
          <cell r="H290">
            <v>359</v>
          </cell>
          <cell r="I290">
            <v>502</v>
          </cell>
          <cell r="J290">
            <v>426</v>
          </cell>
          <cell r="K290">
            <v>480.85</v>
          </cell>
          <cell r="L290">
            <v>678.68599999999992</v>
          </cell>
          <cell r="M290">
            <v>678.68599999999992</v>
          </cell>
          <cell r="N290">
            <v>712.62030000000004</v>
          </cell>
          <cell r="O290">
            <v>676.989285</v>
          </cell>
        </row>
        <row r="291">
          <cell r="B291" t="str">
            <v>Increase/(Decrease)</v>
          </cell>
          <cell r="G291">
            <v>17</v>
          </cell>
          <cell r="H291">
            <v>42</v>
          </cell>
          <cell r="I291">
            <v>143</v>
          </cell>
          <cell r="J291">
            <v>-76</v>
          </cell>
          <cell r="K291">
            <v>54.850000000000023</v>
          </cell>
          <cell r="L291">
            <v>197.8359999999999</v>
          </cell>
          <cell r="M291">
            <v>0</v>
          </cell>
          <cell r="N291">
            <v>33.934300000000121</v>
          </cell>
          <cell r="O291">
            <v>-35.631015000000048</v>
          </cell>
        </row>
        <row r="293">
          <cell r="C293" t="str">
            <v>Assumptions</v>
          </cell>
        </row>
        <row r="294">
          <cell r="D294" t="str">
            <v>ClosingStock As a %</v>
          </cell>
        </row>
        <row r="295">
          <cell r="D295" t="str">
            <v>of COGS</v>
          </cell>
          <cell r="H295">
            <v>6.7457428068115097E-2</v>
          </cell>
          <cell r="I295">
            <v>7.4075199903436639E-2</v>
          </cell>
          <cell r="J295">
            <v>5.9889853281106381E-2</v>
          </cell>
          <cell r="K295">
            <v>7.2821095446746864E-2</v>
          </cell>
          <cell r="L295">
            <v>9.4218152991262905E-2</v>
          </cell>
          <cell r="M295">
            <v>8.4591152067359079E-2</v>
          </cell>
          <cell r="N295">
            <v>8.6810306535151746E-2</v>
          </cell>
          <cell r="O295">
            <v>6.8502416788932388E-2</v>
          </cell>
        </row>
        <row r="297">
          <cell r="C297" t="str">
            <v>Change y/y %</v>
          </cell>
        </row>
        <row r="298">
          <cell r="D298" t="str">
            <v>Finished Goods</v>
          </cell>
          <cell r="H298">
            <v>9.6774193548387011E-2</v>
          </cell>
          <cell r="I298">
            <v>1.7941176470588234</v>
          </cell>
          <cell r="J298">
            <v>-0.65263157894736845</v>
          </cell>
          <cell r="K298">
            <v>0.38787878787878771</v>
          </cell>
          <cell r="L298">
            <v>0.46</v>
          </cell>
          <cell r="M298">
            <v>0</v>
          </cell>
          <cell r="N298">
            <v>0.05</v>
          </cell>
          <cell r="O298">
            <v>-0.05</v>
          </cell>
        </row>
        <row r="299">
          <cell r="D299" t="str">
            <v>Materials in Process</v>
          </cell>
          <cell r="H299">
            <v>0.14117647058823524</v>
          </cell>
          <cell r="I299">
            <v>7.2164948453608213E-2</v>
          </cell>
          <cell r="J299">
            <v>0.15384615384615374</v>
          </cell>
          <cell r="K299">
            <v>8.1250000000000044E-2</v>
          </cell>
          <cell r="L299">
            <v>0.4</v>
          </cell>
          <cell r="M299">
            <v>0</v>
          </cell>
          <cell r="N299">
            <v>0.05</v>
          </cell>
          <cell r="O299">
            <v>-0.05</v>
          </cell>
        </row>
      </sheetData>
      <sheetData sheetId="7"/>
      <sheetData sheetId="8"/>
      <sheetData sheetId="9"/>
      <sheetData sheetId="10" refreshError="1">
        <row r="1">
          <cell r="A1" t="str">
            <v>HINDALCO INDUSTRIES</v>
          </cell>
          <cell r="P1" t="str">
            <v>Income Statement</v>
          </cell>
        </row>
        <row r="2">
          <cell r="P2" t="str">
            <v>Draft  15-Mar-00</v>
          </cell>
        </row>
        <row r="3">
          <cell r="A3" t="str">
            <v>Year ended 31st March</v>
          </cell>
          <cell r="B3">
            <v>1990</v>
          </cell>
          <cell r="C3">
            <v>1991</v>
          </cell>
          <cell r="D3">
            <v>1992</v>
          </cell>
          <cell r="E3">
            <v>1993</v>
          </cell>
          <cell r="F3">
            <v>1994</v>
          </cell>
          <cell r="G3">
            <v>1995</v>
          </cell>
          <cell r="H3">
            <v>1996</v>
          </cell>
          <cell r="I3">
            <v>1997</v>
          </cell>
          <cell r="J3">
            <v>1998</v>
          </cell>
          <cell r="K3">
            <v>1999</v>
          </cell>
          <cell r="L3">
            <v>2000</v>
          </cell>
          <cell r="M3" t="str">
            <v>2001E</v>
          </cell>
          <cell r="N3" t="str">
            <v>2002E</v>
          </cell>
          <cell r="O3" t="str">
            <v>2003E</v>
          </cell>
          <cell r="P3" t="str">
            <v>2004E</v>
          </cell>
        </row>
        <row r="4">
          <cell r="A4" t="str">
            <v>Gross revenue</v>
          </cell>
          <cell r="B4">
            <v>6081</v>
          </cell>
          <cell r="C4">
            <v>6716.3316630000008</v>
          </cell>
          <cell r="D4">
            <v>8558.6786119999997</v>
          </cell>
          <cell r="E4">
            <v>9755.7671709999995</v>
          </cell>
          <cell r="F4">
            <v>9217.018</v>
          </cell>
          <cell r="G4">
            <v>11307.022000000001</v>
          </cell>
          <cell r="H4">
            <v>14222.180000000002</v>
          </cell>
          <cell r="I4">
            <v>13082.66</v>
          </cell>
          <cell r="J4">
            <v>16707.21</v>
          </cell>
          <cell r="K4">
            <v>20130.849999999999</v>
          </cell>
          <cell r="L4">
            <v>23075.780000000002</v>
          </cell>
          <cell r="M4">
            <v>26924.212076701566</v>
          </cell>
          <cell r="N4">
            <v>30728.364600176104</v>
          </cell>
          <cell r="O4">
            <v>34668.263060931189</v>
          </cell>
          <cell r="P4">
            <v>39382.722530196101</v>
          </cell>
        </row>
        <row r="5">
          <cell r="A5" t="str">
            <v>Excise duty &amp; ST</v>
          </cell>
          <cell r="B5">
            <v>-1426.7</v>
          </cell>
          <cell r="C5">
            <v>-1554</v>
          </cell>
          <cell r="D5">
            <v>-2015</v>
          </cell>
          <cell r="E5">
            <v>-2203</v>
          </cell>
          <cell r="F5">
            <v>-1722</v>
          </cell>
          <cell r="G5">
            <v>-1744</v>
          </cell>
          <cell r="H5">
            <v>-1704.11</v>
          </cell>
          <cell r="I5">
            <v>-1511.9</v>
          </cell>
          <cell r="J5">
            <v>-1974.36</v>
          </cell>
          <cell r="K5">
            <v>-2460.91</v>
          </cell>
          <cell r="L5">
            <v>-2763.9</v>
          </cell>
          <cell r="M5">
            <v>-3400</v>
          </cell>
          <cell r="N5">
            <v>-3823.1922105228937</v>
          </cell>
          <cell r="O5">
            <v>-4143.8987810538983</v>
          </cell>
          <cell r="P5">
            <v>-4516.5706554985318</v>
          </cell>
        </row>
        <row r="6">
          <cell r="A6" t="str">
            <v>Net revenue</v>
          </cell>
          <cell r="B6">
            <v>4654.3</v>
          </cell>
          <cell r="C6">
            <v>5162.3316630000008</v>
          </cell>
          <cell r="D6">
            <v>6543.6786119999997</v>
          </cell>
          <cell r="E6">
            <v>7552.7671709999995</v>
          </cell>
          <cell r="F6">
            <v>7495.018</v>
          </cell>
          <cell r="G6">
            <v>9563.0220000000008</v>
          </cell>
          <cell r="H6">
            <v>12518.070000000002</v>
          </cell>
          <cell r="I6">
            <v>11570.76</v>
          </cell>
          <cell r="J6">
            <v>14732.849999999999</v>
          </cell>
          <cell r="K6">
            <v>17669.939999999999</v>
          </cell>
          <cell r="L6">
            <v>20311.88</v>
          </cell>
          <cell r="M6">
            <v>23524.212076701566</v>
          </cell>
          <cell r="N6">
            <v>26905.172389653209</v>
          </cell>
          <cell r="O6">
            <v>30524.364279877293</v>
          </cell>
          <cell r="P6">
            <v>34866.151874697571</v>
          </cell>
        </row>
        <row r="7">
          <cell r="A7" t="str">
            <v>Cost of goods sold</v>
          </cell>
          <cell r="B7">
            <v>-3336.3</v>
          </cell>
          <cell r="C7">
            <v>-3725.875</v>
          </cell>
          <cell r="D7">
            <v>-4618.8969999999999</v>
          </cell>
          <cell r="E7">
            <v>-4986.058</v>
          </cell>
          <cell r="F7">
            <v>-4826.3189999999995</v>
          </cell>
          <cell r="G7">
            <v>-5261.5104725522287</v>
          </cell>
          <cell r="H7">
            <v>-6183.1122474431977</v>
          </cell>
          <cell r="I7">
            <v>-6523.7565703534474</v>
          </cell>
          <cell r="J7">
            <v>-7758.3565778703733</v>
          </cell>
          <cell r="K7">
            <v>-8640.890821293815</v>
          </cell>
          <cell r="L7">
            <v>-9590.0099999999984</v>
          </cell>
          <cell r="M7">
            <v>-10780.201727841801</v>
          </cell>
          <cell r="N7">
            <v>-11988.956588038871</v>
          </cell>
          <cell r="O7">
            <v>-13344.941569754761</v>
          </cell>
          <cell r="P7">
            <v>-14654.79508614748</v>
          </cell>
        </row>
        <row r="8">
          <cell r="A8" t="str">
            <v>Gross profit</v>
          </cell>
          <cell r="B8">
            <v>1318</v>
          </cell>
          <cell r="C8">
            <v>1436.4566630000008</v>
          </cell>
          <cell r="D8">
            <v>1924.7816119999998</v>
          </cell>
          <cell r="E8">
            <v>2566.7091709999995</v>
          </cell>
          <cell r="F8">
            <v>2668.6990000000005</v>
          </cell>
          <cell r="G8">
            <v>4301.5115274477721</v>
          </cell>
          <cell r="H8">
            <v>6334.9577525568038</v>
          </cell>
          <cell r="I8">
            <v>5047.0034296465528</v>
          </cell>
          <cell r="J8">
            <v>6974.4934221296253</v>
          </cell>
          <cell r="K8">
            <v>9029.0491787061837</v>
          </cell>
          <cell r="L8">
            <v>10721.870000000003</v>
          </cell>
          <cell r="M8">
            <v>12744.010348859765</v>
          </cell>
          <cell r="N8">
            <v>14916.215801614338</v>
          </cell>
          <cell r="O8">
            <v>17179.422710122533</v>
          </cell>
          <cell r="P8">
            <v>20211.356788550089</v>
          </cell>
        </row>
        <row r="9">
          <cell r="A9" t="str">
            <v xml:space="preserve"> Selling, general and administrative</v>
          </cell>
          <cell r="B9">
            <v>-213</v>
          </cell>
          <cell r="C9">
            <v>-155</v>
          </cell>
          <cell r="D9">
            <v>-208</v>
          </cell>
          <cell r="E9">
            <v>-347</v>
          </cell>
          <cell r="F9">
            <v>-418.24</v>
          </cell>
          <cell r="G9">
            <v>-463.87000000000006</v>
          </cell>
          <cell r="H9">
            <v>-613.13775255680207</v>
          </cell>
          <cell r="I9">
            <v>-736.30342964655233</v>
          </cell>
          <cell r="J9">
            <v>-910.85342212962803</v>
          </cell>
          <cell r="K9">
            <v>-1253.8091787061858</v>
          </cell>
          <cell r="L9">
            <v>-1321.2</v>
          </cell>
          <cell r="M9">
            <v>-1519.3799999999999</v>
          </cell>
          <cell r="N9">
            <v>-1747.2869999999998</v>
          </cell>
          <cell r="O9">
            <v>-2009.3800499999998</v>
          </cell>
          <cell r="P9">
            <v>-2310.7870574999997</v>
          </cell>
        </row>
        <row r="10">
          <cell r="A10" t="str">
            <v>EBITDA</v>
          </cell>
          <cell r="B10">
            <v>1105</v>
          </cell>
          <cell r="C10">
            <v>1281.4566630000008</v>
          </cell>
          <cell r="D10">
            <v>1716.7816119999998</v>
          </cell>
          <cell r="E10">
            <v>2219.7091709999995</v>
          </cell>
          <cell r="F10">
            <v>2250.4590000000007</v>
          </cell>
          <cell r="G10">
            <v>3837.6415274477722</v>
          </cell>
          <cell r="H10">
            <v>5721.8200000000015</v>
          </cell>
          <cell r="I10">
            <v>4310.7000000000007</v>
          </cell>
          <cell r="J10">
            <v>6063.6399999999976</v>
          </cell>
          <cell r="K10">
            <v>7775.239999999998</v>
          </cell>
          <cell r="L10">
            <v>9400.6700000000019</v>
          </cell>
          <cell r="M10">
            <v>11224.630348859766</v>
          </cell>
          <cell r="N10">
            <v>13168.928801614338</v>
          </cell>
          <cell r="O10">
            <v>15170.042660122534</v>
          </cell>
          <cell r="P10">
            <v>17900.569731050091</v>
          </cell>
        </row>
        <row r="11">
          <cell r="A11" t="str">
            <v>Gross depreciation</v>
          </cell>
          <cell r="B11">
            <v>306</v>
          </cell>
          <cell r="C11">
            <v>330.37</v>
          </cell>
          <cell r="D11">
            <v>343.72</v>
          </cell>
          <cell r="E11">
            <v>1636.4</v>
          </cell>
          <cell r="F11">
            <v>966.6</v>
          </cell>
          <cell r="G11">
            <v>1020.5</v>
          </cell>
          <cell r="H11">
            <v>1039.3499999999999</v>
          </cell>
          <cell r="I11">
            <v>1114.2781187333335</v>
          </cell>
          <cell r="J11">
            <v>1461.25</v>
          </cell>
          <cell r="K11">
            <v>2718.19</v>
          </cell>
          <cell r="L11">
            <v>2825.53</v>
          </cell>
          <cell r="M11">
            <v>2934.9259200000001</v>
          </cell>
          <cell r="N11">
            <v>3119.0754400000001</v>
          </cell>
          <cell r="O11">
            <v>3372.2249600000005</v>
          </cell>
          <cell r="P11">
            <v>3979.2764000000006</v>
          </cell>
        </row>
        <row r="12">
          <cell r="A12" t="str">
            <v>Adj to Revaluation Reserve</v>
          </cell>
          <cell r="B12">
            <v>-189</v>
          </cell>
          <cell r="C12">
            <v>-158.85</v>
          </cell>
          <cell r="D12">
            <v>-126.32</v>
          </cell>
          <cell r="E12">
            <v>-1256.8499999999999</v>
          </cell>
          <cell r="F12">
            <v>-690.99</v>
          </cell>
          <cell r="G12">
            <v>-691</v>
          </cell>
          <cell r="H12">
            <v>-690.99</v>
          </cell>
          <cell r="I12">
            <v>-691</v>
          </cell>
          <cell r="J12">
            <v>-684.9</v>
          </cell>
          <cell r="K12">
            <v>-1472.21</v>
          </cell>
          <cell r="L12">
            <v>-1472.21</v>
          </cell>
          <cell r="M12">
            <v>-1472.21</v>
          </cell>
          <cell r="N12">
            <v>-1472.21</v>
          </cell>
          <cell r="O12">
            <v>-1472.21</v>
          </cell>
          <cell r="P12">
            <v>-1472.21</v>
          </cell>
        </row>
        <row r="13">
          <cell r="A13" t="str">
            <v>Depreciation and amortization</v>
          </cell>
          <cell r="B13">
            <v>-117</v>
          </cell>
          <cell r="C13">
            <v>-171.52</v>
          </cell>
          <cell r="D13">
            <v>-217.40000000000003</v>
          </cell>
          <cell r="E13">
            <v>-379.55000000000018</v>
          </cell>
          <cell r="F13">
            <v>-275.61</v>
          </cell>
          <cell r="G13">
            <v>-329.5</v>
          </cell>
          <cell r="H13">
            <v>-348.3599999999999</v>
          </cell>
          <cell r="I13">
            <v>-423.27811873333349</v>
          </cell>
          <cell r="J13">
            <v>-776.35</v>
          </cell>
          <cell r="K13">
            <v>-1245.98</v>
          </cell>
          <cell r="L13">
            <v>-1353.63</v>
          </cell>
          <cell r="M13">
            <v>-1462.7159200000001</v>
          </cell>
          <cell r="N13">
            <v>-1646.86544</v>
          </cell>
          <cell r="O13">
            <v>-1900.0149600000004</v>
          </cell>
          <cell r="P13">
            <v>-2507.0664000000006</v>
          </cell>
        </row>
        <row r="14">
          <cell r="A14" t="str">
            <v>Operating profit (EBIT)</v>
          </cell>
          <cell r="B14">
            <v>988</v>
          </cell>
          <cell r="C14">
            <v>1109.9366630000009</v>
          </cell>
          <cell r="D14">
            <v>1499.3816119999997</v>
          </cell>
          <cell r="E14">
            <v>1840.1591709999993</v>
          </cell>
          <cell r="F14">
            <v>1974.8490000000006</v>
          </cell>
          <cell r="G14">
            <v>3508.1415274477722</v>
          </cell>
          <cell r="H14">
            <v>5373.4600000000019</v>
          </cell>
          <cell r="I14">
            <v>3887.4218812666672</v>
          </cell>
          <cell r="J14">
            <v>5287.2899999999972</v>
          </cell>
          <cell r="K14">
            <v>6529.2599999999984</v>
          </cell>
          <cell r="L14">
            <v>8047.0400000000018</v>
          </cell>
          <cell r="M14">
            <v>9761.9144288597654</v>
          </cell>
          <cell r="N14">
            <v>11522.063361614339</v>
          </cell>
          <cell r="O14">
            <v>13270.027700122533</v>
          </cell>
          <cell r="P14">
            <v>15393.503331050091</v>
          </cell>
        </row>
        <row r="15">
          <cell r="A15" t="str">
            <v>Interest and exchange variation</v>
          </cell>
          <cell r="B15">
            <v>-168</v>
          </cell>
          <cell r="C15">
            <v>-313</v>
          </cell>
          <cell r="D15">
            <v>-323</v>
          </cell>
          <cell r="E15">
            <v>-532</v>
          </cell>
          <cell r="F15">
            <v>-480</v>
          </cell>
          <cell r="G15">
            <v>-475.72</v>
          </cell>
          <cell r="H15">
            <v>-734.66</v>
          </cell>
          <cell r="I15">
            <v>-536.90960250000012</v>
          </cell>
          <cell r="J15">
            <v>-731.22955000000002</v>
          </cell>
          <cell r="K15">
            <v>-906.49255166666671</v>
          </cell>
          <cell r="L15">
            <v>-596.62</v>
          </cell>
          <cell r="M15">
            <v>-655.68017303153772</v>
          </cell>
          <cell r="N15">
            <v>-948.21670115346649</v>
          </cell>
          <cell r="O15">
            <v>-948.97645830071519</v>
          </cell>
          <cell r="P15">
            <v>-294.68920374763564</v>
          </cell>
        </row>
        <row r="16">
          <cell r="A16" t="str">
            <v>Interest income</v>
          </cell>
          <cell r="B16">
            <v>88</v>
          </cell>
          <cell r="C16">
            <v>171.94</v>
          </cell>
          <cell r="D16">
            <v>290.39999999999998</v>
          </cell>
          <cell r="E16">
            <v>451.87</v>
          </cell>
          <cell r="F16">
            <v>483</v>
          </cell>
          <cell r="G16">
            <v>1092.3969999999999</v>
          </cell>
          <cell r="H16">
            <v>1636.9099999999999</v>
          </cell>
          <cell r="I16">
            <v>1657.4301765</v>
          </cell>
          <cell r="J16">
            <v>1173.2051179999999</v>
          </cell>
          <cell r="K16">
            <v>1444.97</v>
          </cell>
          <cell r="L16">
            <v>1200.48</v>
          </cell>
          <cell r="M16">
            <v>1341.5426374527899</v>
          </cell>
          <cell r="N16">
            <v>1403.70470801325</v>
          </cell>
          <cell r="O16">
            <v>1464.023420086311</v>
          </cell>
          <cell r="P16">
            <v>1571.5316440031556</v>
          </cell>
        </row>
        <row r="17">
          <cell r="A17" t="str">
            <v>Other income/(expense)</v>
          </cell>
          <cell r="B17">
            <v>23</v>
          </cell>
          <cell r="C17">
            <v>33.47</v>
          </cell>
          <cell r="D17">
            <v>35.93</v>
          </cell>
          <cell r="E17">
            <v>87</v>
          </cell>
          <cell r="F17">
            <v>227.5</v>
          </cell>
          <cell r="G17">
            <v>174.78200000000015</v>
          </cell>
          <cell r="H17">
            <v>135.75000000000023</v>
          </cell>
          <cell r="I17">
            <v>96.569823499999984</v>
          </cell>
          <cell r="J17">
            <v>102.06488200000013</v>
          </cell>
          <cell r="K17">
            <v>0</v>
          </cell>
          <cell r="L17">
            <v>186.05999999999995</v>
          </cell>
          <cell r="M17">
            <v>186.05999999999995</v>
          </cell>
          <cell r="N17">
            <v>186.05999999999995</v>
          </cell>
          <cell r="O17">
            <v>186.05999999999995</v>
          </cell>
          <cell r="P17">
            <v>186.05999999999995</v>
          </cell>
        </row>
        <row r="18">
          <cell r="A18" t="str">
            <v>Pre-tax profit</v>
          </cell>
          <cell r="B18">
            <v>931</v>
          </cell>
          <cell r="C18">
            <v>1002.3466630000009</v>
          </cell>
          <cell r="D18">
            <v>1502.7116119999998</v>
          </cell>
          <cell r="E18">
            <v>1847.0291709999992</v>
          </cell>
          <cell r="F18">
            <v>2205.3490000000006</v>
          </cell>
          <cell r="G18">
            <v>4299.600527447772</v>
          </cell>
          <cell r="H18">
            <v>6411.4600000000019</v>
          </cell>
          <cell r="I18">
            <v>5104.5122787666669</v>
          </cell>
          <cell r="J18">
            <v>5831.3304499999977</v>
          </cell>
          <cell r="K18">
            <v>7067.7374483333324</v>
          </cell>
          <cell r="L18">
            <v>8836.9600000000009</v>
          </cell>
          <cell r="M18">
            <v>10633.836893281017</v>
          </cell>
          <cell r="N18">
            <v>12163.611368474123</v>
          </cell>
          <cell r="O18">
            <v>13971.134661908129</v>
          </cell>
          <cell r="P18">
            <v>16856.405771305614</v>
          </cell>
        </row>
        <row r="19">
          <cell r="A19" t="str">
            <v>Income tax</v>
          </cell>
          <cell r="B19">
            <v>-287</v>
          </cell>
          <cell r="C19">
            <v>-356</v>
          </cell>
          <cell r="D19">
            <v>-620</v>
          </cell>
          <cell r="E19">
            <v>-772.5</v>
          </cell>
          <cell r="F19">
            <v>-625</v>
          </cell>
          <cell r="G19">
            <v>-1380.4330489395081</v>
          </cell>
          <cell r="H19">
            <v>-2399.9892524477241</v>
          </cell>
          <cell r="I19">
            <v>-1195</v>
          </cell>
          <cell r="J19">
            <v>-870</v>
          </cell>
          <cell r="K19">
            <v>-1470</v>
          </cell>
          <cell r="L19">
            <v>-2485</v>
          </cell>
          <cell r="M19">
            <v>-3009.5060627733565</v>
          </cell>
          <cell r="N19">
            <v>-3237.8731915596927</v>
          </cell>
          <cell r="O19">
            <v>-3454.9023676678448</v>
          </cell>
          <cell r="P19">
            <v>-3627.2152599569645</v>
          </cell>
        </row>
        <row r="20">
          <cell r="A20" t="str">
            <v xml:space="preserve">Net profit </v>
          </cell>
          <cell r="B20">
            <v>644</v>
          </cell>
          <cell r="C20">
            <v>646.34666300000094</v>
          </cell>
          <cell r="D20">
            <v>882.71161199999983</v>
          </cell>
          <cell r="E20">
            <v>1074.5291709999992</v>
          </cell>
          <cell r="F20">
            <v>1580.3490000000006</v>
          </cell>
          <cell r="G20">
            <v>2919.1674785082641</v>
          </cell>
          <cell r="H20">
            <v>4011.4707475522778</v>
          </cell>
          <cell r="I20">
            <v>3909.5122787666669</v>
          </cell>
          <cell r="J20">
            <v>4961.3304499999977</v>
          </cell>
          <cell r="K20">
            <v>5597.7374483333324</v>
          </cell>
          <cell r="L20">
            <v>6351.9600000000009</v>
          </cell>
          <cell r="M20">
            <v>7624.3308305076607</v>
          </cell>
          <cell r="N20">
            <v>8925.7381769144304</v>
          </cell>
          <cell r="O20">
            <v>10516.232294240284</v>
          </cell>
          <cell r="P20">
            <v>13229.19051134865</v>
          </cell>
        </row>
        <row r="22">
          <cell r="A22" t="str">
            <v>Extraordinary items</v>
          </cell>
          <cell r="B22">
            <v>0</v>
          </cell>
          <cell r="C22">
            <v>-7.5</v>
          </cell>
          <cell r="D22">
            <v>-7</v>
          </cell>
          <cell r="E22">
            <v>0</v>
          </cell>
          <cell r="F22">
            <v>-383.05</v>
          </cell>
          <cell r="G22">
            <v>0.2</v>
          </cell>
          <cell r="H22">
            <v>-101.96</v>
          </cell>
          <cell r="I22">
            <v>-6.5</v>
          </cell>
          <cell r="J22">
            <v>0</v>
          </cell>
          <cell r="K22">
            <v>0</v>
          </cell>
          <cell r="L22">
            <v>-227.9</v>
          </cell>
          <cell r="M22">
            <v>0</v>
          </cell>
          <cell r="N22">
            <v>0</v>
          </cell>
          <cell r="O22">
            <v>0</v>
          </cell>
          <cell r="P22">
            <v>1</v>
          </cell>
        </row>
        <row r="23">
          <cell r="A23" t="str">
            <v>Profit attributable to shareholders</v>
          </cell>
          <cell r="B23">
            <v>644</v>
          </cell>
          <cell r="C23">
            <v>638.84666300000094</v>
          </cell>
          <cell r="D23">
            <v>875.71161199999983</v>
          </cell>
          <cell r="E23">
            <v>1074.5291709999992</v>
          </cell>
          <cell r="F23">
            <v>1197.2990000000007</v>
          </cell>
          <cell r="G23">
            <v>2919.367478508264</v>
          </cell>
          <cell r="H23">
            <v>3909.5107475522777</v>
          </cell>
          <cell r="I23">
            <v>3903.0122787666669</v>
          </cell>
          <cell r="J23">
            <v>4961.3304499999977</v>
          </cell>
          <cell r="K23">
            <v>5597.7374483333324</v>
          </cell>
          <cell r="L23">
            <v>6124.0600000000013</v>
          </cell>
          <cell r="M23">
            <v>7624.3308305076607</v>
          </cell>
          <cell r="N23">
            <v>8925.7381769144304</v>
          </cell>
          <cell r="O23">
            <v>10516.232294240284</v>
          </cell>
          <cell r="P23">
            <v>13230.19051134865</v>
          </cell>
        </row>
        <row r="24">
          <cell r="A24" t="str">
            <v>Dividend taxes</v>
          </cell>
          <cell r="I24">
            <v>-33.510000000000005</v>
          </cell>
          <cell r="J24">
            <v>-39.094999999999999</v>
          </cell>
          <cell r="K24">
            <v>-48.402999999999999</v>
          </cell>
          <cell r="L24">
            <v>-65.534040000000019</v>
          </cell>
          <cell r="M24">
            <v>-89.36460000000001</v>
          </cell>
          <cell r="N24">
            <v>-107.23752000000002</v>
          </cell>
          <cell r="O24">
            <v>-134.04690000000005</v>
          </cell>
          <cell r="P24">
            <v>-142.98336000000003</v>
          </cell>
        </row>
        <row r="25">
          <cell r="A25" t="str">
            <v>Common dividends</v>
          </cell>
          <cell r="B25">
            <v>-74.400000000000006</v>
          </cell>
          <cell r="C25">
            <v>-116.31</v>
          </cell>
          <cell r="D25">
            <v>-145.38749999999999</v>
          </cell>
          <cell r="E25">
            <v>-155.08000000000001</v>
          </cell>
          <cell r="F25">
            <v>-188.6</v>
          </cell>
          <cell r="G25">
            <v>-257.63</v>
          </cell>
          <cell r="H25">
            <v>-297.86</v>
          </cell>
          <cell r="I25">
            <v>-335.1</v>
          </cell>
          <cell r="J25">
            <v>-390.95</v>
          </cell>
          <cell r="K25">
            <v>-484.03</v>
          </cell>
          <cell r="L25">
            <v>-595.76400000000012</v>
          </cell>
          <cell r="M25">
            <v>-744.70500000000015</v>
          </cell>
          <cell r="N25">
            <v>-893.64600000000019</v>
          </cell>
          <cell r="O25">
            <v>-1117.0575000000003</v>
          </cell>
          <cell r="P25">
            <v>-1191.5280000000002</v>
          </cell>
        </row>
        <row r="26">
          <cell r="A26" t="str">
            <v>Add to retained earnings</v>
          </cell>
          <cell r="B26">
            <v>569.6</v>
          </cell>
          <cell r="C26">
            <v>522.536663000001</v>
          </cell>
          <cell r="D26">
            <v>730.32411199999979</v>
          </cell>
          <cell r="E26">
            <v>919.44917099999918</v>
          </cell>
          <cell r="F26">
            <v>1008.6990000000006</v>
          </cell>
          <cell r="G26">
            <v>2661.7374785082638</v>
          </cell>
          <cell r="H26">
            <v>3611.6507475522776</v>
          </cell>
          <cell r="I26">
            <v>3567.912278766667</v>
          </cell>
          <cell r="J26">
            <v>4531.2854499999976</v>
          </cell>
          <cell r="K26">
            <v>5065.3044483333324</v>
          </cell>
          <cell r="L26">
            <v>5462.7619600000007</v>
          </cell>
          <cell r="M26">
            <v>6790.2612305076609</v>
          </cell>
          <cell r="N26">
            <v>7924.8546569144291</v>
          </cell>
          <cell r="O26">
            <v>9265.1278942402841</v>
          </cell>
          <cell r="P26">
            <v>11895.67915134865</v>
          </cell>
        </row>
        <row r="28">
          <cell r="A28" t="str">
            <v>EPS (Rs)</v>
          </cell>
          <cell r="B28">
            <v>11.073854354741638</v>
          </cell>
          <cell r="C28">
            <v>11.114206224744233</v>
          </cell>
          <cell r="D28">
            <v>15.178602218209953</v>
          </cell>
          <cell r="E28">
            <v>18.47698686269451</v>
          </cell>
          <cell r="F28">
            <v>25.085019305371922</v>
          </cell>
          <cell r="G28">
            <v>41.821690764487641</v>
          </cell>
          <cell r="H28">
            <v>54.898438466438037</v>
          </cell>
          <cell r="I28">
            <v>52.497462468583748</v>
          </cell>
          <cell r="J28">
            <v>66.621419891097773</v>
          </cell>
          <cell r="K28">
            <v>75.167179599080598</v>
          </cell>
          <cell r="L28">
            <v>85.294982576993576</v>
          </cell>
          <cell r="M28">
            <v>102.38055109751726</v>
          </cell>
          <cell r="N28">
            <v>119.85602590172523</v>
          </cell>
          <cell r="O28">
            <v>141.21339717391828</v>
          </cell>
          <cell r="P28">
            <v>177.64336900314416</v>
          </cell>
        </row>
        <row r="29">
          <cell r="A29" t="str">
            <v>Fully diluted EPS (Rs)</v>
          </cell>
          <cell r="B29">
            <v>11.073854354741638</v>
          </cell>
          <cell r="C29">
            <v>11.114206224744233</v>
          </cell>
          <cell r="D29">
            <v>15.178602218209953</v>
          </cell>
          <cell r="E29">
            <v>18.47698686269451</v>
          </cell>
          <cell r="F29">
            <v>25.085019305371922</v>
          </cell>
          <cell r="G29">
            <v>39.198977830258471</v>
          </cell>
          <cell r="H29">
            <v>53.866574651066891</v>
          </cell>
          <cell r="I29">
            <v>52.497462468583748</v>
          </cell>
          <cell r="J29">
            <v>66.621419891097773</v>
          </cell>
          <cell r="K29">
            <v>75.167179599080598</v>
          </cell>
          <cell r="L29">
            <v>85.294982576993576</v>
          </cell>
          <cell r="M29">
            <v>102.38055109751726</v>
          </cell>
          <cell r="N29">
            <v>119.85602590172523</v>
          </cell>
          <cell r="O29">
            <v>141.21339717391828</v>
          </cell>
          <cell r="P29">
            <v>177.65679713911746</v>
          </cell>
        </row>
        <row r="30">
          <cell r="A30" t="str">
            <v>Basic year end EPS (Rs)</v>
          </cell>
          <cell r="B30">
            <v>11.073854354741638</v>
          </cell>
          <cell r="C30">
            <v>11.114206224744233</v>
          </cell>
          <cell r="D30">
            <v>15.178602218209953</v>
          </cell>
          <cell r="E30">
            <v>18.47698686269451</v>
          </cell>
          <cell r="F30">
            <v>24.289706051873207</v>
          </cell>
          <cell r="G30">
            <v>40.539769864365013</v>
          </cell>
          <cell r="H30">
            <v>53.866574651066891</v>
          </cell>
          <cell r="I30">
            <v>52.497462468583748</v>
          </cell>
          <cell r="J30">
            <v>66.621419891097773</v>
          </cell>
          <cell r="K30">
            <v>75.167179599080598</v>
          </cell>
          <cell r="L30">
            <v>85.294982576993576</v>
          </cell>
          <cell r="M30">
            <v>102.38055109751726</v>
          </cell>
          <cell r="N30">
            <v>119.85602590172523</v>
          </cell>
          <cell r="O30">
            <v>141.21339717391828</v>
          </cell>
          <cell r="P30">
            <v>177.64336900314416</v>
          </cell>
        </row>
        <row r="31">
          <cell r="A31" t="str">
            <v>CEPS (Rs)</v>
          </cell>
          <cell r="B31">
            <v>0</v>
          </cell>
          <cell r="C31">
            <v>13.934600000000016</v>
          </cell>
          <cell r="D31">
            <v>18.796519852119335</v>
          </cell>
          <cell r="E31">
            <v>25.003510807325242</v>
          </cell>
          <cell r="F31">
            <v>23.37961469273942</v>
          </cell>
          <cell r="G31">
            <v>46.545164681817567</v>
          </cell>
          <cell r="H31">
            <v>58.270512224269673</v>
          </cell>
          <cell r="I31">
            <v>58.094015717633155</v>
          </cell>
          <cell r="J31">
            <v>76.796052799430598</v>
          </cell>
          <cell r="K31">
            <v>91.89836845909899</v>
          </cell>
          <cell r="L31">
            <v>100.41143808622208</v>
          </cell>
          <cell r="M31">
            <v>122.02209936159498</v>
          </cell>
          <cell r="N31">
            <v>141.97035895978178</v>
          </cell>
          <cell r="O31">
            <v>166.72705640811171</v>
          </cell>
          <cell r="P31">
            <v>211.32202565242139</v>
          </cell>
        </row>
        <row r="32">
          <cell r="A32" t="str">
            <v>Dividend per share (Rs)</v>
          </cell>
          <cell r="B32">
            <v>1.2793396956409595</v>
          </cell>
          <cell r="C32">
            <v>2</v>
          </cell>
          <cell r="D32">
            <v>2.4999999999999996</v>
          </cell>
          <cell r="E32">
            <v>2.666666666666667</v>
          </cell>
          <cell r="F32">
            <v>3</v>
          </cell>
          <cell r="G32">
            <v>3.67</v>
          </cell>
          <cell r="H32">
            <v>4</v>
          </cell>
          <cell r="I32">
            <v>4.49976836465446</v>
          </cell>
          <cell r="J32">
            <v>5.2497297587635359</v>
          </cell>
          <cell r="K32">
            <v>6.4996206551587523</v>
          </cell>
          <cell r="L32">
            <v>8</v>
          </cell>
          <cell r="M32">
            <v>10</v>
          </cell>
          <cell r="N32">
            <v>12</v>
          </cell>
          <cell r="O32">
            <v>15</v>
          </cell>
          <cell r="P32">
            <v>16</v>
          </cell>
        </row>
        <row r="34">
          <cell r="A34" t="str">
            <v>Weighted avg. shares (m)</v>
          </cell>
          <cell r="B34">
            <v>58.155000000000001</v>
          </cell>
          <cell r="C34">
            <v>58.155000000000001</v>
          </cell>
          <cell r="D34">
            <v>58.155000000000001</v>
          </cell>
          <cell r="E34">
            <v>58.155000000000001</v>
          </cell>
          <cell r="F34">
            <v>62.999712328767117</v>
          </cell>
          <cell r="G34">
            <v>69.800321917808219</v>
          </cell>
          <cell r="H34">
            <v>73.070762295081963</v>
          </cell>
          <cell r="I34">
            <v>74.470500000000015</v>
          </cell>
          <cell r="J34">
            <v>74.470500000000015</v>
          </cell>
          <cell r="K34">
            <v>74.470500000000015</v>
          </cell>
          <cell r="L34">
            <v>74.470500000000015</v>
          </cell>
          <cell r="M34">
            <v>74.470500000000015</v>
          </cell>
          <cell r="N34">
            <v>74.470500000000015</v>
          </cell>
          <cell r="O34">
            <v>74.470500000000015</v>
          </cell>
          <cell r="P34">
            <v>74.470500000000015</v>
          </cell>
        </row>
        <row r="35">
          <cell r="A35" t="str">
            <v>Fully diluted (m)</v>
          </cell>
          <cell r="B35">
            <v>58.155000000000001</v>
          </cell>
          <cell r="C35">
            <v>58.155000000000001</v>
          </cell>
          <cell r="D35">
            <v>58.155000000000001</v>
          </cell>
          <cell r="E35">
            <v>58.155000000000001</v>
          </cell>
          <cell r="F35">
            <v>62.999712328767117</v>
          </cell>
          <cell r="G35">
            <v>74.470500000000015</v>
          </cell>
          <cell r="H35">
            <v>74.470500000000015</v>
          </cell>
          <cell r="I35">
            <v>74.470500000000015</v>
          </cell>
          <cell r="J35">
            <v>74.470500000000015</v>
          </cell>
          <cell r="K35">
            <v>74.470500000000015</v>
          </cell>
          <cell r="L35">
            <v>74.470500000000015</v>
          </cell>
          <cell r="M35">
            <v>74.470500000000015</v>
          </cell>
          <cell r="N35">
            <v>74.470500000000015</v>
          </cell>
          <cell r="O35">
            <v>74.470500000000015</v>
          </cell>
          <cell r="P35">
            <v>74.470500000000015</v>
          </cell>
        </row>
        <row r="36">
          <cell r="A36" t="str">
            <v>Shares outstanding (m)</v>
          </cell>
          <cell r="B36">
            <v>58.155000000000001</v>
          </cell>
          <cell r="C36">
            <v>58.155000000000001</v>
          </cell>
          <cell r="D36">
            <v>58.155000000000001</v>
          </cell>
          <cell r="E36">
            <v>58.155000000000001</v>
          </cell>
          <cell r="F36">
            <v>65.0625</v>
          </cell>
          <cell r="G36">
            <v>72.007500000000007</v>
          </cell>
          <cell r="H36">
            <v>74.470500000000015</v>
          </cell>
          <cell r="I36">
            <v>74.470500000000015</v>
          </cell>
          <cell r="J36">
            <v>74.470500000000015</v>
          </cell>
          <cell r="K36">
            <v>74.470500000000015</v>
          </cell>
          <cell r="L36">
            <v>74.470500000000015</v>
          </cell>
          <cell r="M36">
            <v>74.470500000000015</v>
          </cell>
          <cell r="N36">
            <v>74.470500000000015</v>
          </cell>
          <cell r="O36">
            <v>74.470500000000015</v>
          </cell>
          <cell r="P36">
            <v>74.470500000000015</v>
          </cell>
        </row>
        <row r="38">
          <cell r="A38" t="str">
            <v>Ratios (%)</v>
          </cell>
        </row>
        <row r="39">
          <cell r="A39" t="str">
            <v>Revenue growth</v>
          </cell>
          <cell r="B39" t="str">
            <v>NA</v>
          </cell>
          <cell r="C39">
            <v>0.10915318372257921</v>
          </cell>
          <cell r="D39">
            <v>0.26758198410623857</v>
          </cell>
          <cell r="E39">
            <v>0.1542081478680053</v>
          </cell>
          <cell r="F39">
            <v>-7.6460944303613498E-3</v>
          </cell>
          <cell r="G39">
            <v>0.27591714923166299</v>
          </cell>
          <cell r="H39">
            <v>0.30900775926271007</v>
          </cell>
          <cell r="I39">
            <v>-7.5675403636503158E-2</v>
          </cell>
          <cell r="J39">
            <v>0.27328282671146908</v>
          </cell>
          <cell r="K39">
            <v>0.19935653997699032</v>
          </cell>
          <cell r="L39">
            <v>0.14951607079593954</v>
          </cell>
          <cell r="M39">
            <v>0.15815040639771238</v>
          </cell>
          <cell r="N39">
            <v>0.14372257408358236</v>
          </cell>
          <cell r="O39">
            <v>0.13451658431357605</v>
          </cell>
          <cell r="P39">
            <v>0.14224006616519547</v>
          </cell>
        </row>
        <row r="40">
          <cell r="A40" t="str">
            <v>COGS as % of sales</v>
          </cell>
          <cell r="B40">
            <v>0.71682100423264505</v>
          </cell>
          <cell r="C40">
            <v>0.72174266266239306</v>
          </cell>
          <cell r="D40">
            <v>0.70585633462036534</v>
          </cell>
          <cell r="E40">
            <v>0.66016307495148663</v>
          </cell>
          <cell r="F40">
            <v>0.64393694584856231</v>
          </cell>
          <cell r="G40">
            <v>0.55019328331067607</v>
          </cell>
          <cell r="H40">
            <v>0.49393494743544308</v>
          </cell>
          <cell r="I40">
            <v>0.56381400792631142</v>
          </cell>
          <cell r="J40">
            <v>0.52660256351421308</v>
          </cell>
          <cell r="K40">
            <v>0.48901642118161215</v>
          </cell>
          <cell r="L40">
            <v>0.4721379803346612</v>
          </cell>
          <cell r="M40">
            <v>0.45825984278208992</v>
          </cell>
          <cell r="N40">
            <v>0.44560043750730272</v>
          </cell>
          <cell r="O40">
            <v>0.43718982801395162</v>
          </cell>
          <cell r="P40">
            <v>0.42031581629122916</v>
          </cell>
        </row>
        <row r="41">
          <cell r="A41" t="str">
            <v>Gross margin</v>
          </cell>
          <cell r="B41">
            <v>0.28317899576735489</v>
          </cell>
          <cell r="C41">
            <v>0.27825733733760699</v>
          </cell>
          <cell r="D41">
            <v>0.2941436653796346</v>
          </cell>
          <cell r="E41">
            <v>0.33983692504851343</v>
          </cell>
          <cell r="F41">
            <v>0.35606305415143774</v>
          </cell>
          <cell r="G41">
            <v>0.44980671668932393</v>
          </cell>
          <cell r="H41">
            <v>0.50606505256455692</v>
          </cell>
          <cell r="I41">
            <v>0.43618599207368858</v>
          </cell>
          <cell r="J41">
            <v>0.47339743648578692</v>
          </cell>
          <cell r="K41">
            <v>0.51098357881838785</v>
          </cell>
          <cell r="L41">
            <v>0.52786201966533886</v>
          </cell>
          <cell r="M41">
            <v>0.54174015721791002</v>
          </cell>
          <cell r="N41">
            <v>0.55439956249269728</v>
          </cell>
          <cell r="O41">
            <v>0.56281017198604844</v>
          </cell>
          <cell r="P41">
            <v>0.57968418370877073</v>
          </cell>
        </row>
        <row r="42">
          <cell r="A42" t="str">
            <v>S,G&amp;A as % of sales</v>
          </cell>
          <cell r="B42">
            <v>4.5764132092903337E-2</v>
          </cell>
          <cell r="C42">
            <v>3.0025192126056543E-2</v>
          </cell>
          <cell r="D42">
            <v>3.1786402165070143E-2</v>
          </cell>
          <cell r="E42">
            <v>4.5943426050833312E-2</v>
          </cell>
          <cell r="F42">
            <v>5.5802401008243074E-2</v>
          </cell>
          <cell r="G42">
            <v>4.8506633154247684E-2</v>
          </cell>
          <cell r="H42">
            <v>4.8980214406597979E-2</v>
          </cell>
          <cell r="I42">
            <v>6.3634837266225583E-2</v>
          </cell>
          <cell r="J42">
            <v>6.1824658645790065E-2</v>
          </cell>
          <cell r="K42">
            <v>7.09571837089535E-2</v>
          </cell>
          <cell r="L42">
            <v>6.5045677701916313E-2</v>
          </cell>
          <cell r="M42">
            <v>6.4587923074575462E-2</v>
          </cell>
          <cell r="N42">
            <v>6.494241979553142E-2</v>
          </cell>
          <cell r="O42">
            <v>6.5828727228388242E-2</v>
          </cell>
          <cell r="P42">
            <v>6.6275941945200492E-2</v>
          </cell>
        </row>
        <row r="43">
          <cell r="A43" t="str">
            <v>EBITDA margin</v>
          </cell>
          <cell r="B43">
            <v>0.23741486367445158</v>
          </cell>
          <cell r="C43">
            <v>0.24823214521155043</v>
          </cell>
          <cell r="D43">
            <v>0.26235726321456448</v>
          </cell>
          <cell r="E43">
            <v>0.29389349899768008</v>
          </cell>
          <cell r="F43">
            <v>0.30026065314319467</v>
          </cell>
          <cell r="G43">
            <v>0.40130008353507624</v>
          </cell>
          <cell r="H43">
            <v>0.45708483815795892</v>
          </cell>
          <cell r="I43">
            <v>0.37255115480746298</v>
          </cell>
          <cell r="J43">
            <v>0.41157277783999691</v>
          </cell>
          <cell r="K43">
            <v>0.44002639510943437</v>
          </cell>
          <cell r="L43">
            <v>0.46281634196342247</v>
          </cell>
          <cell r="M43">
            <v>0.47715223414333463</v>
          </cell>
          <cell r="N43">
            <v>0.48945714269716589</v>
          </cell>
          <cell r="O43">
            <v>0.49698144475766021</v>
          </cell>
          <cell r="P43">
            <v>0.51340824176357036</v>
          </cell>
        </row>
        <row r="44">
          <cell r="A44" t="str">
            <v>D&amp;A as % of sales</v>
          </cell>
          <cell r="B44">
            <v>2.5138044389059578E-2</v>
          </cell>
          <cell r="C44">
            <v>3.3225296473943344E-2</v>
          </cell>
          <cell r="D44">
            <v>3.3222903032145437E-2</v>
          </cell>
          <cell r="E44">
            <v>5.0253104776927356E-2</v>
          </cell>
          <cell r="F44">
            <v>3.6772426697307466E-2</v>
          </cell>
          <cell r="G44">
            <v>3.445563546753317E-2</v>
          </cell>
          <cell r="H44">
            <v>2.7828571017736749E-2</v>
          </cell>
          <cell r="I44">
            <v>3.6581704117390167E-2</v>
          </cell>
          <cell r="J44">
            <v>5.2695167601652097E-2</v>
          </cell>
          <cell r="K44">
            <v>7.051410474512082E-2</v>
          </cell>
          <cell r="L44">
            <v>6.6642280281293514E-2</v>
          </cell>
          <cell r="M44">
            <v>6.2179167371504751E-2</v>
          </cell>
          <cell r="N44">
            <v>6.1209993979942943E-2</v>
          </cell>
          <cell r="O44">
            <v>6.2245848679395935E-2</v>
          </cell>
          <cell r="P44">
            <v>7.1905451711732585E-2</v>
          </cell>
        </row>
        <row r="45">
          <cell r="A45" t="str">
            <v>EBIT margin</v>
          </cell>
          <cell r="B45">
            <v>0.21227681928539199</v>
          </cell>
          <cell r="C45">
            <v>0.21500684873760709</v>
          </cell>
          <cell r="D45">
            <v>0.22913436018241901</v>
          </cell>
          <cell r="E45">
            <v>0.24364039422075273</v>
          </cell>
          <cell r="F45">
            <v>0.26348822644588721</v>
          </cell>
          <cell r="G45">
            <v>0.36684444806754307</v>
          </cell>
          <cell r="H45">
            <v>0.42925626714022219</v>
          </cell>
          <cell r="I45">
            <v>0.33596945069007284</v>
          </cell>
          <cell r="J45">
            <v>0.35887761023834475</v>
          </cell>
          <cell r="K45">
            <v>0.36951229036431354</v>
          </cell>
          <cell r="L45">
            <v>0.39617406168212893</v>
          </cell>
          <cell r="M45">
            <v>0.41497306677182988</v>
          </cell>
          <cell r="N45">
            <v>0.42824714871722297</v>
          </cell>
          <cell r="O45">
            <v>0.43473559607826429</v>
          </cell>
          <cell r="P45">
            <v>0.44150279005183779</v>
          </cell>
        </row>
        <row r="46">
          <cell r="A46" t="str">
            <v>Income tax rate</v>
          </cell>
          <cell r="B46">
            <v>0.30827067669172931</v>
          </cell>
          <cell r="C46">
            <v>0.35516654381279628</v>
          </cell>
          <cell r="D46">
            <v>0.41258748188870725</v>
          </cell>
          <cell r="E46">
            <v>0.41823919845389401</v>
          </cell>
          <cell r="F46">
            <v>0.28340185612345248</v>
          </cell>
          <cell r="G46">
            <v>0.32106076834978164</v>
          </cell>
          <cell r="H46">
            <v>0.37432803954913912</v>
          </cell>
          <cell r="I46">
            <v>0.23410659721024932</v>
          </cell>
          <cell r="J46">
            <v>0.14919408314443924</v>
          </cell>
          <cell r="K46">
            <v>0.20798735249378084</v>
          </cell>
          <cell r="L46">
            <v>0.28120530137060706</v>
          </cell>
          <cell r="M46">
            <v>0.28301224600077429</v>
          </cell>
          <cell r="N46">
            <v>0.26619341028534282</v>
          </cell>
          <cell r="O46">
            <v>0.24728860262778302</v>
          </cell>
          <cell r="P46">
            <v>0.2151831955855924</v>
          </cell>
        </row>
        <row r="47">
          <cell r="A47" t="str">
            <v>PAT margin</v>
          </cell>
          <cell r="B47">
            <v>0.13836667167995187</v>
          </cell>
          <cell r="C47">
            <v>0.12520440475232614</v>
          </cell>
          <cell r="D47">
            <v>0.13489531872504498</v>
          </cell>
          <cell r="E47">
            <v>0.14226960088559565</v>
          </cell>
          <cell r="F47">
            <v>0.21085326279403208</v>
          </cell>
          <cell r="G47">
            <v>0.30525575268029959</v>
          </cell>
          <cell r="H47">
            <v>0.32045441090777388</v>
          </cell>
          <cell r="I47">
            <v>0.33787860769445283</v>
          </cell>
          <cell r="J47">
            <v>0.33675293307133364</v>
          </cell>
          <cell r="K47">
            <v>0.31679436649662268</v>
          </cell>
          <cell r="L47">
            <v>0.3127214221431005</v>
          </cell>
          <cell r="M47">
            <v>0.32410568335501516</v>
          </cell>
          <cell r="N47">
            <v>0.33174803891414417</v>
          </cell>
          <cell r="O47">
            <v>0.34451928950320337</v>
          </cell>
          <cell r="P47">
            <v>0.37942789209695083</v>
          </cell>
        </row>
        <row r="48">
          <cell r="A48" t="str">
            <v>Common dividend PAT payout ratio</v>
          </cell>
          <cell r="B48">
            <v>0.11552795031055901</v>
          </cell>
          <cell r="C48">
            <v>0.17994987312249777</v>
          </cell>
          <cell r="D48">
            <v>0.16470554824875241</v>
          </cell>
          <cell r="E48">
            <v>0.14432367606705032</v>
          </cell>
          <cell r="F48">
            <v>0.11934072790250756</v>
          </cell>
          <cell r="G48">
            <v>8.8254614336705534E-2</v>
          </cell>
          <cell r="H48">
            <v>7.4252068317274517E-2</v>
          </cell>
          <cell r="I48">
            <v>8.5714016507888791E-2</v>
          </cell>
          <cell r="J48">
            <v>7.879942768174214E-2</v>
          </cell>
          <cell r="K48">
            <v>8.6468864334484793E-2</v>
          </cell>
          <cell r="L48">
            <v>9.3792152343528612E-2</v>
          </cell>
          <cell r="M48">
            <v>9.7674801442268283E-2</v>
          </cell>
          <cell r="N48">
            <v>0.10012012253634442</v>
          </cell>
          <cell r="O48">
            <v>0.10622221616498621</v>
          </cell>
          <cell r="P48">
            <v>9.0068095926039385E-2</v>
          </cell>
        </row>
        <row r="49">
          <cell r="A49" t="str">
            <v>EPS growth</v>
          </cell>
          <cell r="B49" t="str">
            <v>NA</v>
          </cell>
          <cell r="C49">
            <v>3.6438866459642671E-3</v>
          </cell>
          <cell r="D49">
            <v>0.36569377167187223</v>
          </cell>
          <cell r="E49">
            <v>0.21730490048203821</v>
          </cell>
          <cell r="F49">
            <v>0.35763582513657521</v>
          </cell>
          <cell r="G49">
            <v>0.66719787038519773</v>
          </cell>
          <cell r="H49">
            <v>0.3126785996192758</v>
          </cell>
          <cell r="I49">
            <v>-4.373486869434573E-2</v>
          </cell>
          <cell r="J49">
            <v>0.26904076422677137</v>
          </cell>
          <cell r="K49">
            <v>0.12827345502320564</v>
          </cell>
          <cell r="L49">
            <v>0.13473703592354624</v>
          </cell>
          <cell r="M49">
            <v>0.20031153069409413</v>
          </cell>
          <cell r="N49">
            <v>0.17069135316103767</v>
          </cell>
          <cell r="O49">
            <v>0.17819188573551425</v>
          </cell>
          <cell r="P49">
            <v>0.25797815616855924</v>
          </cell>
        </row>
        <row r="50">
          <cell r="A50" t="str">
            <v>FD EPS growth</v>
          </cell>
          <cell r="B50" t="str">
            <v>NA</v>
          </cell>
          <cell r="C50">
            <v>3.6438866459642671E-3</v>
          </cell>
          <cell r="D50">
            <v>0.36569377167187223</v>
          </cell>
          <cell r="E50">
            <v>0.21730490048203821</v>
          </cell>
          <cell r="F50">
            <v>0.35763582513657521</v>
          </cell>
          <cell r="G50">
            <v>0.56264491380574966</v>
          </cell>
          <cell r="H50">
            <v>0.37418314539534259</v>
          </cell>
          <cell r="I50">
            <v>-2.5416729973121166E-2</v>
          </cell>
          <cell r="J50">
            <v>0.26904076422677137</v>
          </cell>
          <cell r="K50">
            <v>0.12827345502320564</v>
          </cell>
          <cell r="L50">
            <v>0.13473703592354624</v>
          </cell>
          <cell r="M50">
            <v>0.20031153069409413</v>
          </cell>
          <cell r="N50">
            <v>0.17069135316103767</v>
          </cell>
          <cell r="O50">
            <v>0.17819188573551425</v>
          </cell>
          <cell r="P50">
            <v>0.25807324725936254</v>
          </cell>
        </row>
        <row r="51">
          <cell r="A51" t="str">
            <v>Basic EPS growth</v>
          </cell>
          <cell r="B51" t="str">
            <v>NA</v>
          </cell>
          <cell r="C51">
            <v>3.6438866459642671E-3</v>
          </cell>
          <cell r="D51">
            <v>0.36569377167187223</v>
          </cell>
          <cell r="E51">
            <v>0.21730490048203821</v>
          </cell>
          <cell r="F51">
            <v>0.31459237549790764</v>
          </cell>
          <cell r="G51">
            <v>0.66901031151995394</v>
          </cell>
          <cell r="H51">
            <v>0.32873410064461939</v>
          </cell>
          <cell r="I51">
            <v>-2.5416729973121166E-2</v>
          </cell>
          <cell r="J51">
            <v>0.26904076422677137</v>
          </cell>
          <cell r="K51">
            <v>0.12827345502320564</v>
          </cell>
          <cell r="L51">
            <v>0.13473703592354624</v>
          </cell>
          <cell r="M51">
            <v>0.20031153069409413</v>
          </cell>
          <cell r="N51">
            <v>0.17069135316103767</v>
          </cell>
          <cell r="O51">
            <v>0.17819188573551425</v>
          </cell>
          <cell r="P51">
            <v>0.25797815616855924</v>
          </cell>
        </row>
        <row r="52">
          <cell r="A52" t="str">
            <v>Net Profit growth</v>
          </cell>
          <cell r="C52" t="e">
            <v>#DIV/0!</v>
          </cell>
          <cell r="D52">
            <v>0.36569377167187223</v>
          </cell>
          <cell r="E52">
            <v>0.21730490048203821</v>
          </cell>
          <cell r="F52">
            <v>0.47073624676868064</v>
          </cell>
          <cell r="G52">
            <v>0.84716634016173842</v>
          </cell>
          <cell r="H52">
            <v>0.37418314539534259</v>
          </cell>
          <cell r="I52">
            <v>-2.5416729973121166E-2</v>
          </cell>
          <cell r="J52">
            <v>0.26904076422677137</v>
          </cell>
          <cell r="K52">
            <v>0.12827345502320542</v>
          </cell>
          <cell r="L52">
            <v>0.13473703592354624</v>
          </cell>
          <cell r="M52">
            <v>0.20031153069409435</v>
          </cell>
          <cell r="N52">
            <v>0.17069135316103745</v>
          </cell>
          <cell r="O52">
            <v>0.17819188573551425</v>
          </cell>
          <cell r="P52">
            <v>0.25797815616855924</v>
          </cell>
        </row>
        <row r="57">
          <cell r="A57" t="str">
            <v>HINDALCO INDUSTRIES</v>
          </cell>
          <cell r="P57" t="str">
            <v>Cash Flow Statement</v>
          </cell>
        </row>
        <row r="58">
          <cell r="P58" t="str">
            <v xml:space="preserve">  15-Mar-00</v>
          </cell>
        </row>
        <row r="60">
          <cell r="A60" t="str">
            <v>Year ended 31st March</v>
          </cell>
          <cell r="B60">
            <v>1990</v>
          </cell>
          <cell r="C60">
            <v>1991</v>
          </cell>
          <cell r="D60">
            <v>1992</v>
          </cell>
          <cell r="E60">
            <v>1993</v>
          </cell>
          <cell r="F60">
            <v>1994</v>
          </cell>
          <cell r="G60">
            <v>1995</v>
          </cell>
          <cell r="H60">
            <v>1996</v>
          </cell>
          <cell r="I60">
            <v>1997</v>
          </cell>
          <cell r="J60">
            <v>1998</v>
          </cell>
          <cell r="K60">
            <v>1999</v>
          </cell>
          <cell r="L60">
            <v>2000</v>
          </cell>
          <cell r="M60" t="str">
            <v>2001E</v>
          </cell>
          <cell r="N60" t="str">
            <v>2002E</v>
          </cell>
          <cell r="O60" t="str">
            <v>2003E</v>
          </cell>
          <cell r="P60" t="str">
            <v>2004E</v>
          </cell>
        </row>
        <row r="61">
          <cell r="A61" t="str">
            <v>Net cash/(debt) at beginning of year</v>
          </cell>
          <cell r="C61">
            <v>0</v>
          </cell>
          <cell r="D61">
            <v>-2307.09</v>
          </cell>
          <cell r="E61">
            <v>-2873.52</v>
          </cell>
          <cell r="F61">
            <v>-3191.0699999999997</v>
          </cell>
          <cell r="G61">
            <v>-2815.86</v>
          </cell>
          <cell r="H61">
            <v>-4156.3100000000004</v>
          </cell>
          <cell r="I61">
            <v>-4939.1100000000006</v>
          </cell>
          <cell r="J61">
            <v>-5253.4800000000005</v>
          </cell>
          <cell r="K61">
            <v>-7388.2699999999995</v>
          </cell>
          <cell r="L61">
            <v>-5783.8933333333352</v>
          </cell>
          <cell r="M61">
            <v>-2427.0633333333344</v>
          </cell>
          <cell r="N61">
            <v>-11168.930181853457</v>
          </cell>
          <cell r="O61">
            <v>-7671.2720660013565</v>
          </cell>
          <cell r="P61">
            <v>-8231.9531000129482</v>
          </cell>
        </row>
        <row r="62">
          <cell r="A62" t="str">
            <v>Cash inflow</v>
          </cell>
        </row>
        <row r="63">
          <cell r="A63" t="str">
            <v>Pre-tax profit</v>
          </cell>
          <cell r="C63">
            <v>994.84666300000094</v>
          </cell>
          <cell r="D63">
            <v>1495.7116119999998</v>
          </cell>
          <cell r="E63">
            <v>1847.0291709999992</v>
          </cell>
          <cell r="F63">
            <v>1822.2990000000007</v>
          </cell>
          <cell r="G63">
            <v>4299.8005274477719</v>
          </cell>
          <cell r="H63">
            <v>6309.5000000000018</v>
          </cell>
          <cell r="I63">
            <v>5098.0122787666669</v>
          </cell>
          <cell r="J63">
            <v>5831.3304499999977</v>
          </cell>
          <cell r="K63">
            <v>7067.7374483333324</v>
          </cell>
          <cell r="L63">
            <v>8609.0600000000013</v>
          </cell>
          <cell r="M63">
            <v>10633.836893281017</v>
          </cell>
          <cell r="N63">
            <v>12163.611368474123</v>
          </cell>
          <cell r="O63">
            <v>13971.134661908129</v>
          </cell>
          <cell r="P63">
            <v>16857.405771305614</v>
          </cell>
        </row>
        <row r="64">
          <cell r="A64" t="str">
            <v>Depreciation &amp; amortization</v>
          </cell>
          <cell r="C64">
            <v>171.52</v>
          </cell>
          <cell r="D64">
            <v>217.40000000000003</v>
          </cell>
          <cell r="E64">
            <v>379.55000000000018</v>
          </cell>
          <cell r="F64">
            <v>275.61</v>
          </cell>
          <cell r="G64">
            <v>329.5</v>
          </cell>
          <cell r="H64">
            <v>348.3599999999999</v>
          </cell>
          <cell r="I64">
            <v>423.27811873333349</v>
          </cell>
          <cell r="J64">
            <v>776.35</v>
          </cell>
          <cell r="K64">
            <v>1245.98</v>
          </cell>
          <cell r="L64">
            <v>1353.63</v>
          </cell>
          <cell r="M64">
            <v>1462.7159200000001</v>
          </cell>
          <cell r="N64">
            <v>1646.86544</v>
          </cell>
          <cell r="O64">
            <v>1900.0149600000004</v>
          </cell>
          <cell r="P64">
            <v>2507.0664000000006</v>
          </cell>
        </row>
        <row r="65">
          <cell r="A65" t="str">
            <v>Non-cash (income)/expenses</v>
          </cell>
          <cell r="C65">
            <v>0</v>
          </cell>
          <cell r="D65">
            <v>0</v>
          </cell>
          <cell r="E65">
            <v>0</v>
          </cell>
          <cell r="F65">
            <v>0</v>
          </cell>
          <cell r="G65">
            <v>0</v>
          </cell>
          <cell r="H65">
            <v>0</v>
          </cell>
          <cell r="I65">
            <v>0</v>
          </cell>
          <cell r="J65">
            <v>-18.64</v>
          </cell>
          <cell r="K65">
            <v>0</v>
          </cell>
          <cell r="L65">
            <v>0</v>
          </cell>
          <cell r="M65">
            <v>0</v>
          </cell>
          <cell r="N65">
            <v>0</v>
          </cell>
          <cell r="O65">
            <v>0</v>
          </cell>
          <cell r="P65">
            <v>0</v>
          </cell>
        </row>
        <row r="66">
          <cell r="A66" t="str">
            <v>Income tax</v>
          </cell>
          <cell r="C66">
            <v>-356</v>
          </cell>
          <cell r="D66">
            <v>-620</v>
          </cell>
          <cell r="E66">
            <v>-772.5</v>
          </cell>
          <cell r="F66">
            <v>-625</v>
          </cell>
          <cell r="G66">
            <v>-1380.4330489395081</v>
          </cell>
          <cell r="H66">
            <v>-2399.9892524477241</v>
          </cell>
          <cell r="I66">
            <v>-1195</v>
          </cell>
          <cell r="J66">
            <v>-870</v>
          </cell>
          <cell r="K66">
            <v>-1470</v>
          </cell>
          <cell r="L66">
            <v>-2485</v>
          </cell>
          <cell r="M66">
            <v>-3009.5060627733565</v>
          </cell>
          <cell r="N66">
            <v>-3237.8731915596927</v>
          </cell>
          <cell r="O66">
            <v>-3454.9023676678448</v>
          </cell>
          <cell r="P66">
            <v>-3627.2152599569645</v>
          </cell>
        </row>
        <row r="67">
          <cell r="A67" t="str">
            <v>Operating cashflow</v>
          </cell>
          <cell r="C67">
            <v>810.36666300000093</v>
          </cell>
          <cell r="D67">
            <v>1093.1116119999999</v>
          </cell>
          <cell r="E67">
            <v>1454.0791709999994</v>
          </cell>
          <cell r="F67">
            <v>1472.9090000000006</v>
          </cell>
          <cell r="G67">
            <v>3248.867478508264</v>
          </cell>
          <cell r="H67">
            <v>4257.870747552277</v>
          </cell>
          <cell r="I67">
            <v>4326.2903975000008</v>
          </cell>
          <cell r="J67">
            <v>5719.0404499999977</v>
          </cell>
          <cell r="K67">
            <v>6843.7174483333329</v>
          </cell>
          <cell r="L67">
            <v>7477.6900000000023</v>
          </cell>
          <cell r="M67">
            <v>9087.0467505076613</v>
          </cell>
          <cell r="N67">
            <v>10572.60361691443</v>
          </cell>
          <cell r="O67">
            <v>12416.247254240285</v>
          </cell>
          <cell r="P67">
            <v>15737.25691134865</v>
          </cell>
        </row>
        <row r="68">
          <cell r="A68" t="str">
            <v>Share capital</v>
          </cell>
          <cell r="C68">
            <v>387.7</v>
          </cell>
          <cell r="D68">
            <v>0.30000000000001137</v>
          </cell>
          <cell r="E68">
            <v>0</v>
          </cell>
          <cell r="F68">
            <v>45.75</v>
          </cell>
          <cell r="G68">
            <v>46.339999999999975</v>
          </cell>
          <cell r="H68">
            <v>16.380000000000052</v>
          </cell>
          <cell r="I68">
            <v>0.4</v>
          </cell>
          <cell r="J68">
            <v>0</v>
          </cell>
          <cell r="K68">
            <v>0</v>
          </cell>
          <cell r="L68">
            <v>0</v>
          </cell>
          <cell r="M68">
            <v>0</v>
          </cell>
          <cell r="N68">
            <v>0</v>
          </cell>
          <cell r="O68">
            <v>0</v>
          </cell>
          <cell r="P68">
            <v>0</v>
          </cell>
        </row>
        <row r="69">
          <cell r="A69" t="str">
            <v>Share premium, etc.</v>
          </cell>
          <cell r="C69">
            <v>638.12</v>
          </cell>
          <cell r="D69">
            <v>0</v>
          </cell>
          <cell r="E69">
            <v>0</v>
          </cell>
          <cell r="F69">
            <v>2278.8074999999999</v>
          </cell>
          <cell r="G69">
            <v>3221.05</v>
          </cell>
          <cell r="H69">
            <v>860.73500000000058</v>
          </cell>
          <cell r="I69">
            <v>0.4</v>
          </cell>
          <cell r="J69">
            <v>0</v>
          </cell>
          <cell r="K69">
            <v>0</v>
          </cell>
          <cell r="L69">
            <v>0</v>
          </cell>
          <cell r="M69">
            <v>0</v>
          </cell>
          <cell r="N69">
            <v>0</v>
          </cell>
          <cell r="O69">
            <v>0</v>
          </cell>
          <cell r="P69">
            <v>0</v>
          </cell>
        </row>
        <row r="70">
          <cell r="A70" t="str">
            <v>Asset sale</v>
          </cell>
          <cell r="C70">
            <v>0</v>
          </cell>
          <cell r="D70">
            <v>0</v>
          </cell>
          <cell r="E70">
            <v>0</v>
          </cell>
          <cell r="F70">
            <v>0</v>
          </cell>
          <cell r="G70">
            <v>0</v>
          </cell>
          <cell r="H70">
            <v>0</v>
          </cell>
          <cell r="I70">
            <v>0</v>
          </cell>
          <cell r="J70">
            <v>0</v>
          </cell>
          <cell r="K70">
            <v>0</v>
          </cell>
          <cell r="L70">
            <v>0</v>
          </cell>
          <cell r="M70">
            <v>0</v>
          </cell>
          <cell r="N70">
            <v>0</v>
          </cell>
          <cell r="O70">
            <v>0</v>
          </cell>
          <cell r="P70">
            <v>0</v>
          </cell>
        </row>
        <row r="71">
          <cell r="A71" t="str">
            <v>Other inflows</v>
          </cell>
          <cell r="C71">
            <v>0</v>
          </cell>
          <cell r="D71">
            <v>0</v>
          </cell>
          <cell r="E71">
            <v>0</v>
          </cell>
          <cell r="F71">
            <v>0</v>
          </cell>
          <cell r="G71">
            <v>0</v>
          </cell>
          <cell r="H71">
            <v>0</v>
          </cell>
          <cell r="I71">
            <v>0</v>
          </cell>
          <cell r="J71">
            <v>0</v>
          </cell>
          <cell r="K71">
            <v>0</v>
          </cell>
          <cell r="L71">
            <v>0</v>
          </cell>
          <cell r="M71">
            <v>0</v>
          </cell>
          <cell r="N71">
            <v>0</v>
          </cell>
          <cell r="O71">
            <v>0</v>
          </cell>
          <cell r="P71">
            <v>0</v>
          </cell>
        </row>
        <row r="72">
          <cell r="A72" t="str">
            <v>Total cash inflow</v>
          </cell>
          <cell r="C72">
            <v>1836.1866630000009</v>
          </cell>
          <cell r="D72">
            <v>1093.4116119999999</v>
          </cell>
          <cell r="E72">
            <v>1454.0791709999994</v>
          </cell>
          <cell r="F72">
            <v>3797.4665000000005</v>
          </cell>
          <cell r="G72">
            <v>6516.2574785082643</v>
          </cell>
          <cell r="H72">
            <v>5134.9857475522776</v>
          </cell>
          <cell r="I72">
            <v>4327.0903975000001</v>
          </cell>
          <cell r="J72">
            <v>5719.0404499999977</v>
          </cell>
          <cell r="K72">
            <v>6843.7174483333329</v>
          </cell>
          <cell r="L72">
            <v>7477.6900000000023</v>
          </cell>
          <cell r="M72">
            <v>9087.0467505076613</v>
          </cell>
          <cell r="N72">
            <v>10572.60361691443</v>
          </cell>
          <cell r="O72">
            <v>12416.247254240285</v>
          </cell>
          <cell r="P72">
            <v>15737.25691134865</v>
          </cell>
        </row>
        <row r="74">
          <cell r="A74" t="str">
            <v>Cash outflow:</v>
          </cell>
        </row>
        <row r="75">
          <cell r="A75" t="str">
            <v>Dividends paid and dividend taxes</v>
          </cell>
          <cell r="C75">
            <v>2.3100000000000023</v>
          </cell>
          <cell r="D75">
            <v>145.38749999999999</v>
          </cell>
          <cell r="E75">
            <v>155.08000000000001</v>
          </cell>
          <cell r="F75">
            <v>188.6</v>
          </cell>
          <cell r="G75">
            <v>257.63</v>
          </cell>
          <cell r="H75">
            <v>297.86</v>
          </cell>
          <cell r="I75">
            <v>368.61</v>
          </cell>
          <cell r="J75">
            <v>430.04499999999996</v>
          </cell>
          <cell r="K75">
            <v>532.43299999999999</v>
          </cell>
          <cell r="L75">
            <v>661.29804000000013</v>
          </cell>
          <cell r="M75">
            <v>834.06960000000015</v>
          </cell>
          <cell r="N75">
            <v>1000.8835200000002</v>
          </cell>
          <cell r="O75">
            <v>1251.1044000000004</v>
          </cell>
          <cell r="P75">
            <v>1334.5113600000002</v>
          </cell>
        </row>
        <row r="76">
          <cell r="A76" t="str">
            <v>Capital expenditure</v>
          </cell>
          <cell r="C76">
            <v>2445.42</v>
          </cell>
          <cell r="D76">
            <v>448.15999999999997</v>
          </cell>
          <cell r="E76">
            <v>609.1200000000008</v>
          </cell>
          <cell r="F76">
            <v>913.50000000000045</v>
          </cell>
          <cell r="G76">
            <v>2417.7600000000002</v>
          </cell>
          <cell r="H76">
            <v>2930.9700000000003</v>
          </cell>
          <cell r="I76">
            <v>6028.148118733332</v>
          </cell>
          <cell r="J76">
            <v>5502.6599999999989</v>
          </cell>
          <cell r="K76">
            <v>2105.4100000000035</v>
          </cell>
          <cell r="L76">
            <v>1442.4799999999962</v>
          </cell>
          <cell r="M76">
            <v>10780.974560000002</v>
          </cell>
          <cell r="N76">
            <v>4746.8504800000092</v>
          </cell>
          <cell r="O76">
            <v>8392.9485599999971</v>
          </cell>
          <cell r="P76">
            <v>-3247.4999999999991</v>
          </cell>
        </row>
        <row r="77">
          <cell r="A77" t="str">
            <v>Cash for working capital</v>
          </cell>
          <cell r="C77">
            <v>1551.98</v>
          </cell>
          <cell r="D77">
            <v>817.67000000000007</v>
          </cell>
          <cell r="E77">
            <v>485.8300000000005</v>
          </cell>
          <cell r="F77">
            <v>-81.629999999999853</v>
          </cell>
          <cell r="G77">
            <v>1687.7330000000013</v>
          </cell>
          <cell r="H77">
            <v>1648.0969999999993</v>
          </cell>
          <cell r="I77">
            <v>803.3899999999993</v>
          </cell>
          <cell r="J77">
            <v>-927.82999999999879</v>
          </cell>
          <cell r="K77">
            <v>1893.6200000000013</v>
          </cell>
          <cell r="L77">
            <v>1316.5499999999993</v>
          </cell>
          <cell r="M77">
            <v>-786.38722763887472</v>
          </cell>
          <cell r="N77">
            <v>1827.2115010623174</v>
          </cell>
          <cell r="O77">
            <v>1332.8753282518885</v>
          </cell>
          <cell r="P77">
            <v>1123.0194262754803</v>
          </cell>
        </row>
        <row r="78">
          <cell r="A78" t="str">
            <v>Long-term investments</v>
          </cell>
          <cell r="C78">
            <v>1855.7</v>
          </cell>
          <cell r="D78">
            <v>248.79999999999995</v>
          </cell>
          <cell r="E78">
            <v>522.40000000000009</v>
          </cell>
          <cell r="F78">
            <v>2294.1</v>
          </cell>
          <cell r="G78">
            <v>3493.6489999999994</v>
          </cell>
          <cell r="H78">
            <v>1040.491</v>
          </cell>
          <cell r="I78">
            <v>-2310.8999999999996</v>
          </cell>
          <cell r="J78">
            <v>2867.6900000000005</v>
          </cell>
          <cell r="K78">
            <v>615.80999999999949</v>
          </cell>
          <cell r="L78">
            <v>700.76000000000022</v>
          </cell>
          <cell r="M78">
            <v>7000</v>
          </cell>
          <cell r="N78">
            <v>-500</v>
          </cell>
          <cell r="O78">
            <v>2000</v>
          </cell>
          <cell r="P78">
            <v>2000</v>
          </cell>
        </row>
        <row r="79">
          <cell r="A79" t="str">
            <v>Others</v>
          </cell>
          <cell r="C79">
            <v>0</v>
          </cell>
          <cell r="D79">
            <v>0</v>
          </cell>
          <cell r="E79">
            <v>0</v>
          </cell>
          <cell r="F79">
            <v>0</v>
          </cell>
          <cell r="G79">
            <v>0</v>
          </cell>
          <cell r="H79">
            <v>0</v>
          </cell>
          <cell r="I79">
            <v>0</v>
          </cell>
          <cell r="J79">
            <v>0</v>
          </cell>
          <cell r="K79">
            <v>0</v>
          </cell>
          <cell r="L79">
            <v>0</v>
          </cell>
          <cell r="M79">
            <v>0</v>
          </cell>
          <cell r="N79">
            <v>0</v>
          </cell>
          <cell r="O79">
            <v>0</v>
          </cell>
          <cell r="P79">
            <v>0</v>
          </cell>
        </row>
        <row r="80">
          <cell r="A80" t="str">
            <v>Total cash outflow</v>
          </cell>
          <cell r="C80">
            <v>5855.41</v>
          </cell>
          <cell r="D80">
            <v>1660.0174999999999</v>
          </cell>
          <cell r="E80">
            <v>1772.4300000000014</v>
          </cell>
          <cell r="F80">
            <v>3314.5700000000006</v>
          </cell>
          <cell r="G80">
            <v>7856.7720000000008</v>
          </cell>
          <cell r="H80">
            <v>5917.4179999999997</v>
          </cell>
          <cell r="I80">
            <v>4889.2481187333315</v>
          </cell>
          <cell r="J80">
            <v>7872.5650000000005</v>
          </cell>
          <cell r="K80">
            <v>5147.2730000000047</v>
          </cell>
          <cell r="L80">
            <v>4121.088039999996</v>
          </cell>
          <cell r="M80">
            <v>17828.656932361129</v>
          </cell>
          <cell r="N80">
            <v>7074.9455010623269</v>
          </cell>
          <cell r="O80">
            <v>12976.928288251886</v>
          </cell>
          <cell r="P80">
            <v>1210.0307862754814</v>
          </cell>
        </row>
        <row r="82">
          <cell r="A82" t="str">
            <v>Net cash inflow/(outflow)</v>
          </cell>
          <cell r="C82">
            <v>-4019.223336999999</v>
          </cell>
          <cell r="D82">
            <v>-566.60588800000005</v>
          </cell>
          <cell r="E82">
            <v>-318.35082900000202</v>
          </cell>
          <cell r="F82">
            <v>482.89649999999983</v>
          </cell>
          <cell r="G82">
            <v>-1340.5145214917366</v>
          </cell>
          <cell r="H82">
            <v>-782.43225244772202</v>
          </cell>
          <cell r="I82">
            <v>-562.15772123333136</v>
          </cell>
          <cell r="J82">
            <v>-2153.5245500000028</v>
          </cell>
          <cell r="K82">
            <v>1696.4444483333282</v>
          </cell>
          <cell r="L82">
            <v>3356.6019600000063</v>
          </cell>
          <cell r="M82">
            <v>-8741.610181853468</v>
          </cell>
          <cell r="N82">
            <v>3497.658115852103</v>
          </cell>
          <cell r="O82">
            <v>-560.68103401160079</v>
          </cell>
          <cell r="P82">
            <v>14527.226125073168</v>
          </cell>
        </row>
        <row r="83">
          <cell r="A83" t="str">
            <v>Net cash/(debt) at year-end</v>
          </cell>
          <cell r="C83">
            <v>-4019.223336999999</v>
          </cell>
          <cell r="D83">
            <v>-2873.6958880000002</v>
          </cell>
          <cell r="E83">
            <v>-3191.8708290000022</v>
          </cell>
          <cell r="F83">
            <v>-2708.1734999999999</v>
          </cell>
          <cell r="G83">
            <v>-4156.3745214917362</v>
          </cell>
          <cell r="H83">
            <v>-4938.7422524477224</v>
          </cell>
          <cell r="I83">
            <v>-5501.2677212333319</v>
          </cell>
          <cell r="J83">
            <v>-7407.0045500000033</v>
          </cell>
          <cell r="K83">
            <v>-5691.8255516666713</v>
          </cell>
          <cell r="L83">
            <v>-2427.2913733333289</v>
          </cell>
          <cell r="M83">
            <v>-11168.673515186802</v>
          </cell>
          <cell r="N83">
            <v>-7671.2720660013538</v>
          </cell>
          <cell r="O83">
            <v>-8231.9531000129573</v>
          </cell>
          <cell r="P83">
            <v>6295.2730250602199</v>
          </cell>
        </row>
        <row r="86">
          <cell r="A86" t="str">
            <v>HINDALCO INDUSTRIES</v>
          </cell>
          <cell r="P86" t="str">
            <v>Balance Sheet</v>
          </cell>
        </row>
        <row r="87">
          <cell r="P87" t="str">
            <v xml:space="preserve">  15-Mar-00</v>
          </cell>
        </row>
        <row r="89">
          <cell r="A89" t="str">
            <v>Year ended 31st March</v>
          </cell>
          <cell r="B89">
            <v>1990</v>
          </cell>
          <cell r="C89">
            <v>1991</v>
          </cell>
          <cell r="D89">
            <v>1992</v>
          </cell>
          <cell r="E89">
            <v>1993</v>
          </cell>
          <cell r="F89">
            <v>1994</v>
          </cell>
          <cell r="G89">
            <v>1995</v>
          </cell>
          <cell r="H89">
            <v>1996</v>
          </cell>
          <cell r="I89">
            <v>1997</v>
          </cell>
          <cell r="J89">
            <v>1998</v>
          </cell>
          <cell r="K89">
            <v>1999</v>
          </cell>
          <cell r="L89">
            <v>2000</v>
          </cell>
          <cell r="M89" t="str">
            <v>2001E</v>
          </cell>
          <cell r="N89" t="str">
            <v>2002E</v>
          </cell>
          <cell r="O89" t="str">
            <v>2003E</v>
          </cell>
          <cell r="P89" t="str">
            <v>2004E</v>
          </cell>
        </row>
        <row r="91">
          <cell r="A91" t="str">
            <v>Fixed assets - net</v>
          </cell>
          <cell r="C91">
            <v>2194.9</v>
          </cell>
          <cell r="D91">
            <v>2133.75</v>
          </cell>
          <cell r="E91">
            <v>11102.24</v>
          </cell>
          <cell r="F91">
            <v>11425.32</v>
          </cell>
          <cell r="G91">
            <v>11185</v>
          </cell>
          <cell r="H91">
            <v>11548.9</v>
          </cell>
          <cell r="I91">
            <v>15878.17</v>
          </cell>
          <cell r="J91">
            <v>22609.72</v>
          </cell>
          <cell r="K91">
            <v>34617.72</v>
          </cell>
          <cell r="L91">
            <v>33250.5</v>
          </cell>
          <cell r="M91">
            <v>36196.548640000001</v>
          </cell>
          <cell r="N91">
            <v>39824.323680000009</v>
          </cell>
          <cell r="O91">
            <v>43845.047280000006</v>
          </cell>
          <cell r="P91">
            <v>40618.270880000004</v>
          </cell>
        </row>
        <row r="92">
          <cell r="A92" t="str">
            <v>Capital WIP</v>
          </cell>
          <cell r="C92">
            <v>79</v>
          </cell>
          <cell r="D92">
            <v>241.91</v>
          </cell>
          <cell r="E92">
            <v>720.99</v>
          </cell>
          <cell r="F92">
            <v>469.8</v>
          </cell>
          <cell r="G92">
            <v>2107.38</v>
          </cell>
          <cell r="H92">
            <v>3635.1</v>
          </cell>
          <cell r="I92">
            <v>3971.7</v>
          </cell>
          <cell r="J92">
            <v>1262.56</v>
          </cell>
          <cell r="K92">
            <v>1148.1400000000001</v>
          </cell>
          <cell r="L92">
            <v>1099</v>
          </cell>
          <cell r="M92">
            <v>6000</v>
          </cell>
          <cell r="N92">
            <v>4000</v>
          </cell>
          <cell r="O92">
            <v>5000</v>
          </cell>
          <cell r="P92">
            <v>1000</v>
          </cell>
        </row>
        <row r="93">
          <cell r="A93" t="str">
            <v>Investments</v>
          </cell>
          <cell r="C93">
            <v>1855.7</v>
          </cell>
          <cell r="D93">
            <v>2104.5</v>
          </cell>
          <cell r="E93">
            <v>2626.9</v>
          </cell>
          <cell r="F93">
            <v>4921</v>
          </cell>
          <cell r="G93">
            <v>8414.6489999999994</v>
          </cell>
          <cell r="H93">
            <v>9455.14</v>
          </cell>
          <cell r="I93">
            <v>7144.24</v>
          </cell>
          <cell r="J93">
            <v>10011.93</v>
          </cell>
          <cell r="K93">
            <v>10627.74</v>
          </cell>
          <cell r="L93">
            <v>11328.5</v>
          </cell>
          <cell r="M93">
            <v>18328.5</v>
          </cell>
          <cell r="N93">
            <v>17828.5</v>
          </cell>
          <cell r="O93">
            <v>19828.5</v>
          </cell>
          <cell r="P93">
            <v>21828.5</v>
          </cell>
        </row>
        <row r="94">
          <cell r="A94" t="str">
            <v>Other non-current assets</v>
          </cell>
          <cell r="C94">
            <v>0</v>
          </cell>
          <cell r="D94">
            <v>0</v>
          </cell>
          <cell r="E94">
            <v>0</v>
          </cell>
          <cell r="F94">
            <v>0</v>
          </cell>
          <cell r="G94">
            <v>0</v>
          </cell>
          <cell r="H94">
            <v>0</v>
          </cell>
          <cell r="I94">
            <v>0</v>
          </cell>
          <cell r="J94">
            <v>0</v>
          </cell>
          <cell r="K94">
            <v>0</v>
          </cell>
          <cell r="L94">
            <v>0</v>
          </cell>
          <cell r="M94">
            <v>0</v>
          </cell>
          <cell r="N94">
            <v>0</v>
          </cell>
          <cell r="O94">
            <v>0</v>
          </cell>
          <cell r="P94">
            <v>0</v>
          </cell>
        </row>
        <row r="95">
          <cell r="A95" t="str">
            <v>Current assets</v>
          </cell>
          <cell r="K95" t="str">
            <v xml:space="preserve"> </v>
          </cell>
        </row>
        <row r="96">
          <cell r="A96" t="str">
            <v>Cash  &amp; bank balances</v>
          </cell>
          <cell r="C96">
            <v>88.1</v>
          </cell>
          <cell r="D96">
            <v>96</v>
          </cell>
          <cell r="E96">
            <v>263.39999999999998</v>
          </cell>
          <cell r="F96">
            <v>191.53</v>
          </cell>
          <cell r="G96">
            <v>228.7</v>
          </cell>
          <cell r="H96">
            <v>343.24</v>
          </cell>
          <cell r="I96">
            <v>259.58999999999997</v>
          </cell>
          <cell r="J96">
            <v>410.59</v>
          </cell>
          <cell r="K96">
            <v>1086.44</v>
          </cell>
          <cell r="L96">
            <v>3327.4</v>
          </cell>
          <cell r="M96">
            <v>1000</v>
          </cell>
          <cell r="N96">
            <v>500</v>
          </cell>
          <cell r="O96">
            <v>500</v>
          </cell>
          <cell r="P96">
            <v>500</v>
          </cell>
        </row>
        <row r="97">
          <cell r="A97" t="str">
            <v>Accounts receivable</v>
          </cell>
          <cell r="C97">
            <v>324</v>
          </cell>
          <cell r="D97">
            <v>781.2</v>
          </cell>
          <cell r="E97">
            <v>721.9</v>
          </cell>
          <cell r="F97">
            <v>455.73</v>
          </cell>
          <cell r="G97">
            <v>408.93</v>
          </cell>
          <cell r="H97">
            <v>668.5</v>
          </cell>
          <cell r="I97">
            <v>1004.62</v>
          </cell>
          <cell r="J97">
            <v>1211.55</v>
          </cell>
          <cell r="K97">
            <v>1638.71</v>
          </cell>
          <cell r="L97">
            <v>1854.6</v>
          </cell>
          <cell r="M97">
            <v>2212.9489378110875</v>
          </cell>
          <cell r="N97">
            <v>3367.4920109782029</v>
          </cell>
          <cell r="O97">
            <v>3799.2617053075273</v>
          </cell>
          <cell r="P97">
            <v>4315.9147978297096</v>
          </cell>
        </row>
        <row r="98">
          <cell r="A98" t="str">
            <v>Inventories</v>
          </cell>
          <cell r="C98">
            <v>959.1</v>
          </cell>
          <cell r="D98">
            <v>1123.3</v>
          </cell>
          <cell r="E98">
            <v>1443.6</v>
          </cell>
          <cell r="F98">
            <v>1427.07</v>
          </cell>
          <cell r="G98">
            <v>1639.15</v>
          </cell>
          <cell r="H98">
            <v>1836.41</v>
          </cell>
          <cell r="I98">
            <v>2461.9499999999998</v>
          </cell>
          <cell r="J98">
            <v>2767.21</v>
          </cell>
          <cell r="K98">
            <v>3156.72</v>
          </cell>
          <cell r="L98">
            <v>3283.3</v>
          </cell>
          <cell r="M98">
            <v>3691.849906795137</v>
          </cell>
          <cell r="N98">
            <v>4434.2716147541032</v>
          </cell>
          <cell r="O98">
            <v>5484.2225629129152</v>
          </cell>
          <cell r="P98">
            <v>6022.5185285537591</v>
          </cell>
        </row>
        <row r="99">
          <cell r="A99" t="str">
            <v>Corporate deposits</v>
          </cell>
          <cell r="C99">
            <v>0</v>
          </cell>
          <cell r="D99">
            <v>0</v>
          </cell>
          <cell r="E99">
            <v>353</v>
          </cell>
          <cell r="F99">
            <v>1198</v>
          </cell>
          <cell r="G99">
            <v>2907.66</v>
          </cell>
          <cell r="H99">
            <v>2962.52</v>
          </cell>
          <cell r="I99">
            <v>2136.59</v>
          </cell>
          <cell r="J99">
            <v>2047.04</v>
          </cell>
          <cell r="K99">
            <v>2958.28</v>
          </cell>
          <cell r="L99">
            <v>3973.52</v>
          </cell>
          <cell r="M99">
            <v>2973.52</v>
          </cell>
          <cell r="N99">
            <v>2973.52</v>
          </cell>
          <cell r="O99">
            <v>2973.52</v>
          </cell>
          <cell r="P99">
            <v>2974.52</v>
          </cell>
        </row>
        <row r="100">
          <cell r="A100" t="str">
            <v>Others</v>
          </cell>
          <cell r="C100">
            <v>766.9</v>
          </cell>
          <cell r="D100">
            <v>1033.5999999999999</v>
          </cell>
          <cell r="E100">
            <v>1109.8</v>
          </cell>
          <cell r="F100">
            <v>501.34999999999991</v>
          </cell>
          <cell r="G100">
            <v>610.62000000000035</v>
          </cell>
          <cell r="H100">
            <v>2069.0499999999997</v>
          </cell>
          <cell r="I100">
            <v>3199.9399999999996</v>
          </cell>
          <cell r="J100">
            <v>1927.7400000000002</v>
          </cell>
          <cell r="K100">
            <v>2165.9900000000002</v>
          </cell>
          <cell r="L100">
            <v>2244.98</v>
          </cell>
          <cell r="M100">
            <v>1933.4968830165669</v>
          </cell>
          <cell r="N100">
            <v>2211.3840320262912</v>
          </cell>
          <cell r="O100">
            <v>2508.8518586200516</v>
          </cell>
          <cell r="P100">
            <v>2865.7111129888413</v>
          </cell>
        </row>
        <row r="101">
          <cell r="A101" t="str">
            <v>Total</v>
          </cell>
          <cell r="C101">
            <v>2138.1</v>
          </cell>
          <cell r="D101">
            <v>3034.1</v>
          </cell>
          <cell r="E101">
            <v>3891.7</v>
          </cell>
          <cell r="F101">
            <v>3773.68</v>
          </cell>
          <cell r="G101">
            <v>5795.0600000000013</v>
          </cell>
          <cell r="H101">
            <v>7879.7199999999993</v>
          </cell>
          <cell r="I101">
            <v>9062.6899999999987</v>
          </cell>
          <cell r="J101">
            <v>8364.130000000001</v>
          </cell>
          <cell r="K101">
            <v>11006.14</v>
          </cell>
          <cell r="L101">
            <v>14683.8</v>
          </cell>
          <cell r="M101">
            <v>11811.815727622792</v>
          </cell>
          <cell r="N101">
            <v>13486.667657758599</v>
          </cell>
          <cell r="O101">
            <v>15265.856126840496</v>
          </cell>
          <cell r="P101">
            <v>16678.664439372311</v>
          </cell>
        </row>
        <row r="102">
          <cell r="A102" t="str">
            <v>Current liabilities</v>
          </cell>
        </row>
        <row r="103">
          <cell r="A103" t="str">
            <v>Short-term debt</v>
          </cell>
          <cell r="C103">
            <v>301</v>
          </cell>
          <cell r="D103">
            <v>602</v>
          </cell>
          <cell r="E103">
            <v>460</v>
          </cell>
          <cell r="F103">
            <v>232.55099999999999</v>
          </cell>
          <cell r="G103">
            <v>605.15300000000002</v>
          </cell>
          <cell r="H103">
            <v>941.09</v>
          </cell>
          <cell r="I103">
            <v>797.48</v>
          </cell>
          <cell r="J103">
            <v>398.24</v>
          </cell>
          <cell r="K103">
            <v>1159.21</v>
          </cell>
          <cell r="L103">
            <v>322.69</v>
          </cell>
          <cell r="M103">
            <v>622.69000000000005</v>
          </cell>
          <cell r="N103">
            <v>1022.69</v>
          </cell>
          <cell r="O103">
            <v>1572.69</v>
          </cell>
          <cell r="P103">
            <v>2123.69</v>
          </cell>
        </row>
        <row r="104">
          <cell r="A104" t="str">
            <v>Accounts payable</v>
          </cell>
          <cell r="C104">
            <v>332.33000000000004</v>
          </cell>
          <cell r="D104">
            <v>369.8</v>
          </cell>
          <cell r="E104">
            <v>551.16</v>
          </cell>
          <cell r="F104">
            <v>533.80999999999995</v>
          </cell>
          <cell r="G104">
            <v>816.11</v>
          </cell>
          <cell r="H104">
            <v>1084.9000000000001</v>
          </cell>
          <cell r="I104">
            <v>1267.1000000000001</v>
          </cell>
          <cell r="J104">
            <v>1147.97</v>
          </cell>
          <cell r="K104">
            <v>1348.9099999999999</v>
          </cell>
          <cell r="L104">
            <v>1328.88</v>
          </cell>
          <cell r="M104">
            <v>1476.739962718055</v>
          </cell>
          <cell r="N104">
            <v>1642.3228202792975</v>
          </cell>
          <cell r="O104">
            <v>1828.0741876376385</v>
          </cell>
          <cell r="P104">
            <v>2007.5061761845864</v>
          </cell>
        </row>
        <row r="105">
          <cell r="A105" t="str">
            <v>Accrued expenses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row>
        <row r="106">
          <cell r="A106" t="str">
            <v>Proposed dividend</v>
          </cell>
          <cell r="C106">
            <v>114</v>
          </cell>
          <cell r="D106">
            <v>145</v>
          </cell>
          <cell r="E106">
            <v>155</v>
          </cell>
          <cell r="F106">
            <v>189.59</v>
          </cell>
          <cell r="G106">
            <v>257.63</v>
          </cell>
          <cell r="H106">
            <v>297.86</v>
          </cell>
          <cell r="I106">
            <v>368.61</v>
          </cell>
          <cell r="J106">
            <v>430.04499999999996</v>
          </cell>
          <cell r="K106">
            <v>532.42999999999995</v>
          </cell>
          <cell r="L106">
            <v>686</v>
          </cell>
          <cell r="M106">
            <v>744.70500000000015</v>
          </cell>
          <cell r="N106">
            <v>893.64600000000019</v>
          </cell>
          <cell r="O106">
            <v>1117.0575000000003</v>
          </cell>
          <cell r="P106">
            <v>1191.5280000000002</v>
          </cell>
        </row>
        <row r="107">
          <cell r="A107" t="str">
            <v>Others</v>
          </cell>
          <cell r="C107">
            <v>165.69</v>
          </cell>
          <cell r="D107">
            <v>167.65</v>
          </cell>
          <cell r="E107">
            <v>180.66</v>
          </cell>
          <cell r="F107">
            <v>198.9</v>
          </cell>
          <cell r="G107">
            <v>145.03699999999998</v>
          </cell>
          <cell r="H107">
            <v>158.03999999999996</v>
          </cell>
          <cell r="I107">
            <v>368.31999999999982</v>
          </cell>
          <cell r="J107">
            <v>504.28500000000008</v>
          </cell>
          <cell r="K107">
            <v>273.50000000000045</v>
          </cell>
          <cell r="L107">
            <v>260.10999999999967</v>
          </cell>
          <cell r="M107">
            <v>295.34799254361099</v>
          </cell>
          <cell r="N107">
            <v>328.46456405585946</v>
          </cell>
          <cell r="O107">
            <v>365.6148375275277</v>
          </cell>
          <cell r="P107">
            <v>401.50123523691724</v>
          </cell>
        </row>
        <row r="108">
          <cell r="A108" t="str">
            <v>Total</v>
          </cell>
          <cell r="C108">
            <v>913.02</v>
          </cell>
          <cell r="D108">
            <v>1284.45</v>
          </cell>
          <cell r="E108">
            <v>1346.82</v>
          </cell>
          <cell r="F108">
            <v>1154.8509999999999</v>
          </cell>
          <cell r="G108">
            <v>1823.93</v>
          </cell>
          <cell r="H108">
            <v>2481.8900000000003</v>
          </cell>
          <cell r="I108">
            <v>2801.5099999999998</v>
          </cell>
          <cell r="J108">
            <v>2480.54</v>
          </cell>
          <cell r="K108">
            <v>3314.05</v>
          </cell>
          <cell r="L108">
            <v>2597.6799999999998</v>
          </cell>
          <cell r="M108">
            <v>3139.4829552616661</v>
          </cell>
          <cell r="N108">
            <v>3887.1233843351574</v>
          </cell>
          <cell r="O108">
            <v>4883.436525165167</v>
          </cell>
          <cell r="P108">
            <v>5724.2254114215048</v>
          </cell>
        </row>
        <row r="110">
          <cell r="A110" t="str">
            <v>Net current assets</v>
          </cell>
          <cell r="C110">
            <v>1225.08</v>
          </cell>
          <cell r="D110">
            <v>1749.6499999999999</v>
          </cell>
          <cell r="E110">
            <v>2544.88</v>
          </cell>
          <cell r="F110">
            <v>2618.8289999999997</v>
          </cell>
          <cell r="G110">
            <v>3971.130000000001</v>
          </cell>
          <cell r="H110">
            <v>5397.829999999999</v>
          </cell>
          <cell r="I110">
            <v>6261.1799999999985</v>
          </cell>
          <cell r="J110">
            <v>5883.5900000000011</v>
          </cell>
          <cell r="K110">
            <v>7692.0899999999992</v>
          </cell>
          <cell r="L110">
            <v>12086.119999999999</v>
          </cell>
          <cell r="M110">
            <v>8672.3327723611255</v>
          </cell>
          <cell r="N110">
            <v>9599.5442734234421</v>
          </cell>
          <cell r="O110">
            <v>10382.419601675329</v>
          </cell>
          <cell r="P110">
            <v>10954.439027950806</v>
          </cell>
        </row>
        <row r="111">
          <cell r="A111" t="str">
            <v>Employment of capital</v>
          </cell>
          <cell r="C111">
            <v>5354.68</v>
          </cell>
          <cell r="D111">
            <v>6229.8099999999995</v>
          </cell>
          <cell r="E111">
            <v>16995.009999999998</v>
          </cell>
          <cell r="F111">
            <v>19434.949000000001</v>
          </cell>
          <cell r="G111">
            <v>25678.159000000003</v>
          </cell>
          <cell r="H111">
            <v>30036.969999999998</v>
          </cell>
          <cell r="I111">
            <v>33255.29</v>
          </cell>
          <cell r="J111">
            <v>39767.80000000001</v>
          </cell>
          <cell r="K111">
            <v>54085.689999999995</v>
          </cell>
          <cell r="L111">
            <v>57764.119999999995</v>
          </cell>
          <cell r="M111">
            <v>69197.381412361123</v>
          </cell>
          <cell r="N111">
            <v>71252.367953423454</v>
          </cell>
          <cell r="O111">
            <v>79055.966881675326</v>
          </cell>
          <cell r="P111">
            <v>74401.209907950804</v>
          </cell>
        </row>
        <row r="112">
          <cell r="A112" t="str">
            <v>Long term debt</v>
          </cell>
          <cell r="C112">
            <v>2094.19</v>
          </cell>
          <cell r="D112">
            <v>2367.52</v>
          </cell>
          <cell r="E112">
            <v>2994.47</v>
          </cell>
          <cell r="F112">
            <v>2774.8389999999999</v>
          </cell>
          <cell r="G112">
            <v>3779.857</v>
          </cell>
          <cell r="H112">
            <v>4341.26</v>
          </cell>
          <cell r="I112">
            <v>4715.59</v>
          </cell>
          <cell r="J112">
            <v>7400.62</v>
          </cell>
          <cell r="K112">
            <v>5711.1233333333348</v>
          </cell>
          <cell r="L112">
            <v>5431.7733333333344</v>
          </cell>
          <cell r="M112">
            <v>11546.240181853456</v>
          </cell>
          <cell r="N112">
            <v>7148.582066001356</v>
          </cell>
          <cell r="O112">
            <v>7159.2631000129477</v>
          </cell>
          <cell r="P112">
            <v>-7918.9630250602349</v>
          </cell>
        </row>
        <row r="113">
          <cell r="A113" t="str">
            <v>Paid-up common stock</v>
          </cell>
          <cell r="C113">
            <v>387.7</v>
          </cell>
          <cell r="D113">
            <v>388</v>
          </cell>
          <cell r="E113">
            <v>388</v>
          </cell>
          <cell r="F113">
            <v>433.75</v>
          </cell>
          <cell r="G113">
            <v>480.09</v>
          </cell>
          <cell r="H113">
            <v>496.47</v>
          </cell>
          <cell r="I113">
            <v>744.69</v>
          </cell>
          <cell r="J113">
            <v>744.69</v>
          </cell>
          <cell r="K113">
            <v>744.69</v>
          </cell>
          <cell r="L113">
            <v>744.69</v>
          </cell>
          <cell r="M113">
            <v>744.69</v>
          </cell>
          <cell r="N113">
            <v>744.69</v>
          </cell>
          <cell r="O113">
            <v>744.69</v>
          </cell>
          <cell r="P113">
            <v>744.69</v>
          </cell>
        </row>
        <row r="114">
          <cell r="A114" t="str">
            <v>Share premium</v>
          </cell>
          <cell r="C114">
            <v>638.12</v>
          </cell>
          <cell r="D114">
            <v>638.12</v>
          </cell>
          <cell r="E114">
            <v>638.12</v>
          </cell>
          <cell r="F114">
            <v>2808.69</v>
          </cell>
          <cell r="G114">
            <v>6029.7349999999997</v>
          </cell>
          <cell r="H114">
            <v>6890.47</v>
          </cell>
          <cell r="I114">
            <v>6890.47</v>
          </cell>
          <cell r="J114">
            <v>6890.47</v>
          </cell>
          <cell r="K114">
            <v>6890.47</v>
          </cell>
          <cell r="L114">
            <v>6890.47</v>
          </cell>
          <cell r="M114">
            <v>6890.47</v>
          </cell>
          <cell r="N114">
            <v>6890.47</v>
          </cell>
          <cell r="O114">
            <v>6890.47</v>
          </cell>
          <cell r="P114">
            <v>6890.47</v>
          </cell>
        </row>
        <row r="115">
          <cell r="A115" t="str">
            <v>Revaluation Reserve</v>
          </cell>
          <cell r="C115">
            <v>556</v>
          </cell>
          <cell r="D115">
            <v>430</v>
          </cell>
          <cell r="E115">
            <v>8477</v>
          </cell>
          <cell r="F115">
            <v>7721</v>
          </cell>
          <cell r="G115">
            <v>7029.5169999999998</v>
          </cell>
          <cell r="H115">
            <v>6338.53</v>
          </cell>
          <cell r="I115">
            <v>5648.1</v>
          </cell>
          <cell r="J115">
            <v>4943.49</v>
          </cell>
          <cell r="K115">
            <v>15815.64</v>
          </cell>
          <cell r="L115">
            <v>14346</v>
          </cell>
          <cell r="M115">
            <v>12873.79</v>
          </cell>
          <cell r="N115">
            <v>11401.580000000002</v>
          </cell>
          <cell r="O115">
            <v>9929.3700000000026</v>
          </cell>
          <cell r="P115">
            <v>8457.1600000000035</v>
          </cell>
        </row>
        <row r="116">
          <cell r="A116" t="str">
            <v>Reserves and surplus</v>
          </cell>
          <cell r="C116">
            <v>1678.88</v>
          </cell>
          <cell r="D116">
            <v>2406.1800000000003</v>
          </cell>
          <cell r="E116">
            <v>4497.88</v>
          </cell>
          <cell r="F116">
            <v>5696.3099999999995</v>
          </cell>
          <cell r="G116">
            <v>8358.6080000000002</v>
          </cell>
          <cell r="H116">
            <v>11970.240000000002</v>
          </cell>
          <cell r="I116">
            <v>15256.439999999995</v>
          </cell>
          <cell r="J116">
            <v>19788.53</v>
          </cell>
          <cell r="K116">
            <v>24923.97</v>
          </cell>
          <cell r="L116">
            <v>30351.93</v>
          </cell>
          <cell r="M116">
            <v>37142.191230507662</v>
          </cell>
          <cell r="N116">
            <v>45067.045887422093</v>
          </cell>
          <cell r="O116">
            <v>54332.173781662379</v>
          </cell>
          <cell r="P116">
            <v>66227.852933011032</v>
          </cell>
        </row>
        <row r="117">
          <cell r="A117" t="str">
            <v>Shareholders' funds</v>
          </cell>
          <cell r="C117">
            <v>3260.7</v>
          </cell>
          <cell r="D117">
            <v>3862.3</v>
          </cell>
          <cell r="E117">
            <v>14001</v>
          </cell>
          <cell r="F117">
            <v>16659.75</v>
          </cell>
          <cell r="G117">
            <v>21897.95</v>
          </cell>
          <cell r="H117">
            <v>25695.710000000003</v>
          </cell>
          <cell r="I117">
            <v>28539.699999999997</v>
          </cell>
          <cell r="J117">
            <v>32367.18</v>
          </cell>
          <cell r="K117">
            <v>48374.770000000004</v>
          </cell>
          <cell r="L117">
            <v>52333.09</v>
          </cell>
          <cell r="M117">
            <v>57651.141230507666</v>
          </cell>
          <cell r="N117">
            <v>64103.785887422098</v>
          </cell>
          <cell r="O117">
            <v>71896.703781662378</v>
          </cell>
          <cell r="P117">
            <v>82320.172933011039</v>
          </cell>
        </row>
        <row r="119">
          <cell r="A119" t="str">
            <v>Others</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row>
        <row r="120">
          <cell r="A120" t="str">
            <v>Capital employed</v>
          </cell>
          <cell r="C120">
            <v>5354.8899999999994</v>
          </cell>
          <cell r="D120">
            <v>6229.82</v>
          </cell>
          <cell r="E120">
            <v>16995.47</v>
          </cell>
          <cell r="F120">
            <v>19434.589</v>
          </cell>
          <cell r="G120">
            <v>25677.807000000001</v>
          </cell>
          <cell r="H120">
            <v>30036.97</v>
          </cell>
          <cell r="I120">
            <v>33255.289999999994</v>
          </cell>
          <cell r="J120">
            <v>39767.800000000003</v>
          </cell>
          <cell r="K120">
            <v>54085.893333333341</v>
          </cell>
          <cell r="L120">
            <v>57764.863333333327</v>
          </cell>
          <cell r="M120">
            <v>69197.381412361123</v>
          </cell>
          <cell r="N120">
            <v>71252.367953423454</v>
          </cell>
          <cell r="O120">
            <v>79055.966881675326</v>
          </cell>
          <cell r="P120">
            <v>74401.209907950804</v>
          </cell>
        </row>
        <row r="122">
          <cell r="A122" t="str">
            <v>Ratios(%)</v>
          </cell>
        </row>
        <row r="123">
          <cell r="A123" t="str">
            <v>Net debt/equity</v>
          </cell>
          <cell r="C123">
            <v>1.2326259198945009</v>
          </cell>
          <cell r="D123">
            <v>0.74403746161613549</v>
          </cell>
          <cell r="E123">
            <v>0.2279744896078853</v>
          </cell>
          <cell r="F123">
            <v>0.16255787151667941</v>
          </cell>
          <cell r="G123">
            <v>0.18980655821625933</v>
          </cell>
          <cell r="H123">
            <v>0.19220104260391022</v>
          </cell>
          <cell r="I123">
            <v>0.19275842847799143</v>
          </cell>
          <cell r="J123">
            <v>0.22884306108842362</v>
          </cell>
          <cell r="K123">
            <v>0.11766103594222094</v>
          </cell>
          <cell r="L123">
            <v>4.6381579481229354E-2</v>
          </cell>
          <cell r="M123">
            <v>0.19372857634389021</v>
          </cell>
          <cell r="N123">
            <v>0.11966956334643795</v>
          </cell>
          <cell r="O123">
            <v>0.1144969472454808</v>
          </cell>
          <cell r="P123">
            <v>-7.6473029644666429E-2</v>
          </cell>
        </row>
        <row r="124">
          <cell r="A124" t="str">
            <v>Return on assets</v>
          </cell>
          <cell r="C124">
            <v>0.21352570510318625</v>
          </cell>
          <cell r="D124">
            <v>0.26505827284411954</v>
          </cell>
          <cell r="E124">
            <v>0.16595350766341341</v>
          </cell>
          <cell r="F124">
            <v>0.12090834110370233</v>
          </cell>
          <cell r="G124">
            <v>0.1632776732784387</v>
          </cell>
          <cell r="H124">
            <v>0.19776476894092215</v>
          </cell>
          <cell r="I124">
            <v>0.12589190857670962</v>
          </cell>
          <cell r="J124">
            <v>0.1476068701557274</v>
          </cell>
          <cell r="K124">
            <v>0.13913698583625261</v>
          </cell>
          <cell r="L124">
            <v>0.14721581230846692</v>
          </cell>
          <cell r="M124">
            <v>0.15670760152020896</v>
          </cell>
          <cell r="N124">
            <v>0.16672330729650406</v>
          </cell>
          <cell r="O124">
            <v>0.17904646092826487</v>
          </cell>
          <cell r="P124">
            <v>0.20304769912987589</v>
          </cell>
        </row>
        <row r="125">
          <cell r="A125" t="str">
            <v>Return on equity</v>
          </cell>
          <cell r="C125">
            <v>0.47794333049876214</v>
          </cell>
          <cell r="D125">
            <v>0.28766876715007328</v>
          </cell>
          <cell r="E125">
            <v>0.23994934761006204</v>
          </cell>
          <cell r="F125">
            <v>0.21854059566818215</v>
          </cell>
          <cell r="G125">
            <v>0.24523417814768458</v>
          </cell>
          <cell r="H125">
            <v>0.23441337617837713</v>
          </cell>
          <cell r="I125">
            <v>0.18507101406320689</v>
          </cell>
          <cell r="J125">
            <v>0.19720965336779328</v>
          </cell>
          <cell r="K125">
            <v>0.18664469087426472</v>
          </cell>
          <cell r="L125">
            <v>0.18007938625202033</v>
          </cell>
          <cell r="M125">
            <v>0.18424170373537832</v>
          </cell>
          <cell r="N125">
            <v>0.18313046223868587</v>
          </cell>
          <cell r="O125">
            <v>0.18341806070885477</v>
          </cell>
          <cell r="P125">
            <v>0.19478991008007981</v>
          </cell>
        </row>
        <row r="126">
          <cell r="A126" t="str">
            <v>Book NAV per share (Rs)</v>
          </cell>
          <cell r="C126">
            <v>46.508468747313209</v>
          </cell>
          <cell r="D126">
            <v>59.019860717049269</v>
          </cell>
          <cell r="E126">
            <v>94.987533316137899</v>
          </cell>
          <cell r="F126">
            <v>137.38712776176754</v>
          </cell>
          <cell r="G126">
            <v>206.48450508627573</v>
          </cell>
          <cell r="H126">
            <v>259.9308450997375</v>
          </cell>
          <cell r="I126">
            <v>307.39151744650559</v>
          </cell>
          <cell r="J126">
            <v>368.24903820976084</v>
          </cell>
          <cell r="K126">
            <v>437.20842481250963</v>
          </cell>
          <cell r="L126">
            <v>510.09580975016939</v>
          </cell>
          <cell r="M126">
            <v>601.27636084768676</v>
          </cell>
          <cell r="N126">
            <v>707.69238674941198</v>
          </cell>
          <cell r="O126">
            <v>832.10578392333025</v>
          </cell>
          <cell r="P126">
            <v>991.84258106244783</v>
          </cell>
        </row>
        <row r="127">
          <cell r="A127" t="str">
            <v>Return on capital employed (%)</v>
          </cell>
          <cell r="C127">
            <v>0.37622249224983323</v>
          </cell>
          <cell r="D127">
            <v>0.2096578007965772</v>
          </cell>
          <cell r="E127">
            <v>0.20890752658109815</v>
          </cell>
          <cell r="F127">
            <v>0.1969306954824965</v>
          </cell>
          <cell r="G127">
            <v>0.21762390083920446</v>
          </cell>
          <cell r="H127">
            <v>0.21625925168259974</v>
          </cell>
          <cell r="I127">
            <v>0.16764969143720398</v>
          </cell>
          <cell r="J127">
            <v>0.17893473893720321</v>
          </cell>
          <cell r="K127">
            <v>0.17425464390243725</v>
          </cell>
          <cell r="L127">
            <v>0.16709138059111542</v>
          </cell>
          <cell r="M127">
            <v>0.16446894551763641</v>
          </cell>
          <cell r="N127">
            <v>0.16761118731219102</v>
          </cell>
          <cell r="O127">
            <v>0.17427936194713911</v>
          </cell>
          <cell r="P127">
            <v>0.19491488760653183</v>
          </cell>
        </row>
        <row r="128">
          <cell r="A128" t="str">
            <v>Assumptions:</v>
          </cell>
        </row>
        <row r="129">
          <cell r="A129" t="str">
            <v>Days accounts receivable (rev)</v>
          </cell>
          <cell r="B129">
            <v>0</v>
          </cell>
          <cell r="C129">
            <v>17.607826107142618</v>
          </cell>
          <cell r="D129">
            <v>33.315656881917747</v>
          </cell>
          <cell r="E129">
            <v>27.008998408988376</v>
          </cell>
          <cell r="F129">
            <v>18.047208978001347</v>
          </cell>
          <cell r="G129">
            <v>13.20059782319341</v>
          </cell>
          <cell r="H129">
            <v>17.156476714540243</v>
          </cell>
          <cell r="I129">
            <v>28.028420825734216</v>
          </cell>
          <cell r="J129">
            <v>26.468557586814317</v>
          </cell>
          <cell r="K129">
            <v>29.712066306191744</v>
          </cell>
          <cell r="L129">
            <v>30</v>
          </cell>
          <cell r="M129">
            <v>30</v>
          </cell>
          <cell r="N129">
            <v>40</v>
          </cell>
          <cell r="O129">
            <v>40</v>
          </cell>
          <cell r="P129">
            <v>40</v>
          </cell>
        </row>
        <row r="130">
          <cell r="A130" t="str">
            <v>Days inventories (COGS)</v>
          </cell>
          <cell r="B130">
            <v>0</v>
          </cell>
          <cell r="C130">
            <v>93.956855772134062</v>
          </cell>
          <cell r="D130">
            <v>88.766755353063729</v>
          </cell>
          <cell r="E130">
            <v>105.67747106030454</v>
          </cell>
          <cell r="F130">
            <v>107.92501490266184</v>
          </cell>
          <cell r="G130">
            <v>113.71064509347721</v>
          </cell>
          <cell r="H130">
            <v>108.40651490310144</v>
          </cell>
          <cell r="I130">
            <v>137.74452500015869</v>
          </cell>
          <cell r="J130">
            <v>130.18628879226486</v>
          </cell>
          <cell r="K130">
            <v>133.343057310783</v>
          </cell>
          <cell r="L130">
            <v>110</v>
          </cell>
          <cell r="M130">
            <v>125</v>
          </cell>
          <cell r="N130">
            <v>135</v>
          </cell>
          <cell r="O130">
            <v>150</v>
          </cell>
          <cell r="P130">
            <v>150</v>
          </cell>
        </row>
        <row r="131">
          <cell r="A131" t="str">
            <v>Days other current assets (rev)</v>
          </cell>
          <cell r="B131">
            <v>0</v>
          </cell>
          <cell r="C131">
            <v>60.141911780504046</v>
          </cell>
          <cell r="D131">
            <v>57.65319820386069</v>
          </cell>
          <cell r="E131">
            <v>53.632925632257646</v>
          </cell>
          <cell r="F131">
            <v>24.4152515711103</v>
          </cell>
          <cell r="G131">
            <v>23.306053253877291</v>
          </cell>
          <cell r="H131">
            <v>60.329048327737404</v>
          </cell>
          <cell r="I131">
            <v>100.94221122899444</v>
          </cell>
          <cell r="J131">
            <v>47.758926480619849</v>
          </cell>
          <cell r="K131">
            <v>44.741880843964388</v>
          </cell>
          <cell r="L131">
            <v>40</v>
          </cell>
          <cell r="M131">
            <v>30</v>
          </cell>
          <cell r="N131">
            <v>30</v>
          </cell>
          <cell r="O131">
            <v>30</v>
          </cell>
          <cell r="P131">
            <v>30</v>
          </cell>
        </row>
        <row r="132">
          <cell r="A132" t="str">
            <v>Days accounts payable (COGS)</v>
          </cell>
          <cell r="B132">
            <v>0</v>
          </cell>
          <cell r="C132">
            <v>32.55623175764083</v>
          </cell>
          <cell r="D132">
            <v>29.222777645831894</v>
          </cell>
          <cell r="E132">
            <v>40.347184088111284</v>
          </cell>
          <cell r="F132">
            <v>40.37044588225519</v>
          </cell>
          <cell r="G132">
            <v>56.61494955753755</v>
          </cell>
          <cell r="H132">
            <v>64.043556732088561</v>
          </cell>
          <cell r="I132">
            <v>70.893433102906684</v>
          </cell>
          <cell r="J132">
            <v>54.007449360495329</v>
          </cell>
          <cell r="K132">
            <v>56.979327731660803</v>
          </cell>
          <cell r="L132">
            <v>55</v>
          </cell>
          <cell r="M132">
            <v>50</v>
          </cell>
          <cell r="N132">
            <v>50</v>
          </cell>
          <cell r="O132">
            <v>50</v>
          </cell>
          <cell r="P132">
            <v>50</v>
          </cell>
        </row>
        <row r="133">
          <cell r="A133" t="str">
            <v>Days accrued expenses (rev)</v>
          </cell>
          <cell r="B133">
            <v>0</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row>
        <row r="134">
          <cell r="A134" t="str">
            <v>Days other current liabilities (COGS)</v>
          </cell>
          <cell r="B134">
            <v>0</v>
          </cell>
          <cell r="C134">
            <v>16.231583185157849</v>
          </cell>
          <cell r="D134">
            <v>13.248238702876465</v>
          </cell>
          <cell r="E134">
            <v>13.225056748236783</v>
          </cell>
          <cell r="F134">
            <v>15.042209186752888</v>
          </cell>
          <cell r="G134">
            <v>10.06146529141485</v>
          </cell>
          <cell r="H134">
            <v>9.3293793952800002</v>
          </cell>
          <cell r="I134">
            <v>20.607267998155294</v>
          </cell>
          <cell r="J134">
            <v>23.724615278062487</v>
          </cell>
          <cell r="K134">
            <v>11.552917640620397</v>
          </cell>
          <cell r="L134">
            <v>10</v>
          </cell>
          <cell r="M134">
            <v>10</v>
          </cell>
          <cell r="N134">
            <v>10</v>
          </cell>
          <cell r="O134">
            <v>10</v>
          </cell>
          <cell r="P134">
            <v>10</v>
          </cell>
        </row>
        <row r="143">
          <cell r="C143">
            <v>0</v>
          </cell>
          <cell r="D143">
            <v>100</v>
          </cell>
          <cell r="E143">
            <v>100</v>
          </cell>
          <cell r="F143">
            <v>100</v>
          </cell>
          <cell r="G143">
            <v>0</v>
          </cell>
          <cell r="H143">
            <v>0</v>
          </cell>
          <cell r="I143">
            <v>0</v>
          </cell>
          <cell r="J143">
            <v>0</v>
          </cell>
          <cell r="K143">
            <v>0</v>
          </cell>
        </row>
      </sheetData>
      <sheetData sheetId="11"/>
      <sheetData sheetId="12"/>
      <sheetData sheetId="13"/>
      <sheetData sheetId="14"/>
      <sheetData sheetId="15" refreshError="1">
        <row r="1">
          <cell r="A1" t="str">
            <v>PEREGRINE</v>
          </cell>
          <cell r="N1" t="str">
            <v>Fact Sheet</v>
          </cell>
          <cell r="W1" t="str">
            <v>India</v>
          </cell>
        </row>
        <row r="3">
          <cell r="B3" t="str">
            <v>23 April 01</v>
          </cell>
          <cell r="M3" t="str">
            <v>Price:</v>
          </cell>
          <cell r="P3" t="str">
            <v>Rs. 764.60</v>
          </cell>
        </row>
        <row r="4">
          <cell r="B4" t="str">
            <v>HINDALCO INDUSTRIES</v>
          </cell>
          <cell r="M4" t="str">
            <v xml:space="preserve">BSE Sensex: </v>
          </cell>
          <cell r="P4" t="str">
            <v>5,345</v>
          </cell>
          <cell r="W4" t="str">
            <v>OUTPERFORM</v>
          </cell>
        </row>
        <row r="6">
          <cell r="M6" t="str">
            <v>Local Code :</v>
          </cell>
          <cell r="P6">
            <v>440</v>
          </cell>
          <cell r="S6" t="str">
            <v>Analyst:</v>
          </cell>
          <cell r="V6" t="str">
            <v>Rajesh B. Majumdar</v>
          </cell>
        </row>
        <row r="7">
          <cell r="M7" t="str">
            <v>Reuters:</v>
          </cell>
          <cell r="P7" t="str">
            <v>HALC.BO</v>
          </cell>
          <cell r="S7" t="str">
            <v>Bloomberg:</v>
          </cell>
          <cell r="V7" t="str">
            <v>HNDL IN</v>
          </cell>
        </row>
        <row r="9">
          <cell r="M9" t="str">
            <v>Issued Shares:</v>
          </cell>
          <cell r="P9" t="str">
            <v>74.47m</v>
          </cell>
          <cell r="S9" t="str">
            <v>Warrants:</v>
          </cell>
          <cell r="V9" t="str">
            <v>nil</v>
          </cell>
        </row>
        <row r="10">
          <cell r="M10" t="str">
            <v>GDRs:</v>
          </cell>
          <cell r="P10" t="str">
            <v>10.9 m</v>
          </cell>
          <cell r="S10" t="str">
            <v>Ratio:</v>
          </cell>
          <cell r="V10" t="str">
            <v>NA</v>
          </cell>
        </row>
        <row r="11">
          <cell r="M11" t="str">
            <v>Free Float:</v>
          </cell>
          <cell r="P11" t="str">
            <v>17%</v>
          </cell>
          <cell r="S11" t="str">
            <v>Ex. price:</v>
          </cell>
          <cell r="V11" t="str">
            <v>NA</v>
          </cell>
        </row>
        <row r="12">
          <cell r="S12" t="str">
            <v>Expiration:</v>
          </cell>
          <cell r="V12" t="str">
            <v>NA</v>
          </cell>
        </row>
        <row r="13">
          <cell r="M13" t="str">
            <v>Mkt Cap:</v>
          </cell>
          <cell r="P13" t="str">
            <v>Rs. 56.9b</v>
          </cell>
          <cell r="S13" t="str">
            <v>CBs:</v>
          </cell>
          <cell r="V13" t="str">
            <v>NA</v>
          </cell>
        </row>
        <row r="15">
          <cell r="M15" t="str">
            <v>NAV:</v>
          </cell>
          <cell r="P15" t="str">
            <v>NA</v>
          </cell>
          <cell r="S15" t="str">
            <v>Major Shareholders:</v>
          </cell>
        </row>
        <row r="16">
          <cell r="M16" t="str">
            <v>Book value:</v>
          </cell>
          <cell r="P16" t="str">
            <v>Rs260</v>
          </cell>
          <cell r="S16" t="str">
            <v>Aditya Birla group</v>
          </cell>
          <cell r="V16" t="str">
            <v>34%</v>
          </cell>
        </row>
        <row r="17">
          <cell r="M17" t="str">
            <v>Net debt/equity:</v>
          </cell>
          <cell r="P17">
            <v>0.19220104260391022</v>
          </cell>
        </row>
        <row r="20">
          <cell r="M20" t="str">
            <v>RESULTS &amp; ESTIMATES</v>
          </cell>
        </row>
        <row r="22">
          <cell r="M22" t="str">
            <v>Year-end</v>
          </cell>
          <cell r="O22" t="str">
            <v>Pre-tax</v>
          </cell>
          <cell r="P22" t="str">
            <v>Net Profit</v>
          </cell>
          <cell r="R22" t="str">
            <v>EPS</v>
          </cell>
          <cell r="T22" t="str">
            <v>P/E</v>
          </cell>
          <cell r="U22" t="str">
            <v>P/CE</v>
          </cell>
          <cell r="V22" t="str">
            <v>Yield</v>
          </cell>
        </row>
        <row r="23">
          <cell r="M23" t="str">
            <v>31 Mar</v>
          </cell>
          <cell r="O23" t="str">
            <v>(Rs. )</v>
          </cell>
          <cell r="P23" t="str">
            <v>(Rs. )</v>
          </cell>
          <cell r="Q23" t="str">
            <v>% chg</v>
          </cell>
          <cell r="R23" t="str">
            <v>(Rs)</v>
          </cell>
          <cell r="S23" t="str">
            <v>% chg</v>
          </cell>
          <cell r="T23" t="str">
            <v>(x)</v>
          </cell>
          <cell r="U23" t="str">
            <v>(x)</v>
          </cell>
          <cell r="V23" t="str">
            <v>(%)</v>
          </cell>
        </row>
        <row r="24">
          <cell r="M24" t="e">
            <v>#REF!</v>
          </cell>
          <cell r="O24">
            <v>2205.3490000000006</v>
          </cell>
          <cell r="P24">
            <v>1580.3490000000006</v>
          </cell>
          <cell r="R24">
            <v>25.085019305371922</v>
          </cell>
        </row>
        <row r="25">
          <cell r="M25" t="e">
            <v>#REF!</v>
          </cell>
          <cell r="O25">
            <v>4299.600527447772</v>
          </cell>
          <cell r="P25">
            <v>2919.1674785082641</v>
          </cell>
          <cell r="Q25">
            <v>84.716634016173842</v>
          </cell>
          <cell r="R25">
            <v>41.821690764487641</v>
          </cell>
          <cell r="S25">
            <v>66.719787038519769</v>
          </cell>
          <cell r="T25">
            <v>18.282378976635023</v>
          </cell>
          <cell r="U25">
            <v>16.427055425129559</v>
          </cell>
          <cell r="V25">
            <v>0.47998953701281716</v>
          </cell>
        </row>
        <row r="26">
          <cell r="M26" t="e">
            <v>#REF!</v>
          </cell>
          <cell r="O26">
            <v>6411.4600000000019</v>
          </cell>
          <cell r="P26">
            <v>4011.4707475522778</v>
          </cell>
          <cell r="Q26">
            <v>37.418314539534258</v>
          </cell>
          <cell r="R26">
            <v>54.898438466438037</v>
          </cell>
          <cell r="S26">
            <v>31.267859961927581</v>
          </cell>
          <cell r="T26">
            <v>13.927536399189851</v>
          </cell>
          <cell r="U26">
            <v>13.121559615903703</v>
          </cell>
          <cell r="V26">
            <v>0.52314935914203509</v>
          </cell>
        </row>
        <row r="27">
          <cell r="M27" t="e">
            <v>#REF!</v>
          </cell>
          <cell r="O27">
            <v>5104.5122787666669</v>
          </cell>
          <cell r="P27">
            <v>3909.5122787666669</v>
          </cell>
          <cell r="Q27">
            <v>-2.5416729973121166</v>
          </cell>
          <cell r="R27">
            <v>52.497462468583748</v>
          </cell>
          <cell r="S27">
            <v>-4.373486869434573</v>
          </cell>
          <cell r="T27">
            <v>14.56451348401006</v>
          </cell>
          <cell r="U27">
            <v>13.16142446954175</v>
          </cell>
          <cell r="V27">
            <v>0.58851273406414595</v>
          </cell>
        </row>
        <row r="28">
          <cell r="M28" t="e">
            <v>#REF!</v>
          </cell>
          <cell r="O28">
            <v>5831.3304499999977</v>
          </cell>
          <cell r="P28">
            <v>4961.3304499999977</v>
          </cell>
          <cell r="Q28">
            <v>26.904076422677136</v>
          </cell>
          <cell r="R28">
            <v>66.621419891097773</v>
          </cell>
          <cell r="S28">
            <v>26.904076422677136</v>
          </cell>
          <cell r="T28">
            <v>11.476789315656255</v>
          </cell>
          <cell r="U28">
            <v>9.9562408760371746</v>
          </cell>
          <cell r="V28">
            <v>0.68659818974150344</v>
          </cell>
        </row>
        <row r="29">
          <cell r="M29" t="e">
            <v>#REF!</v>
          </cell>
          <cell r="O29">
            <v>7067.7374483333324</v>
          </cell>
          <cell r="P29">
            <v>5597.7374483333324</v>
          </cell>
          <cell r="Q29">
            <v>12.827345502320542</v>
          </cell>
          <cell r="R29">
            <v>75.167179599080598</v>
          </cell>
          <cell r="S29">
            <v>12.827345502320565</v>
          </cell>
          <cell r="T29">
            <v>10.17199267124494</v>
          </cell>
          <cell r="U29">
            <v>8.3200606585338779</v>
          </cell>
          <cell r="V29">
            <v>0.85006809510315884</v>
          </cell>
        </row>
        <row r="32">
          <cell r="M32" t="str">
            <v>INCOME STATEMENT</v>
          </cell>
        </row>
        <row r="34">
          <cell r="M34" t="str">
            <v>Year-end</v>
          </cell>
          <cell r="R34" t="e">
            <v>#REF!</v>
          </cell>
          <cell r="S34" t="e">
            <v>#REF!</v>
          </cell>
          <cell r="T34" t="e">
            <v>#REF!</v>
          </cell>
          <cell r="U34" t="e">
            <v>#REF!</v>
          </cell>
          <cell r="V34" t="e">
            <v>#REF!</v>
          </cell>
          <cell r="W34" t="e">
            <v>#REF!</v>
          </cell>
        </row>
        <row r="35">
          <cell r="M35" t="str">
            <v>31 Mar</v>
          </cell>
          <cell r="R35" t="str">
            <v>(Rs. )</v>
          </cell>
          <cell r="S35" t="str">
            <v>(Rs. )</v>
          </cell>
          <cell r="T35" t="str">
            <v>(Rs. )</v>
          </cell>
          <cell r="U35" t="str">
            <v>(Rs. )</v>
          </cell>
          <cell r="V35" t="str">
            <v>(Rs. )</v>
          </cell>
        </row>
        <row r="37">
          <cell r="M37" t="str">
            <v>Gross revenue</v>
          </cell>
          <cell r="R37">
            <v>11307.022000000001</v>
          </cell>
          <cell r="S37">
            <v>14222.180000000002</v>
          </cell>
          <cell r="T37">
            <v>13082.66</v>
          </cell>
          <cell r="U37">
            <v>16707.21</v>
          </cell>
          <cell r="V37">
            <v>20130.849999999999</v>
          </cell>
          <cell r="W37">
            <v>23075.780000000002</v>
          </cell>
        </row>
        <row r="38">
          <cell r="B38" t="str">
            <v>RECOMMENDATION</v>
          </cell>
          <cell r="M38" t="str">
            <v>Excise &amp; sales tax</v>
          </cell>
          <cell r="R38">
            <v>-1744</v>
          </cell>
          <cell r="S38">
            <v>-1704.11</v>
          </cell>
          <cell r="T38">
            <v>-1511.9</v>
          </cell>
          <cell r="U38">
            <v>-1974.36</v>
          </cell>
          <cell r="V38">
            <v>-2460.91</v>
          </cell>
          <cell r="W38">
            <v>-2763.9</v>
          </cell>
        </row>
        <row r="39">
          <cell r="M39" t="str">
            <v>Net revenue</v>
          </cell>
          <cell r="R39">
            <v>9563.0220000000008</v>
          </cell>
          <cell r="S39">
            <v>12518.070000000002</v>
          </cell>
          <cell r="T39">
            <v>11570.76</v>
          </cell>
          <cell r="U39">
            <v>14732.849999999999</v>
          </cell>
          <cell r="V39">
            <v>17669.939999999999</v>
          </cell>
        </row>
        <row r="40">
          <cell r="M40" t="str">
            <v>Cost of goods sold</v>
          </cell>
          <cell r="R40">
            <v>-5261.5104725522287</v>
          </cell>
          <cell r="S40">
            <v>-6183.1122474431977</v>
          </cell>
          <cell r="T40">
            <v>-6523.7565703534474</v>
          </cell>
          <cell r="U40">
            <v>-7758.3565778703733</v>
          </cell>
          <cell r="V40">
            <v>-8640.890821293815</v>
          </cell>
          <cell r="W40">
            <v>-9590.0099999999984</v>
          </cell>
        </row>
        <row r="41">
          <cell r="M41" t="str">
            <v>Gross profit</v>
          </cell>
          <cell r="R41">
            <v>4301.5115274477721</v>
          </cell>
          <cell r="S41">
            <v>6334.9577525568038</v>
          </cell>
          <cell r="T41">
            <v>5047.0034296465528</v>
          </cell>
          <cell r="U41">
            <v>6974.4934221296253</v>
          </cell>
          <cell r="V41">
            <v>9029.0491787061837</v>
          </cell>
        </row>
        <row r="42">
          <cell r="M42" t="str">
            <v>Depreciation</v>
          </cell>
          <cell r="R42">
            <v>-329.5</v>
          </cell>
          <cell r="S42">
            <v>-348.3599999999999</v>
          </cell>
          <cell r="T42">
            <v>-423.27811873333349</v>
          </cell>
          <cell r="U42">
            <v>-776.35</v>
          </cell>
          <cell r="V42">
            <v>-1245.98</v>
          </cell>
          <cell r="W42">
            <v>-1353.63</v>
          </cell>
        </row>
        <row r="43">
          <cell r="M43" t="str">
            <v>Selling &amp; general admin.</v>
          </cell>
          <cell r="R43">
            <v>-463.87000000000006</v>
          </cell>
          <cell r="S43">
            <v>-613.13775255680207</v>
          </cell>
          <cell r="T43">
            <v>-736.30342964655233</v>
          </cell>
          <cell r="U43">
            <v>-910.85342212962803</v>
          </cell>
          <cell r="V43">
            <v>-1253.8091787061858</v>
          </cell>
          <cell r="W43">
            <v>-1321.2</v>
          </cell>
        </row>
        <row r="44">
          <cell r="M44" t="str">
            <v>Operating profit</v>
          </cell>
          <cell r="R44">
            <v>3508.1415274477722</v>
          </cell>
          <cell r="S44">
            <v>5373.4600000000019</v>
          </cell>
          <cell r="T44">
            <v>3887.4218812666677</v>
          </cell>
          <cell r="U44">
            <v>5287.2899999999972</v>
          </cell>
          <cell r="V44">
            <v>6529.2599999999984</v>
          </cell>
        </row>
        <row r="45">
          <cell r="M45" t="str">
            <v>Interest income</v>
          </cell>
          <cell r="R45">
            <v>1092.3969999999999</v>
          </cell>
          <cell r="S45">
            <v>1636.9099999999999</v>
          </cell>
          <cell r="T45">
            <v>1657.4301765</v>
          </cell>
          <cell r="U45">
            <v>1173.2051179999999</v>
          </cell>
          <cell r="V45">
            <v>1444.97</v>
          </cell>
          <cell r="W45">
            <v>1200.48</v>
          </cell>
        </row>
        <row r="46">
          <cell r="M46" t="str">
            <v>Interest expense</v>
          </cell>
          <cell r="R46">
            <v>-475.72</v>
          </cell>
          <cell r="S46">
            <v>-734.66</v>
          </cell>
          <cell r="T46">
            <v>-536.90960250000012</v>
          </cell>
          <cell r="U46">
            <v>-731.22955000000002</v>
          </cell>
          <cell r="V46">
            <v>-906.49255166666671</v>
          </cell>
          <cell r="W46">
            <v>-596.62</v>
          </cell>
        </row>
        <row r="47">
          <cell r="M47" t="str">
            <v>Others</v>
          </cell>
          <cell r="R47">
            <v>174.78200000000015</v>
          </cell>
          <cell r="S47">
            <v>135.75000000000023</v>
          </cell>
          <cell r="T47">
            <v>96.569823499999984</v>
          </cell>
          <cell r="U47">
            <v>102.06488200000013</v>
          </cell>
          <cell r="V47">
            <v>0</v>
          </cell>
          <cell r="W47">
            <v>186.05999999999995</v>
          </cell>
        </row>
        <row r="48">
          <cell r="M48" t="str">
            <v>Pre-tax profit</v>
          </cell>
          <cell r="R48">
            <v>4299.600527447772</v>
          </cell>
          <cell r="S48">
            <v>6411.4600000000019</v>
          </cell>
          <cell r="T48">
            <v>5104.5122787666678</v>
          </cell>
          <cell r="U48">
            <v>5831.3304499999977</v>
          </cell>
          <cell r="V48">
            <v>7067.7374483333315</v>
          </cell>
        </row>
        <row r="49">
          <cell r="M49" t="str">
            <v>Income tax</v>
          </cell>
          <cell r="R49">
            <v>-1380.4330489395081</v>
          </cell>
          <cell r="S49">
            <v>-2399.9892524477241</v>
          </cell>
          <cell r="T49">
            <v>-1195</v>
          </cell>
          <cell r="U49">
            <v>-870</v>
          </cell>
          <cell r="V49">
            <v>-1470</v>
          </cell>
          <cell r="W49">
            <v>-2485</v>
          </cell>
        </row>
        <row r="50">
          <cell r="M50" t="str">
            <v>Net profit</v>
          </cell>
          <cell r="R50">
            <v>2919.1674785082641</v>
          </cell>
          <cell r="S50">
            <v>4011.4707475522778</v>
          </cell>
          <cell r="T50">
            <v>3909.5122787666678</v>
          </cell>
          <cell r="U50">
            <v>4961.3304499999977</v>
          </cell>
          <cell r="V50">
            <v>5597.7374483333315</v>
          </cell>
        </row>
        <row r="51">
          <cell r="M51" t="str">
            <v>Extraordinary items</v>
          </cell>
          <cell r="R51">
            <v>0.2</v>
          </cell>
          <cell r="S51">
            <v>-101.96</v>
          </cell>
          <cell r="T51">
            <v>-6.5</v>
          </cell>
          <cell r="U51">
            <v>0</v>
          </cell>
          <cell r="V51">
            <v>0</v>
          </cell>
          <cell r="W51">
            <v>-227.9</v>
          </cell>
        </row>
        <row r="52">
          <cell r="M52" t="str">
            <v>Net profit</v>
          </cell>
          <cell r="R52">
            <v>2919.367478508264</v>
          </cell>
          <cell r="S52">
            <v>3909.5107475522777</v>
          </cell>
          <cell r="T52">
            <v>3903.0122787666678</v>
          </cell>
          <cell r="U52">
            <v>4961.3304499999977</v>
          </cell>
          <cell r="V52">
            <v>5597.7374483333315</v>
          </cell>
        </row>
        <row r="53">
          <cell r="M53" t="str">
            <v>Dividends</v>
          </cell>
          <cell r="R53">
            <v>-257.63</v>
          </cell>
          <cell r="S53">
            <v>-297.86</v>
          </cell>
          <cell r="T53">
            <v>-335.1</v>
          </cell>
          <cell r="U53">
            <v>-390.95</v>
          </cell>
          <cell r="V53">
            <v>-484.03</v>
          </cell>
          <cell r="W53">
            <v>-595.76400000000012</v>
          </cell>
        </row>
        <row r="54">
          <cell r="M54" t="str">
            <v>Addition to retained earnings</v>
          </cell>
          <cell r="R54">
            <v>2661.7374785082638</v>
          </cell>
          <cell r="S54">
            <v>3611.6507475522776</v>
          </cell>
          <cell r="T54">
            <v>3567.9122787666679</v>
          </cell>
          <cell r="U54">
            <v>4570.3804499999978</v>
          </cell>
          <cell r="V54">
            <v>5113.7074483333317</v>
          </cell>
        </row>
        <row r="57">
          <cell r="M57" t="str">
            <v>Wtd avg. shares (m)</v>
          </cell>
          <cell r="R57">
            <v>69.800321917808219</v>
          </cell>
          <cell r="S57">
            <v>73.070762295081963</v>
          </cell>
          <cell r="T57">
            <v>74.470500000000015</v>
          </cell>
          <cell r="U57">
            <v>74.470500000000015</v>
          </cell>
          <cell r="V57">
            <v>74.470500000000015</v>
          </cell>
          <cell r="W57">
            <v>74.470500000000015</v>
          </cell>
        </row>
        <row r="58">
          <cell r="M58" t="str">
            <v>EPS (Rs)</v>
          </cell>
          <cell r="R58">
            <v>41.821690764487641</v>
          </cell>
          <cell r="S58">
            <v>54.898438466438037</v>
          </cell>
          <cell r="T58">
            <v>52.497462468583748</v>
          </cell>
          <cell r="U58">
            <v>66.621419891097773</v>
          </cell>
          <cell r="V58">
            <v>75.167179599080598</v>
          </cell>
          <cell r="W58">
            <v>85.294982576993576</v>
          </cell>
        </row>
        <row r="59">
          <cell r="M59" t="str">
            <v>Fully diluted EPS (Rs)</v>
          </cell>
          <cell r="R59">
            <v>39.198977830258471</v>
          </cell>
          <cell r="S59">
            <v>53.866574651066891</v>
          </cell>
          <cell r="T59">
            <v>52.497462468583748</v>
          </cell>
          <cell r="U59">
            <v>66.621419891097773</v>
          </cell>
          <cell r="V59">
            <v>75.167179599080598</v>
          </cell>
          <cell r="W59">
            <v>85.294982576993576</v>
          </cell>
        </row>
        <row r="62">
          <cell r="M62" t="str">
            <v>RETURNS</v>
          </cell>
        </row>
        <row r="66">
          <cell r="B66" t="str">
            <v>BACKGROUND</v>
          </cell>
        </row>
      </sheetData>
      <sheetData sheetId="16" refreshError="1">
        <row r="4">
          <cell r="B4" t="str">
            <v>REVIEW OF OPERATIONS</v>
          </cell>
          <cell r="O4" t="str">
            <v>CASHFLOW ESTIMATES</v>
          </cell>
        </row>
        <row r="6">
          <cell r="G6" t="e">
            <v>#REF!</v>
          </cell>
          <cell r="H6" t="e">
            <v>#REF!</v>
          </cell>
          <cell r="I6" t="e">
            <v>#REF!</v>
          </cell>
          <cell r="J6" t="e">
            <v>#REF!</v>
          </cell>
          <cell r="K6" t="e">
            <v>#REF!</v>
          </cell>
          <cell r="L6" t="e">
            <v>#REF!</v>
          </cell>
          <cell r="O6" t="str">
            <v>Year-end</v>
          </cell>
          <cell r="S6" t="e">
            <v>#REF!</v>
          </cell>
          <cell r="T6" t="e">
            <v>#REF!</v>
          </cell>
          <cell r="U6" t="e">
            <v>#REF!</v>
          </cell>
          <cell r="V6" t="e">
            <v>#REF!</v>
          </cell>
          <cell r="W6" t="e">
            <v>#REF!</v>
          </cell>
          <cell r="X6" t="e">
            <v>#REF!</v>
          </cell>
        </row>
        <row r="7">
          <cell r="B7" t="str">
            <v xml:space="preserve">Sales Domestic and exports ('000 tonnes) </v>
          </cell>
          <cell r="O7" t="str">
            <v>31 Mar</v>
          </cell>
          <cell r="S7" t="str">
            <v>(Rs. )</v>
          </cell>
          <cell r="T7" t="str">
            <v>(Rs. )</v>
          </cell>
          <cell r="U7" t="str">
            <v>(Rs. )</v>
          </cell>
          <cell r="V7" t="str">
            <v>(Rs. )</v>
          </cell>
          <cell r="W7" t="str">
            <v>(Rs. )</v>
          </cell>
        </row>
        <row r="8">
          <cell r="B8" t="str">
            <v>Ingots</v>
          </cell>
          <cell r="G8">
            <v>66.984999999999999</v>
          </cell>
          <cell r="H8">
            <v>81.453999999999994</v>
          </cell>
          <cell r="I8">
            <v>92.328999999999994</v>
          </cell>
          <cell r="J8">
            <v>96.506</v>
          </cell>
          <cell r="K8">
            <v>112.367</v>
          </cell>
          <cell r="L8">
            <v>122.18899999999999</v>
          </cell>
          <cell r="O8" t="str">
            <v>Inflows</v>
          </cell>
        </row>
        <row r="9">
          <cell r="B9" t="str">
            <v>Rolled Products</v>
          </cell>
          <cell r="G9">
            <v>36.834000000000003</v>
          </cell>
          <cell r="H9">
            <v>31.794</v>
          </cell>
          <cell r="I9">
            <v>18.98</v>
          </cell>
          <cell r="J9">
            <v>32.954000000000001</v>
          </cell>
          <cell r="K9">
            <v>41.439</v>
          </cell>
          <cell r="L9">
            <v>48.722000000000001</v>
          </cell>
          <cell r="O9" t="str">
            <v>Pre-tax profit</v>
          </cell>
          <cell r="S9">
            <v>4299.8005274477719</v>
          </cell>
          <cell r="T9">
            <v>6309.5000000000018</v>
          </cell>
          <cell r="U9">
            <v>5098.0122787666669</v>
          </cell>
          <cell r="V9">
            <v>5831.3304499999977</v>
          </cell>
          <cell r="W9">
            <v>7067.7374483333324</v>
          </cell>
          <cell r="X9">
            <v>8609.0600000000013</v>
          </cell>
        </row>
        <row r="10">
          <cell r="B10" t="str">
            <v>Extrusions</v>
          </cell>
          <cell r="G10">
            <v>11.093</v>
          </cell>
          <cell r="H10">
            <v>12.516999999999999</v>
          </cell>
          <cell r="I10">
            <v>11.853999999999999</v>
          </cell>
          <cell r="J10">
            <v>12.503</v>
          </cell>
          <cell r="K10">
            <v>11.664</v>
          </cell>
          <cell r="L10">
            <v>15.257</v>
          </cell>
          <cell r="O10" t="str">
            <v>Depreciation &amp; amort.</v>
          </cell>
          <cell r="S10">
            <v>329.5</v>
          </cell>
          <cell r="T10">
            <v>348.3599999999999</v>
          </cell>
          <cell r="U10">
            <v>423.27811873333349</v>
          </cell>
          <cell r="V10">
            <v>776.35</v>
          </cell>
          <cell r="W10">
            <v>1245.98</v>
          </cell>
          <cell r="X10">
            <v>1353.63</v>
          </cell>
        </row>
        <row r="11">
          <cell r="B11" t="str">
            <v>Cond. Rods</v>
          </cell>
          <cell r="G11">
            <v>43.332999999999998</v>
          </cell>
          <cell r="H11">
            <v>46.734999999999999</v>
          </cell>
          <cell r="I11">
            <v>42.253999999999998</v>
          </cell>
          <cell r="J11">
            <v>46.024000000000001</v>
          </cell>
          <cell r="K11">
            <v>51.030999999999999</v>
          </cell>
          <cell r="L11">
            <v>48.311</v>
          </cell>
          <cell r="O11" t="str">
            <v>Non-cash (income)/expenses</v>
          </cell>
          <cell r="S11">
            <v>0</v>
          </cell>
          <cell r="T11">
            <v>0</v>
          </cell>
          <cell r="U11">
            <v>0</v>
          </cell>
          <cell r="V11">
            <v>-18.64</v>
          </cell>
          <cell r="W11">
            <v>0</v>
          </cell>
          <cell r="X11">
            <v>0</v>
          </cell>
        </row>
        <row r="12">
          <cell r="B12" t="str">
            <v>Foils</v>
          </cell>
          <cell r="G12">
            <v>0</v>
          </cell>
          <cell r="H12">
            <v>0</v>
          </cell>
          <cell r="I12">
            <v>0</v>
          </cell>
          <cell r="J12">
            <v>2.5000000000000001E-2</v>
          </cell>
          <cell r="K12">
            <v>1.5049999999999999</v>
          </cell>
          <cell r="L12">
            <v>7.3140000000000001</v>
          </cell>
          <cell r="O12" t="str">
            <v>Tax paid</v>
          </cell>
          <cell r="S12">
            <v>-1380.4330489395081</v>
          </cell>
          <cell r="T12">
            <v>-2399.9892524477241</v>
          </cell>
          <cell r="U12">
            <v>-1195</v>
          </cell>
          <cell r="V12">
            <v>-870</v>
          </cell>
          <cell r="W12">
            <v>-1470</v>
          </cell>
          <cell r="X12">
            <v>-2485</v>
          </cell>
        </row>
        <row r="13">
          <cell r="G13">
            <v>158.245</v>
          </cell>
          <cell r="H13">
            <v>172.5</v>
          </cell>
          <cell r="I13">
            <v>165.417</v>
          </cell>
          <cell r="J13">
            <v>188.01200000000003</v>
          </cell>
          <cell r="K13">
            <v>218.006</v>
          </cell>
          <cell r="O13" t="str">
            <v>Operating cash flow</v>
          </cell>
          <cell r="S13">
            <v>3248.867478508264</v>
          </cell>
          <cell r="T13">
            <v>4257.870747552277</v>
          </cell>
          <cell r="U13">
            <v>4326.2903975000008</v>
          </cell>
          <cell r="V13">
            <v>5719.0404499999977</v>
          </cell>
          <cell r="W13">
            <v>6843.7174483333329</v>
          </cell>
        </row>
        <row r="14">
          <cell r="O14" t="str">
            <v>Issue of shares</v>
          </cell>
          <cell r="S14">
            <v>3267.3900000000003</v>
          </cell>
          <cell r="T14">
            <v>877.11500000000069</v>
          </cell>
          <cell r="U14">
            <v>0.8</v>
          </cell>
          <cell r="V14">
            <v>0</v>
          </cell>
          <cell r="W14">
            <v>0</v>
          </cell>
          <cell r="X14">
            <v>0</v>
          </cell>
        </row>
        <row r="15">
          <cell r="B15" t="str">
            <v>Average selling price (Rs 000 per tonne)</v>
          </cell>
          <cell r="O15" t="str">
            <v>Asset sale</v>
          </cell>
          <cell r="S15">
            <v>0</v>
          </cell>
          <cell r="T15">
            <v>0</v>
          </cell>
          <cell r="U15">
            <v>0</v>
          </cell>
          <cell r="V15">
            <v>0</v>
          </cell>
          <cell r="W15">
            <v>0</v>
          </cell>
          <cell r="X15">
            <v>0</v>
          </cell>
        </row>
        <row r="16">
          <cell r="B16" t="str">
            <v>Ingots</v>
          </cell>
          <cell r="G16">
            <v>62.847577815928943</v>
          </cell>
          <cell r="H16">
            <v>73.986544552753728</v>
          </cell>
          <cell r="I16">
            <v>69.552469971514924</v>
          </cell>
          <cell r="J16">
            <v>77.326280231280947</v>
          </cell>
          <cell r="K16">
            <v>79.811688485053438</v>
          </cell>
          <cell r="O16" t="str">
            <v>Others</v>
          </cell>
          <cell r="S16">
            <v>0</v>
          </cell>
          <cell r="T16">
            <v>0</v>
          </cell>
          <cell r="U16">
            <v>0</v>
          </cell>
          <cell r="V16">
            <v>0</v>
          </cell>
          <cell r="W16">
            <v>0</v>
          </cell>
          <cell r="X16">
            <v>0</v>
          </cell>
        </row>
        <row r="17">
          <cell r="B17" t="str">
            <v>Rolled Products</v>
          </cell>
          <cell r="G17">
            <v>83.937611988923265</v>
          </cell>
          <cell r="H17">
            <v>96.17758067559916</v>
          </cell>
          <cell r="I17">
            <v>94.963645943097987</v>
          </cell>
          <cell r="J17">
            <v>97.452813012077442</v>
          </cell>
          <cell r="K17">
            <v>99.714761456598865</v>
          </cell>
          <cell r="O17" t="str">
            <v>Total inflows</v>
          </cell>
          <cell r="S17">
            <v>6516.2574785082643</v>
          </cell>
          <cell r="T17">
            <v>5134.9857475522776</v>
          </cell>
          <cell r="U17">
            <v>4327.090397500001</v>
          </cell>
          <cell r="V17">
            <v>5719.0404499999977</v>
          </cell>
          <cell r="W17">
            <v>6843.7174483333329</v>
          </cell>
        </row>
        <row r="18">
          <cell r="B18" t="str">
            <v>Extrusions</v>
          </cell>
          <cell r="G18">
            <v>84.89984675020284</v>
          </cell>
          <cell r="H18">
            <v>103.04625709035712</v>
          </cell>
          <cell r="I18">
            <v>104.11591024126878</v>
          </cell>
          <cell r="J18">
            <v>105.16356074542109</v>
          </cell>
          <cell r="K18">
            <v>104.62191358024691</v>
          </cell>
        </row>
        <row r="19">
          <cell r="B19" t="str">
            <v>Cond. Rods</v>
          </cell>
          <cell r="G19">
            <v>68.169016684743738</v>
          </cell>
          <cell r="H19">
            <v>79.486038301059168</v>
          </cell>
          <cell r="I19">
            <v>78.995361385904303</v>
          </cell>
          <cell r="J19">
            <v>83.626586128976186</v>
          </cell>
          <cell r="K19">
            <v>86.936567968489754</v>
          </cell>
          <cell r="O19" t="str">
            <v>Outflows</v>
          </cell>
        </row>
        <row r="20">
          <cell r="B20" t="str">
            <v>Foils</v>
          </cell>
          <cell r="K20">
            <v>131.26245847176079</v>
          </cell>
          <cell r="O20" t="str">
            <v>Dividends paid</v>
          </cell>
          <cell r="S20">
            <v>257.63</v>
          </cell>
          <cell r="T20">
            <v>297.86</v>
          </cell>
          <cell r="U20">
            <v>368.61</v>
          </cell>
          <cell r="V20">
            <v>430.04499999999996</v>
          </cell>
          <cell r="W20">
            <v>532.43299999999999</v>
          </cell>
          <cell r="X20">
            <v>661.29804000000013</v>
          </cell>
        </row>
        <row r="21">
          <cell r="O21" t="str">
            <v>Capital expenditure</v>
          </cell>
          <cell r="S21">
            <v>2417.7600000000002</v>
          </cell>
          <cell r="T21">
            <v>2930.9700000000003</v>
          </cell>
          <cell r="U21">
            <v>6028.148118733332</v>
          </cell>
          <cell r="V21">
            <v>5502.6599999999989</v>
          </cell>
          <cell r="W21">
            <v>2105.4100000000035</v>
          </cell>
          <cell r="X21">
            <v>1442.4799999999962</v>
          </cell>
        </row>
        <row r="22">
          <cell r="B22" t="str">
            <v>Revenue (Rs m)</v>
          </cell>
          <cell r="O22" t="str">
            <v>Working capital</v>
          </cell>
          <cell r="S22">
            <v>1687.7330000000013</v>
          </cell>
          <cell r="T22">
            <v>1648.0969999999993</v>
          </cell>
          <cell r="U22">
            <v>803.3899999999993</v>
          </cell>
          <cell r="V22">
            <v>-927.82999999999879</v>
          </cell>
          <cell r="W22">
            <v>1893.6200000000013</v>
          </cell>
          <cell r="X22">
            <v>1316.5499999999993</v>
          </cell>
        </row>
        <row r="23">
          <cell r="B23" t="str">
            <v>Ingots</v>
          </cell>
          <cell r="G23">
            <v>4209.8450000000003</v>
          </cell>
          <cell r="H23">
            <v>6026.5000000000009</v>
          </cell>
          <cell r="I23">
            <v>6421.71</v>
          </cell>
          <cell r="J23">
            <v>7462.45</v>
          </cell>
          <cell r="K23">
            <v>8968.2000000000007</v>
          </cell>
          <cell r="L23">
            <v>9993</v>
          </cell>
          <cell r="O23" t="str">
            <v>Investments</v>
          </cell>
          <cell r="S23">
            <v>3493.6489999999994</v>
          </cell>
          <cell r="T23">
            <v>1040.491</v>
          </cell>
          <cell r="U23">
            <v>-2310.8999999999996</v>
          </cell>
          <cell r="V23">
            <v>2867.6900000000005</v>
          </cell>
          <cell r="W23">
            <v>615.80999999999949</v>
          </cell>
          <cell r="X23">
            <v>700.76000000000022</v>
          </cell>
        </row>
        <row r="24">
          <cell r="B24" t="str">
            <v>Rolled Products</v>
          </cell>
          <cell r="G24">
            <v>3091.7579999999998</v>
          </cell>
          <cell r="H24">
            <v>3057.87</v>
          </cell>
          <cell r="I24">
            <v>1802.41</v>
          </cell>
          <cell r="J24">
            <v>3211.46</v>
          </cell>
          <cell r="K24">
            <v>4132.08</v>
          </cell>
          <cell r="L24">
            <v>5053</v>
          </cell>
          <cell r="O24" t="str">
            <v>Others</v>
          </cell>
          <cell r="S24">
            <v>0</v>
          </cell>
          <cell r="T24">
            <v>0</v>
          </cell>
          <cell r="U24">
            <v>0</v>
          </cell>
          <cell r="V24">
            <v>0</v>
          </cell>
          <cell r="W24">
            <v>0</v>
          </cell>
          <cell r="X24">
            <v>0</v>
          </cell>
        </row>
        <row r="25">
          <cell r="B25" t="str">
            <v>Extrusions</v>
          </cell>
          <cell r="G25">
            <v>941.7940000000001</v>
          </cell>
          <cell r="H25">
            <v>1289.83</v>
          </cell>
          <cell r="I25">
            <v>1234.19</v>
          </cell>
          <cell r="J25">
            <v>1314.86</v>
          </cell>
          <cell r="K25">
            <v>1220.31</v>
          </cell>
          <cell r="L25">
            <v>1624</v>
          </cell>
          <cell r="O25" t="str">
            <v>Total outflows</v>
          </cell>
          <cell r="S25">
            <v>7856.7720000000008</v>
          </cell>
          <cell r="T25">
            <v>5917.4179999999997</v>
          </cell>
          <cell r="U25">
            <v>4889.2481187333315</v>
          </cell>
          <cell r="V25">
            <v>7872.5650000000005</v>
          </cell>
          <cell r="W25">
            <v>5147.2730000000047</v>
          </cell>
        </row>
        <row r="26">
          <cell r="B26" t="str">
            <v>Cond. Rods</v>
          </cell>
          <cell r="G26">
            <v>2953.9680000000003</v>
          </cell>
          <cell r="H26">
            <v>3714.78</v>
          </cell>
          <cell r="I26">
            <v>3337.87</v>
          </cell>
          <cell r="J26">
            <v>3848.83</v>
          </cell>
          <cell r="K26">
            <v>4436.46</v>
          </cell>
          <cell r="L26">
            <v>4425</v>
          </cell>
        </row>
        <row r="27">
          <cell r="B27" t="str">
            <v>Foils</v>
          </cell>
          <cell r="G27">
            <v>0</v>
          </cell>
          <cell r="H27">
            <v>0</v>
          </cell>
          <cell r="I27">
            <v>0</v>
          </cell>
          <cell r="J27">
            <v>2.82</v>
          </cell>
          <cell r="K27">
            <v>197.55</v>
          </cell>
          <cell r="L27">
            <v>979.4</v>
          </cell>
          <cell r="O27" t="str">
            <v>Net inflow/(outflow)</v>
          </cell>
          <cell r="S27">
            <v>-1340.5145214917366</v>
          </cell>
          <cell r="T27">
            <v>-782.43225244772202</v>
          </cell>
          <cell r="U27">
            <v>-562.15772123333136</v>
          </cell>
          <cell r="V27">
            <v>-2153.5245500000028</v>
          </cell>
          <cell r="W27">
            <v>1696.4444483333282</v>
          </cell>
          <cell r="X27">
            <v>3356.6019600000063</v>
          </cell>
        </row>
        <row r="28">
          <cell r="G28">
            <v>11197.365000000002</v>
          </cell>
          <cell r="H28">
            <v>14088.980000000001</v>
          </cell>
          <cell r="I28">
            <v>12796.18</v>
          </cell>
          <cell r="J28">
            <v>15840.42</v>
          </cell>
          <cell r="K28">
            <v>18954.599999999999</v>
          </cell>
          <cell r="O28" t="str">
            <v>Net cash/(debt) at year-end</v>
          </cell>
          <cell r="S28">
            <v>-3191.8708290000022</v>
          </cell>
          <cell r="T28">
            <v>-2708.1734999999999</v>
          </cell>
          <cell r="U28">
            <v>-4156.3745214917362</v>
          </cell>
          <cell r="V28">
            <v>-4938.7422524477224</v>
          </cell>
          <cell r="W28">
            <v>-5501.2677212333319</v>
          </cell>
        </row>
        <row r="30">
          <cell r="B30" t="str">
            <v>Cost per tonne of primary metal (Rs '000 per tonne)</v>
          </cell>
          <cell r="O30" t="str">
            <v>Net debt/equity</v>
          </cell>
          <cell r="S30">
            <v>0.18980655821625933</v>
          </cell>
          <cell r="T30">
            <v>0.19220104260391022</v>
          </cell>
          <cell r="U30">
            <v>0.19275842847799143</v>
          </cell>
          <cell r="V30">
            <v>0.22884306108842362</v>
          </cell>
          <cell r="W30">
            <v>0.11766103594222094</v>
          </cell>
          <cell r="X30">
            <v>4.6381579481229354E-2</v>
          </cell>
        </row>
        <row r="31">
          <cell r="B31" t="str">
            <v>COGS</v>
          </cell>
          <cell r="G31">
            <v>32.027699492039375</v>
          </cell>
          <cell r="H31">
            <v>35.251897099415032</v>
          </cell>
          <cell r="I31">
            <v>39.235448965270443</v>
          </cell>
          <cell r="J31">
            <v>38.732908867872709</v>
          </cell>
          <cell r="K31">
            <v>35.865331351924723</v>
          </cell>
          <cell r="L31">
            <v>39.953713733397755</v>
          </cell>
        </row>
        <row r="32">
          <cell r="B32" t="str">
            <v>SG &amp; A</v>
          </cell>
          <cell r="G32">
            <v>2.8236547358168984</v>
          </cell>
          <cell r="H32">
            <v>3.4956940931869349</v>
          </cell>
          <cell r="I32">
            <v>4.4283068084016088</v>
          </cell>
          <cell r="J32">
            <v>4.5473551308492492</v>
          </cell>
          <cell r="K32">
            <v>5.2041256597718215</v>
          </cell>
          <cell r="L32">
            <v>5.5043578249204259</v>
          </cell>
        </row>
        <row r="33">
          <cell r="B33" t="str">
            <v>Depreciation</v>
          </cell>
          <cell r="G33">
            <v>2.0057219381543705</v>
          </cell>
          <cell r="H33">
            <v>1.9861115862210508</v>
          </cell>
          <cell r="I33">
            <v>2.5456969227129851</v>
          </cell>
          <cell r="J33">
            <v>3.8758586947839286</v>
          </cell>
          <cell r="K33">
            <v>5.1716294629886352</v>
          </cell>
          <cell r="L33">
            <v>5.6394670621760801</v>
          </cell>
          <cell r="O33" t="str">
            <v>BALANCE SHEET</v>
          </cell>
        </row>
        <row r="34">
          <cell r="B34" t="str">
            <v>Metal cost (US cents per lb. )</v>
          </cell>
          <cell r="G34">
            <v>57.441706574735875</v>
          </cell>
          <cell r="H34">
            <v>59.834140790056743</v>
          </cell>
          <cell r="I34">
            <v>66.716415684830878</v>
          </cell>
          <cell r="J34">
            <v>62.670882211339546</v>
          </cell>
          <cell r="K34">
            <v>54.969880897611873</v>
          </cell>
          <cell r="L34">
            <v>55.93072771286036</v>
          </cell>
        </row>
        <row r="35">
          <cell r="O35" t="str">
            <v>As at</v>
          </cell>
          <cell r="S35" t="e">
            <v>#REF!</v>
          </cell>
          <cell r="T35" t="e">
            <v>#REF!</v>
          </cell>
          <cell r="U35" t="e">
            <v>#REF!</v>
          </cell>
          <cell r="V35" t="e">
            <v>#REF!</v>
          </cell>
          <cell r="W35" t="e">
            <v>#REF!</v>
          </cell>
          <cell r="X35" t="e">
            <v>#REF!</v>
          </cell>
        </row>
        <row r="36">
          <cell r="B36" t="str">
            <v>Notes:</v>
          </cell>
          <cell r="O36" t="str">
            <v>31 Mar</v>
          </cell>
          <cell r="S36" t="str">
            <v>(Rs. )</v>
          </cell>
          <cell r="T36" t="str">
            <v>(Rs. )</v>
          </cell>
          <cell r="U36" t="str">
            <v>(Rs. )</v>
          </cell>
          <cell r="V36" t="str">
            <v>(Rs. )</v>
          </cell>
          <cell r="W36" t="str">
            <v>(Rs. )</v>
          </cell>
        </row>
        <row r="37">
          <cell r="B37">
            <v>1</v>
          </cell>
          <cell r="C37" t="str">
            <v xml:space="preserve">Price  per tonne is inclusive of excise duty </v>
          </cell>
          <cell r="O37" t="str">
            <v>Fixed assets</v>
          </cell>
          <cell r="S37">
            <v>2133.75</v>
          </cell>
          <cell r="T37">
            <v>11102.24</v>
          </cell>
          <cell r="U37">
            <v>11425.32</v>
          </cell>
          <cell r="V37">
            <v>11185</v>
          </cell>
          <cell r="W37">
            <v>11548.9</v>
          </cell>
          <cell r="X37">
            <v>15878.17</v>
          </cell>
        </row>
        <row r="38">
          <cell r="O38" t="str">
            <v>Capital WIP</v>
          </cell>
          <cell r="S38">
            <v>241.91</v>
          </cell>
          <cell r="T38">
            <v>720.99</v>
          </cell>
          <cell r="U38">
            <v>469.8</v>
          </cell>
          <cell r="V38">
            <v>2107.38</v>
          </cell>
          <cell r="W38">
            <v>3635.1</v>
          </cell>
          <cell r="X38">
            <v>3971.7</v>
          </cell>
        </row>
        <row r="39">
          <cell r="O39" t="str">
            <v>Investments</v>
          </cell>
          <cell r="S39">
            <v>2104.5</v>
          </cell>
          <cell r="T39">
            <v>2626.9</v>
          </cell>
          <cell r="U39">
            <v>4921</v>
          </cell>
          <cell r="V39">
            <v>8414.6489999999994</v>
          </cell>
          <cell r="W39">
            <v>9455.14</v>
          </cell>
          <cell r="X39">
            <v>7144.24</v>
          </cell>
        </row>
        <row r="40">
          <cell r="O40" t="str">
            <v>Other non-current assets</v>
          </cell>
          <cell r="S40">
            <v>0</v>
          </cell>
          <cell r="T40">
            <v>0</v>
          </cell>
          <cell r="U40">
            <v>0</v>
          </cell>
          <cell r="V40">
            <v>0</v>
          </cell>
          <cell r="W40">
            <v>0</v>
          </cell>
          <cell r="X40">
            <v>0</v>
          </cell>
        </row>
        <row r="41">
          <cell r="B41" t="str">
            <v>INTERIM RESULTS</v>
          </cell>
          <cell r="O41" t="str">
            <v>Current assets</v>
          </cell>
        </row>
        <row r="42">
          <cell r="O42" t="str">
            <v>Cash &amp; bank balances</v>
          </cell>
          <cell r="S42">
            <v>96</v>
          </cell>
          <cell r="T42">
            <v>263.39999999999998</v>
          </cell>
          <cell r="U42">
            <v>191.53</v>
          </cell>
          <cell r="V42">
            <v>228.7</v>
          </cell>
          <cell r="W42">
            <v>343.24</v>
          </cell>
          <cell r="X42">
            <v>259.58999999999997</v>
          </cell>
        </row>
        <row r="43">
          <cell r="B43" t="str">
            <v>Half-year ended</v>
          </cell>
          <cell r="H43">
            <v>34788</v>
          </cell>
          <cell r="I43">
            <v>34972</v>
          </cell>
          <cell r="J43">
            <v>35155</v>
          </cell>
          <cell r="K43" t="str">
            <v>Chg</v>
          </cell>
          <cell r="O43" t="str">
            <v>Rreceivables</v>
          </cell>
          <cell r="S43">
            <v>781.2</v>
          </cell>
          <cell r="T43">
            <v>721.9</v>
          </cell>
          <cell r="U43">
            <v>455.73</v>
          </cell>
          <cell r="V43">
            <v>408.93</v>
          </cell>
          <cell r="W43">
            <v>668.5</v>
          </cell>
          <cell r="X43">
            <v>1004.62</v>
          </cell>
        </row>
        <row r="44">
          <cell r="H44" t="str">
            <v>(Rs. )</v>
          </cell>
          <cell r="I44" t="str">
            <v>(Rs. )</v>
          </cell>
          <cell r="J44" t="str">
            <v>(Rs. )</v>
          </cell>
          <cell r="O44" t="str">
            <v>Inventories</v>
          </cell>
          <cell r="S44">
            <v>1123.3</v>
          </cell>
          <cell r="T44">
            <v>1443.6</v>
          </cell>
          <cell r="U44">
            <v>1427.07</v>
          </cell>
          <cell r="V44">
            <v>1639.15</v>
          </cell>
          <cell r="W44">
            <v>1836.41</v>
          </cell>
          <cell r="X44">
            <v>2461.9499999999998</v>
          </cell>
        </row>
        <row r="45">
          <cell r="B45" t="str">
            <v>Net Revenue</v>
          </cell>
          <cell r="H45">
            <v>5419.5220000000008</v>
          </cell>
          <cell r="I45">
            <v>6131.2</v>
          </cell>
          <cell r="J45">
            <v>6386.8700000000017</v>
          </cell>
          <cell r="K45">
            <v>0.17849323242898563</v>
          </cell>
          <cell r="O45" t="str">
            <v>Others</v>
          </cell>
          <cell r="S45">
            <v>1033.5999999999999</v>
          </cell>
          <cell r="T45">
            <v>1462.8</v>
          </cell>
          <cell r="U45">
            <v>1699.35</v>
          </cell>
          <cell r="V45">
            <v>3518.28</v>
          </cell>
          <cell r="W45">
            <v>5031.57</v>
          </cell>
          <cell r="X45">
            <v>5336.53</v>
          </cell>
        </row>
        <row r="46">
          <cell r="B46" t="str">
            <v>Cost of sales</v>
          </cell>
          <cell r="H46">
            <v>3043.8804725522286</v>
          </cell>
          <cell r="I46">
            <v>3243.6</v>
          </cell>
          <cell r="J46">
            <v>3552.65</v>
          </cell>
          <cell r="K46">
            <v>0.16714504134953079</v>
          </cell>
          <cell r="S46">
            <v>3034.1</v>
          </cell>
          <cell r="T46">
            <v>3891.7</v>
          </cell>
          <cell r="U46">
            <v>3773.68</v>
          </cell>
          <cell r="V46">
            <v>5795.06</v>
          </cell>
          <cell r="W46">
            <v>7879.7199999999993</v>
          </cell>
        </row>
        <row r="47">
          <cell r="B47" t="str">
            <v>Depreciation</v>
          </cell>
          <cell r="H47">
            <v>172.2</v>
          </cell>
          <cell r="I47">
            <v>162.5</v>
          </cell>
          <cell r="J47">
            <v>185.8599999999999</v>
          </cell>
          <cell r="K47">
            <v>7.9326364692217766E-2</v>
          </cell>
          <cell r="O47" t="str">
            <v>Current Liabilities</v>
          </cell>
        </row>
        <row r="48">
          <cell r="B48" t="str">
            <v>Operating profit</v>
          </cell>
          <cell r="H48">
            <v>2203.4415274477724</v>
          </cell>
          <cell r="I48">
            <v>2725.1</v>
          </cell>
          <cell r="J48">
            <v>2648.3600000000015</v>
          </cell>
          <cell r="K48">
            <v>0.20191980000829624</v>
          </cell>
          <cell r="O48" t="str">
            <v>Short-term debt</v>
          </cell>
          <cell r="S48">
            <v>602</v>
          </cell>
          <cell r="T48">
            <v>460</v>
          </cell>
          <cell r="U48">
            <v>232.55099999999999</v>
          </cell>
          <cell r="V48">
            <v>605.15300000000002</v>
          </cell>
          <cell r="W48">
            <v>941.09</v>
          </cell>
          <cell r="X48">
            <v>797.48</v>
          </cell>
        </row>
        <row r="49">
          <cell r="B49" t="str">
            <v>Other income</v>
          </cell>
          <cell r="H49" t="e">
            <v>#REF!</v>
          </cell>
          <cell r="I49" t="e">
            <v>#REF!</v>
          </cell>
          <cell r="J49" t="e">
            <v>#REF!</v>
          </cell>
          <cell r="K49" t="e">
            <v>#REF!</v>
          </cell>
          <cell r="O49" t="str">
            <v>Payables</v>
          </cell>
          <cell r="S49">
            <v>369.8</v>
          </cell>
          <cell r="T49">
            <v>551.16</v>
          </cell>
          <cell r="U49">
            <v>533.80999999999995</v>
          </cell>
          <cell r="V49">
            <v>816.11</v>
          </cell>
          <cell r="W49">
            <v>1084.9000000000001</v>
          </cell>
          <cell r="X49">
            <v>1267.1000000000001</v>
          </cell>
        </row>
        <row r="50">
          <cell r="B50" t="str">
            <v>Interest</v>
          </cell>
          <cell r="H50">
            <v>-252.02000000000004</v>
          </cell>
          <cell r="I50">
            <v>-286</v>
          </cell>
          <cell r="J50">
            <v>-448.65999999999997</v>
          </cell>
          <cell r="K50">
            <v>0.78025553527497782</v>
          </cell>
          <cell r="O50" t="str">
            <v>Provisions &amp; others</v>
          </cell>
          <cell r="S50">
            <v>312.64999999999998</v>
          </cell>
          <cell r="T50">
            <v>335.65999999999997</v>
          </cell>
          <cell r="U50">
            <v>388.49</v>
          </cell>
          <cell r="V50">
            <v>402.66699999999997</v>
          </cell>
          <cell r="W50">
            <v>455.9</v>
          </cell>
          <cell r="X50">
            <v>736.92999999999984</v>
          </cell>
        </row>
        <row r="51">
          <cell r="B51" t="str">
            <v>Income tax</v>
          </cell>
          <cell r="H51">
            <v>-800.43304893950813</v>
          </cell>
          <cell r="I51">
            <v>-1200</v>
          </cell>
          <cell r="J51">
            <v>-1199.9892524477241</v>
          </cell>
          <cell r="K51">
            <v>0.49917504535524504</v>
          </cell>
          <cell r="S51">
            <v>1284.4499999999998</v>
          </cell>
          <cell r="T51">
            <v>1346.82</v>
          </cell>
          <cell r="U51">
            <v>1154.8509999999999</v>
          </cell>
          <cell r="V51">
            <v>1823.9299999999998</v>
          </cell>
          <cell r="W51">
            <v>2481.8900000000003</v>
          </cell>
        </row>
        <row r="52">
          <cell r="B52" t="str">
            <v>Net profit</v>
          </cell>
          <cell r="H52" t="e">
            <v>#REF!</v>
          </cell>
          <cell r="I52" t="e">
            <v>#REF!</v>
          </cell>
          <cell r="J52" t="e">
            <v>#REF!</v>
          </cell>
          <cell r="K52" t="e">
            <v>#REF!</v>
          </cell>
          <cell r="O52" t="str">
            <v>Net Current Assets</v>
          </cell>
          <cell r="S52">
            <v>1749.65</v>
          </cell>
          <cell r="T52">
            <v>2544.88</v>
          </cell>
          <cell r="U52">
            <v>2618.8289999999997</v>
          </cell>
          <cell r="V52">
            <v>3971.1300000000006</v>
          </cell>
          <cell r="W52">
            <v>5397.829999999999</v>
          </cell>
        </row>
        <row r="53">
          <cell r="B53" t="str">
            <v>EPS (Rs)</v>
          </cell>
          <cell r="H53" t="e">
            <v>#REF!</v>
          </cell>
          <cell r="I53" t="e">
            <v>#REF!</v>
          </cell>
          <cell r="J53" t="e">
            <v>#REF!</v>
          </cell>
          <cell r="K53" t="e">
            <v>#REF!</v>
          </cell>
          <cell r="O53" t="str">
            <v>Employment of capital</v>
          </cell>
          <cell r="S53">
            <v>6229.81</v>
          </cell>
          <cell r="T53">
            <v>16995.009999999998</v>
          </cell>
          <cell r="U53">
            <v>19434.949000000001</v>
          </cell>
          <cell r="V53">
            <v>25678.159</v>
          </cell>
          <cell r="W53">
            <v>30036.969999999998</v>
          </cell>
        </row>
        <row r="55">
          <cell r="O55" t="str">
            <v>Share Capital</v>
          </cell>
          <cell r="S55">
            <v>388</v>
          </cell>
          <cell r="T55">
            <v>388</v>
          </cell>
          <cell r="U55">
            <v>433.75</v>
          </cell>
          <cell r="V55">
            <v>480.09</v>
          </cell>
          <cell r="W55">
            <v>496.47</v>
          </cell>
          <cell r="X55">
            <v>744.69</v>
          </cell>
        </row>
        <row r="56">
          <cell r="B56" t="str">
            <v>FIVE YEAR RECORD</v>
          </cell>
          <cell r="O56" t="str">
            <v>Reserves &amp; surplus</v>
          </cell>
          <cell r="S56">
            <v>3044.3</v>
          </cell>
          <cell r="T56">
            <v>5136</v>
          </cell>
          <cell r="U56">
            <v>8505</v>
          </cell>
          <cell r="V56">
            <v>14388.343000000001</v>
          </cell>
          <cell r="W56">
            <v>18860.710000000003</v>
          </cell>
          <cell r="X56">
            <v>22146.909999999996</v>
          </cell>
        </row>
        <row r="57">
          <cell r="O57" t="str">
            <v>Shareholders' funds</v>
          </cell>
          <cell r="S57">
            <v>3432.3</v>
          </cell>
          <cell r="T57">
            <v>5524</v>
          </cell>
          <cell r="U57">
            <v>8938.75</v>
          </cell>
          <cell r="V57">
            <v>14868.433000000001</v>
          </cell>
          <cell r="W57">
            <v>19357.180000000004</v>
          </cell>
        </row>
        <row r="58">
          <cell r="B58" t="str">
            <v>Year-end</v>
          </cell>
          <cell r="G58" t="e">
            <v>#REF!</v>
          </cell>
          <cell r="H58" t="e">
            <v>#REF!</v>
          </cell>
          <cell r="I58" t="e">
            <v>#REF!</v>
          </cell>
          <cell r="J58" t="e">
            <v>#REF!</v>
          </cell>
          <cell r="K58" t="e">
            <v>#REF!</v>
          </cell>
          <cell r="O58" t="str">
            <v>Long-term debt</v>
          </cell>
          <cell r="S58">
            <v>2367.52</v>
          </cell>
          <cell r="T58">
            <v>2994.47</v>
          </cell>
          <cell r="U58">
            <v>2774.8389999999999</v>
          </cell>
          <cell r="V58">
            <v>3779.857</v>
          </cell>
          <cell r="W58">
            <v>4341.26</v>
          </cell>
          <cell r="X58">
            <v>4715.59</v>
          </cell>
        </row>
        <row r="59">
          <cell r="B59" t="str">
            <v>31 Mar</v>
          </cell>
          <cell r="O59" t="str">
            <v>Revaluation Reserve</v>
          </cell>
          <cell r="S59">
            <v>430</v>
          </cell>
          <cell r="T59">
            <v>8477</v>
          </cell>
          <cell r="U59">
            <v>7721</v>
          </cell>
          <cell r="V59">
            <v>7029.5169999999998</v>
          </cell>
          <cell r="W59">
            <v>6338.53</v>
          </cell>
          <cell r="X59">
            <v>5648.1</v>
          </cell>
        </row>
        <row r="60">
          <cell r="B60" t="str">
            <v>Net revenue (Rs. )</v>
          </cell>
          <cell r="G60">
            <v>6543.6786119999997</v>
          </cell>
          <cell r="H60">
            <v>7552.7671709999995</v>
          </cell>
          <cell r="I60">
            <v>7495.018</v>
          </cell>
          <cell r="J60">
            <v>9563.0220000000008</v>
          </cell>
          <cell r="K60">
            <v>12518.070000000002</v>
          </cell>
          <cell r="L60">
            <v>11570.76</v>
          </cell>
          <cell r="O60" t="str">
            <v>Capital employed</v>
          </cell>
          <cell r="S60">
            <v>6229.82</v>
          </cell>
          <cell r="T60">
            <v>16995.47</v>
          </cell>
          <cell r="U60">
            <v>19434.589</v>
          </cell>
          <cell r="V60">
            <v>25677.807000000001</v>
          </cell>
          <cell r="W60">
            <v>30036.97</v>
          </cell>
        </row>
        <row r="61">
          <cell r="B61" t="str">
            <v>Operating margin (%)</v>
          </cell>
          <cell r="G61">
            <v>0.22913436018241901</v>
          </cell>
          <cell r="H61">
            <v>0.24364039422075273</v>
          </cell>
          <cell r="I61">
            <v>0.26348822644588721</v>
          </cell>
          <cell r="J61">
            <v>0.36684444806754307</v>
          </cell>
          <cell r="K61">
            <v>0.42925626714022219</v>
          </cell>
          <cell r="L61">
            <v>0.33596945069007284</v>
          </cell>
        </row>
        <row r="62">
          <cell r="B62" t="str">
            <v>Net profit (Rs. )</v>
          </cell>
          <cell r="G62">
            <v>882.71161199999983</v>
          </cell>
          <cell r="H62">
            <v>1074.5291709999992</v>
          </cell>
          <cell r="I62">
            <v>1580.3490000000006</v>
          </cell>
          <cell r="J62">
            <v>2919.1674785082641</v>
          </cell>
          <cell r="K62">
            <v>4011.4707475522778</v>
          </cell>
          <cell r="L62">
            <v>3909.5122787666669</v>
          </cell>
        </row>
        <row r="63">
          <cell r="B63" t="str">
            <v>Tax rate (%)</v>
          </cell>
          <cell r="G63">
            <v>0.41258748188870725</v>
          </cell>
          <cell r="H63">
            <v>0.41823919845389401</v>
          </cell>
          <cell r="I63">
            <v>0.28340185612345248</v>
          </cell>
          <cell r="J63">
            <v>0.32106076834978164</v>
          </cell>
          <cell r="K63">
            <v>0.37432803954913912</v>
          </cell>
          <cell r="L63">
            <v>0.23410659721024932</v>
          </cell>
          <cell r="O63" t="str">
            <v>CAPITAL HISTORY</v>
          </cell>
        </row>
        <row r="64">
          <cell r="B64" t="str">
            <v>EPS (Rs)</v>
          </cell>
          <cell r="G64">
            <v>15.178602218209953</v>
          </cell>
          <cell r="H64">
            <v>18.47698686269451</v>
          </cell>
          <cell r="I64">
            <v>25.085019305371922</v>
          </cell>
          <cell r="J64">
            <v>41.821690764487641</v>
          </cell>
          <cell r="K64">
            <v>54.898438466438037</v>
          </cell>
          <cell r="L64">
            <v>52.497462468583748</v>
          </cell>
        </row>
        <row r="65">
          <cell r="B65" t="str">
            <v>DPS (Rs)</v>
          </cell>
          <cell r="G65">
            <v>2.4999999999999996</v>
          </cell>
          <cell r="H65">
            <v>2.666666666666667</v>
          </cell>
          <cell r="I65">
            <v>3</v>
          </cell>
          <cell r="J65">
            <v>3.67</v>
          </cell>
          <cell r="K65">
            <v>4</v>
          </cell>
          <cell r="L65">
            <v>4.49976836465446</v>
          </cell>
          <cell r="O65" t="str">
            <v>Date</v>
          </cell>
          <cell r="Q65" t="str">
            <v>Issue terms</v>
          </cell>
          <cell r="V65" t="str">
            <v>Shares (m)</v>
          </cell>
        </row>
        <row r="66">
          <cell r="V66" t="str">
            <v>New</v>
          </cell>
          <cell r="W66" t="str">
            <v>Total</v>
          </cell>
        </row>
        <row r="67">
          <cell r="B67" t="str">
            <v>Net debt/equity (%)</v>
          </cell>
          <cell r="G67">
            <v>0.74403746161613549</v>
          </cell>
          <cell r="H67">
            <v>0.2279744896078853</v>
          </cell>
          <cell r="I67">
            <v>0.16255787151667941</v>
          </cell>
          <cell r="J67">
            <v>0.18980655821625933</v>
          </cell>
          <cell r="K67">
            <v>0.19220104260391022</v>
          </cell>
          <cell r="L67">
            <v>0.19275842847799143</v>
          </cell>
          <cell r="O67" t="str">
            <v>23 July 1993</v>
          </cell>
          <cell r="Q67" t="str">
            <v>GDRs issued - US$75m issue</v>
          </cell>
          <cell r="V67">
            <v>4.6050000000000004</v>
          </cell>
          <cell r="W67">
            <v>43.375</v>
          </cell>
        </row>
        <row r="68">
          <cell r="B68" t="str">
            <v>Return on assets (%)</v>
          </cell>
          <cell r="G68">
            <v>0.26505827284411954</v>
          </cell>
          <cell r="H68">
            <v>0.16595350766341341</v>
          </cell>
          <cell r="I68">
            <v>0.12090834110370233</v>
          </cell>
          <cell r="J68">
            <v>0.1632776732784387</v>
          </cell>
          <cell r="K68">
            <v>0.19776476894092215</v>
          </cell>
          <cell r="L68">
            <v>0.12589190857670962</v>
          </cell>
          <cell r="O68" t="str">
            <v>23 July 1993</v>
          </cell>
          <cell r="Q68" t="str">
            <v xml:space="preserve">Warrants issued with GDRs </v>
          </cell>
          <cell r="V68">
            <v>1.6419999999999999</v>
          </cell>
          <cell r="W68">
            <v>45.017000000000003</v>
          </cell>
        </row>
        <row r="69">
          <cell r="B69" t="str">
            <v>Return on equity (%)</v>
          </cell>
          <cell r="G69">
            <v>0.28766876715007328</v>
          </cell>
          <cell r="H69">
            <v>0.23994934761006204</v>
          </cell>
          <cell r="I69">
            <v>0.21854059566818215</v>
          </cell>
          <cell r="J69">
            <v>0.24523417814768458</v>
          </cell>
          <cell r="K69">
            <v>0.23441337617837713</v>
          </cell>
          <cell r="L69">
            <v>0.18507101406320689</v>
          </cell>
          <cell r="O69" t="str">
            <v>22 July 1994</v>
          </cell>
          <cell r="Q69" t="str">
            <v>GDRs issued - US$100m issue</v>
          </cell>
          <cell r="V69">
            <v>4.63</v>
          </cell>
          <cell r="W69">
            <v>49.647000000000006</v>
          </cell>
        </row>
        <row r="70">
          <cell r="B70" t="str">
            <v>Book value per share (Rs)</v>
          </cell>
          <cell r="G70">
            <v>59.019860717049269</v>
          </cell>
          <cell r="H70">
            <v>94.987533316137899</v>
          </cell>
          <cell r="I70">
            <v>137.38712776176754</v>
          </cell>
          <cell r="J70">
            <v>206.48450508627573</v>
          </cell>
          <cell r="K70">
            <v>259.9308450997375</v>
          </cell>
          <cell r="L70">
            <v>307.39151744650559</v>
          </cell>
          <cell r="O70" t="str">
            <v>1 April 1996</v>
          </cell>
          <cell r="Q70" t="str">
            <v>1-for-2 bonus issue</v>
          </cell>
          <cell r="V70">
            <v>24.823500000000003</v>
          </cell>
          <cell r="W70">
            <v>74.470500000000015</v>
          </cell>
        </row>
        <row r="71">
          <cell r="O71" t="str">
            <v>Note: All warrants issued with the first GDR issue have been converted</v>
          </cell>
        </row>
        <row r="72">
          <cell r="B72" t="str">
            <v>Fiscal year-end share price (Rs)</v>
          </cell>
          <cell r="G72">
            <v>400</v>
          </cell>
          <cell r="H72">
            <v>450</v>
          </cell>
          <cell r="I72">
            <v>490</v>
          </cell>
          <cell r="J72">
            <v>593.33333333333337</v>
          </cell>
          <cell r="K72">
            <v>760</v>
          </cell>
          <cell r="L72">
            <v>920</v>
          </cell>
          <cell r="O72" t="str">
            <v>into equity shares at Rs504 per share by November 1995</v>
          </cell>
        </row>
        <row r="73">
          <cell r="B73" t="str">
            <v>Price to book (fiscal year-end)</v>
          </cell>
          <cell r="G73">
            <v>6.7773795996853421</v>
          </cell>
          <cell r="H73">
            <v>4.7374637943519193</v>
          </cell>
          <cell r="I73">
            <v>3.5665641169067261</v>
          </cell>
          <cell r="J73">
            <v>2.8735005228863058</v>
          </cell>
          <cell r="K73">
            <v>2.9238546110538826</v>
          </cell>
        </row>
      </sheetData>
      <sheetData sheetId="17"/>
      <sheetData sheetId="18"/>
      <sheetData sheetId="19" refreshError="1">
        <row r="124">
          <cell r="L124">
            <v>1261.0800000000002</v>
          </cell>
          <cell r="M124">
            <v>5307.5</v>
          </cell>
          <cell r="N124">
            <v>9008.2749999999996</v>
          </cell>
          <cell r="O124">
            <v>18122.25</v>
          </cell>
          <cell r="P124">
            <v>1050</v>
          </cell>
        </row>
        <row r="137">
          <cell r="L137">
            <v>11400.475489600001</v>
          </cell>
          <cell r="M137">
            <v>15593.697370866668</v>
          </cell>
          <cell r="N137">
            <v>23141.193474283336</v>
          </cell>
          <cell r="O137">
            <v>33250.550000000003</v>
          </cell>
          <cell r="P137">
            <v>34315.624080000001</v>
          </cell>
        </row>
      </sheetData>
      <sheetData sheetId="20" refreshError="1">
        <row r="26">
          <cell r="J26">
            <v>168</v>
          </cell>
          <cell r="K26">
            <v>400</v>
          </cell>
          <cell r="L26">
            <v>450</v>
          </cell>
          <cell r="M26">
            <v>490</v>
          </cell>
          <cell r="N26">
            <v>593.33333333333337</v>
          </cell>
          <cell r="O26">
            <v>760</v>
          </cell>
          <cell r="P26">
            <v>920</v>
          </cell>
        </row>
      </sheetData>
      <sheetData sheetId="21"/>
      <sheetData sheetId="22" refreshError="1">
        <row r="1">
          <cell r="A1" t="str">
            <v>HINDALCO INDUSTRIES</v>
          </cell>
          <cell r="H1" t="str">
            <v xml:space="preserve"> </v>
          </cell>
          <cell r="M1" t="str">
            <v>Income Statement</v>
          </cell>
        </row>
        <row r="2">
          <cell r="M2" t="str">
            <v>23-April-2001</v>
          </cell>
        </row>
        <row r="4">
          <cell r="A4" t="str">
            <v>Year-end</v>
          </cell>
          <cell r="E4">
            <v>1992</v>
          </cell>
          <cell r="F4">
            <v>1993</v>
          </cell>
          <cell r="G4">
            <v>1994</v>
          </cell>
          <cell r="H4">
            <v>1995</v>
          </cell>
          <cell r="I4" t="str">
            <v>1996E</v>
          </cell>
          <cell r="J4" t="str">
            <v>1997E</v>
          </cell>
          <cell r="K4" t="str">
            <v>1998E</v>
          </cell>
          <cell r="L4" t="str">
            <v>1999E</v>
          </cell>
        </row>
        <row r="5">
          <cell r="A5" t="str">
            <v>31 M</v>
          </cell>
          <cell r="E5" t="str">
            <v>Rs m</v>
          </cell>
          <cell r="F5" t="str">
            <v>Rs m</v>
          </cell>
          <cell r="G5" t="str">
            <v>Rs m</v>
          </cell>
          <cell r="H5" t="str">
            <v>Rs m</v>
          </cell>
          <cell r="I5" t="str">
            <v>Rs m</v>
          </cell>
          <cell r="J5" t="str">
            <v>Rs m</v>
          </cell>
          <cell r="K5" t="str">
            <v>Rs m</v>
          </cell>
          <cell r="L5" t="str">
            <v>Rs m</v>
          </cell>
        </row>
        <row r="8">
          <cell r="A8" t="str">
            <v>Net revenue</v>
          </cell>
          <cell r="E8">
            <v>5162.3316630000008</v>
          </cell>
          <cell r="F8">
            <v>6543.6786119999997</v>
          </cell>
          <cell r="G8">
            <v>7552.7671709999995</v>
          </cell>
          <cell r="H8">
            <v>7495.018</v>
          </cell>
          <cell r="I8">
            <v>9563.0220000000008</v>
          </cell>
          <cell r="J8">
            <v>12518.070000000002</v>
          </cell>
          <cell r="K8">
            <v>11570.76</v>
          </cell>
          <cell r="L8">
            <v>14732.849999999999</v>
          </cell>
        </row>
        <row r="9">
          <cell r="B9" t="str">
            <v>Cost of goods sold</v>
          </cell>
          <cell r="E9">
            <v>3725.875</v>
          </cell>
          <cell r="F9">
            <v>4618.8969999999999</v>
          </cell>
          <cell r="G9">
            <v>4986.058</v>
          </cell>
          <cell r="H9">
            <v>4826.3189999999995</v>
          </cell>
          <cell r="I9">
            <v>5261.5104725522287</v>
          </cell>
          <cell r="J9">
            <v>6183.1122474431977</v>
          </cell>
          <cell r="K9">
            <v>6523.7565703534474</v>
          </cell>
          <cell r="L9">
            <v>7758.3565778703733</v>
          </cell>
        </row>
        <row r="10">
          <cell r="A10" t="str">
            <v>Gross profit</v>
          </cell>
          <cell r="E10">
            <v>1436.4566630000008</v>
          </cell>
          <cell r="F10">
            <v>1924.7816119999998</v>
          </cell>
          <cell r="G10">
            <v>2566.7091709999995</v>
          </cell>
          <cell r="H10">
            <v>2668.6990000000005</v>
          </cell>
          <cell r="I10">
            <v>4301.5115274477721</v>
          </cell>
          <cell r="J10">
            <v>6334.9577525568038</v>
          </cell>
          <cell r="K10">
            <v>5047.0034296465528</v>
          </cell>
          <cell r="L10">
            <v>6974.4934221296253</v>
          </cell>
        </row>
        <row r="11">
          <cell r="B11" t="str">
            <v>Selling, general and administrative</v>
          </cell>
          <cell r="E11">
            <v>155</v>
          </cell>
          <cell r="F11">
            <v>208</v>
          </cell>
          <cell r="G11">
            <v>347</v>
          </cell>
          <cell r="H11">
            <v>418.24</v>
          </cell>
          <cell r="I11">
            <v>463.87000000000006</v>
          </cell>
          <cell r="J11">
            <v>613.13775255680207</v>
          </cell>
          <cell r="K11">
            <v>736.30342964655233</v>
          </cell>
          <cell r="L11">
            <v>910.85342212962803</v>
          </cell>
        </row>
        <row r="12">
          <cell r="A12" t="str">
            <v>EBITDA</v>
          </cell>
          <cell r="E12">
            <v>1281.4566630000008</v>
          </cell>
          <cell r="F12">
            <v>1716.7816119999998</v>
          </cell>
          <cell r="G12">
            <v>2219.7091709999995</v>
          </cell>
          <cell r="H12">
            <v>2250.4590000000007</v>
          </cell>
          <cell r="I12">
            <v>3837.6415274477722</v>
          </cell>
          <cell r="J12">
            <v>5721.8200000000015</v>
          </cell>
          <cell r="K12">
            <v>4310.7000000000007</v>
          </cell>
          <cell r="L12">
            <v>6063.6399999999976</v>
          </cell>
        </row>
        <row r="13">
          <cell r="B13" t="str">
            <v>Depreciation and amortization</v>
          </cell>
          <cell r="E13">
            <v>330.37</v>
          </cell>
          <cell r="F13">
            <v>343.72</v>
          </cell>
          <cell r="G13">
            <v>1636.4</v>
          </cell>
          <cell r="H13">
            <v>966.6</v>
          </cell>
          <cell r="I13">
            <v>1020.9830000000002</v>
          </cell>
          <cell r="J13">
            <v>1146.9830000000002</v>
          </cell>
          <cell r="K13">
            <v>1595.4830000000002</v>
          </cell>
          <cell r="L13">
            <v>1790.4830000000002</v>
          </cell>
        </row>
        <row r="14">
          <cell r="B14" t="str">
            <v>Less: Adjustment to revln reserve</v>
          </cell>
          <cell r="E14">
            <v>158.85</v>
          </cell>
          <cell r="F14">
            <v>126.32</v>
          </cell>
          <cell r="G14">
            <v>1256.8499999999999</v>
          </cell>
          <cell r="H14">
            <v>690.99</v>
          </cell>
          <cell r="I14">
            <v>691</v>
          </cell>
          <cell r="J14">
            <v>691</v>
          </cell>
          <cell r="K14">
            <v>691</v>
          </cell>
          <cell r="L14">
            <v>691</v>
          </cell>
        </row>
        <row r="15">
          <cell r="B15" t="str">
            <v>Net depreciation charged</v>
          </cell>
          <cell r="E15">
            <v>171.52</v>
          </cell>
          <cell r="F15">
            <v>217.40000000000003</v>
          </cell>
          <cell r="G15">
            <v>379.55000000000018</v>
          </cell>
          <cell r="H15">
            <v>275.61</v>
          </cell>
          <cell r="I15">
            <v>329.98300000000017</v>
          </cell>
          <cell r="J15">
            <v>455.98300000000017</v>
          </cell>
          <cell r="K15">
            <v>904.48300000000017</v>
          </cell>
          <cell r="L15">
            <v>1099.4830000000002</v>
          </cell>
        </row>
        <row r="16">
          <cell r="A16" t="str">
            <v>Operating profit (EBIT)</v>
          </cell>
          <cell r="E16">
            <v>1109.9366630000009</v>
          </cell>
          <cell r="F16">
            <v>1499.3816119999997</v>
          </cell>
          <cell r="G16">
            <v>1840.1591709999993</v>
          </cell>
          <cell r="H16">
            <v>1974.8490000000006</v>
          </cell>
          <cell r="I16">
            <v>3507.658527447772</v>
          </cell>
          <cell r="J16">
            <v>5265.8370000000014</v>
          </cell>
          <cell r="K16">
            <v>3406.2170000000006</v>
          </cell>
          <cell r="L16">
            <v>4964.1569999999974</v>
          </cell>
        </row>
        <row r="17">
          <cell r="B17" t="str">
            <v>Interest (expense)</v>
          </cell>
          <cell r="E17">
            <v>-313</v>
          </cell>
          <cell r="F17">
            <v>-323</v>
          </cell>
          <cell r="G17">
            <v>-532</v>
          </cell>
          <cell r="H17">
            <v>-480</v>
          </cell>
          <cell r="I17">
            <v>-477.94974000000008</v>
          </cell>
          <cell r="J17">
            <v>-548.10750000000007</v>
          </cell>
          <cell r="K17">
            <v>-591.95610000000011</v>
          </cell>
          <cell r="L17">
            <v>-635.80470000000003</v>
          </cell>
        </row>
        <row r="18">
          <cell r="B18" t="str">
            <v>Interest and dividend Income</v>
          </cell>
          <cell r="E18">
            <v>171.94</v>
          </cell>
          <cell r="F18">
            <v>290.39999999999998</v>
          </cell>
          <cell r="G18">
            <v>451.87</v>
          </cell>
          <cell r="H18">
            <v>483</v>
          </cell>
          <cell r="I18">
            <v>1117</v>
          </cell>
          <cell r="J18">
            <v>776.875</v>
          </cell>
          <cell r="K18">
            <v>521.5</v>
          </cell>
          <cell r="L18">
            <v>521.5</v>
          </cell>
        </row>
        <row r="19">
          <cell r="B19" t="str">
            <v>Other income/(expense)</v>
          </cell>
          <cell r="E19">
            <v>33.47</v>
          </cell>
          <cell r="F19">
            <v>35.930000000000007</v>
          </cell>
          <cell r="G19">
            <v>87</v>
          </cell>
          <cell r="H19">
            <v>227.5</v>
          </cell>
          <cell r="I19">
            <v>150</v>
          </cell>
          <cell r="J19">
            <v>120</v>
          </cell>
          <cell r="K19">
            <v>120</v>
          </cell>
          <cell r="L19">
            <v>120</v>
          </cell>
        </row>
        <row r="20">
          <cell r="A20" t="str">
            <v>Pre-tax profit</v>
          </cell>
          <cell r="E20">
            <v>1002.3466630000009</v>
          </cell>
          <cell r="F20">
            <v>1502.7116119999998</v>
          </cell>
          <cell r="G20">
            <v>1847.0291709999992</v>
          </cell>
          <cell r="H20">
            <v>2205.3490000000006</v>
          </cell>
          <cell r="I20">
            <v>4296.708787447772</v>
          </cell>
          <cell r="J20">
            <v>5614.6045000000013</v>
          </cell>
          <cell r="K20">
            <v>3455.7609000000002</v>
          </cell>
          <cell r="L20">
            <v>4969.8522999999977</v>
          </cell>
        </row>
        <row r="21">
          <cell r="B21" t="str">
            <v>Income tax</v>
          </cell>
          <cell r="E21">
            <v>356</v>
          </cell>
          <cell r="F21">
            <v>620</v>
          </cell>
          <cell r="G21">
            <v>772.5</v>
          </cell>
          <cell r="H21">
            <v>625</v>
          </cell>
          <cell r="I21">
            <v>1380.4330489395081</v>
          </cell>
          <cell r="J21">
            <v>2399.9892524477241</v>
          </cell>
          <cell r="K21">
            <v>1194.5824903798518</v>
          </cell>
          <cell r="L21">
            <v>869.66198111482481</v>
          </cell>
        </row>
        <row r="22">
          <cell r="A22" t="str">
            <v>Profit after tax</v>
          </cell>
          <cell r="E22">
            <v>646.34666300000094</v>
          </cell>
          <cell r="F22">
            <v>882.71161199999983</v>
          </cell>
          <cell r="G22">
            <v>1074.5291709999992</v>
          </cell>
          <cell r="H22">
            <v>1580.3490000000006</v>
          </cell>
          <cell r="I22">
            <v>2916.2757385082641</v>
          </cell>
          <cell r="J22">
            <v>3214.6152475522772</v>
          </cell>
          <cell r="K22">
            <v>2261.1784096201482</v>
          </cell>
          <cell r="L22">
            <v>4100.1903188851729</v>
          </cell>
        </row>
        <row r="24">
          <cell r="B24" t="str">
            <v>Extraordinary items</v>
          </cell>
          <cell r="E24">
            <v>0</v>
          </cell>
          <cell r="F24">
            <v>0</v>
          </cell>
          <cell r="G24">
            <v>0</v>
          </cell>
          <cell r="H24">
            <v>383.05</v>
          </cell>
          <cell r="I24">
            <v>0</v>
          </cell>
          <cell r="J24">
            <v>0</v>
          </cell>
          <cell r="K24">
            <v>0</v>
          </cell>
          <cell r="L24">
            <v>0</v>
          </cell>
        </row>
        <row r="25">
          <cell r="B25" t="str">
            <v>Preference dividend</v>
          </cell>
          <cell r="E25">
            <v>7.5</v>
          </cell>
          <cell r="F25">
            <v>7</v>
          </cell>
          <cell r="G25">
            <v>0</v>
          </cell>
          <cell r="H25">
            <v>0</v>
          </cell>
          <cell r="I25">
            <v>0</v>
          </cell>
          <cell r="J25">
            <v>0</v>
          </cell>
          <cell r="K25">
            <v>0</v>
          </cell>
          <cell r="L25">
            <v>0</v>
          </cell>
        </row>
        <row r="26">
          <cell r="A26" t="str">
            <v>Profit attributable to shareholders</v>
          </cell>
          <cell r="E26">
            <v>638.84666300000094</v>
          </cell>
          <cell r="F26">
            <v>875.71161199999983</v>
          </cell>
          <cell r="G26">
            <v>1074.5291709999992</v>
          </cell>
          <cell r="H26">
            <v>1197.2990000000007</v>
          </cell>
          <cell r="I26">
            <v>2916.2757385082641</v>
          </cell>
          <cell r="J26">
            <v>3214.6152475522772</v>
          </cell>
          <cell r="K26">
            <v>2261.1784096201482</v>
          </cell>
          <cell r="L26">
            <v>4100.1903188851729</v>
          </cell>
        </row>
        <row r="28">
          <cell r="B28" t="str">
            <v>Common dividends</v>
          </cell>
          <cell r="E28">
            <v>116.31</v>
          </cell>
          <cell r="F28">
            <v>145.38750000000002</v>
          </cell>
          <cell r="G28">
            <v>155.08000000000001</v>
          </cell>
          <cell r="H28">
            <v>188.6</v>
          </cell>
          <cell r="I28">
            <v>238.5625</v>
          </cell>
          <cell r="J28">
            <v>299.68600000000004</v>
          </cell>
          <cell r="K28">
            <v>299.68600000000004</v>
          </cell>
          <cell r="L28">
            <v>299.68600000000004</v>
          </cell>
        </row>
        <row r="29">
          <cell r="A29" t="str">
            <v>Additions to retained earnings</v>
          </cell>
          <cell r="E29">
            <v>522.536663000001</v>
          </cell>
          <cell r="F29">
            <v>730.32411199999979</v>
          </cell>
          <cell r="G29">
            <v>919.44917099999918</v>
          </cell>
          <cell r="H29">
            <v>1008.6990000000006</v>
          </cell>
          <cell r="I29">
            <v>2677.7132385082641</v>
          </cell>
          <cell r="J29">
            <v>2914.929247552277</v>
          </cell>
          <cell r="K29">
            <v>1961.492409620148</v>
          </cell>
          <cell r="L29">
            <v>3800.5043188851728</v>
          </cell>
        </row>
        <row r="31">
          <cell r="A31" t="str">
            <v>Basic EPS (Rs)</v>
          </cell>
          <cell r="E31">
            <v>16.671309337116352</v>
          </cell>
          <cell r="F31">
            <v>22.767903327314929</v>
          </cell>
          <cell r="G31">
            <v>27.715480294041761</v>
          </cell>
          <cell r="H31">
            <v>36.434559077809816</v>
          </cell>
          <cell r="I31">
            <v>60.748572845738984</v>
          </cell>
          <cell r="J31">
            <v>64.359668070292443</v>
          </cell>
          <cell r="K31">
            <v>45.270951788608372</v>
          </cell>
          <cell r="L31">
            <v>82.08972695858678</v>
          </cell>
        </row>
        <row r="32">
          <cell r="A32" t="str">
            <v>Weighted average EPS (Rs)</v>
          </cell>
          <cell r="E32">
            <v>16.671309337116352</v>
          </cell>
          <cell r="F32">
            <v>22.767903327314929</v>
          </cell>
          <cell r="G32">
            <v>27.715480294041761</v>
          </cell>
          <cell r="H32">
            <v>37.427964119719363</v>
          </cell>
          <cell r="I32">
            <v>62.249738270753589</v>
          </cell>
          <cell r="J32">
            <v>64.359668070292443</v>
          </cell>
          <cell r="K32">
            <v>45.270951788608372</v>
          </cell>
          <cell r="L32">
            <v>82.08972695858678</v>
          </cell>
        </row>
        <row r="33">
          <cell r="A33" t="str">
            <v>Fully diluted EPS (Rs)</v>
          </cell>
          <cell r="E33">
            <v>16.671309337116352</v>
          </cell>
          <cell r="F33">
            <v>22.767903327314929</v>
          </cell>
          <cell r="G33">
            <v>27.715480294041761</v>
          </cell>
          <cell r="H33">
            <v>32.920051105077881</v>
          </cell>
          <cell r="I33">
            <v>58.386626105489022</v>
          </cell>
          <cell r="J33">
            <v>64.359668070292443</v>
          </cell>
          <cell r="K33">
            <v>45.270951788608372</v>
          </cell>
          <cell r="L33">
            <v>82.08972695858678</v>
          </cell>
        </row>
        <row r="35">
          <cell r="A35" t="str">
            <v xml:space="preserve">CEPS Rs. </v>
          </cell>
          <cell r="E35">
            <v>21.095348542687667</v>
          </cell>
          <cell r="F35">
            <v>28.375331751354135</v>
          </cell>
          <cell r="G35">
            <v>37.505266210987855</v>
          </cell>
          <cell r="H35">
            <v>42.788680115273792</v>
          </cell>
          <cell r="I35">
            <v>67.622407184740638</v>
          </cell>
          <cell r="J35">
            <v>73.488883315582513</v>
          </cell>
          <cell r="K35">
            <v>63.379565470929201</v>
          </cell>
          <cell r="L35">
            <v>104.10242691787749</v>
          </cell>
        </row>
        <row r="36">
          <cell r="A36" t="str">
            <v>Weighted average CFPS (Rs)</v>
          </cell>
          <cell r="E36">
            <v>21.095348542687667</v>
          </cell>
          <cell r="F36">
            <v>28.375331751354135</v>
          </cell>
          <cell r="G36">
            <v>37.505266210987855</v>
          </cell>
          <cell r="H36">
            <v>43.955333195180451</v>
          </cell>
          <cell r="I36">
            <v>69.293432772119715</v>
          </cell>
          <cell r="J36">
            <v>73.488883315582513</v>
          </cell>
          <cell r="K36">
            <v>63.379565470929201</v>
          </cell>
          <cell r="L36">
            <v>104.10242691787749</v>
          </cell>
        </row>
        <row r="37">
          <cell r="A37" t="str">
            <v>Fully  diluted CEPS Rs.</v>
          </cell>
          <cell r="E37">
            <v>21.095348542687667</v>
          </cell>
          <cell r="F37">
            <v>28.375331751354135</v>
          </cell>
          <cell r="G37">
            <v>37.505266210987855</v>
          </cell>
          <cell r="H37">
            <v>38.661248324850554</v>
          </cell>
          <cell r="I37">
            <v>64.993200987198549</v>
          </cell>
          <cell r="J37">
            <v>73.488883315582513</v>
          </cell>
          <cell r="K37">
            <v>63.379565470929201</v>
          </cell>
          <cell r="L37">
            <v>104.10242691787749</v>
          </cell>
        </row>
        <row r="38">
          <cell r="A38" t="str">
            <v>Basic dividend per share (Rs)</v>
          </cell>
          <cell r="E38">
            <v>3</v>
          </cell>
          <cell r="F38">
            <v>3.75</v>
          </cell>
          <cell r="G38">
            <v>4</v>
          </cell>
          <cell r="H38">
            <v>4.5</v>
          </cell>
          <cell r="I38">
            <v>5.5</v>
          </cell>
          <cell r="J38">
            <v>6</v>
          </cell>
          <cell r="K38">
            <v>6</v>
          </cell>
          <cell r="L38">
            <v>6</v>
          </cell>
        </row>
        <row r="40">
          <cell r="A40" t="str">
            <v>Basic year end shares  (m)</v>
          </cell>
          <cell r="E40">
            <v>38.770000000000003</v>
          </cell>
          <cell r="F40">
            <v>38.770000000000003</v>
          </cell>
          <cell r="G40">
            <v>38.770000000000003</v>
          </cell>
          <cell r="H40">
            <v>43.375</v>
          </cell>
          <cell r="I40">
            <v>48.00566666666667</v>
          </cell>
          <cell r="J40">
            <v>49.94766666666667</v>
          </cell>
          <cell r="K40">
            <v>49.94766666666667</v>
          </cell>
          <cell r="L40">
            <v>49.94766666666667</v>
          </cell>
        </row>
        <row r="41">
          <cell r="A41" t="str">
            <v>Weighted average shares (m)</v>
          </cell>
          <cell r="E41">
            <v>38.770000000000003</v>
          </cell>
          <cell r="F41">
            <v>38.770000000000003</v>
          </cell>
          <cell r="G41">
            <v>38.770000000000003</v>
          </cell>
          <cell r="H41">
            <v>42.223750000000003</v>
          </cell>
          <cell r="I41">
            <v>46.847999999999999</v>
          </cell>
          <cell r="J41">
            <v>49.94766666666667</v>
          </cell>
          <cell r="K41">
            <v>49.94766666666667</v>
          </cell>
          <cell r="L41">
            <v>49.94766666666667</v>
          </cell>
        </row>
        <row r="42">
          <cell r="A42" t="str">
            <v>Fully diluted shares (m)</v>
          </cell>
          <cell r="E42">
            <v>38.770000000000003</v>
          </cell>
          <cell r="F42">
            <v>38.770000000000003</v>
          </cell>
          <cell r="G42">
            <v>38.770000000000003</v>
          </cell>
          <cell r="H42">
            <v>48.00566666666667</v>
          </cell>
          <cell r="I42">
            <v>49.94766666666667</v>
          </cell>
          <cell r="J42">
            <v>49.94766666666667</v>
          </cell>
          <cell r="K42">
            <v>49.94766666666667</v>
          </cell>
          <cell r="L42">
            <v>49.94766666666667</v>
          </cell>
        </row>
        <row r="44">
          <cell r="A44" t="str">
            <v>Assumptions:</v>
          </cell>
        </row>
        <row r="45">
          <cell r="B45" t="str">
            <v>Revenue growth</v>
          </cell>
          <cell r="E45" t="str">
            <v>NA</v>
          </cell>
          <cell r="F45">
            <v>0.26758198410623857</v>
          </cell>
          <cell r="G45">
            <v>0.1542081478680053</v>
          </cell>
          <cell r="H45">
            <v>-7.6460944303613498E-3</v>
          </cell>
          <cell r="I45">
            <v>0.27591714923166299</v>
          </cell>
          <cell r="J45">
            <v>0.30900775926271007</v>
          </cell>
          <cell r="K45">
            <v>-7.5675403636503158E-2</v>
          </cell>
          <cell r="L45">
            <v>0.27328282671146908</v>
          </cell>
        </row>
        <row r="46">
          <cell r="C46" t="str">
            <v>COGS as % of sales</v>
          </cell>
          <cell r="E46">
            <v>0.72174266266239306</v>
          </cell>
          <cell r="F46">
            <v>0.70585633462036534</v>
          </cell>
          <cell r="G46">
            <v>0.66016307495148663</v>
          </cell>
          <cell r="H46">
            <v>0.64393694584856231</v>
          </cell>
          <cell r="I46">
            <v>0.55019328331067607</v>
          </cell>
          <cell r="J46">
            <v>0.49393494743544308</v>
          </cell>
          <cell r="K46">
            <v>0.56381400792631142</v>
          </cell>
          <cell r="L46">
            <v>0.52660256351421308</v>
          </cell>
        </row>
        <row r="47">
          <cell r="B47" t="str">
            <v>Gross margin</v>
          </cell>
          <cell r="E47">
            <v>0.27825733733760699</v>
          </cell>
          <cell r="F47">
            <v>0.2941436653796346</v>
          </cell>
          <cell r="G47">
            <v>0.33983692504851343</v>
          </cell>
          <cell r="H47">
            <v>0.35606305415143774</v>
          </cell>
          <cell r="I47">
            <v>0.44980671668932393</v>
          </cell>
          <cell r="J47">
            <v>0.50606505256455692</v>
          </cell>
          <cell r="K47">
            <v>0.43618599207368858</v>
          </cell>
          <cell r="L47">
            <v>0.47339743648578692</v>
          </cell>
        </row>
        <row r="48">
          <cell r="C48" t="str">
            <v>S,G&amp;A as % of sales</v>
          </cell>
          <cell r="E48">
            <v>3.0025192126056543E-2</v>
          </cell>
          <cell r="F48">
            <v>3.1786402165070143E-2</v>
          </cell>
          <cell r="G48">
            <v>4.5943426050833312E-2</v>
          </cell>
          <cell r="H48">
            <v>5.5802401008243074E-2</v>
          </cell>
          <cell r="I48">
            <v>4.8506633154247684E-2</v>
          </cell>
          <cell r="J48">
            <v>4.8980214406597979E-2</v>
          </cell>
          <cell r="K48">
            <v>6.3634837266225583E-2</v>
          </cell>
          <cell r="L48">
            <v>6.1824658645790065E-2</v>
          </cell>
        </row>
        <row r="49">
          <cell r="B49" t="str">
            <v>EBITDA Margin</v>
          </cell>
          <cell r="E49">
            <v>0.24823214521155043</v>
          </cell>
          <cell r="F49">
            <v>0.26235726321456448</v>
          </cell>
          <cell r="G49">
            <v>0.29389349899768008</v>
          </cell>
          <cell r="H49">
            <v>0.30026065314319467</v>
          </cell>
          <cell r="I49">
            <v>0.40130008353507624</v>
          </cell>
          <cell r="J49">
            <v>0.45708483815795892</v>
          </cell>
          <cell r="K49">
            <v>0.37255115480746298</v>
          </cell>
          <cell r="L49">
            <v>0.41157277783999691</v>
          </cell>
        </row>
        <row r="50">
          <cell r="C50" t="str">
            <v>D&amp;A as % of Sales</v>
          </cell>
          <cell r="E50">
            <v>3.3225296473943344E-2</v>
          </cell>
          <cell r="F50">
            <v>3.3222903032145437E-2</v>
          </cell>
          <cell r="G50">
            <v>5.0253104776927356E-2</v>
          </cell>
          <cell r="H50">
            <v>3.6772426697307466E-2</v>
          </cell>
          <cell r="I50">
            <v>3.4506142514364201E-2</v>
          </cell>
          <cell r="J50">
            <v>3.6425982599554096E-2</v>
          </cell>
          <cell r="K50">
            <v>7.8169714003228849E-2</v>
          </cell>
          <cell r="L50">
            <v>7.4627991189756243E-2</v>
          </cell>
        </row>
        <row r="51">
          <cell r="B51" t="str">
            <v>EBIT margin</v>
          </cell>
          <cell r="E51">
            <v>0.21500684873760709</v>
          </cell>
          <cell r="F51">
            <v>0.22913436018241901</v>
          </cell>
          <cell r="G51">
            <v>0.24364039422075273</v>
          </cell>
          <cell r="H51">
            <v>0.26348822644588721</v>
          </cell>
          <cell r="I51">
            <v>0.36679394102071206</v>
          </cell>
          <cell r="J51">
            <v>0.42065885555840482</v>
          </cell>
          <cell r="K51">
            <v>0.29438144080423417</v>
          </cell>
          <cell r="L51">
            <v>0.33694478665024064</v>
          </cell>
        </row>
        <row r="52">
          <cell r="C52" t="str">
            <v>Income tax rate</v>
          </cell>
          <cell r="E52">
            <v>0.35516654381279628</v>
          </cell>
          <cell r="F52">
            <v>0.41258748188870725</v>
          </cell>
          <cell r="G52">
            <v>0.41823919845389401</v>
          </cell>
          <cell r="H52">
            <v>0.28340185612345248</v>
          </cell>
          <cell r="I52">
            <v>0.3212768463555753</v>
          </cell>
          <cell r="J52">
            <v>0.4274547303283292</v>
          </cell>
          <cell r="K52">
            <v>0.34567857121708034</v>
          </cell>
          <cell r="L52">
            <v>0.17498749029519955</v>
          </cell>
        </row>
        <row r="53">
          <cell r="B53" t="str">
            <v>PAT margin</v>
          </cell>
          <cell r="E53">
            <v>0.12520440475232614</v>
          </cell>
          <cell r="F53">
            <v>0.13489531872504498</v>
          </cell>
          <cell r="G53">
            <v>0.14226960088559565</v>
          </cell>
          <cell r="H53">
            <v>0.21085326279403208</v>
          </cell>
          <cell r="I53">
            <v>0.30495336500410264</v>
          </cell>
          <cell r="J53">
            <v>0.25679799262604192</v>
          </cell>
          <cell r="K53">
            <v>0.19542177087936732</v>
          </cell>
          <cell r="L53">
            <v>0.27830259039392741</v>
          </cell>
        </row>
        <row r="54">
          <cell r="B54" t="str">
            <v>PAT Growth %</v>
          </cell>
          <cell r="E54" t="str">
            <v>NA</v>
          </cell>
          <cell r="F54">
            <v>0.36569377167187223</v>
          </cell>
          <cell r="G54">
            <v>0.21730490048203821</v>
          </cell>
          <cell r="H54">
            <v>0.47073624676868064</v>
          </cell>
          <cell r="I54">
            <v>0.84533652915163859</v>
          </cell>
          <cell r="J54">
            <v>0.10230154340502118</v>
          </cell>
          <cell r="K54">
            <v>-0.2965943867335632</v>
          </cell>
          <cell r="L54">
            <v>0.81329801374406263</v>
          </cell>
        </row>
        <row r="55">
          <cell r="B55" t="str">
            <v>Common dividend PAT payout ratio</v>
          </cell>
          <cell r="E55">
            <v>0.17994987312249777</v>
          </cell>
          <cell r="F55">
            <v>0.16470554824875244</v>
          </cell>
          <cell r="G55">
            <v>0.14432367606705032</v>
          </cell>
          <cell r="H55">
            <v>0.11934072790250756</v>
          </cell>
          <cell r="I55">
            <v>8.1803821514501121E-2</v>
          </cell>
          <cell r="J55">
            <v>9.3226086769852681E-2</v>
          </cell>
          <cell r="K55">
            <v>0.13253531818851208</v>
          </cell>
          <cell r="L55">
            <v>7.309075352421289E-2</v>
          </cell>
        </row>
        <row r="56">
          <cell r="B56" t="str">
            <v>Basic EPS Growth</v>
          </cell>
          <cell r="E56" t="str">
            <v>NA</v>
          </cell>
          <cell r="F56">
            <v>0.36569377167187223</v>
          </cell>
          <cell r="G56">
            <v>0.21730490048203799</v>
          </cell>
          <cell r="H56">
            <v>0.31459237549790808</v>
          </cell>
          <cell r="I56">
            <v>0.66733382764435389</v>
          </cell>
          <cell r="J56">
            <v>5.944329315724417E-2</v>
          </cell>
          <cell r="K56">
            <v>-0.29659438673356309</v>
          </cell>
          <cell r="L56">
            <v>0.81329801374406263</v>
          </cell>
        </row>
        <row r="57">
          <cell r="B57" t="str">
            <v>Weighted average EPS growth</v>
          </cell>
          <cell r="F57">
            <v>0.36569377167187223</v>
          </cell>
          <cell r="G57">
            <v>0.21730490048203799</v>
          </cell>
          <cell r="H57">
            <v>0.35043534236588991</v>
          </cell>
          <cell r="I57">
            <v>0.66318793273494081</v>
          </cell>
          <cell r="J57">
            <v>3.3894597120421199E-2</v>
          </cell>
          <cell r="K57">
            <v>-0.29659438673356309</v>
          </cell>
          <cell r="L57">
            <v>0.81329801374406263</v>
          </cell>
        </row>
        <row r="58">
          <cell r="B58" t="str">
            <v>FD EPS growth</v>
          </cell>
          <cell r="E58" t="str">
            <v>NA</v>
          </cell>
          <cell r="F58">
            <v>0.36569377167187223</v>
          </cell>
          <cell r="G58">
            <v>0.21730490048203799</v>
          </cell>
          <cell r="H58">
            <v>0.18778569795000055</v>
          </cell>
          <cell r="I58">
            <v>0.77358856215393135</v>
          </cell>
          <cell r="J58">
            <v>0.10230154340502118</v>
          </cell>
          <cell r="K58">
            <v>-0.29659438673356309</v>
          </cell>
          <cell r="L58">
            <v>0.81329801374406263</v>
          </cell>
        </row>
        <row r="60">
          <cell r="B60" t="str">
            <v>Depreciation /Gross Fixed ASsets</v>
          </cell>
          <cell r="E60">
            <v>6.4125856480133553E-2</v>
          </cell>
          <cell r="F60">
            <v>6.3346848507187623E-2</v>
          </cell>
          <cell r="G60">
            <v>9.1145557740187261E-2</v>
          </cell>
          <cell r="H60">
            <v>5.0257370145063172E-2</v>
          </cell>
          <cell r="I60">
            <v>5.1023893172879427E-2</v>
          </cell>
          <cell r="J60">
            <v>4.6796722956846011E-2</v>
          </cell>
          <cell r="K60">
            <v>4.7654951179663022E-2</v>
          </cell>
          <cell r="L60">
            <v>4.9081357130913189E-2</v>
          </cell>
        </row>
        <row r="61">
          <cell r="B61" t="str">
            <v>Depreciation adj to Rev REs/GFA %</v>
          </cell>
          <cell r="E61">
            <v>3.083328480754673E-2</v>
          </cell>
          <cell r="F61">
            <v>2.3280501290084774E-2</v>
          </cell>
          <cell r="G61">
            <v>7.0005068593103362E-2</v>
          </cell>
          <cell r="H61">
            <v>3.5927312431757917E-2</v>
          </cell>
          <cell r="I61">
            <v>3.4532906211425345E-2</v>
          </cell>
          <cell r="J61">
            <v>2.8192689484657217E-2</v>
          </cell>
          <cell r="K61">
            <v>2.0639249221174494E-2</v>
          </cell>
          <cell r="L61">
            <v>1.8941937889084125E-2</v>
          </cell>
        </row>
        <row r="62">
          <cell r="B62" t="str">
            <v>Depreciation on gross assets</v>
          </cell>
          <cell r="E62">
            <v>3.329257167258682E-2</v>
          </cell>
          <cell r="F62">
            <v>4.0066347217102845E-2</v>
          </cell>
          <cell r="G62">
            <v>2.1140489147083896E-2</v>
          </cell>
          <cell r="H62">
            <v>1.4330057713305257E-2</v>
          </cell>
          <cell r="I62">
            <v>1.6490986961454089E-2</v>
          </cell>
          <cell r="J62">
            <v>1.8604033472188794E-2</v>
          </cell>
          <cell r="K62">
            <v>2.7015701958488531E-2</v>
          </cell>
          <cell r="L62">
            <v>3.0139419241829064E-2</v>
          </cell>
        </row>
        <row r="63">
          <cell r="B63" t="str">
            <v>Interest as a % Of Total Debt</v>
          </cell>
          <cell r="E63">
            <v>0.13067856829729582</v>
          </cell>
          <cell r="F63">
            <v>0.10877178803308279</v>
          </cell>
          <cell r="G63">
            <v>0.15400336375768206</v>
          </cell>
          <cell r="H63">
            <v>0.15960312024100071</v>
          </cell>
          <cell r="I63">
            <v>0.109</v>
          </cell>
          <cell r="J63">
            <v>0.125</v>
          </cell>
          <cell r="K63">
            <v>0.13500000000000001</v>
          </cell>
          <cell r="L63">
            <v>0.14499999999999999</v>
          </cell>
        </row>
        <row r="64">
          <cell r="A64" t="str">
            <v>HINDALCO INDUSTRIES</v>
          </cell>
          <cell r="M64" t="str">
            <v>Cashflow Statement</v>
          </cell>
        </row>
        <row r="65">
          <cell r="M65" t="str">
            <v>23-A-2001</v>
          </cell>
        </row>
        <row r="67">
          <cell r="A67" t="str">
            <v>Year-end</v>
          </cell>
          <cell r="E67">
            <v>1992</v>
          </cell>
          <cell r="F67">
            <v>1993</v>
          </cell>
          <cell r="G67">
            <v>1994</v>
          </cell>
          <cell r="H67">
            <v>1995</v>
          </cell>
          <cell r="I67" t="str">
            <v>1996E</v>
          </cell>
          <cell r="J67" t="str">
            <v>1997E</v>
          </cell>
          <cell r="K67" t="str">
            <v>1998E</v>
          </cell>
          <cell r="L67" t="str">
            <v>1999E</v>
          </cell>
        </row>
        <row r="68">
          <cell r="A68" t="str">
            <v>31 M</v>
          </cell>
          <cell r="E68" t="str">
            <v>Rs m</v>
          </cell>
          <cell r="F68" t="str">
            <v>Rs m</v>
          </cell>
          <cell r="G68" t="str">
            <v>Rs m</v>
          </cell>
          <cell r="H68" t="str">
            <v>Rs m</v>
          </cell>
          <cell r="I68" t="str">
            <v>Rs m</v>
          </cell>
          <cell r="J68" t="str">
            <v>Rs m</v>
          </cell>
          <cell r="K68" t="str">
            <v>Rs m</v>
          </cell>
          <cell r="L68" t="str">
            <v>Rs m</v>
          </cell>
        </row>
        <row r="70">
          <cell r="A70" t="str">
            <v>Cash from operating activities</v>
          </cell>
        </row>
        <row r="71">
          <cell r="A71" t="str">
            <v>EBITDA</v>
          </cell>
          <cell r="F71">
            <v>1716.7816119999998</v>
          </cell>
          <cell r="G71">
            <v>2219.7091709999995</v>
          </cell>
          <cell r="H71">
            <v>2250.4590000000007</v>
          </cell>
          <cell r="I71">
            <v>3837.6415274477722</v>
          </cell>
          <cell r="J71">
            <v>5721.8200000000015</v>
          </cell>
          <cell r="K71">
            <v>4310.7000000000007</v>
          </cell>
          <cell r="L71">
            <v>6063.6399999999976</v>
          </cell>
        </row>
        <row r="73">
          <cell r="A73" t="str">
            <v>Changes in working capital:</v>
          </cell>
        </row>
        <row r="75">
          <cell r="B75" t="str">
            <v>Dec (inc) in Accounts receivable</v>
          </cell>
          <cell r="F75">
            <v>-457.20000000000005</v>
          </cell>
          <cell r="G75">
            <v>59.300000000000068</v>
          </cell>
          <cell r="H75">
            <v>266.16999999999996</v>
          </cell>
          <cell r="I75">
            <v>54.869077808219117</v>
          </cell>
          <cell r="J75">
            <v>-123.86913534246571</v>
          </cell>
          <cell r="K75">
            <v>39.709158904109529</v>
          </cell>
          <cell r="L75">
            <v>-132.54788219178073</v>
          </cell>
        </row>
        <row r="76">
          <cell r="B76" t="str">
            <v>Dec (Inc) in Inventories</v>
          </cell>
          <cell r="F76">
            <v>-164.19999999999993</v>
          </cell>
          <cell r="G76">
            <v>-320.29999999999995</v>
          </cell>
          <cell r="H76">
            <v>16.529999999999973</v>
          </cell>
          <cell r="I76">
            <v>-129.76049598805685</v>
          </cell>
          <cell r="J76">
            <v>-272.69312791294419</v>
          </cell>
          <cell r="K76">
            <v>-100.79338869673143</v>
          </cell>
          <cell r="L76">
            <v>-365.30630359404927</v>
          </cell>
        </row>
        <row r="77">
          <cell r="B77" t="str">
            <v>Dec (Inc) in Corporate deposits</v>
          </cell>
          <cell r="F77">
            <v>0</v>
          </cell>
          <cell r="G77">
            <v>-353</v>
          </cell>
          <cell r="H77">
            <v>-845</v>
          </cell>
          <cell r="I77">
            <v>-1384</v>
          </cell>
          <cell r="J77">
            <v>900</v>
          </cell>
          <cell r="K77">
            <v>0</v>
          </cell>
          <cell r="L77">
            <v>0</v>
          </cell>
        </row>
        <row r="78">
          <cell r="B78" t="str">
            <v>Dec (Inc) in Other current assets</v>
          </cell>
          <cell r="F78">
            <v>-266.69999999999993</v>
          </cell>
          <cell r="G78">
            <v>-76.200000000000045</v>
          </cell>
          <cell r="H78">
            <v>608.45000000000005</v>
          </cell>
          <cell r="I78">
            <v>-22.651205479452187</v>
          </cell>
          <cell r="J78">
            <v>-161.92043835616437</v>
          </cell>
          <cell r="K78">
            <v>51.90739726027391</v>
          </cell>
          <cell r="L78">
            <v>-173.26520547945199</v>
          </cell>
        </row>
        <row r="79">
          <cell r="B79" t="str">
            <v>Inc (Dec) in Accounts payable</v>
          </cell>
          <cell r="F79">
            <v>37.46999999999997</v>
          </cell>
          <cell r="G79">
            <v>181.35999999999996</v>
          </cell>
          <cell r="H79">
            <v>-17.350000000000023</v>
          </cell>
          <cell r="I79">
            <v>6.7561444402974757</v>
          </cell>
          <cell r="J79">
            <v>94.685113858661225</v>
          </cell>
          <cell r="K79">
            <v>34.99770440858731</v>
          </cell>
          <cell r="L79">
            <v>126.84246652571164</v>
          </cell>
        </row>
        <row r="80">
          <cell r="B80" t="str">
            <v>Inc (Dec) in Other current liabilities</v>
          </cell>
          <cell r="F80">
            <v>1.9600000000000932</v>
          </cell>
          <cell r="G80">
            <v>13.010000000000133</v>
          </cell>
          <cell r="H80">
            <v>18.23999999999981</v>
          </cell>
          <cell r="I80">
            <v>-54.749028149253974</v>
          </cell>
          <cell r="J80">
            <v>25.249363695642984</v>
          </cell>
          <cell r="K80">
            <v>9.3327211756232771</v>
          </cell>
          <cell r="L80">
            <v>33.824657740189735</v>
          </cell>
        </row>
        <row r="81">
          <cell r="C81" t="str">
            <v>Total Changes in Working Capital</v>
          </cell>
          <cell r="F81">
            <v>-848.66999999999985</v>
          </cell>
          <cell r="G81">
            <v>-495.82999999999981</v>
          </cell>
          <cell r="H81">
            <v>47.039999999999765</v>
          </cell>
          <cell r="I81">
            <v>-1529.5355073682463</v>
          </cell>
          <cell r="J81">
            <v>461.45177594272991</v>
          </cell>
          <cell r="K81">
            <v>35.1535930518626</v>
          </cell>
          <cell r="L81">
            <v>-510.45226699938064</v>
          </cell>
        </row>
        <row r="83">
          <cell r="A83" t="str">
            <v>Cash flow from operations</v>
          </cell>
          <cell r="F83">
            <v>868.11161199999992</v>
          </cell>
          <cell r="G83">
            <v>1723.8791709999996</v>
          </cell>
          <cell r="H83">
            <v>2297.4990000000007</v>
          </cell>
          <cell r="I83">
            <v>2308.1060200795259</v>
          </cell>
          <cell r="J83">
            <v>6183.2717759427314</v>
          </cell>
          <cell r="K83">
            <v>4345.8535930518638</v>
          </cell>
          <cell r="L83">
            <v>5553.1877330006173</v>
          </cell>
        </row>
        <row r="86">
          <cell r="A86" t="str">
            <v>Investment activities</v>
          </cell>
        </row>
        <row r="87">
          <cell r="B87" t="str">
            <v>Capital expenditures, Net</v>
          </cell>
          <cell r="F87">
            <v>-283</v>
          </cell>
          <cell r="G87">
            <v>-234</v>
          </cell>
          <cell r="H87">
            <v>-1286</v>
          </cell>
          <cell r="I87">
            <v>-776.90000000000146</v>
          </cell>
          <cell r="J87">
            <v>-4500</v>
          </cell>
          <cell r="K87">
            <v>-8970</v>
          </cell>
          <cell r="L87">
            <v>-3000</v>
          </cell>
        </row>
        <row r="88">
          <cell r="B88" t="str">
            <v>Capital work-in progress</v>
          </cell>
          <cell r="F88">
            <v>-162.91</v>
          </cell>
          <cell r="G88">
            <v>-374.08000000000004</v>
          </cell>
          <cell r="H88">
            <v>265.19</v>
          </cell>
          <cell r="I88">
            <v>-1637.5840000000001</v>
          </cell>
          <cell r="J88">
            <v>-1800</v>
          </cell>
          <cell r="K88">
            <v>3870</v>
          </cell>
          <cell r="L88">
            <v>0</v>
          </cell>
        </row>
        <row r="90">
          <cell r="B90" t="str">
            <v>Reduct (Add) in long term assets-investments</v>
          </cell>
          <cell r="F90">
            <v>-248.79999999999995</v>
          </cell>
          <cell r="G90">
            <v>-522.40000000000009</v>
          </cell>
          <cell r="H90">
            <v>-2294.1</v>
          </cell>
          <cell r="I90">
            <v>-3494</v>
          </cell>
          <cell r="J90">
            <v>1000</v>
          </cell>
          <cell r="K90">
            <v>0</v>
          </cell>
          <cell r="L90">
            <v>0</v>
          </cell>
        </row>
        <row r="91">
          <cell r="B91" t="str">
            <v>Add (Reduct) in long term liabilities</v>
          </cell>
          <cell r="F91">
            <v>0</v>
          </cell>
          <cell r="G91">
            <v>0</v>
          </cell>
          <cell r="H91">
            <v>0</v>
          </cell>
          <cell r="I91">
            <v>0</v>
          </cell>
          <cell r="J91">
            <v>0</v>
          </cell>
          <cell r="K91">
            <v>0</v>
          </cell>
          <cell r="L91">
            <v>0</v>
          </cell>
        </row>
        <row r="93">
          <cell r="A93" t="str">
            <v>Cash flow after investing activities</v>
          </cell>
          <cell r="F93">
            <v>173.401612</v>
          </cell>
          <cell r="G93">
            <v>593.39917099999957</v>
          </cell>
          <cell r="H93">
            <v>-1017.4109999999991</v>
          </cell>
          <cell r="I93">
            <v>-3600.3779799204758</v>
          </cell>
          <cell r="J93">
            <v>883.27177594273144</v>
          </cell>
          <cell r="K93">
            <v>-754.14640694813625</v>
          </cell>
          <cell r="L93">
            <v>2553.1877330006173</v>
          </cell>
        </row>
        <row r="95">
          <cell r="A95" t="str">
            <v>Financial activities</v>
          </cell>
        </row>
        <row r="97">
          <cell r="A97" t="str">
            <v>Financial expenses:</v>
          </cell>
        </row>
        <row r="98">
          <cell r="B98" t="str">
            <v>Interest (expense)/income, Net</v>
          </cell>
          <cell r="F98">
            <v>-32.600000000000023</v>
          </cell>
          <cell r="G98">
            <v>-80.13</v>
          </cell>
          <cell r="H98">
            <v>3</v>
          </cell>
          <cell r="I98">
            <v>638.05025999999998</v>
          </cell>
          <cell r="J98">
            <v>229.76749999999993</v>
          </cell>
          <cell r="K98">
            <v>-71.456100000000106</v>
          </cell>
          <cell r="L98">
            <v>-115.30470000000003</v>
          </cell>
        </row>
        <row r="99">
          <cell r="B99" t="str">
            <v>Other income</v>
          </cell>
          <cell r="F99">
            <v>35.930000000000007</v>
          </cell>
          <cell r="G99">
            <v>87</v>
          </cell>
          <cell r="H99">
            <v>227.5</v>
          </cell>
          <cell r="I99">
            <v>150</v>
          </cell>
          <cell r="J99">
            <v>120</v>
          </cell>
          <cell r="K99">
            <v>120</v>
          </cell>
          <cell r="L99">
            <v>120</v>
          </cell>
        </row>
        <row r="100">
          <cell r="B100" t="str">
            <v>Income tax</v>
          </cell>
          <cell r="F100">
            <v>-620</v>
          </cell>
          <cell r="G100">
            <v>-772.5</v>
          </cell>
          <cell r="H100">
            <v>-625</v>
          </cell>
          <cell r="I100">
            <v>-1380.4330489395081</v>
          </cell>
          <cell r="J100">
            <v>-2399.9892524477241</v>
          </cell>
          <cell r="K100">
            <v>-1194.5824903798518</v>
          </cell>
          <cell r="L100">
            <v>-869.66198111482481</v>
          </cell>
        </row>
        <row r="101">
          <cell r="B101" t="str">
            <v>Extraordinary items</v>
          </cell>
          <cell r="F101">
            <v>0</v>
          </cell>
          <cell r="G101">
            <v>0</v>
          </cell>
          <cell r="H101">
            <v>-383.05</v>
          </cell>
          <cell r="I101">
            <v>0</v>
          </cell>
          <cell r="J101">
            <v>0</v>
          </cell>
          <cell r="K101">
            <v>0</v>
          </cell>
          <cell r="L101">
            <v>0</v>
          </cell>
        </row>
        <row r="102">
          <cell r="B102" t="str">
            <v>Minority interest</v>
          </cell>
          <cell r="F102">
            <v>-7</v>
          </cell>
          <cell r="G102">
            <v>0</v>
          </cell>
          <cell r="H102">
            <v>0</v>
          </cell>
          <cell r="I102">
            <v>0</v>
          </cell>
          <cell r="J102">
            <v>0</v>
          </cell>
          <cell r="K102">
            <v>0</v>
          </cell>
          <cell r="L102">
            <v>0</v>
          </cell>
        </row>
        <row r="103">
          <cell r="B103" t="str">
            <v>Common dividends</v>
          </cell>
          <cell r="F103">
            <v>-116.31</v>
          </cell>
          <cell r="G103">
            <v>-145.38750000000002</v>
          </cell>
          <cell r="H103">
            <v>-155.08000000000001</v>
          </cell>
          <cell r="I103">
            <v>-188.6</v>
          </cell>
          <cell r="J103">
            <v>-238.5625</v>
          </cell>
          <cell r="K103">
            <v>-299.68600000000004</v>
          </cell>
          <cell r="L103">
            <v>-299.68600000000004</v>
          </cell>
        </row>
        <row r="104">
          <cell r="C104" t="str">
            <v>Sub-total</v>
          </cell>
          <cell r="F104">
            <v>-739.98</v>
          </cell>
          <cell r="G104">
            <v>-911.01750000000004</v>
          </cell>
          <cell r="H104">
            <v>-932.63</v>
          </cell>
          <cell r="I104">
            <v>-780.98278893950817</v>
          </cell>
          <cell r="J104">
            <v>-2288.7842524477242</v>
          </cell>
          <cell r="K104">
            <v>-1445.7245903798521</v>
          </cell>
          <cell r="L104">
            <v>-1164.6526811148249</v>
          </cell>
        </row>
        <row r="106">
          <cell r="A106" t="str">
            <v>Changes in capitalization:</v>
          </cell>
        </row>
        <row r="107">
          <cell r="B107" t="str">
            <v>Add/(repay) of short term debt, Net</v>
          </cell>
          <cell r="F107">
            <v>301</v>
          </cell>
          <cell r="G107">
            <v>-142</v>
          </cell>
          <cell r="H107">
            <v>-290.94</v>
          </cell>
          <cell r="I107">
            <v>631</v>
          </cell>
          <cell r="J107">
            <v>0</v>
          </cell>
          <cell r="K107">
            <v>0</v>
          </cell>
          <cell r="L107">
            <v>0</v>
          </cell>
        </row>
        <row r="108">
          <cell r="B108" t="str">
            <v>Add/(repay) of long term debt, net</v>
          </cell>
          <cell r="F108">
            <v>273.32999999999993</v>
          </cell>
          <cell r="G108">
            <v>626.95000000000027</v>
          </cell>
          <cell r="H108">
            <v>-156.07000000000016</v>
          </cell>
          <cell r="I108">
            <v>746.4</v>
          </cell>
          <cell r="J108">
            <v>0</v>
          </cell>
          <cell r="K108">
            <v>0</v>
          </cell>
          <cell r="L108">
            <v>0</v>
          </cell>
        </row>
        <row r="109">
          <cell r="B109" t="str">
            <v>Add/(reduct) to common stock, net</v>
          </cell>
          <cell r="F109">
            <v>0</v>
          </cell>
          <cell r="G109">
            <v>0</v>
          </cell>
          <cell r="H109">
            <v>45.75</v>
          </cell>
          <cell r="I109">
            <v>46.306666666666672</v>
          </cell>
          <cell r="J109">
            <v>19.420000000000002</v>
          </cell>
          <cell r="K109">
            <v>0</v>
          </cell>
          <cell r="L109">
            <v>0</v>
          </cell>
        </row>
        <row r="110">
          <cell r="B110" t="str">
            <v>Add/(reduct) to other equity, net</v>
          </cell>
          <cell r="F110">
            <v>0</v>
          </cell>
          <cell r="G110">
            <v>0</v>
          </cell>
          <cell r="H110">
            <v>2278.8074999999999</v>
          </cell>
          <cell r="I110">
            <v>2984.3333333333335</v>
          </cell>
          <cell r="J110">
            <v>941.87000000000012</v>
          </cell>
          <cell r="K110">
            <v>0</v>
          </cell>
          <cell r="L110">
            <v>0</v>
          </cell>
        </row>
        <row r="111">
          <cell r="C111" t="str">
            <v>Sub-total</v>
          </cell>
          <cell r="F111">
            <v>574.32999999999993</v>
          </cell>
          <cell r="G111">
            <v>484.95000000000027</v>
          </cell>
          <cell r="H111">
            <v>1877.5474999999997</v>
          </cell>
          <cell r="I111">
            <v>4408.04</v>
          </cell>
          <cell r="J111">
            <v>961.29000000000008</v>
          </cell>
          <cell r="K111">
            <v>0</v>
          </cell>
          <cell r="L111">
            <v>0</v>
          </cell>
        </row>
        <row r="112">
          <cell r="C112" t="str">
            <v>Total financial activities</v>
          </cell>
          <cell r="F112">
            <v>-165.65000000000009</v>
          </cell>
          <cell r="G112">
            <v>-426.06749999999977</v>
          </cell>
          <cell r="H112">
            <v>944.91749999999968</v>
          </cell>
          <cell r="I112">
            <v>3627.0572110604917</v>
          </cell>
          <cell r="J112">
            <v>-1327.4942524477242</v>
          </cell>
          <cell r="K112">
            <v>-1445.7245903798521</v>
          </cell>
          <cell r="L112">
            <v>-1164.6526811148249</v>
          </cell>
        </row>
        <row r="114">
          <cell r="A114" t="str">
            <v>Net cash generated/(utilized)</v>
          </cell>
          <cell r="F114">
            <v>7.7516119999999091</v>
          </cell>
          <cell r="G114">
            <v>167.3316709999998</v>
          </cell>
          <cell r="H114">
            <v>-72.493499999999472</v>
          </cell>
          <cell r="I114">
            <v>26.679231140015872</v>
          </cell>
          <cell r="J114">
            <v>-444.22247650499276</v>
          </cell>
          <cell r="K114">
            <v>-2199.8709973279883</v>
          </cell>
          <cell r="L114">
            <v>1388.5350518857924</v>
          </cell>
        </row>
        <row r="119">
          <cell r="A119" t="str">
            <v>HINDALCO INDUSTRIES</v>
          </cell>
          <cell r="M119" t="str">
            <v>Balance Sheets</v>
          </cell>
        </row>
        <row r="120">
          <cell r="A120" t="str">
            <v>Rs.</v>
          </cell>
          <cell r="M120" t="str">
            <v>23-A-2001</v>
          </cell>
        </row>
        <row r="122">
          <cell r="A122" t="str">
            <v>Year-end</v>
          </cell>
          <cell r="E122">
            <v>1992</v>
          </cell>
          <cell r="F122">
            <v>1993</v>
          </cell>
          <cell r="G122">
            <v>1994</v>
          </cell>
          <cell r="H122">
            <v>1995</v>
          </cell>
          <cell r="I122" t="str">
            <v>1996E</v>
          </cell>
          <cell r="J122" t="str">
            <v>1997E</v>
          </cell>
          <cell r="K122" t="str">
            <v>1998E</v>
          </cell>
          <cell r="L122" t="str">
            <v>1999E</v>
          </cell>
        </row>
        <row r="123">
          <cell r="A123" t="str">
            <v>31 M</v>
          </cell>
          <cell r="E123" t="str">
            <v>Rs m</v>
          </cell>
          <cell r="F123" t="str">
            <v>Rs m</v>
          </cell>
          <cell r="G123" t="str">
            <v>Rs m</v>
          </cell>
          <cell r="H123" t="str">
            <v>Rs m</v>
          </cell>
          <cell r="I123" t="str">
            <v>Rs m</v>
          </cell>
          <cell r="J123" t="str">
            <v>Rs m</v>
          </cell>
          <cell r="K123" t="str">
            <v>Rs m</v>
          </cell>
          <cell r="L123" t="str">
            <v>Rs m</v>
          </cell>
        </row>
        <row r="125">
          <cell r="A125" t="str">
            <v>ASSETS</v>
          </cell>
        </row>
        <row r="126">
          <cell r="A126" t="str">
            <v>Current Assets</v>
          </cell>
        </row>
        <row r="127">
          <cell r="A127"/>
          <cell r="B127" t="str">
            <v>Cash and Marketable Securities</v>
          </cell>
          <cell r="E127">
            <v>88.1</v>
          </cell>
          <cell r="F127">
            <v>96</v>
          </cell>
          <cell r="G127">
            <v>263.39999999999998</v>
          </cell>
          <cell r="H127">
            <v>191.53</v>
          </cell>
          <cell r="I127">
            <v>218.20923114001587</v>
          </cell>
          <cell r="J127">
            <v>-226.01324536497688</v>
          </cell>
          <cell r="K127">
            <v>-2425.884242692965</v>
          </cell>
          <cell r="L127">
            <v>-1037.3491908071726</v>
          </cell>
        </row>
        <row r="128">
          <cell r="A128"/>
          <cell r="B128" t="str">
            <v>Accounts receivable</v>
          </cell>
          <cell r="E128">
            <v>324</v>
          </cell>
          <cell r="F128">
            <v>781.2</v>
          </cell>
          <cell r="G128">
            <v>721.9</v>
          </cell>
          <cell r="H128">
            <v>455.73</v>
          </cell>
          <cell r="I128">
            <v>400.8609221917809</v>
          </cell>
          <cell r="J128">
            <v>524.73005753424661</v>
          </cell>
          <cell r="K128">
            <v>485.02089863013708</v>
          </cell>
          <cell r="L128">
            <v>617.56878082191781</v>
          </cell>
        </row>
        <row r="129">
          <cell r="A129"/>
          <cell r="B129" t="str">
            <v>Inventories</v>
          </cell>
          <cell r="E129">
            <v>959.1</v>
          </cell>
          <cell r="F129">
            <v>1123.3</v>
          </cell>
          <cell r="G129">
            <v>1443.6</v>
          </cell>
          <cell r="H129">
            <v>1427.07</v>
          </cell>
          <cell r="I129">
            <v>1556.8304959880568</v>
          </cell>
          <cell r="J129">
            <v>1829.523623901001</v>
          </cell>
          <cell r="K129">
            <v>1930.3170125977324</v>
          </cell>
          <cell r="L129">
            <v>2295.6233161917817</v>
          </cell>
        </row>
        <row r="130">
          <cell r="B130" t="str">
            <v>Corporate deposits</v>
          </cell>
          <cell r="E130">
            <v>0</v>
          </cell>
          <cell r="F130">
            <v>0</v>
          </cell>
          <cell r="G130">
            <v>353</v>
          </cell>
          <cell r="H130">
            <v>1198</v>
          </cell>
          <cell r="I130">
            <v>2582</v>
          </cell>
          <cell r="J130">
            <v>1682</v>
          </cell>
          <cell r="K130">
            <v>1682</v>
          </cell>
          <cell r="L130">
            <v>1682</v>
          </cell>
        </row>
        <row r="131">
          <cell r="A131"/>
          <cell r="B131" t="str">
            <v>Other current assets</v>
          </cell>
          <cell r="E131">
            <v>766.9</v>
          </cell>
          <cell r="F131">
            <v>1033.5999999999999</v>
          </cell>
          <cell r="G131">
            <v>1109.8</v>
          </cell>
          <cell r="H131">
            <v>501.34999999999991</v>
          </cell>
          <cell r="I131">
            <v>524.0012054794521</v>
          </cell>
          <cell r="J131">
            <v>685.92164383561646</v>
          </cell>
          <cell r="K131">
            <v>634.01424657534255</v>
          </cell>
          <cell r="L131">
            <v>807.27945205479455</v>
          </cell>
        </row>
        <row r="132">
          <cell r="B132"/>
          <cell r="C132" t="str">
            <v>Total current assets</v>
          </cell>
          <cell r="E132">
            <v>2138.1</v>
          </cell>
          <cell r="F132">
            <v>3034.1</v>
          </cell>
          <cell r="G132">
            <v>3891.7</v>
          </cell>
          <cell r="H132">
            <v>3773.68</v>
          </cell>
          <cell r="I132">
            <v>5281.9018547993064</v>
          </cell>
          <cell r="J132">
            <v>4496.1620799058874</v>
          </cell>
          <cell r="K132">
            <v>2305.4679151102468</v>
          </cell>
          <cell r="L132">
            <v>4365.122358261322</v>
          </cell>
        </row>
        <row r="133">
          <cell r="A133"/>
          <cell r="B133"/>
          <cell r="C133"/>
        </row>
        <row r="134">
          <cell r="B134" t="str">
            <v>Investments</v>
          </cell>
          <cell r="E134">
            <v>1855.7</v>
          </cell>
          <cell r="F134">
            <v>2104.5</v>
          </cell>
          <cell r="G134">
            <v>2626.9</v>
          </cell>
          <cell r="H134">
            <v>4921</v>
          </cell>
          <cell r="I134">
            <v>8415</v>
          </cell>
          <cell r="J134">
            <v>7415</v>
          </cell>
          <cell r="K134">
            <v>7415</v>
          </cell>
          <cell r="L134">
            <v>7415</v>
          </cell>
        </row>
        <row r="135">
          <cell r="B135" t="str">
            <v>Gross fixed assets</v>
          </cell>
          <cell r="E135">
            <v>5151.8999999999996</v>
          </cell>
          <cell r="F135">
            <v>5426</v>
          </cell>
          <cell r="G135">
            <v>17953.7</v>
          </cell>
          <cell r="H135">
            <v>19233</v>
          </cell>
          <cell r="I135">
            <v>20009.900000000001</v>
          </cell>
          <cell r="J135">
            <v>24509.9</v>
          </cell>
          <cell r="K135">
            <v>33479.9</v>
          </cell>
          <cell r="L135">
            <v>36479.9</v>
          </cell>
        </row>
        <row r="136">
          <cell r="B136" t="str">
            <v>Less: Depreciation provision</v>
          </cell>
          <cell r="E136">
            <v>2957</v>
          </cell>
          <cell r="F136">
            <v>3292.25</v>
          </cell>
          <cell r="G136">
            <v>6851.46</v>
          </cell>
          <cell r="H136">
            <v>7807.68</v>
          </cell>
          <cell r="I136">
            <v>8825.34</v>
          </cell>
          <cell r="J136">
            <v>9972.3230000000003</v>
          </cell>
          <cell r="K136">
            <v>11567.806</v>
          </cell>
          <cell r="L136">
            <v>13358.289000000001</v>
          </cell>
        </row>
        <row r="137">
          <cell r="A137"/>
          <cell r="B137" t="str">
            <v>Total P, P&amp; E, net</v>
          </cell>
          <cell r="E137">
            <v>2194.8999999999996</v>
          </cell>
          <cell r="F137">
            <v>2133.75</v>
          </cell>
          <cell r="G137">
            <v>11102.240000000002</v>
          </cell>
          <cell r="H137">
            <v>11425.32</v>
          </cell>
          <cell r="I137">
            <v>11184.560000000001</v>
          </cell>
          <cell r="J137">
            <v>14537.577000000001</v>
          </cell>
          <cell r="K137">
            <v>21912.094000000001</v>
          </cell>
          <cell r="L137">
            <v>23121.611000000001</v>
          </cell>
        </row>
        <row r="138">
          <cell r="B138" t="str">
            <v>Capital work-in progress</v>
          </cell>
          <cell r="E138">
            <v>79</v>
          </cell>
          <cell r="F138">
            <v>241.91</v>
          </cell>
          <cell r="G138">
            <v>720.99</v>
          </cell>
          <cell r="H138">
            <v>469.8</v>
          </cell>
          <cell r="I138">
            <v>2107.384</v>
          </cell>
          <cell r="J138">
            <v>3907.384</v>
          </cell>
          <cell r="K138">
            <v>37.384000000000015</v>
          </cell>
          <cell r="L138">
            <v>37.384000000000015</v>
          </cell>
        </row>
        <row r="139">
          <cell r="B139" t="str">
            <v>Total assets</v>
          </cell>
          <cell r="E139">
            <v>6267.7</v>
          </cell>
          <cell r="F139">
            <v>7514.26</v>
          </cell>
          <cell r="G139">
            <v>18341.830000000002</v>
          </cell>
          <cell r="H139">
            <v>20589.8</v>
          </cell>
          <cell r="I139">
            <v>26988.845854799307</v>
          </cell>
          <cell r="J139">
            <v>30356.12307990589</v>
          </cell>
          <cell r="K139">
            <v>31669.945915110249</v>
          </cell>
          <cell r="L139">
            <v>34939.117358261326</v>
          </cell>
        </row>
        <row r="140">
          <cell r="A140"/>
          <cell r="B140"/>
        </row>
        <row r="141">
          <cell r="A141" t="str">
            <v>LIABILITIES</v>
          </cell>
        </row>
        <row r="142">
          <cell r="A142" t="str">
            <v>Current liabilities</v>
          </cell>
        </row>
        <row r="143">
          <cell r="A143"/>
          <cell r="B143" t="str">
            <v>Accounts payable</v>
          </cell>
          <cell r="E143">
            <v>332.33000000000004</v>
          </cell>
          <cell r="F143">
            <v>369.8</v>
          </cell>
          <cell r="G143">
            <v>551.16</v>
          </cell>
          <cell r="H143">
            <v>533.80999999999995</v>
          </cell>
          <cell r="I143">
            <v>540.56614444029742</v>
          </cell>
          <cell r="J143">
            <v>635.25125829895865</v>
          </cell>
          <cell r="K143">
            <v>670.24896270754596</v>
          </cell>
          <cell r="L143">
            <v>797.0914292332576</v>
          </cell>
        </row>
        <row r="144">
          <cell r="B144" t="str">
            <v>Dividend provision</v>
          </cell>
          <cell r="E144">
            <v>114</v>
          </cell>
          <cell r="F144">
            <v>145</v>
          </cell>
          <cell r="G144">
            <v>155</v>
          </cell>
          <cell r="H144">
            <v>189.59</v>
          </cell>
          <cell r="I144">
            <v>238.5625</v>
          </cell>
          <cell r="J144">
            <v>300.68600000000004</v>
          </cell>
          <cell r="K144">
            <v>299.68600000000004</v>
          </cell>
          <cell r="L144">
            <v>299.68600000000004</v>
          </cell>
        </row>
        <row r="145">
          <cell r="A145"/>
          <cell r="B145" t="str">
            <v>Other current liabilities</v>
          </cell>
          <cell r="E145">
            <v>165.68999999999994</v>
          </cell>
          <cell r="F145">
            <v>167.65000000000003</v>
          </cell>
          <cell r="G145">
            <v>180.66000000000017</v>
          </cell>
          <cell r="H145">
            <v>198.89999999999998</v>
          </cell>
          <cell r="I145">
            <v>144.150971850746</v>
          </cell>
          <cell r="J145">
            <v>169.40033554638899</v>
          </cell>
          <cell r="K145">
            <v>178.73305672201226</v>
          </cell>
          <cell r="L145">
            <v>212.557714462202</v>
          </cell>
        </row>
        <row r="146">
          <cell r="A146"/>
          <cell r="B146"/>
          <cell r="C146" t="str">
            <v>Total current liabilities</v>
          </cell>
          <cell r="E146">
            <v>612.02</v>
          </cell>
          <cell r="F146">
            <v>682.45</v>
          </cell>
          <cell r="G146">
            <v>886.82000000000016</v>
          </cell>
          <cell r="H146">
            <v>922.3</v>
          </cell>
          <cell r="I146">
            <v>923.27961629104345</v>
          </cell>
          <cell r="J146">
            <v>1105.3375938453478</v>
          </cell>
          <cell r="K146">
            <v>1148.6680194295582</v>
          </cell>
          <cell r="L146">
            <v>1309.3351436954597</v>
          </cell>
        </row>
        <row r="148">
          <cell r="A148" t="str">
            <v>Debt and quasi-debt</v>
          </cell>
        </row>
        <row r="149">
          <cell r="A149"/>
          <cell r="B149" t="str">
            <v>Short term debt</v>
          </cell>
          <cell r="E149">
            <v>301</v>
          </cell>
          <cell r="F149">
            <v>602</v>
          </cell>
          <cell r="G149">
            <v>460</v>
          </cell>
          <cell r="H149">
            <v>169.06</v>
          </cell>
          <cell r="I149">
            <v>800.06</v>
          </cell>
          <cell r="J149">
            <v>800.06</v>
          </cell>
          <cell r="K149">
            <v>800.06</v>
          </cell>
          <cell r="L149">
            <v>800.06</v>
          </cell>
        </row>
        <row r="150">
          <cell r="A150"/>
          <cell r="B150" t="str">
            <v>Long term debt</v>
          </cell>
          <cell r="E150">
            <v>2094.19</v>
          </cell>
          <cell r="F150">
            <v>2367.52</v>
          </cell>
          <cell r="G150">
            <v>2994.4700000000003</v>
          </cell>
          <cell r="H150">
            <v>2838.4</v>
          </cell>
          <cell r="I150">
            <v>3584.8</v>
          </cell>
          <cell r="J150">
            <v>3584.8</v>
          </cell>
          <cell r="K150">
            <v>3584.8</v>
          </cell>
          <cell r="L150">
            <v>3584.8</v>
          </cell>
        </row>
        <row r="151">
          <cell r="A151"/>
          <cell r="B151" t="str">
            <v>Other long term liabilities</v>
          </cell>
          <cell r="E151">
            <v>0</v>
          </cell>
          <cell r="F151">
            <v>0</v>
          </cell>
          <cell r="G151">
            <v>0</v>
          </cell>
          <cell r="H151">
            <v>0</v>
          </cell>
          <cell r="I151">
            <v>0</v>
          </cell>
          <cell r="J151">
            <v>0</v>
          </cell>
          <cell r="K151">
            <v>0</v>
          </cell>
          <cell r="L151">
            <v>0</v>
          </cell>
        </row>
        <row r="152">
          <cell r="A152" t="str">
            <v>Total liabilities</v>
          </cell>
          <cell r="E152">
            <v>3007.21</v>
          </cell>
          <cell r="F152">
            <v>3651.9700000000003</v>
          </cell>
          <cell r="G152">
            <v>4341.2900000000009</v>
          </cell>
          <cell r="H152">
            <v>3929.76</v>
          </cell>
          <cell r="I152">
            <v>5308.1396162910441</v>
          </cell>
          <cell r="J152">
            <v>5490.1975938453479</v>
          </cell>
          <cell r="K152">
            <v>5533.5280194295583</v>
          </cell>
          <cell r="L152">
            <v>5694.1951436954596</v>
          </cell>
        </row>
        <row r="153">
          <cell r="A153"/>
          <cell r="B153"/>
          <cell r="C153"/>
        </row>
        <row r="154">
          <cell r="A154" t="str">
            <v>Shareholders' equity</v>
          </cell>
          <cell r="E154" t="str">
            <v xml:space="preserve"> </v>
          </cell>
        </row>
        <row r="155">
          <cell r="A155"/>
          <cell r="B155" t="str">
            <v>Common stock</v>
          </cell>
          <cell r="E155">
            <v>387.7</v>
          </cell>
          <cell r="F155">
            <v>388</v>
          </cell>
          <cell r="G155">
            <v>388</v>
          </cell>
          <cell r="H155">
            <v>433.75</v>
          </cell>
          <cell r="I155">
            <v>480.05666666666667</v>
          </cell>
          <cell r="J155">
            <v>499.47666666666669</v>
          </cell>
          <cell r="K155">
            <v>499.47666666666669</v>
          </cell>
          <cell r="L155">
            <v>499.47666666666669</v>
          </cell>
        </row>
        <row r="156">
          <cell r="B156" t="str">
            <v>Share premium</v>
          </cell>
        </row>
        <row r="157">
          <cell r="A157"/>
          <cell r="B157" t="str">
            <v>Retained earnings</v>
          </cell>
          <cell r="E157">
            <v>2317</v>
          </cell>
          <cell r="F157">
            <v>3044.3</v>
          </cell>
          <cell r="G157">
            <v>5136</v>
          </cell>
          <cell r="H157">
            <v>8505</v>
          </cell>
          <cell r="I157">
            <v>14167.046571841598</v>
          </cell>
          <cell r="J157">
            <v>18023.845819393875</v>
          </cell>
          <cell r="K157">
            <v>19985.338229014022</v>
          </cell>
          <cell r="L157">
            <v>23785.842547899196</v>
          </cell>
        </row>
        <row r="158">
          <cell r="A158"/>
          <cell r="B158" t="str">
            <v>Other - Revaluation reserve</v>
          </cell>
          <cell r="E158">
            <v>556</v>
          </cell>
          <cell r="F158">
            <v>430</v>
          </cell>
          <cell r="G158">
            <v>8477</v>
          </cell>
          <cell r="H158">
            <v>7721</v>
          </cell>
          <cell r="I158">
            <v>7030</v>
          </cell>
          <cell r="J158">
            <v>6339</v>
          </cell>
          <cell r="K158">
            <v>5648</v>
          </cell>
          <cell r="L158">
            <v>4957</v>
          </cell>
        </row>
        <row r="159">
          <cell r="A159"/>
          <cell r="B159"/>
          <cell r="C159" t="str">
            <v>Total shareholders' equity</v>
          </cell>
          <cell r="E159">
            <v>3260.7</v>
          </cell>
          <cell r="F159">
            <v>3862.3</v>
          </cell>
          <cell r="G159">
            <v>14001</v>
          </cell>
          <cell r="H159">
            <v>16659.75</v>
          </cell>
          <cell r="I159">
            <v>21677.103238508265</v>
          </cell>
          <cell r="J159">
            <v>24862.322486060541</v>
          </cell>
          <cell r="K159">
            <v>26132.814895680687</v>
          </cell>
          <cell r="L159">
            <v>29242.319214565861</v>
          </cell>
        </row>
        <row r="160">
          <cell r="A160"/>
          <cell r="B160"/>
          <cell r="C160"/>
        </row>
        <row r="161">
          <cell r="A161" t="str">
            <v>Total liabilities &amp; Shareholders' equity</v>
          </cell>
          <cell r="E161">
            <v>6267.91</v>
          </cell>
          <cell r="F161">
            <v>7514.27</v>
          </cell>
          <cell r="G161">
            <v>18342.29</v>
          </cell>
          <cell r="H161">
            <v>20589.510000000002</v>
          </cell>
          <cell r="I161">
            <v>26985.242854799311</v>
          </cell>
          <cell r="J161">
            <v>30352.520079905888</v>
          </cell>
          <cell r="K161">
            <v>31666.342915110246</v>
          </cell>
          <cell r="L161">
            <v>34936.514358261324</v>
          </cell>
        </row>
        <row r="162">
          <cell r="E162">
            <v>0.21000000000003638</v>
          </cell>
          <cell r="F162">
            <v>1.0000000000218279E-2</v>
          </cell>
          <cell r="G162">
            <v>0.45999999999912689</v>
          </cell>
          <cell r="H162">
            <v>-0.28999999999723514</v>
          </cell>
          <cell r="I162">
            <v>-3.602999999995518</v>
          </cell>
          <cell r="J162">
            <v>-3.603000000002794</v>
          </cell>
          <cell r="K162">
            <v>-3.603000000002794</v>
          </cell>
          <cell r="L162">
            <v>-2.603000000002794</v>
          </cell>
        </row>
        <row r="163">
          <cell r="A163" t="str">
            <v>Other figures</v>
          </cell>
        </row>
        <row r="164">
          <cell r="B164" t="str">
            <v>Net current assets (w/o cash or debt)</v>
          </cell>
          <cell r="E164">
            <v>1526.08</v>
          </cell>
          <cell r="F164">
            <v>2351.6499999999996</v>
          </cell>
          <cell r="G164">
            <v>2651.8799999999997</v>
          </cell>
          <cell r="H164">
            <v>1653.38</v>
          </cell>
          <cell r="I164">
            <v>1776.6222385082629</v>
          </cell>
          <cell r="J164">
            <v>1708.8244860605396</v>
          </cell>
          <cell r="K164">
            <v>-525.20010431931132</v>
          </cell>
          <cell r="L164">
            <v>1373.7872145658621</v>
          </cell>
        </row>
        <row r="165">
          <cell r="B165" t="str">
            <v>Capital employed (total debt + equity)</v>
          </cell>
          <cell r="E165">
            <v>5711.91</v>
          </cell>
          <cell r="F165">
            <v>7084.27</v>
          </cell>
          <cell r="G165">
            <v>9865.2900000000009</v>
          </cell>
          <cell r="H165">
            <v>12868.510000000002</v>
          </cell>
          <cell r="I165">
            <v>19955.242854799311</v>
          </cell>
          <cell r="J165">
            <v>24013.520079905888</v>
          </cell>
          <cell r="K165">
            <v>26018.342915110246</v>
          </cell>
          <cell r="L165">
            <v>29979.514358261324</v>
          </cell>
        </row>
        <row r="166">
          <cell r="I166">
            <v>-5.6666666666671972E-2</v>
          </cell>
        </row>
        <row r="167">
          <cell r="A167" t="str">
            <v>Ratios (%)</v>
          </cell>
        </row>
        <row r="168">
          <cell r="B168" t="str">
            <v>Operating current ratio</v>
          </cell>
          <cell r="E168">
            <v>334.95637397470671</v>
          </cell>
          <cell r="F168">
            <v>430.52238259213124</v>
          </cell>
          <cell r="G168">
            <v>369.33086759432575</v>
          </cell>
          <cell r="H168">
            <v>258.50048791065814</v>
          </cell>
          <cell r="I168">
            <v>268.79101193944166</v>
          </cell>
          <cell r="J168">
            <v>275.04495840898966</v>
          </cell>
          <cell r="K168">
            <v>265.468534530765</v>
          </cell>
          <cell r="L168">
            <v>284.14967451097795</v>
          </cell>
        </row>
        <row r="169">
          <cell r="B169" t="str">
            <v>Short term debt to net working cap.</v>
          </cell>
          <cell r="E169">
            <v>20.932140919901528</v>
          </cell>
          <cell r="F169">
            <v>26.688537672067923</v>
          </cell>
          <cell r="G169">
            <v>16.779257919080205</v>
          </cell>
          <cell r="H169">
            <v>6.355997518657067</v>
          </cell>
          <cell r="I169">
            <v>19.323193086685301</v>
          </cell>
          <cell r="J169">
            <v>22.120428379977934</v>
          </cell>
          <cell r="K169">
            <v>22.331301591191469</v>
          </cell>
          <cell r="L169">
            <v>19.546380104747215</v>
          </cell>
        </row>
        <row r="170">
          <cell r="B170" t="str">
            <v>Net debt to equity</v>
          </cell>
          <cell r="E170">
            <v>85.299293821865646</v>
          </cell>
          <cell r="F170">
            <v>83.719954549427484</v>
          </cell>
          <cell r="G170">
            <v>57.767378711078933</v>
          </cell>
          <cell r="H170">
            <v>31.502503146413087</v>
          </cell>
          <cell r="I170">
            <v>28.446927020392447</v>
          </cell>
          <cell r="J170">
            <v>24.892258118568218</v>
          </cell>
          <cell r="K170">
            <v>33.24777049427496</v>
          </cell>
          <cell r="L170">
            <v>22.327106936090992</v>
          </cell>
        </row>
        <row r="171">
          <cell r="B171" t="str">
            <v>Total debt to equity</v>
          </cell>
          <cell r="E171">
            <v>73.456313061612548</v>
          </cell>
          <cell r="F171">
            <v>76.884757786810965</v>
          </cell>
          <cell r="G171">
            <v>24.673023355474612</v>
          </cell>
          <cell r="H171">
            <v>18.052251684449047</v>
          </cell>
          <cell r="I171">
            <v>20.228071766574978</v>
          </cell>
          <cell r="J171">
            <v>17.636566344348733</v>
          </cell>
          <cell r="K171">
            <v>16.779133887810698</v>
          </cell>
          <cell r="L171">
            <v>14.994911887207163</v>
          </cell>
        </row>
        <row r="172">
          <cell r="B172" t="str">
            <v>Debt to total capitalization</v>
          </cell>
          <cell r="E172">
            <v>46.965522785785581</v>
          </cell>
          <cell r="F172">
            <v>46.385559106629053</v>
          </cell>
          <cell r="G172">
            <v>38.475040847716812</v>
          </cell>
          <cell r="H172">
            <v>25.175013665421925</v>
          </cell>
          <cell r="I172">
            <v>23.039451816131653</v>
          </cell>
          <cell r="J172">
            <v>19.14102091105724</v>
          </cell>
          <cell r="K172">
            <v>17.631352313180233</v>
          </cell>
          <cell r="L172">
            <v>15.294149252378149</v>
          </cell>
        </row>
        <row r="173">
          <cell r="B173" t="str">
            <v xml:space="preserve">Return on capital employed </v>
          </cell>
          <cell r="E173">
            <v>19.431970444212197</v>
          </cell>
          <cell r="F173">
            <v>21.164941652421483</v>
          </cell>
          <cell r="G173">
            <v>18.652864446965058</v>
          </cell>
          <cell r="H173">
            <v>15.346368771520561</v>
          </cell>
          <cell r="I173">
            <v>17.577628861600985</v>
          </cell>
          <cell r="J173">
            <v>21.928634296336945</v>
          </cell>
          <cell r="K173">
            <v>13.091598535361864</v>
          </cell>
          <cell r="L173">
            <v>16.558497047941827</v>
          </cell>
        </row>
        <row r="174">
          <cell r="B174" t="str">
            <v>Return on networth</v>
          </cell>
          <cell r="E174">
            <v>23.897166524938108</v>
          </cell>
          <cell r="F174">
            <v>25.717787256358704</v>
          </cell>
          <cell r="G174">
            <v>19.452012509051396</v>
          </cell>
          <cell r="H174">
            <v>17.67975388057615</v>
          </cell>
          <cell r="I174">
            <v>19.910255912180435</v>
          </cell>
          <cell r="J174">
            <v>17.354420352889662</v>
          </cell>
          <cell r="K174">
            <v>11.038315069651556</v>
          </cell>
          <cell r="L174">
            <v>16.883411260355015</v>
          </cell>
        </row>
        <row r="175">
          <cell r="B175" t="str">
            <v>Book NAV/share excl. revaluation reserve (Rs)</v>
          </cell>
          <cell r="E175">
            <v>69.762703120969817</v>
          </cell>
          <cell r="F175">
            <v>88.461340206185568</v>
          </cell>
          <cell r="G175">
            <v>142.37113402061854</v>
          </cell>
          <cell r="H175">
            <v>206.08069164265129</v>
          </cell>
          <cell r="I175">
            <v>305.11196397317536</v>
          </cell>
          <cell r="J175">
            <v>370.85461088059913</v>
          </cell>
          <cell r="K175">
            <v>410.12556266920745</v>
          </cell>
          <cell r="L175">
            <v>486.21528962779428</v>
          </cell>
        </row>
        <row r="177">
          <cell r="A177" t="str">
            <v>Assumptions</v>
          </cell>
        </row>
        <row r="178">
          <cell r="B178" t="str">
            <v>Days Accounts receivable (Rev)</v>
          </cell>
          <cell r="E178">
            <v>22.908253037596431</v>
          </cell>
          <cell r="F178">
            <v>43.574572791075823</v>
          </cell>
          <cell r="G178">
            <v>34.887014789986303</v>
          </cell>
          <cell r="H178">
            <v>22.193602470334294</v>
          </cell>
          <cell r="I178">
            <v>15.3</v>
          </cell>
          <cell r="J178">
            <v>15.3</v>
          </cell>
          <cell r="K178">
            <v>15.3</v>
          </cell>
          <cell r="L178">
            <v>15.3</v>
          </cell>
        </row>
        <row r="179">
          <cell r="B179" t="str">
            <v>Days Inventories (COS)</v>
          </cell>
          <cell r="E179">
            <v>93.956855772134062</v>
          </cell>
          <cell r="F179">
            <v>88.766755353063729</v>
          </cell>
          <cell r="G179">
            <v>105.67747106030454</v>
          </cell>
          <cell r="H179">
            <v>107.92501490266184</v>
          </cell>
          <cell r="I179">
            <v>108</v>
          </cell>
          <cell r="J179">
            <v>108</v>
          </cell>
          <cell r="K179">
            <v>108</v>
          </cell>
          <cell r="L179">
            <v>108</v>
          </cell>
        </row>
        <row r="180">
          <cell r="B180" t="str">
            <v>Days Other current assets (Rev)</v>
          </cell>
          <cell r="E180">
            <v>54.223269304113273</v>
          </cell>
          <cell r="F180">
            <v>57.65319820386069</v>
          </cell>
          <cell r="G180">
            <v>53.632925632257646</v>
          </cell>
          <cell r="H180">
            <v>24.4152515711103</v>
          </cell>
          <cell r="I180">
            <v>20</v>
          </cell>
          <cell r="J180">
            <v>20</v>
          </cell>
          <cell r="K180">
            <v>20</v>
          </cell>
          <cell r="L180">
            <v>20</v>
          </cell>
        </row>
        <row r="181">
          <cell r="B181" t="str">
            <v>Days Short term Debt (COS)</v>
          </cell>
          <cell r="E181">
            <v>29.48703324722381</v>
          </cell>
          <cell r="F181">
            <v>47.571963609493785</v>
          </cell>
          <cell r="G181">
            <v>33.673896292421794</v>
          </cell>
          <cell r="H181">
            <v>12.785499673767941</v>
          </cell>
          <cell r="I181">
            <v>55.501533546952608</v>
          </cell>
          <cell r="J181">
            <v>47.228950132800037</v>
          </cell>
          <cell r="K181">
            <v>44.762844359807048</v>
          </cell>
          <cell r="L181">
            <v>37.639659516675422</v>
          </cell>
        </row>
        <row r="182">
          <cell r="B182" t="str">
            <v>Days Accounts payable (COS)</v>
          </cell>
          <cell r="E182">
            <v>32.55623175764083</v>
          </cell>
          <cell r="F182">
            <v>29.222777645831894</v>
          </cell>
          <cell r="G182">
            <v>40.347184088111284</v>
          </cell>
          <cell r="H182">
            <v>40.37044588225519</v>
          </cell>
          <cell r="I182">
            <v>37.5</v>
          </cell>
          <cell r="J182">
            <v>37.5</v>
          </cell>
          <cell r="K182">
            <v>37.5</v>
          </cell>
          <cell r="L182">
            <v>37.5</v>
          </cell>
        </row>
        <row r="183">
          <cell r="B183" t="str">
            <v>Days Other current liabilities (Rev)</v>
          </cell>
          <cell r="E183">
            <v>11.715026067281947</v>
          </cell>
          <cell r="F183">
            <v>9.3513532109880479</v>
          </cell>
          <cell r="G183">
            <v>8.7306941293239113</v>
          </cell>
          <cell r="H183">
            <v>9.6862342425328389</v>
          </cell>
          <cell r="I183">
            <v>10</v>
          </cell>
          <cell r="J183">
            <v>10</v>
          </cell>
          <cell r="K183">
            <v>10</v>
          </cell>
          <cell r="L183">
            <v>10</v>
          </cell>
        </row>
        <row r="187">
          <cell r="B187" t="str">
            <v>Working Assumptions not to appear in report</v>
          </cell>
        </row>
        <row r="188">
          <cell r="B188" t="str">
            <v>Capitalization of Fixed Assets Rs. million</v>
          </cell>
          <cell r="E188">
            <v>0</v>
          </cell>
          <cell r="F188">
            <v>283</v>
          </cell>
          <cell r="G188">
            <v>234</v>
          </cell>
          <cell r="H188">
            <v>1286</v>
          </cell>
          <cell r="I188">
            <v>776.90000000000146</v>
          </cell>
          <cell r="J188">
            <v>4500</v>
          </cell>
        </row>
        <row r="189">
          <cell r="B189" t="str">
            <v>Capital Work-in Progress</v>
          </cell>
          <cell r="E189">
            <v>79</v>
          </cell>
          <cell r="F189">
            <v>162.91</v>
          </cell>
          <cell r="G189">
            <v>479.08000000000004</v>
          </cell>
          <cell r="H189">
            <v>-251.19</v>
          </cell>
          <cell r="I189">
            <v>1637.5840000000001</v>
          </cell>
          <cell r="J189">
            <v>6300</v>
          </cell>
        </row>
        <row r="190">
          <cell r="B190" t="str">
            <v>Issue size</v>
          </cell>
          <cell r="C190" t="str">
            <v>US$ m</v>
          </cell>
          <cell r="I190">
            <v>100</v>
          </cell>
        </row>
        <row r="191">
          <cell r="C191" t="str">
            <v>Exchange Rate</v>
          </cell>
          <cell r="I191">
            <v>31.37</v>
          </cell>
        </row>
        <row r="192">
          <cell r="B192" t="str">
            <v>Issue size</v>
          </cell>
          <cell r="C192" t="str">
            <v>Rs. m</v>
          </cell>
          <cell r="I192">
            <v>3137</v>
          </cell>
        </row>
        <row r="193">
          <cell r="B193" t="str">
            <v>Issue Price</v>
          </cell>
          <cell r="C193" t="str">
            <v>US$</v>
          </cell>
          <cell r="I193">
            <v>24</v>
          </cell>
        </row>
        <row r="194">
          <cell r="C194" t="str">
            <v>Rs.</v>
          </cell>
          <cell r="I194">
            <v>752.88</v>
          </cell>
        </row>
        <row r="195">
          <cell r="B195" t="str">
            <v>Equity</v>
          </cell>
          <cell r="I195">
            <v>41.666666666666671</v>
          </cell>
        </row>
        <row r="196">
          <cell r="B196" t="str">
            <v>Share Premium</v>
          </cell>
          <cell r="I196">
            <v>3095.3333333333335</v>
          </cell>
        </row>
        <row r="199">
          <cell r="C199" t="str">
            <v>Net Sales</v>
          </cell>
          <cell r="E199">
            <v>3608.3316630000008</v>
          </cell>
          <cell r="F199">
            <v>4528.6786119999997</v>
          </cell>
          <cell r="G199">
            <v>5349.7671709999995</v>
          </cell>
          <cell r="H199">
            <v>5773.018</v>
          </cell>
          <cell r="I199">
            <v>7819.0220000000008</v>
          </cell>
          <cell r="J199">
            <v>10813.960000000001</v>
          </cell>
          <cell r="K199">
            <v>10058.86</v>
          </cell>
        </row>
        <row r="200">
          <cell r="C200" t="str">
            <v>EBITDA Margin</v>
          </cell>
          <cell r="E200">
            <v>0.35513826961643147</v>
          </cell>
          <cell r="F200">
            <v>0.37909106807687942</v>
          </cell>
          <cell r="G200">
            <v>0.41491696742104811</v>
          </cell>
          <cell r="H200">
            <v>0.38982365895966387</v>
          </cell>
          <cell r="I200">
            <v>0.49080838082406875</v>
          </cell>
          <cell r="J200">
            <v>0.52911421902799727</v>
          </cell>
          <cell r="K200">
            <v>0.42854756900881419</v>
          </cell>
        </row>
        <row r="201">
          <cell r="C201" t="str">
            <v>EBIT margin</v>
          </cell>
          <cell r="E201">
            <v>0.30760383652682</v>
          </cell>
          <cell r="F201">
            <v>0.33108589512776843</v>
          </cell>
          <cell r="G201">
            <v>0.34396995461318919</v>
          </cell>
          <cell r="H201">
            <v>0.34208259873778335</v>
          </cell>
          <cell r="I201">
            <v>0.44860578822361308</v>
          </cell>
          <cell r="J201">
            <v>0.48694807452589067</v>
          </cell>
          <cell r="K201">
            <v>0.33862853245795255</v>
          </cell>
        </row>
        <row r="202">
          <cell r="C202" t="str">
            <v>PAt margin</v>
          </cell>
          <cell r="E202">
            <v>0.17912617890081153</v>
          </cell>
          <cell r="F202">
            <v>0.19491593191466683</v>
          </cell>
          <cell r="G202">
            <v>0.20085531512937674</v>
          </cell>
          <cell r="H202">
            <v>0.27374745756898744</v>
          </cell>
          <cell r="I202">
            <v>0.37297193159301301</v>
          </cell>
          <cell r="J202">
            <v>0.29726531701174008</v>
          </cell>
          <cell r="K202">
            <v>0.22479469936157259</v>
          </cell>
        </row>
        <row r="230">
          <cell r="D230" t="str">
            <v>Sales</v>
          </cell>
        </row>
        <row r="231">
          <cell r="D231" t="str">
            <v>OProfit</v>
          </cell>
        </row>
        <row r="232">
          <cell r="D232" t="str">
            <v>Margin</v>
          </cell>
        </row>
        <row r="244">
          <cell r="K244" t="e">
            <v>#REF!</v>
          </cell>
        </row>
        <row r="391">
          <cell r="A391" t="str">
            <v>Computation of Depreciation</v>
          </cell>
        </row>
        <row r="394">
          <cell r="B394" t="str">
            <v>Change in Depreciation Provision</v>
          </cell>
          <cell r="F394">
            <v>335.25</v>
          </cell>
          <cell r="G394">
            <v>3559.21</v>
          </cell>
          <cell r="H394">
            <v>956.22000000000025</v>
          </cell>
          <cell r="I394">
            <v>1017.6599999999999</v>
          </cell>
          <cell r="J394">
            <v>1146.9830000000002</v>
          </cell>
        </row>
        <row r="396">
          <cell r="B396" t="str">
            <v>Change in Revaluation REserve</v>
          </cell>
          <cell r="F396">
            <v>-126</v>
          </cell>
          <cell r="G396">
            <v>8047</v>
          </cell>
          <cell r="H396">
            <v>-756</v>
          </cell>
          <cell r="I396">
            <v>-691</v>
          </cell>
          <cell r="J396">
            <v>-691</v>
          </cell>
        </row>
        <row r="398">
          <cell r="B398" t="str">
            <v>Depreciation charge</v>
          </cell>
          <cell r="F398" t="e">
            <v>#NAME?</v>
          </cell>
          <cell r="G398" t="e">
            <v>#NAME?</v>
          </cell>
          <cell r="H398" t="e">
            <v>#NAME?</v>
          </cell>
          <cell r="I398" t="e">
            <v>#NAME?</v>
          </cell>
          <cell r="J398" t="e">
            <v>#NAME?</v>
          </cell>
        </row>
        <row r="400">
          <cell r="F400" t="e">
            <v>#NAME?</v>
          </cell>
          <cell r="G400" t="e">
            <v>#NAME?</v>
          </cell>
          <cell r="H400" t="e">
            <v>#NAME?</v>
          </cell>
          <cell r="I400" t="e">
            <v>#NAME?</v>
          </cell>
          <cell r="J400" t="e">
            <v>#NAME?</v>
          </cell>
        </row>
        <row r="402">
          <cell r="B402" t="str">
            <v>Charge to Revaluation Reserve</v>
          </cell>
          <cell r="E402">
            <v>189</v>
          </cell>
          <cell r="F402">
            <v>159</v>
          </cell>
          <cell r="G402">
            <v>126</v>
          </cell>
          <cell r="H402">
            <v>1257</v>
          </cell>
        </row>
        <row r="404">
          <cell r="B404" t="str">
            <v>Depreciation charge</v>
          </cell>
          <cell r="F404" t="e">
            <v>#NAME?</v>
          </cell>
          <cell r="G404" t="e">
            <v>#NAME?</v>
          </cell>
          <cell r="H404" t="e">
            <v>#NAME?</v>
          </cell>
        </row>
        <row r="406">
          <cell r="E406">
            <v>1993</v>
          </cell>
          <cell r="F406">
            <v>1994</v>
          </cell>
          <cell r="G406">
            <v>1995</v>
          </cell>
          <cell r="H406">
            <v>1996</v>
          </cell>
          <cell r="I406" t="str">
            <v>1997E</v>
          </cell>
          <cell r="J406" t="str">
            <v>1998E</v>
          </cell>
        </row>
        <row r="407">
          <cell r="A407" t="str">
            <v>Check on Fixed Assets</v>
          </cell>
        </row>
        <row r="409">
          <cell r="B409" t="str">
            <v>Opening balance</v>
          </cell>
          <cell r="E409">
            <v>4103</v>
          </cell>
          <cell r="F409">
            <v>4605.1000000000004</v>
          </cell>
          <cell r="G409">
            <v>5153</v>
          </cell>
          <cell r="H409">
            <v>5426.5999999999995</v>
          </cell>
          <cell r="I409">
            <v>17954.3</v>
          </cell>
          <cell r="J409">
            <v>17954.3</v>
          </cell>
        </row>
        <row r="411">
          <cell r="B411" t="str">
            <v>Add:</v>
          </cell>
        </row>
        <row r="412">
          <cell r="B412" t="str">
            <v>Capital Expenditure</v>
          </cell>
          <cell r="E412">
            <v>503</v>
          </cell>
          <cell r="F412">
            <v>549</v>
          </cell>
          <cell r="G412">
            <v>275</v>
          </cell>
          <cell r="H412">
            <v>236</v>
          </cell>
        </row>
        <row r="413">
          <cell r="B413" t="str">
            <v>Profit on Sale of Fixed Assets</v>
          </cell>
          <cell r="E413">
            <v>0</v>
          </cell>
          <cell r="F413">
            <v>0</v>
          </cell>
          <cell r="G413">
            <v>0.2</v>
          </cell>
          <cell r="H413">
            <v>0.2</v>
          </cell>
        </row>
        <row r="414">
          <cell r="B414" t="str">
            <v>REvaluation Reserve</v>
          </cell>
          <cell r="E414">
            <v>0</v>
          </cell>
          <cell r="F414">
            <v>0</v>
          </cell>
          <cell r="G414">
            <v>0</v>
          </cell>
          <cell r="H414">
            <v>9104</v>
          </cell>
        </row>
        <row r="415">
          <cell r="B415" t="str">
            <v>Merged Fixed Assets</v>
          </cell>
          <cell r="E415">
            <v>0</v>
          </cell>
          <cell r="F415">
            <v>0</v>
          </cell>
          <cell r="G415">
            <v>0</v>
          </cell>
          <cell r="H415">
            <v>3190</v>
          </cell>
        </row>
        <row r="417">
          <cell r="B417" t="str">
            <v>Deduct</v>
          </cell>
        </row>
        <row r="418">
          <cell r="B418" t="str">
            <v>Sale proceeds</v>
          </cell>
          <cell r="E418">
            <v>0.4</v>
          </cell>
          <cell r="F418">
            <v>0.5</v>
          </cell>
          <cell r="G418">
            <v>0.79999999999999982</v>
          </cell>
          <cell r="H418">
            <v>1.1999999999999997</v>
          </cell>
        </row>
        <row r="419">
          <cell r="B419" t="str">
            <v>Depreciation Reserve on sold assets</v>
          </cell>
          <cell r="E419">
            <v>0.5</v>
          </cell>
          <cell r="F419">
            <v>0.6</v>
          </cell>
          <cell r="G419">
            <v>0.8</v>
          </cell>
          <cell r="H419">
            <v>1.3</v>
          </cell>
        </row>
        <row r="421">
          <cell r="B421" t="str">
            <v>Closing Balance</v>
          </cell>
          <cell r="E421">
            <v>4605.1000000000004</v>
          </cell>
          <cell r="F421">
            <v>5153</v>
          </cell>
          <cell r="G421">
            <v>5426.5999999999995</v>
          </cell>
          <cell r="H421">
            <v>17954.3</v>
          </cell>
          <cell r="I421">
            <v>17954.3</v>
          </cell>
          <cell r="J421">
            <v>17954.3</v>
          </cell>
        </row>
        <row r="424">
          <cell r="A424" t="str">
            <v>Check on Depreciation Reserve</v>
          </cell>
        </row>
        <row r="426">
          <cell r="B426" t="str">
            <v>Opening balance</v>
          </cell>
          <cell r="E426">
            <v>2336</v>
          </cell>
          <cell r="F426">
            <v>2633.5</v>
          </cell>
          <cell r="G426">
            <v>2955.9</v>
          </cell>
          <cell r="H426">
            <v>3292.1</v>
          </cell>
          <cell r="I426">
            <v>6851.8</v>
          </cell>
          <cell r="J426">
            <v>6851.8</v>
          </cell>
        </row>
        <row r="428">
          <cell r="B428" t="str">
            <v xml:space="preserve">Add: </v>
          </cell>
        </row>
        <row r="429">
          <cell r="B429" t="str">
            <v xml:space="preserve"> Provision for Depn</v>
          </cell>
          <cell r="E429">
            <v>109</v>
          </cell>
          <cell r="F429">
            <v>164</v>
          </cell>
          <cell r="G429">
            <v>211</v>
          </cell>
          <cell r="H429">
            <v>370</v>
          </cell>
        </row>
        <row r="430">
          <cell r="B430" t="str">
            <v>Adjustment from Revaluation Res</v>
          </cell>
          <cell r="E430">
            <v>189</v>
          </cell>
          <cell r="F430">
            <v>159</v>
          </cell>
          <cell r="G430">
            <v>126</v>
          </cell>
          <cell r="H430">
            <v>1299</v>
          </cell>
        </row>
        <row r="431">
          <cell r="B431" t="str">
            <v>Accumulated Depreciation</v>
          </cell>
          <cell r="H431">
            <v>1892</v>
          </cell>
        </row>
        <row r="432">
          <cell r="B432" t="str">
            <v>of Amalgamated co</v>
          </cell>
        </row>
        <row r="433">
          <cell r="B433" t="str">
            <v>Less:</v>
          </cell>
        </row>
        <row r="434">
          <cell r="B434" t="str">
            <v>Depreciation On Sold Assets</v>
          </cell>
          <cell r="E434">
            <v>0.5</v>
          </cell>
          <cell r="F434">
            <v>0.6</v>
          </cell>
          <cell r="G434">
            <v>0.8</v>
          </cell>
          <cell r="H434">
            <v>1.3</v>
          </cell>
          <cell r="I434">
            <v>0</v>
          </cell>
          <cell r="J434">
            <v>0</v>
          </cell>
        </row>
        <row r="436">
          <cell r="B436" t="str">
            <v>Closing Balance</v>
          </cell>
          <cell r="E436">
            <v>2633.5</v>
          </cell>
          <cell r="F436">
            <v>2955.9</v>
          </cell>
          <cell r="G436">
            <v>3292.1</v>
          </cell>
          <cell r="H436">
            <v>6851.8</v>
          </cell>
          <cell r="I436">
            <v>6851.8</v>
          </cell>
          <cell r="J436">
            <v>6851.8</v>
          </cell>
        </row>
        <row r="439">
          <cell r="A439" t="str">
            <v>Check on Revaluation Reserve</v>
          </cell>
        </row>
        <row r="441">
          <cell r="B441" t="str">
            <v xml:space="preserve">Opening Balance </v>
          </cell>
          <cell r="E441">
            <v>849</v>
          </cell>
          <cell r="F441">
            <v>660</v>
          </cell>
          <cell r="G441">
            <v>501</v>
          </cell>
          <cell r="H441">
            <v>375</v>
          </cell>
          <cell r="I441">
            <v>8180</v>
          </cell>
          <cell r="J441">
            <v>8180</v>
          </cell>
        </row>
        <row r="443">
          <cell r="B443" t="str">
            <v>Add:</v>
          </cell>
        </row>
        <row r="444">
          <cell r="B444" t="str">
            <v>Revaluation  - for the year</v>
          </cell>
          <cell r="E444">
            <v>0</v>
          </cell>
          <cell r="F444">
            <v>0</v>
          </cell>
          <cell r="G444">
            <v>0</v>
          </cell>
          <cell r="H444">
            <v>9104</v>
          </cell>
          <cell r="I444">
            <v>0</v>
          </cell>
          <cell r="J444">
            <v>0</v>
          </cell>
        </row>
        <row r="447">
          <cell r="B447" t="str">
            <v>Less:</v>
          </cell>
        </row>
        <row r="448">
          <cell r="B448" t="str">
            <v>Transfer to Depreciation Reserve</v>
          </cell>
          <cell r="E448">
            <v>189</v>
          </cell>
          <cell r="F448">
            <v>159</v>
          </cell>
          <cell r="G448">
            <v>126</v>
          </cell>
          <cell r="H448">
            <v>1299</v>
          </cell>
          <cell r="I448">
            <v>0</v>
          </cell>
          <cell r="J448">
            <v>0</v>
          </cell>
        </row>
        <row r="450">
          <cell r="B450" t="str">
            <v>Closing Balance</v>
          </cell>
          <cell r="E450">
            <v>660</v>
          </cell>
          <cell r="F450">
            <v>501</v>
          </cell>
          <cell r="G450">
            <v>375</v>
          </cell>
          <cell r="H450">
            <v>8180</v>
          </cell>
          <cell r="I450">
            <v>8180</v>
          </cell>
          <cell r="J450">
            <v>8180</v>
          </cell>
        </row>
        <row r="458">
          <cell r="B458" t="str">
            <v>THE POWER PROJECT</v>
          </cell>
        </row>
        <row r="460">
          <cell r="E460">
            <v>150</v>
          </cell>
          <cell r="F460" t="str">
            <v>MW</v>
          </cell>
        </row>
        <row r="461">
          <cell r="E461">
            <v>0.95</v>
          </cell>
        </row>
        <row r="463">
          <cell r="E463">
            <v>142.5</v>
          </cell>
        </row>
        <row r="465">
          <cell r="E465">
            <v>4500</v>
          </cell>
          <cell r="F465" t="str">
            <v>million</v>
          </cell>
        </row>
        <row r="467">
          <cell r="E467">
            <v>225</v>
          </cell>
          <cell r="F467" t="str">
            <v>million</v>
          </cell>
        </row>
        <row r="469">
          <cell r="E469">
            <v>104.02499999999999</v>
          </cell>
          <cell r="F469" t="str">
            <v>million</v>
          </cell>
          <cell r="G469">
            <v>0.73205000000000031</v>
          </cell>
        </row>
        <row r="471">
          <cell r="E471">
            <v>329.02499999999998</v>
          </cell>
          <cell r="F471" t="str">
            <v>million</v>
          </cell>
        </row>
        <row r="473">
          <cell r="E473">
            <v>2.3089473684210526</v>
          </cell>
        </row>
        <row r="476">
          <cell r="B476" t="str">
            <v>THE FOIL PROJECT</v>
          </cell>
        </row>
        <row r="477">
          <cell r="E477">
            <v>1200</v>
          </cell>
          <cell r="F477" t="str">
            <v>million</v>
          </cell>
        </row>
        <row r="479">
          <cell r="E479">
            <v>5000</v>
          </cell>
          <cell r="F479" t="str">
            <v>tpa</v>
          </cell>
        </row>
        <row r="481">
          <cell r="E481">
            <v>0.85</v>
          </cell>
        </row>
        <row r="483">
          <cell r="E483">
            <v>4250</v>
          </cell>
        </row>
        <row r="485">
          <cell r="E485">
            <v>63.120000000000005</v>
          </cell>
          <cell r="F485" t="str">
            <v>million</v>
          </cell>
        </row>
        <row r="487">
          <cell r="E487">
            <v>680</v>
          </cell>
        </row>
        <row r="489">
          <cell r="E489">
            <v>0.3</v>
          </cell>
        </row>
        <row r="491">
          <cell r="E491">
            <v>204</v>
          </cell>
        </row>
        <row r="493">
          <cell r="E493">
            <v>140.88</v>
          </cell>
        </row>
        <row r="495">
          <cell r="E495">
            <v>0.11739999999999999</v>
          </cell>
        </row>
        <row r="497">
          <cell r="B497" t="str">
            <v>Rolled Product  Project</v>
          </cell>
        </row>
        <row r="499">
          <cell r="B499" t="str">
            <v>Cost of the Project</v>
          </cell>
          <cell r="E499">
            <v>3000</v>
          </cell>
          <cell r="F499" t="str">
            <v>million</v>
          </cell>
        </row>
        <row r="501">
          <cell r="B501" t="str">
            <v>Capacity</v>
          </cell>
          <cell r="E501">
            <v>40000</v>
          </cell>
        </row>
        <row r="503">
          <cell r="B503" t="str">
            <v>Cap utln</v>
          </cell>
          <cell r="E503">
            <v>0.8</v>
          </cell>
        </row>
        <row r="505">
          <cell r="B505" t="str">
            <v>Production</v>
          </cell>
          <cell r="E505">
            <v>32000</v>
          </cell>
        </row>
        <row r="507">
          <cell r="B507" t="str">
            <v>Sales</v>
          </cell>
          <cell r="E507">
            <v>2560</v>
          </cell>
        </row>
        <row r="509">
          <cell r="B509" t="str">
            <v>Gross margins</v>
          </cell>
          <cell r="E509">
            <v>0.25</v>
          </cell>
        </row>
        <row r="511">
          <cell r="B511" t="str">
            <v>GProfit</v>
          </cell>
          <cell r="E511">
            <v>640</v>
          </cell>
        </row>
        <row r="513">
          <cell r="B513" t="str">
            <v>Depreciation</v>
          </cell>
          <cell r="E513">
            <v>157.80000000000001</v>
          </cell>
        </row>
        <row r="515">
          <cell r="B515" t="str">
            <v>Net profit</v>
          </cell>
          <cell r="E515">
            <v>482.2</v>
          </cell>
        </row>
        <row r="517">
          <cell r="B517" t="str">
            <v>Return On Investment</v>
          </cell>
          <cell r="E517">
            <v>0.16073333333333334</v>
          </cell>
        </row>
        <row r="522">
          <cell r="A522" t="str">
            <v>Ingots</v>
          </cell>
        </row>
        <row r="524">
          <cell r="E524">
            <v>40000</v>
          </cell>
        </row>
        <row r="526">
          <cell r="E526">
            <v>1300</v>
          </cell>
        </row>
        <row r="528">
          <cell r="E528">
            <v>0.15</v>
          </cell>
        </row>
        <row r="530">
          <cell r="E530">
            <v>0.8</v>
          </cell>
        </row>
        <row r="532">
          <cell r="E532">
            <v>1440</v>
          </cell>
        </row>
        <row r="534">
          <cell r="E534">
            <v>216</v>
          </cell>
        </row>
        <row r="536">
          <cell r="E536">
            <v>68.38</v>
          </cell>
        </row>
        <row r="538">
          <cell r="E538">
            <v>147.62</v>
          </cell>
        </row>
        <row r="540">
          <cell r="A540" t="str">
            <v>Total Investment</v>
          </cell>
        </row>
        <row r="541">
          <cell r="E541">
            <v>5500</v>
          </cell>
        </row>
        <row r="543">
          <cell r="E543">
            <v>770.69999999999993</v>
          </cell>
        </row>
        <row r="545">
          <cell r="E545">
            <v>0.14012727272727271</v>
          </cell>
        </row>
        <row r="547">
          <cell r="E547">
            <v>1060</v>
          </cell>
        </row>
        <row r="549">
          <cell r="E549">
            <v>220</v>
          </cell>
        </row>
        <row r="550">
          <cell r="E550">
            <v>5500</v>
          </cell>
          <cell r="F550">
            <v>4125</v>
          </cell>
          <cell r="G550">
            <v>3093.75</v>
          </cell>
        </row>
        <row r="551">
          <cell r="E551" t="str">
            <v>96-97</v>
          </cell>
          <cell r="F551" t="str">
            <v>97-98</v>
          </cell>
          <cell r="G551" t="str">
            <v>98-99</v>
          </cell>
        </row>
        <row r="552">
          <cell r="E552">
            <v>840</v>
          </cell>
          <cell r="F552">
            <v>965.99999999999989</v>
          </cell>
          <cell r="G552">
            <v>1110.8999999999999</v>
          </cell>
        </row>
        <row r="553">
          <cell r="E553">
            <v>1375</v>
          </cell>
          <cell r="F553">
            <v>1031.25</v>
          </cell>
          <cell r="G553">
            <v>773.4375</v>
          </cell>
        </row>
        <row r="554">
          <cell r="E554">
            <v>-535</v>
          </cell>
          <cell r="F554">
            <v>-65.250000000000114</v>
          </cell>
          <cell r="G554">
            <v>337.46249999999986</v>
          </cell>
        </row>
        <row r="555">
          <cell r="E555">
            <v>-214</v>
          </cell>
          <cell r="F555">
            <v>-26.100000000000048</v>
          </cell>
          <cell r="G555">
            <v>134.98499999999996</v>
          </cell>
        </row>
        <row r="556">
          <cell r="E556">
            <v>4500</v>
          </cell>
          <cell r="F556">
            <v>3375</v>
          </cell>
          <cell r="G556">
            <v>2531.25</v>
          </cell>
        </row>
        <row r="557">
          <cell r="E557">
            <v>1125</v>
          </cell>
          <cell r="F557">
            <v>843.75</v>
          </cell>
          <cell r="G557">
            <v>632.8125</v>
          </cell>
        </row>
        <row r="559">
          <cell r="E559">
            <v>450</v>
          </cell>
          <cell r="F559">
            <v>337.5</v>
          </cell>
          <cell r="G559">
            <v>253.125</v>
          </cell>
        </row>
        <row r="562">
          <cell r="E562">
            <v>664</v>
          </cell>
          <cell r="F562">
            <v>363.6</v>
          </cell>
          <cell r="G562">
            <v>118.14000000000004</v>
          </cell>
        </row>
      </sheetData>
      <sheetData sheetId="23" refreshError="1">
        <row r="44">
          <cell r="C44" t="str">
            <v>OPERATING STATISTICS</v>
          </cell>
        </row>
        <row r="46">
          <cell r="C46" t="str">
            <v>Key assumptions:</v>
          </cell>
        </row>
        <row r="47">
          <cell r="C47" t="str">
            <v>Sales volume</v>
          </cell>
        </row>
        <row r="48">
          <cell r="D48" t="str">
            <v>Ingots</v>
          </cell>
          <cell r="J48">
            <v>55626</v>
          </cell>
          <cell r="K48">
            <v>70380</v>
          </cell>
          <cell r="L48">
            <v>79173</v>
          </cell>
          <cell r="M48">
            <v>71210</v>
          </cell>
          <cell r="N48">
            <v>66985</v>
          </cell>
          <cell r="O48">
            <v>81454</v>
          </cell>
          <cell r="P48">
            <v>92329</v>
          </cell>
        </row>
        <row r="49">
          <cell r="D49" t="str">
            <v>Rolled products</v>
          </cell>
          <cell r="J49">
            <v>27955</v>
          </cell>
          <cell r="K49">
            <v>29856</v>
          </cell>
          <cell r="L49">
            <v>28533</v>
          </cell>
          <cell r="M49">
            <v>30055</v>
          </cell>
          <cell r="N49">
            <v>36834</v>
          </cell>
          <cell r="O49">
            <v>31794</v>
          </cell>
          <cell r="P49">
            <v>18980</v>
          </cell>
        </row>
        <row r="50">
          <cell r="D50" t="str">
            <v>Conductor redraw rods</v>
          </cell>
          <cell r="J50">
            <v>33399</v>
          </cell>
          <cell r="K50">
            <v>36507</v>
          </cell>
          <cell r="L50">
            <v>36170</v>
          </cell>
          <cell r="M50">
            <v>40146</v>
          </cell>
          <cell r="N50">
            <v>43333</v>
          </cell>
          <cell r="O50">
            <v>46735</v>
          </cell>
          <cell r="P50">
            <v>42254</v>
          </cell>
        </row>
        <row r="51">
          <cell r="D51" t="str">
            <v>Extrusions</v>
          </cell>
          <cell r="J51">
            <v>8869</v>
          </cell>
          <cell r="K51">
            <v>10327</v>
          </cell>
          <cell r="L51">
            <v>9888</v>
          </cell>
          <cell r="M51">
            <v>9639</v>
          </cell>
          <cell r="N51">
            <v>11093</v>
          </cell>
          <cell r="O51">
            <v>12517</v>
          </cell>
          <cell r="P51">
            <v>11854</v>
          </cell>
        </row>
        <row r="52">
          <cell r="D52" t="str">
            <v>Foils</v>
          </cell>
          <cell r="J52">
            <v>0</v>
          </cell>
          <cell r="K52">
            <v>0</v>
          </cell>
          <cell r="L52">
            <v>0</v>
          </cell>
          <cell r="M52">
            <v>0</v>
          </cell>
          <cell r="N52">
            <v>0</v>
          </cell>
          <cell r="O52">
            <v>0</v>
          </cell>
          <cell r="P52">
            <v>0</v>
          </cell>
        </row>
        <row r="53">
          <cell r="J53">
            <v>125849</v>
          </cell>
          <cell r="K53">
            <v>147070</v>
          </cell>
          <cell r="L53">
            <v>153764</v>
          </cell>
          <cell r="M53">
            <v>151050</v>
          </cell>
          <cell r="N53">
            <v>158245</v>
          </cell>
          <cell r="O53">
            <v>172500</v>
          </cell>
          <cell r="P53">
            <v>165417</v>
          </cell>
        </row>
        <row r="55">
          <cell r="C55" t="str">
            <v>Sales realisation (rs)</v>
          </cell>
        </row>
        <row r="56">
          <cell r="D56" t="str">
            <v>Ingots</v>
          </cell>
          <cell r="J56">
            <v>44137</v>
          </cell>
          <cell r="K56">
            <v>47606</v>
          </cell>
          <cell r="L56">
            <v>51217</v>
          </cell>
          <cell r="M56">
            <v>52619.688246032863</v>
          </cell>
          <cell r="N56">
            <v>62847.577815928948</v>
          </cell>
          <cell r="O56">
            <v>73986.544552753709</v>
          </cell>
          <cell r="P56">
            <v>69552.469971514904</v>
          </cell>
        </row>
        <row r="57">
          <cell r="D57" t="str">
            <v>Rolled products</v>
          </cell>
          <cell r="J57">
            <v>58671</v>
          </cell>
          <cell r="K57">
            <v>66247</v>
          </cell>
          <cell r="L57">
            <v>75982</v>
          </cell>
          <cell r="M57">
            <v>74904.841124604878</v>
          </cell>
          <cell r="N57">
            <v>83937.611988923265</v>
          </cell>
          <cell r="O57">
            <v>96177.580675599165</v>
          </cell>
          <cell r="P57">
            <v>94963.645943098003</v>
          </cell>
        </row>
        <row r="58">
          <cell r="D58" t="str">
            <v>Conductor redraw rods</v>
          </cell>
          <cell r="J58">
            <v>46394.000000000007</v>
          </cell>
          <cell r="K58">
            <v>50897</v>
          </cell>
          <cell r="L58">
            <v>56683.024606027095</v>
          </cell>
          <cell r="M58">
            <v>57269.466447466744</v>
          </cell>
          <cell r="N58">
            <v>68169.016684743736</v>
          </cell>
          <cell r="O58">
            <v>79486.038301059176</v>
          </cell>
          <cell r="P58">
            <v>78995.361385904296</v>
          </cell>
        </row>
        <row r="59">
          <cell r="D59" t="str">
            <v>Extrusions</v>
          </cell>
          <cell r="J59">
            <v>58809.999999999993</v>
          </cell>
          <cell r="K59">
            <v>66823.000000000015</v>
          </cell>
          <cell r="L59">
            <v>75498</v>
          </cell>
          <cell r="M59">
            <v>72680.257288100431</v>
          </cell>
          <cell r="N59">
            <v>84899.846750202851</v>
          </cell>
          <cell r="O59">
            <v>103046.25709035712</v>
          </cell>
          <cell r="P59">
            <v>104115.91024126878</v>
          </cell>
        </row>
        <row r="60">
          <cell r="D60" t="str">
            <v>Foils</v>
          </cell>
          <cell r="O60" t="e">
            <v>#DIV/0!</v>
          </cell>
          <cell r="P60" t="e">
            <v>#DIV/0!</v>
          </cell>
        </row>
        <row r="62">
          <cell r="C62" t="str">
            <v>Cost of goods sold (Rs m)</v>
          </cell>
        </row>
        <row r="63">
          <cell r="D63" t="str">
            <v>Raw materials</v>
          </cell>
          <cell r="J63">
            <v>1768.875</v>
          </cell>
          <cell r="K63">
            <v>2284.8969999999999</v>
          </cell>
          <cell r="L63">
            <v>2413.058</v>
          </cell>
          <cell r="M63">
            <v>2218.7389999999996</v>
          </cell>
          <cell r="N63">
            <v>2285.0629999999996</v>
          </cell>
          <cell r="O63">
            <v>2384.0400000000004</v>
          </cell>
          <cell r="P63">
            <v>2778.32</v>
          </cell>
        </row>
        <row r="64">
          <cell r="D64" t="str">
            <v>Power</v>
          </cell>
          <cell r="J64">
            <v>1353</v>
          </cell>
          <cell r="K64">
            <v>1741.0000000000002</v>
          </cell>
          <cell r="L64">
            <v>1672</v>
          </cell>
          <cell r="M64">
            <v>1747</v>
          </cell>
          <cell r="N64">
            <v>1992.3844725522292</v>
          </cell>
          <cell r="O64">
            <v>2482.8122474431975</v>
          </cell>
          <cell r="P64">
            <v>2371.8565703534473</v>
          </cell>
        </row>
        <row r="65">
          <cell r="D65" t="str">
            <v>Other manufacturing expenses</v>
          </cell>
        </row>
        <row r="66">
          <cell r="E66" t="str">
            <v>Stores &amp; spares</v>
          </cell>
          <cell r="J66">
            <v>231</v>
          </cell>
          <cell r="K66">
            <v>260</v>
          </cell>
          <cell r="L66">
            <v>291</v>
          </cell>
          <cell r="M66">
            <v>314.43</v>
          </cell>
          <cell r="N66">
            <v>401.13</v>
          </cell>
          <cell r="O66">
            <v>498.13</v>
          </cell>
          <cell r="P66">
            <v>469.45</v>
          </cell>
        </row>
        <row r="67">
          <cell r="E67" t="str">
            <v>Repairs &amp; maintenance</v>
          </cell>
          <cell r="J67">
            <v>65</v>
          </cell>
          <cell r="K67">
            <v>93</v>
          </cell>
          <cell r="L67">
            <v>96</v>
          </cell>
          <cell r="M67">
            <v>99</v>
          </cell>
          <cell r="N67">
            <v>179.05</v>
          </cell>
          <cell r="O67">
            <v>198.05</v>
          </cell>
          <cell r="P67">
            <v>171.1</v>
          </cell>
        </row>
        <row r="68">
          <cell r="E68" t="str">
            <v>Others</v>
          </cell>
          <cell r="J68">
            <v>1</v>
          </cell>
          <cell r="K68">
            <v>1</v>
          </cell>
          <cell r="L68">
            <v>3</v>
          </cell>
          <cell r="M68">
            <v>4</v>
          </cell>
          <cell r="N68">
            <v>8.7189999999999994</v>
          </cell>
          <cell r="O68">
            <v>3.3899999999999997</v>
          </cell>
          <cell r="P68">
            <v>5.99</v>
          </cell>
        </row>
        <row r="69">
          <cell r="J69">
            <v>3418.875</v>
          </cell>
          <cell r="K69">
            <v>4379.8969999999999</v>
          </cell>
          <cell r="L69">
            <v>4475.058</v>
          </cell>
          <cell r="M69">
            <v>4383.1689999999999</v>
          </cell>
          <cell r="N69">
            <v>4866.346472552229</v>
          </cell>
          <cell r="O69">
            <v>5566.4222474431981</v>
          </cell>
          <cell r="P69">
            <v>5796.7165703534474</v>
          </cell>
        </row>
        <row r="70">
          <cell r="D70" t="str">
            <v>Employee cost</v>
          </cell>
        </row>
        <row r="71">
          <cell r="E71" t="str">
            <v>Salaries &amp; wages</v>
          </cell>
          <cell r="J71">
            <v>264</v>
          </cell>
          <cell r="K71">
            <v>289</v>
          </cell>
          <cell r="L71">
            <v>323</v>
          </cell>
          <cell r="M71">
            <v>363</v>
          </cell>
          <cell r="N71">
            <v>432</v>
          </cell>
          <cell r="O71">
            <v>572.69000000000005</v>
          </cell>
          <cell r="P71">
            <v>634.66</v>
          </cell>
        </row>
        <row r="72">
          <cell r="E72" t="str">
            <v>Others</v>
          </cell>
          <cell r="J72">
            <v>85</v>
          </cell>
          <cell r="K72">
            <v>93</v>
          </cell>
          <cell r="L72">
            <v>112</v>
          </cell>
          <cell r="M72">
            <v>135</v>
          </cell>
          <cell r="N72">
            <v>161</v>
          </cell>
          <cell r="O72">
            <v>179.91</v>
          </cell>
          <cell r="P72">
            <v>265.65999999999997</v>
          </cell>
        </row>
        <row r="73">
          <cell r="J73">
            <v>3767.875</v>
          </cell>
          <cell r="K73">
            <v>4761.8969999999999</v>
          </cell>
          <cell r="L73">
            <v>4910.058</v>
          </cell>
          <cell r="M73">
            <v>4881.1689999999999</v>
          </cell>
          <cell r="N73">
            <v>5459.346472552229</v>
          </cell>
          <cell r="O73">
            <v>6319.0222474431976</v>
          </cell>
          <cell r="P73">
            <v>6697.0365703534471</v>
          </cell>
        </row>
        <row r="74">
          <cell r="D74" t="str">
            <v>Stock adjustment</v>
          </cell>
          <cell r="J74">
            <v>-42</v>
          </cell>
          <cell r="K74">
            <v>-143</v>
          </cell>
          <cell r="L74">
            <v>76</v>
          </cell>
          <cell r="M74">
            <v>-54.850000000000023</v>
          </cell>
          <cell r="N74">
            <v>-197.8359999999999</v>
          </cell>
          <cell r="O74">
            <v>-135.91</v>
          </cell>
          <cell r="P74">
            <v>-173.28</v>
          </cell>
        </row>
        <row r="75">
          <cell r="D75" t="str">
            <v>Total</v>
          </cell>
          <cell r="J75">
            <v>3725.875</v>
          </cell>
          <cell r="K75">
            <v>4618.8969999999999</v>
          </cell>
          <cell r="L75">
            <v>4986.058</v>
          </cell>
          <cell r="M75">
            <v>4826.3189999999995</v>
          </cell>
          <cell r="N75">
            <v>5261.5104725522287</v>
          </cell>
          <cell r="O75">
            <v>6183.1122474431977</v>
          </cell>
          <cell r="P75">
            <v>6523.7565703534474</v>
          </cell>
        </row>
        <row r="77">
          <cell r="C77" t="str">
            <v>Selling, general &amp; administration (Rs m)</v>
          </cell>
        </row>
        <row r="78">
          <cell r="D78" t="str">
            <v xml:space="preserve">Packaging, Forwarding &amp; Transport </v>
          </cell>
          <cell r="J78">
            <v>33</v>
          </cell>
          <cell r="K78">
            <v>61</v>
          </cell>
          <cell r="L78">
            <v>119</v>
          </cell>
          <cell r="M78">
            <v>125</v>
          </cell>
          <cell r="N78">
            <v>156.25</v>
          </cell>
          <cell r="O78">
            <v>195.3125</v>
          </cell>
          <cell r="P78">
            <v>244.140625</v>
          </cell>
        </row>
        <row r="79">
          <cell r="D79" t="str">
            <v>Commission &amp; sales</v>
          </cell>
          <cell r="J79">
            <v>32</v>
          </cell>
          <cell r="K79">
            <v>45</v>
          </cell>
          <cell r="L79">
            <v>43</v>
          </cell>
          <cell r="M79">
            <v>59.24</v>
          </cell>
          <cell r="N79">
            <v>71.087999999999994</v>
          </cell>
          <cell r="O79">
            <v>92.414400000000001</v>
          </cell>
          <cell r="P79">
            <v>120.13872000000001</v>
          </cell>
        </row>
        <row r="80">
          <cell r="D80" t="str">
            <v>Insurance</v>
          </cell>
          <cell r="J80">
            <v>14</v>
          </cell>
          <cell r="K80">
            <v>19</v>
          </cell>
          <cell r="L80">
            <v>52</v>
          </cell>
          <cell r="M80">
            <v>57</v>
          </cell>
          <cell r="N80">
            <v>62.7</v>
          </cell>
          <cell r="O80">
            <v>68.97</v>
          </cell>
          <cell r="P80">
            <v>75.867000000000019</v>
          </cell>
        </row>
        <row r="81">
          <cell r="D81" t="str">
            <v>Travelling</v>
          </cell>
          <cell r="J81">
            <v>5.4</v>
          </cell>
          <cell r="K81">
            <v>20</v>
          </cell>
          <cell r="L81">
            <v>29</v>
          </cell>
          <cell r="M81">
            <v>39</v>
          </cell>
          <cell r="N81">
            <v>44.85</v>
          </cell>
          <cell r="O81">
            <v>51.577500000000001</v>
          </cell>
          <cell r="P81">
            <v>59.314124999999983</v>
          </cell>
        </row>
        <row r="82">
          <cell r="D82" t="str">
            <v>Others</v>
          </cell>
          <cell r="J82">
            <v>70.599999999999994</v>
          </cell>
          <cell r="K82">
            <v>63</v>
          </cell>
          <cell r="L82">
            <v>104</v>
          </cell>
          <cell r="M82">
            <v>138</v>
          </cell>
          <cell r="N82">
            <v>158.69999999999999</v>
          </cell>
          <cell r="O82">
            <v>182.505</v>
          </cell>
          <cell r="P82">
            <v>209.88074999999995</v>
          </cell>
        </row>
        <row r="83">
          <cell r="D83" t="str">
            <v>Total</v>
          </cell>
          <cell r="J83">
            <v>155</v>
          </cell>
          <cell r="K83">
            <v>208</v>
          </cell>
          <cell r="L83">
            <v>347</v>
          </cell>
          <cell r="M83">
            <v>418.24</v>
          </cell>
          <cell r="N83">
            <v>493.58800000000002</v>
          </cell>
          <cell r="O83">
            <v>590.77940000000001</v>
          </cell>
          <cell r="P83">
            <v>709.34122000000002</v>
          </cell>
        </row>
      </sheetData>
      <sheetData sheetId="24"/>
      <sheetData sheetId="25"/>
      <sheetData sheetId="26"/>
      <sheetData sheetId="27"/>
      <sheetData sheetId="28"/>
      <sheetData sheetId="2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template"/>
      <sheetName val="Cobook"/>
      <sheetName val="MenuData"/>
    </sheetNames>
    <sheetDataSet>
      <sheetData sheetId="0" refreshError="1"/>
      <sheetData sheetId="1" refreshError="1"/>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rged optg assumptions"/>
      <sheetName val="Database"/>
      <sheetName val="consolidated"/>
      <sheetName val="Cover"/>
      <sheetName val="Financials1"/>
      <sheetName val="Financial2"/>
      <sheetName val="HNDL"/>
      <sheetName val="one-sheet-model"/>
      <sheetName val="CLSA"/>
      <sheetName val="Merged valuations"/>
      <sheetName val="Merged P&amp;L"/>
      <sheetName val="Merged -BS"/>
      <sheetName val="Merged Cash flow"/>
      <sheetName val="Alum=&gt;"/>
      <sheetName val="Alu-P&amp;L"/>
      <sheetName val="Alu-Balsheet"/>
      <sheetName val="Alu-cashflow"/>
      <sheetName val="Alu-Sales"/>
      <sheetName val="Alu-RawM"/>
      <sheetName val="Alu-Costs"/>
      <sheetName val="Alu-Capex-Assump"/>
      <sheetName val="Std "/>
      <sheetName val="Alu-Interims "/>
      <sheetName val="Copper=&gt;"/>
      <sheetName val="Copper- P&amp;L"/>
      <sheetName val="Copper-B_S"/>
      <sheetName val="Copper-Cash flow"/>
      <sheetName val="Copper-assumptions summary"/>
      <sheetName val="Copper-Sales assump"/>
      <sheetName val="Copper-Raw mtl"/>
      <sheetName val="Copper- Expenses"/>
      <sheetName val="Copper-Depn"/>
      <sheetName val="Merged assumptions"/>
      <sheetName val="Std i"/>
      <sheetName val="copper-Interims"/>
      <sheetName val="UploadCheck"/>
      <sheetName val="EVA"/>
      <sheetName val="power plant"/>
      <sheetName val="changes"/>
      <sheetName val="Interims"/>
      <sheetName val="Prod.costbkup"/>
      <sheetName val="Indal"/>
      <sheetName val="Summary"/>
      <sheetName val="Consoli-model"/>
      <sheetName val="GEMiUploadCheck"/>
      <sheetName val="Sensex_weightings"/>
      <sheetName val="HALC"/>
      <sheetName val="Sheet1"/>
    </sheetNames>
    <sheetDataSet>
      <sheetData sheetId="0" refreshError="1"/>
      <sheetData sheetId="1" refreshError="1">
        <row r="1">
          <cell r="E1" t="str">
            <v>FY93</v>
          </cell>
          <cell r="F1" t="str">
            <v>FY94</v>
          </cell>
          <cell r="G1" t="str">
            <v>FY95</v>
          </cell>
          <cell r="H1" t="str">
            <v>FY96</v>
          </cell>
          <cell r="I1" t="str">
            <v>FY97</v>
          </cell>
          <cell r="J1" t="str">
            <v>FY98</v>
          </cell>
          <cell r="K1" t="str">
            <v>FY99</v>
          </cell>
          <cell r="L1" t="str">
            <v>FY00</v>
          </cell>
          <cell r="M1" t="str">
            <v>FY01</v>
          </cell>
          <cell r="N1" t="str">
            <v>FY02</v>
          </cell>
          <cell r="O1" t="str">
            <v>FY03</v>
          </cell>
          <cell r="P1" t="str">
            <v>FY04</v>
          </cell>
          <cell r="Q1" t="str">
            <v>FY05</v>
          </cell>
        </row>
        <row r="2">
          <cell r="E2" t="str">
            <v>erp</v>
          </cell>
        </row>
        <row r="3">
          <cell r="E3" t="str">
            <v>ltgr</v>
          </cell>
        </row>
        <row r="4">
          <cell r="E4" t="str">
            <v>dtoev</v>
          </cell>
        </row>
        <row r="5">
          <cell r="E5" t="str">
            <v>dcfv</v>
          </cell>
        </row>
        <row r="6">
          <cell r="E6" t="str">
            <v>result</v>
          </cell>
          <cell r="F6">
            <v>37711</v>
          </cell>
        </row>
        <row r="7">
          <cell r="E7">
            <v>34059</v>
          </cell>
          <cell r="F7">
            <v>34424</v>
          </cell>
          <cell r="G7">
            <v>34789</v>
          </cell>
          <cell r="H7">
            <v>35155</v>
          </cell>
          <cell r="I7">
            <v>35520</v>
          </cell>
          <cell r="J7">
            <v>35885</v>
          </cell>
          <cell r="K7">
            <v>36250</v>
          </cell>
          <cell r="L7">
            <v>36616</v>
          </cell>
          <cell r="M7">
            <v>36981</v>
          </cell>
          <cell r="N7">
            <v>37346</v>
          </cell>
          <cell r="O7">
            <v>37711</v>
          </cell>
          <cell r="P7">
            <v>38077</v>
          </cell>
          <cell r="Q7">
            <v>38442</v>
          </cell>
        </row>
        <row r="8">
          <cell r="A8" t="str">
            <v>x</v>
          </cell>
          <cell r="B8" t="str">
            <v>ime</v>
          </cell>
          <cell r="C8" t="str">
            <v>Number of month end</v>
          </cell>
          <cell r="D8">
            <v>1</v>
          </cell>
          <cell r="E8">
            <v>3</v>
          </cell>
          <cell r="F8">
            <v>3</v>
          </cell>
          <cell r="G8">
            <v>3</v>
          </cell>
          <cell r="H8">
            <v>3</v>
          </cell>
          <cell r="I8">
            <v>3</v>
          </cell>
          <cell r="J8">
            <v>3</v>
          </cell>
          <cell r="K8">
            <v>3</v>
          </cell>
          <cell r="L8">
            <v>3</v>
          </cell>
          <cell r="M8">
            <v>3</v>
          </cell>
          <cell r="N8">
            <v>3</v>
          </cell>
          <cell r="O8">
            <v>3</v>
          </cell>
          <cell r="P8">
            <v>3</v>
          </cell>
          <cell r="Q8">
            <v>3</v>
          </cell>
          <cell r="R8">
            <v>3</v>
          </cell>
        </row>
        <row r="9">
          <cell r="A9" t="str">
            <v>x</v>
          </cell>
          <cell r="B9" t="str">
            <v>inm</v>
          </cell>
          <cell r="C9" t="str">
            <v>Number of months in year</v>
          </cell>
          <cell r="D9">
            <v>1</v>
          </cell>
          <cell r="E9">
            <v>12</v>
          </cell>
          <cell r="F9">
            <v>12</v>
          </cell>
          <cell r="G9">
            <v>12</v>
          </cell>
          <cell r="H9">
            <v>12</v>
          </cell>
          <cell r="I9">
            <v>12</v>
          </cell>
          <cell r="J9">
            <v>12</v>
          </cell>
          <cell r="K9">
            <v>12</v>
          </cell>
          <cell r="L9">
            <v>12</v>
          </cell>
          <cell r="M9">
            <v>12</v>
          </cell>
          <cell r="N9">
            <v>12</v>
          </cell>
          <cell r="O9">
            <v>12</v>
          </cell>
          <cell r="P9">
            <v>12</v>
          </cell>
          <cell r="Q9">
            <v>12</v>
          </cell>
          <cell r="R9">
            <v>12</v>
          </cell>
        </row>
        <row r="10">
          <cell r="E10" t="str">
            <v>Fill in the cells in Yellow, leave the cells in white, cells in blue &amp; green are voluntary</v>
          </cell>
        </row>
        <row r="11">
          <cell r="E11" t="str">
            <v>Check decimal places in market cap calc in row 204</v>
          </cell>
        </row>
        <row r="12">
          <cell r="E12" t="str">
            <v>fullname</v>
          </cell>
          <cell r="F12" t="str">
            <v>Hindalco</v>
          </cell>
        </row>
        <row r="13">
          <cell r="E13" t="str">
            <v>lastupload</v>
          </cell>
          <cell r="F13">
            <v>38011</v>
          </cell>
        </row>
        <row r="14">
          <cell r="E14" t="str">
            <v>shortname</v>
          </cell>
        </row>
        <row r="15">
          <cell r="E15" t="str">
            <v>isc</v>
          </cell>
          <cell r="F15" t="str">
            <v>HALC</v>
          </cell>
        </row>
        <row r="16">
          <cell r="E16" t="str">
            <v>clsa_id</v>
          </cell>
          <cell r="F16">
            <v>1156</v>
          </cell>
        </row>
        <row r="17">
          <cell r="E17" t="str">
            <v>ric_chart</v>
          </cell>
          <cell r="F17" t="str">
            <v>HALC.BO</v>
          </cell>
        </row>
        <row r="18">
          <cell r="E18" t="str">
            <v>ric_local</v>
          </cell>
          <cell r="F18" t="str">
            <v>HALC.BO</v>
          </cell>
        </row>
        <row r="19">
          <cell r="E19" t="str">
            <v>ric_valu</v>
          </cell>
          <cell r="F19" t="str">
            <v>HALC.BO</v>
          </cell>
        </row>
        <row r="20">
          <cell r="E20" t="str">
            <v>isf</v>
          </cell>
          <cell r="F20" t="str">
            <v>HALC</v>
          </cell>
        </row>
        <row r="21">
          <cell r="E21" t="str">
            <v>ric</v>
          </cell>
          <cell r="F21" t="str">
            <v>HALC.BO</v>
          </cell>
        </row>
        <row r="22">
          <cell r="E22" t="str">
            <v>ricf</v>
          </cell>
        </row>
        <row r="23">
          <cell r="E23" t="str">
            <v>rica</v>
          </cell>
        </row>
        <row r="24">
          <cell r="E24" t="str">
            <v>ricx</v>
          </cell>
        </row>
        <row r="25">
          <cell r="E25" t="str">
            <v>bbt</v>
          </cell>
          <cell r="F25" t="str">
            <v>NHNDL IS</v>
          </cell>
        </row>
        <row r="26">
          <cell r="E26" t="str">
            <v>bbf</v>
          </cell>
        </row>
        <row r="27">
          <cell r="E27" t="str">
            <v>bba</v>
          </cell>
        </row>
        <row r="28">
          <cell r="E28" t="str">
            <v>bbx</v>
          </cell>
        </row>
        <row r="29">
          <cell r="E29" t="str">
            <v>extel</v>
          </cell>
          <cell r="F29">
            <v>27385</v>
          </cell>
        </row>
        <row r="30">
          <cell r="E30" t="str">
            <v>ibes</v>
          </cell>
          <cell r="F30" t="str">
            <v>@3HA</v>
          </cell>
        </row>
        <row r="31">
          <cell r="E31" t="str">
            <v>stype</v>
          </cell>
          <cell r="F31"/>
        </row>
        <row r="32">
          <cell r="E32" t="str">
            <v>par</v>
          </cell>
          <cell r="F32">
            <v>10</v>
          </cell>
        </row>
        <row r="33">
          <cell r="E33" t="str">
            <v>atype</v>
          </cell>
          <cell r="F33"/>
        </row>
        <row r="34">
          <cell r="E34" t="str">
            <v>website</v>
          </cell>
        </row>
        <row r="35">
          <cell r="E35" t="str">
            <v>listdate</v>
          </cell>
        </row>
        <row r="36">
          <cell r="E36" t="str">
            <v>ipoprice</v>
          </cell>
        </row>
        <row r="37">
          <cell r="E37" t="str">
            <v>cover</v>
          </cell>
          <cell r="F37">
            <v>1</v>
          </cell>
        </row>
        <row r="38">
          <cell r="E38" t="str">
            <v>ccode</v>
          </cell>
          <cell r="F38" t="str">
            <v>IN</v>
          </cell>
        </row>
        <row r="39">
          <cell r="E39" t="str">
            <v>icu</v>
          </cell>
          <cell r="F39" t="str">
            <v>INR</v>
          </cell>
        </row>
        <row r="40">
          <cell r="E40" t="str">
            <v>aratio</v>
          </cell>
          <cell r="F40"/>
        </row>
        <row r="41">
          <cell r="E41" t="str">
            <v>ict</v>
          </cell>
          <cell r="F41"/>
        </row>
        <row r="42">
          <cell r="E42" t="str">
            <v>icf</v>
          </cell>
        </row>
        <row r="43">
          <cell r="E43" t="str">
            <v>ica</v>
          </cell>
        </row>
        <row r="44">
          <cell r="E44" t="str">
            <v>ise</v>
          </cell>
          <cell r="F44" t="str">
            <v>MATE</v>
          </cell>
        </row>
        <row r="45">
          <cell r="E45" t="str">
            <v>sector</v>
          </cell>
          <cell r="F45" t="str">
            <v>Materials</v>
          </cell>
        </row>
        <row r="46">
          <cell r="E46" t="str">
            <v>isb</v>
          </cell>
          <cell r="F46" t="str">
            <v>METAL</v>
          </cell>
        </row>
        <row r="47">
          <cell r="E47" t="str">
            <v>subsector</v>
          </cell>
          <cell r="F47" t="str">
            <v>Metals &amp; Mining</v>
          </cell>
        </row>
        <row r="48">
          <cell r="E48" t="str">
            <v>alogin</v>
          </cell>
          <cell r="F48" t="str">
            <v>krishnan</v>
          </cell>
        </row>
        <row r="49">
          <cell r="E49" t="str">
            <v>alogin_2</v>
          </cell>
          <cell r="F49" t="str">
            <v>panjwanir</v>
          </cell>
        </row>
        <row r="50">
          <cell r="E50" t="str">
            <v>alogin_3</v>
          </cell>
        </row>
        <row r="51">
          <cell r="E51" t="str">
            <v>iva</v>
          </cell>
          <cell r="G51" t="str">
            <v>&lt;&lt;&lt;Fair valuation input here</v>
          </cell>
        </row>
        <row r="52">
          <cell r="E52" t="str">
            <v>rec</v>
          </cell>
          <cell r="F52" t="str">
            <v>OUTPERFORM</v>
          </cell>
        </row>
        <row r="53">
          <cell r="E53" t="str">
            <v>ipr</v>
          </cell>
          <cell r="F53">
            <v>414</v>
          </cell>
        </row>
        <row r="54">
          <cell r="E54" t="str">
            <v>iex</v>
          </cell>
          <cell r="F54">
            <v>42.5</v>
          </cell>
        </row>
        <row r="55">
          <cell r="E55" t="str">
            <v>ipu</v>
          </cell>
          <cell r="F55">
            <v>9.7411764705882344</v>
          </cell>
        </row>
        <row r="56">
          <cell r="E56" t="str">
            <v>recdate</v>
          </cell>
        </row>
        <row r="57">
          <cell r="E57" t="str">
            <v>target</v>
          </cell>
          <cell r="F57">
            <v>1600</v>
          </cell>
        </row>
        <row r="58">
          <cell r="E58" t="str">
            <v>beta</v>
          </cell>
        </row>
        <row r="59">
          <cell r="E59" t="str">
            <v>jetstream</v>
          </cell>
          <cell r="F59">
            <v>1</v>
          </cell>
        </row>
        <row r="60">
          <cell r="E60" t="str">
            <v>jetstream_01</v>
          </cell>
          <cell r="F60">
            <v>3</v>
          </cell>
        </row>
        <row r="61">
          <cell r="E61" t="str">
            <v>jetstream_02</v>
          </cell>
          <cell r="F61">
            <v>3</v>
          </cell>
        </row>
        <row r="62">
          <cell r="E62" t="str">
            <v>jetstream_03</v>
          </cell>
          <cell r="F62">
            <v>3</v>
          </cell>
        </row>
        <row r="63">
          <cell r="E63" t="str">
            <v>jetstream_04</v>
          </cell>
          <cell r="F63">
            <v>2.5979000000000001</v>
          </cell>
        </row>
        <row r="64">
          <cell r="E64" t="str">
            <v>jetstream_05</v>
          </cell>
          <cell r="F64">
            <v>2</v>
          </cell>
        </row>
        <row r="65">
          <cell r="E65" t="str">
            <v>jetstream_06</v>
          </cell>
          <cell r="F65">
            <v>2</v>
          </cell>
        </row>
        <row r="66">
          <cell r="E66" t="str">
            <v>irp</v>
          </cell>
          <cell r="F66" t="str">
            <v>Buy</v>
          </cell>
        </row>
        <row r="67">
          <cell r="E67" t="str">
            <v>ifo</v>
          </cell>
          <cell r="F67">
            <v>2004</v>
          </cell>
        </row>
        <row r="68">
          <cell r="E68" t="str">
            <v>ihd</v>
          </cell>
          <cell r="F68">
            <v>1997</v>
          </cell>
        </row>
        <row r="69">
          <cell r="E69" t="str">
            <v>ifd</v>
          </cell>
          <cell r="F69">
            <v>2006</v>
          </cell>
        </row>
        <row r="70">
          <cell r="E70" t="str">
            <v>ishares</v>
          </cell>
          <cell r="F70">
            <v>92464000</v>
          </cell>
          <cell r="G70" t="str">
            <v>&lt;&lt;&lt;Actual no of shares (not millions)</v>
          </cell>
          <cell r="O70" t="str">
            <v>Only alu</v>
          </cell>
          <cell r="P70">
            <v>84944.420904928542</v>
          </cell>
          <cell r="Q70">
            <v>92944.778863913802</v>
          </cell>
        </row>
        <row r="71">
          <cell r="E71" t="str">
            <v>lshares</v>
          </cell>
          <cell r="F71">
            <v>92464000</v>
          </cell>
          <cell r="P71">
            <v>10201.341442838964</v>
          </cell>
          <cell r="Q71">
            <v>11724.546741028798</v>
          </cell>
        </row>
        <row r="72">
          <cell r="E72" t="str">
            <v>forlimit</v>
          </cell>
          <cell r="F72">
            <v>0.49</v>
          </cell>
          <cell r="P72">
            <v>110.32771070729109</v>
          </cell>
          <cell r="Q72">
            <v>126.80120631844606</v>
          </cell>
        </row>
        <row r="73">
          <cell r="E73" t="str">
            <v>foractual</v>
          </cell>
          <cell r="F73">
            <v>0.33999999999999997</v>
          </cell>
        </row>
        <row r="74">
          <cell r="E74" t="str">
            <v>cbo_val_p</v>
          </cell>
          <cell r="F74" t="str">
            <v>PER</v>
          </cell>
        </row>
        <row r="75">
          <cell r="E75" t="str">
            <v>target_bsp</v>
          </cell>
          <cell r="F75">
            <v>18</v>
          </cell>
        </row>
        <row r="76">
          <cell r="E76" t="str">
            <v>target_nop</v>
          </cell>
          <cell r="F76">
            <v>12</v>
          </cell>
        </row>
        <row r="77">
          <cell r="E77" t="str">
            <v>target_rsp</v>
          </cell>
          <cell r="F77">
            <v>7</v>
          </cell>
        </row>
        <row r="78">
          <cell r="E78" t="str">
            <v>cbo_val_s</v>
          </cell>
          <cell r="F78" t="str">
            <v>PBV</v>
          </cell>
          <cell r="Q78">
            <v>-3.1525228053147156E-2</v>
          </cell>
        </row>
        <row r="79">
          <cell r="E79" t="str">
            <v>target_bss</v>
          </cell>
          <cell r="F79">
            <v>2.1</v>
          </cell>
        </row>
        <row r="80">
          <cell r="E80" t="str">
            <v>target_nos</v>
          </cell>
          <cell r="F80">
            <v>1.5</v>
          </cell>
          <cell r="Q80">
            <v>1.4999999999999999E-2</v>
          </cell>
        </row>
        <row r="81">
          <cell r="E81" t="str">
            <v>target_rss</v>
          </cell>
          <cell r="F81">
            <v>1.2</v>
          </cell>
        </row>
        <row r="82">
          <cell r="E82" t="str">
            <v>freefloat</v>
          </cell>
          <cell r="F82">
            <v>0.75629999999999997</v>
          </cell>
          <cell r="G82" t="str">
            <v>&lt;&lt;&lt;Check this is correct</v>
          </cell>
          <cell r="O82" t="str">
            <v>Old</v>
          </cell>
          <cell r="P82">
            <v>87041.3606049503</v>
          </cell>
          <cell r="Q82">
            <v>99549.732183417815</v>
          </cell>
        </row>
        <row r="83">
          <cell r="E83" t="str">
            <v>par_con</v>
          </cell>
          <cell r="F83" t="str">
            <v>C</v>
          </cell>
          <cell r="P83">
            <v>10248.92231596694</v>
          </cell>
          <cell r="Q83">
            <v>13419.021302990537</v>
          </cell>
        </row>
        <row r="84">
          <cell r="E84" t="str">
            <v>holding1</v>
          </cell>
          <cell r="F84">
            <v>0.2437</v>
          </cell>
          <cell r="P84">
            <v>110.84229879701225</v>
          </cell>
          <cell r="Q84">
            <v>145.12698242549033</v>
          </cell>
        </row>
        <row r="85">
          <cell r="E85" t="str">
            <v>holding2</v>
          </cell>
          <cell r="F85">
            <v>0.17899999999999999</v>
          </cell>
          <cell r="P85">
            <v>0</v>
          </cell>
          <cell r="Q85">
            <v>-1.6525228053147156E-2</v>
          </cell>
        </row>
        <row r="86">
          <cell r="E86" t="str">
            <v>holding3</v>
          </cell>
          <cell r="F86">
            <v>0.16</v>
          </cell>
        </row>
        <row r="87">
          <cell r="E87" t="str">
            <v>holding4</v>
          </cell>
          <cell r="F87">
            <v>0.29339999999999999</v>
          </cell>
          <cell r="P87">
            <v>104.5682064122757</v>
          </cell>
        </row>
        <row r="88">
          <cell r="E88" t="str">
            <v>holding5</v>
          </cell>
          <cell r="F88">
            <v>0.12390000000000001</v>
          </cell>
        </row>
        <row r="89">
          <cell r="F89" t="str">
            <v>FY94</v>
          </cell>
          <cell r="G89" t="str">
            <v>FY95</v>
          </cell>
          <cell r="H89" t="str">
            <v>FY96</v>
          </cell>
          <cell r="I89" t="str">
            <v>FY97</v>
          </cell>
          <cell r="J89" t="str">
            <v>FY98</v>
          </cell>
          <cell r="K89" t="str">
            <v>FY99</v>
          </cell>
          <cell r="L89" t="str">
            <v>FY00</v>
          </cell>
          <cell r="M89" t="str">
            <v>FY01</v>
          </cell>
          <cell r="N89" t="str">
            <v>FY02</v>
          </cell>
          <cell r="O89" t="str">
            <v>FY03</v>
          </cell>
          <cell r="P89" t="str">
            <v>FY04</v>
          </cell>
          <cell r="Q89" t="str">
            <v>FY05</v>
          </cell>
        </row>
        <row r="90">
          <cell r="F90" t="str">
            <v>&lt;&lt;&lt;Input the GDR price here</v>
          </cell>
        </row>
        <row r="91">
          <cell r="E91">
            <v>1294</v>
          </cell>
          <cell r="F91" t="str">
            <v>&lt;&lt;&lt;Input the share price here</v>
          </cell>
        </row>
        <row r="92">
          <cell r="E92" t="str">
            <v>FY93</v>
          </cell>
          <cell r="F92" t="str">
            <v>FY94</v>
          </cell>
          <cell r="G92" t="str">
            <v>FY95</v>
          </cell>
          <cell r="H92" t="str">
            <v>FY96</v>
          </cell>
          <cell r="I92" t="str">
            <v>FY97</v>
          </cell>
          <cell r="J92" t="str">
            <v>FY98</v>
          </cell>
          <cell r="K92" t="str">
            <v>FY99</v>
          </cell>
          <cell r="L92" t="str">
            <v>FY00</v>
          </cell>
          <cell r="M92" t="str">
            <v>FY01</v>
          </cell>
          <cell r="N92" t="str">
            <v>FY02</v>
          </cell>
          <cell r="O92" t="str">
            <v>FY03</v>
          </cell>
          <cell r="P92" t="str">
            <v>FY04</v>
          </cell>
          <cell r="Q92" t="str">
            <v>FY05</v>
          </cell>
        </row>
        <row r="93">
          <cell r="F93">
            <v>7494</v>
          </cell>
          <cell r="G93">
            <v>9561.1669999999995</v>
          </cell>
          <cell r="H93">
            <v>12518.18</v>
          </cell>
          <cell r="I93">
            <v>11570.76</v>
          </cell>
          <cell r="J93">
            <v>14732.849999999999</v>
          </cell>
          <cell r="K93">
            <v>17669.939999999999</v>
          </cell>
          <cell r="L93">
            <v>20311.809999999998</v>
          </cell>
          <cell r="M93">
            <v>22754.01</v>
          </cell>
          <cell r="N93">
            <v>40259.25</v>
          </cell>
          <cell r="O93">
            <v>70457.5</v>
          </cell>
          <cell r="P93">
            <v>87041.3606049503</v>
          </cell>
          <cell r="Q93">
            <v>98331.917878942346</v>
          </cell>
        </row>
        <row r="94">
          <cell r="F94">
            <v>1582.5650000000001</v>
          </cell>
          <cell r="G94">
            <v>2919.8659999999991</v>
          </cell>
          <cell r="H94">
            <v>4119.08</v>
          </cell>
          <cell r="I94">
            <v>3909.5300000000007</v>
          </cell>
          <cell r="J94">
            <v>4962.1299999999992</v>
          </cell>
          <cell r="K94">
            <v>5666.0499999999993</v>
          </cell>
          <cell r="L94">
            <v>6123.0999999999967</v>
          </cell>
          <cell r="M94">
            <v>6780.739999999998</v>
          </cell>
          <cell r="N94">
            <v>7489.8200000000061</v>
          </cell>
          <cell r="O94">
            <v>6656.5599999999949</v>
          </cell>
          <cell r="P94">
            <v>10248.92231596694</v>
          </cell>
          <cell r="Q94">
            <v>13197.268915708579</v>
          </cell>
        </row>
        <row r="95">
          <cell r="F95">
            <v>38.530871516690553</v>
          </cell>
          <cell r="G95">
            <v>63.903571213621696</v>
          </cell>
          <cell r="H95">
            <v>84.358974358974365</v>
          </cell>
          <cell r="I95">
            <v>62.998001869219124</v>
          </cell>
          <cell r="J95">
            <v>66.633498502732664</v>
          </cell>
          <cell r="K95">
            <v>76.086022371725136</v>
          </cell>
          <cell r="L95">
            <v>82.223475540157608</v>
          </cell>
          <cell r="M95">
            <v>91.054532758597503</v>
          </cell>
          <cell r="N95">
            <v>100.58039910831796</v>
          </cell>
          <cell r="O95">
            <v>71.99082886312506</v>
          </cell>
          <cell r="P95">
            <v>110.84229879701225</v>
          </cell>
          <cell r="Q95">
            <v>142.72872594424402</v>
          </cell>
        </row>
        <row r="96">
          <cell r="F96">
            <v>33.583460458180227</v>
          </cell>
          <cell r="G96">
            <v>20.24925955506178</v>
          </cell>
          <cell r="H96">
            <v>15.339209726443768</v>
          </cell>
          <cell r="I96">
            <v>20.540334004343229</v>
          </cell>
          <cell r="J96">
            <v>19.419661717851007</v>
          </cell>
          <cell r="K96">
            <v>17.007065945411711</v>
          </cell>
          <cell r="L96">
            <v>15.737597948751457</v>
          </cell>
          <cell r="M96">
            <v>14.211263962340398</v>
          </cell>
          <cell r="N96">
            <v>12.865329740901641</v>
          </cell>
          <cell r="O96">
            <v>17.974511759827912</v>
          </cell>
          <cell r="P96">
            <v>11.674243623995281</v>
          </cell>
          <cell r="Q96">
            <v>9.066149728720287</v>
          </cell>
        </row>
        <row r="97">
          <cell r="F97">
            <v>0</v>
          </cell>
          <cell r="G97">
            <v>65.850313523119681</v>
          </cell>
          <cell r="H97">
            <v>32.009796568290064</v>
          </cell>
          <cell r="I97">
            <v>-25.321517541047246</v>
          </cell>
          <cell r="J97">
            <v>5.7708126061849718</v>
          </cell>
          <cell r="K97">
            <v>14.185843579269397</v>
          </cell>
          <cell r="L97">
            <v>8.0664660566002411</v>
          </cell>
          <cell r="M97">
            <v>10.740311280233872</v>
          </cell>
          <cell r="N97">
            <v>10.461715700606922</v>
          </cell>
          <cell r="O97">
            <v>-28.424594154179051</v>
          </cell>
          <cell r="P97">
            <v>53.967249089123314</v>
          </cell>
          <cell r="Q97">
            <v>28.767381670445168</v>
          </cell>
        </row>
        <row r="98">
          <cell r="F98">
            <v>4.899635158676154</v>
          </cell>
          <cell r="G98">
            <v>70.081841908003071</v>
          </cell>
          <cell r="H98">
            <v>58.039813221921868</v>
          </cell>
          <cell r="I98">
            <v>42.961745463920856</v>
          </cell>
          <cell r="J98">
            <v>86.92744631994519</v>
          </cell>
          <cell r="K98">
            <v>78.979978245981513</v>
          </cell>
          <cell r="L98">
            <v>94.590500745276501</v>
          </cell>
          <cell r="M98">
            <v>98.815211698827682</v>
          </cell>
          <cell r="N98">
            <v>112.52155346063982</v>
          </cell>
          <cell r="O98">
            <v>29.776777989271459</v>
          </cell>
          <cell r="P98">
            <v>130.4150319700986</v>
          </cell>
          <cell r="Q98">
            <v>177.12331466392959</v>
          </cell>
        </row>
        <row r="99">
          <cell r="F99">
            <v>264.10129695241011</v>
          </cell>
          <cell r="G99">
            <v>18.464126580728898</v>
          </cell>
          <cell r="H99">
            <v>22.295040734404896</v>
          </cell>
          <cell r="I99">
            <v>30.11981906290789</v>
          </cell>
          <cell r="J99">
            <v>14.885977384372977</v>
          </cell>
          <cell r="K99">
            <v>16.383899169608071</v>
          </cell>
          <cell r="L99">
            <v>13.680020613112333</v>
          </cell>
          <cell r="M99">
            <v>13.095149802885578</v>
          </cell>
          <cell r="N99">
            <v>11.50001897594351</v>
          </cell>
          <cell r="O99">
            <v>43.456682938168356</v>
          </cell>
          <cell r="P99">
            <v>9.9221690970154945</v>
          </cell>
          <cell r="Q99">
            <v>7.3056446716526899</v>
          </cell>
        </row>
        <row r="100">
          <cell r="F100">
            <v>2253</v>
          </cell>
          <cell r="G100">
            <v>3843.1669999999995</v>
          </cell>
          <cell r="H100">
            <v>5611.54</v>
          </cell>
          <cell r="I100">
            <v>4266.1100000000006</v>
          </cell>
          <cell r="J100">
            <v>6059.2699999999986</v>
          </cell>
          <cell r="K100">
            <v>7776.6699999999983</v>
          </cell>
          <cell r="L100">
            <v>9400.4999999999964</v>
          </cell>
          <cell r="M100">
            <v>10528.469999999998</v>
          </cell>
          <cell r="N100">
            <v>12005.190000000006</v>
          </cell>
          <cell r="O100">
            <v>14647.049999999996</v>
          </cell>
          <cell r="P100">
            <v>18625.826148878419</v>
          </cell>
          <cell r="Q100">
            <v>22374.2975159911</v>
          </cell>
        </row>
        <row r="101">
          <cell r="F101">
            <v>1582.5650000000001</v>
          </cell>
          <cell r="G101">
            <v>2919.8659999999991</v>
          </cell>
          <cell r="H101">
            <v>4119.08</v>
          </cell>
          <cell r="I101">
            <v>3909.5300000000007</v>
          </cell>
          <cell r="J101">
            <v>4962.1299999999992</v>
          </cell>
          <cell r="K101">
            <v>5666.0499999999993</v>
          </cell>
          <cell r="L101">
            <v>6123.0999999999967</v>
          </cell>
          <cell r="M101">
            <v>6780.739999999998</v>
          </cell>
          <cell r="N101">
            <v>7489.8200000000061</v>
          </cell>
          <cell r="O101">
            <v>6656.5599999999949</v>
          </cell>
          <cell r="P101">
            <v>10248.92231596694</v>
          </cell>
          <cell r="Q101">
            <v>13197.268915708579</v>
          </cell>
        </row>
        <row r="102">
          <cell r="F102">
            <v>24.181273413226805</v>
          </cell>
          <cell r="G102">
            <v>14.73793852830231</v>
          </cell>
          <cell r="H102">
            <v>10.640182195974724</v>
          </cell>
          <cell r="I102">
            <v>22.158602567678752</v>
          </cell>
          <cell r="J102">
            <v>15.914683782039756</v>
          </cell>
          <cell r="K102">
            <v>12.050461958653258</v>
          </cell>
          <cell r="L102">
            <v>9.4991506834742889</v>
          </cell>
          <cell r="M102">
            <v>9.1753023943649961</v>
          </cell>
          <cell r="N102">
            <v>8.2313401120681924</v>
          </cell>
          <cell r="O102">
            <v>9.5576410266913836</v>
          </cell>
          <cell r="P102">
            <v>7.3698816624844712</v>
          </cell>
          <cell r="Q102">
            <v>5.8665560318782104</v>
          </cell>
        </row>
        <row r="103">
          <cell r="F103">
            <v>23.237134931202839</v>
          </cell>
          <cell r="G103">
            <v>13.751824992252486</v>
          </cell>
          <cell r="H103">
            <v>9.4679300156463295</v>
          </cell>
          <cell r="I103">
            <v>20.71297645864734</v>
          </cell>
          <cell r="J103">
            <v>14.931996098539928</v>
          </cell>
          <cell r="K103">
            <v>11.240340145589311</v>
          </cell>
          <cell r="L103">
            <v>8.7642323280676599</v>
          </cell>
          <cell r="M103">
            <v>7.3063575239327294</v>
          </cell>
          <cell r="N103">
            <v>7.1178866806772687</v>
          </cell>
          <cell r="O103">
            <v>8.5714970591347761</v>
          </cell>
          <cell r="P103">
            <v>6.8280742860311223</v>
          </cell>
          <cell r="Q103">
            <v>5.1317124021173637</v>
          </cell>
        </row>
        <row r="104">
          <cell r="F104">
            <v>4.3573989325525373</v>
          </cell>
          <cell r="G104">
            <v>5.3662854881376409</v>
          </cell>
          <cell r="H104">
            <v>5.9995568715128806</v>
          </cell>
          <cell r="I104">
            <v>4.4998590017322639</v>
          </cell>
          <cell r="J104">
            <v>5.2498355020209742</v>
          </cell>
          <cell r="K104">
            <v>6.4997515744806549</v>
          </cell>
          <cell r="L104">
            <v>7.9997045750580771</v>
          </cell>
          <cell r="M104">
            <v>11.999489720554861</v>
          </cell>
          <cell r="N104">
            <v>13.5</v>
          </cell>
          <cell r="O104">
            <v>13.5</v>
          </cell>
          <cell r="P104">
            <v>15</v>
          </cell>
          <cell r="Q104">
            <v>16</v>
          </cell>
        </row>
        <row r="105">
          <cell r="F105">
            <v>0.33673871194378185</v>
          </cell>
          <cell r="G105">
            <v>0.4147052154665874</v>
          </cell>
          <cell r="H105">
            <v>0.46364427136884706</v>
          </cell>
          <cell r="I105">
            <v>0.34774799086029862</v>
          </cell>
          <cell r="J105">
            <v>0.40570598933701507</v>
          </cell>
          <cell r="K105">
            <v>0.50229919431844317</v>
          </cell>
          <cell r="L105">
            <v>0.61821519127187607</v>
          </cell>
          <cell r="M105">
            <v>0.92731759818816539</v>
          </cell>
          <cell r="N105">
            <v>1.0432766615146831</v>
          </cell>
          <cell r="O105">
            <v>1.0432766615146831</v>
          </cell>
          <cell r="P105">
            <v>1.1591962905718702</v>
          </cell>
          <cell r="Q105">
            <v>1.2364760432766615</v>
          </cell>
        </row>
        <row r="106">
          <cell r="F106">
            <v>384.08943042571093</v>
          </cell>
          <cell r="G106">
            <v>456.12385177779163</v>
          </cell>
          <cell r="H106">
            <v>517.56823171591441</v>
          </cell>
          <cell r="I106">
            <v>383.24269158978893</v>
          </cell>
          <cell r="J106">
            <v>434.64099155353233</v>
          </cell>
          <cell r="K106">
            <v>649.59271643234104</v>
          </cell>
          <cell r="L106">
            <v>702.7500033571016</v>
          </cell>
          <cell r="M106">
            <v>760.79536451409308</v>
          </cell>
          <cell r="N106">
            <v>771.5018196956878</v>
          </cell>
          <cell r="O106">
            <v>669.85551133414083</v>
          </cell>
          <cell r="P106">
            <v>763.82208011730984</v>
          </cell>
          <cell r="Q106">
            <v>888.55002738012115</v>
          </cell>
        </row>
        <row r="107">
          <cell r="F107">
            <v>3.3690070527735609</v>
          </cell>
          <cell r="G107">
            <v>2.836948769410975</v>
          </cell>
          <cell r="H107">
            <v>2.5001534497392752</v>
          </cell>
          <cell r="I107">
            <v>3.3764505583450433</v>
          </cell>
          <cell r="J107">
            <v>2.9771697220155664</v>
          </cell>
          <cell r="K107">
            <v>1.99201740916499</v>
          </cell>
          <cell r="L107">
            <v>1.8413375934805303</v>
          </cell>
          <cell r="M107">
            <v>1.7008515829042354</v>
          </cell>
          <cell r="N107">
            <v>1.6772481502511647</v>
          </cell>
          <cell r="O107">
            <v>1.931759876727386</v>
          </cell>
          <cell r="P107">
            <v>1.6941118012734904</v>
          </cell>
          <cell r="Q107">
            <v>1.4563051714885915</v>
          </cell>
        </row>
        <row r="108">
          <cell r="F108">
            <v>120.68581770395043</v>
          </cell>
          <cell r="G108">
            <v>223.14670166010538</v>
          </cell>
          <cell r="H108">
            <v>284.94591818236756</v>
          </cell>
          <cell r="I108">
            <v>170.02417113161175</v>
          </cell>
          <cell r="J108">
            <v>131.02848165008254</v>
          </cell>
          <cell r="K108">
            <v>184.73190186520569</v>
          </cell>
          <cell r="L108">
            <v>256.24810323758879</v>
          </cell>
          <cell r="M108">
            <v>336.39554714042094</v>
          </cell>
          <cell r="N108">
            <v>184.62256422652865</v>
          </cell>
          <cell r="O108">
            <v>12.241521024398544</v>
          </cell>
          <cell r="P108">
            <v>17.999015720355118</v>
          </cell>
          <cell r="Q108">
            <v>163.8441544456071</v>
          </cell>
        </row>
        <row r="109">
          <cell r="F109">
            <v>10.722055205975069</v>
          </cell>
          <cell r="G109">
            <v>5.7988757636714103</v>
          </cell>
          <cell r="H109">
            <v>4.5412126211677482</v>
          </cell>
          <cell r="I109">
            <v>7.6106825952313848</v>
          </cell>
          <cell r="J109">
            <v>9.8757154452547589</v>
          </cell>
          <cell r="K109">
            <v>7.0047457257501735</v>
          </cell>
          <cell r="L109">
            <v>5.0497934761305361</v>
          </cell>
          <cell r="M109">
            <v>3.8466620946675256</v>
          </cell>
          <cell r="N109">
            <v>7.0088940938567221</v>
          </cell>
          <cell r="O109">
            <v>105.7058185352075</v>
          </cell>
          <cell r="P109">
            <v>71.892820146637973</v>
          </cell>
          <cell r="Q109">
            <v>7.8977489577120155</v>
          </cell>
        </row>
        <row r="110">
          <cell r="K110">
            <v>0.14034985596060526</v>
          </cell>
          <cell r="L110">
            <v>0.12160153537552916</v>
          </cell>
          <cell r="M110">
            <v>0.12443007884482762</v>
          </cell>
          <cell r="N110">
            <v>0.1312805376721855</v>
          </cell>
          <cell r="O110">
            <v>9.9893103969837471E-2</v>
          </cell>
          <cell r="P110">
            <v>0.15462653452621222</v>
          </cell>
          <cell r="Q110">
            <v>0.17275615498062494</v>
          </cell>
        </row>
        <row r="111">
          <cell r="O111">
            <v>0.12351102236459699</v>
          </cell>
        </row>
        <row r="113">
          <cell r="F113">
            <v>-1646.194</v>
          </cell>
          <cell r="G113">
            <v>-5483.2870000000003</v>
          </cell>
          <cell r="H113">
            <v>-4535.41</v>
          </cell>
          <cell r="I113">
            <v>-1831.8500000000004</v>
          </cell>
          <cell r="J113">
            <v>68.479999999999563</v>
          </cell>
          <cell r="K113">
            <v>-2650.420000000001</v>
          </cell>
          <cell r="L113">
            <v>-7066.12</v>
          </cell>
          <cell r="M113">
            <v>239.01000000000022</v>
          </cell>
          <cell r="N113">
            <v>474.72999999999956</v>
          </cell>
          <cell r="O113">
            <v>19985.47</v>
          </cell>
          <cell r="P113">
            <v>17234.681983916809</v>
          </cell>
          <cell r="Q113">
            <v>11171.575816831231</v>
          </cell>
        </row>
        <row r="114">
          <cell r="E114">
            <v>16</v>
          </cell>
          <cell r="F114">
            <v>16</v>
          </cell>
          <cell r="G114">
            <v>16</v>
          </cell>
          <cell r="H114">
            <v>16</v>
          </cell>
          <cell r="I114">
            <v>16</v>
          </cell>
          <cell r="J114">
            <v>16</v>
          </cell>
          <cell r="K114">
            <v>16</v>
          </cell>
          <cell r="L114">
            <v>14</v>
          </cell>
          <cell r="M114">
            <v>12</v>
          </cell>
          <cell r="N114">
            <v>10</v>
          </cell>
          <cell r="O114">
            <v>10</v>
          </cell>
          <cell r="P114">
            <v>10</v>
          </cell>
          <cell r="Q114">
            <v>10</v>
          </cell>
        </row>
        <row r="115">
          <cell r="E115">
            <v>51.75</v>
          </cell>
          <cell r="F115">
            <v>51.75</v>
          </cell>
          <cell r="G115">
            <v>51.75</v>
          </cell>
          <cell r="H115">
            <v>46</v>
          </cell>
          <cell r="I115">
            <v>43</v>
          </cell>
          <cell r="J115">
            <v>43</v>
          </cell>
          <cell r="K115">
            <v>35</v>
          </cell>
          <cell r="L115">
            <v>35</v>
          </cell>
          <cell r="M115">
            <v>38.5</v>
          </cell>
          <cell r="N115">
            <v>35.700000000000003</v>
          </cell>
          <cell r="O115">
            <v>36.75</v>
          </cell>
          <cell r="P115">
            <v>36.75</v>
          </cell>
          <cell r="Q115">
            <v>36.75</v>
          </cell>
        </row>
        <row r="117">
          <cell r="E117">
            <v>0</v>
          </cell>
          <cell r="F117">
            <v>0</v>
          </cell>
          <cell r="G117">
            <v>0</v>
          </cell>
          <cell r="H117">
            <v>0</v>
          </cell>
          <cell r="I117">
            <v>0</v>
          </cell>
          <cell r="J117">
            <v>0</v>
          </cell>
          <cell r="K117">
            <v>0</v>
          </cell>
          <cell r="L117">
            <v>0</v>
          </cell>
          <cell r="M117">
            <v>0</v>
          </cell>
          <cell r="N117">
            <v>0</v>
          </cell>
          <cell r="O117">
            <v>0</v>
          </cell>
          <cell r="P117">
            <v>0</v>
          </cell>
          <cell r="Q117">
            <v>0</v>
          </cell>
        </row>
        <row r="118">
          <cell r="E118">
            <v>0</v>
          </cell>
          <cell r="F118">
            <v>0</v>
          </cell>
          <cell r="G118">
            <v>0</v>
          </cell>
          <cell r="H118">
            <v>0</v>
          </cell>
          <cell r="I118">
            <v>0</v>
          </cell>
          <cell r="J118">
            <v>0</v>
          </cell>
          <cell r="K118">
            <v>0</v>
          </cell>
          <cell r="L118">
            <v>0</v>
          </cell>
          <cell r="M118">
            <v>0</v>
          </cell>
          <cell r="N118">
            <v>0</v>
          </cell>
          <cell r="O118">
            <v>0</v>
          </cell>
          <cell r="P118">
            <v>0</v>
          </cell>
          <cell r="Q118">
            <v>0</v>
          </cell>
        </row>
        <row r="119">
          <cell r="F119">
            <v>4854.8249999999998</v>
          </cell>
          <cell r="G119">
            <v>13070.449000000001</v>
          </cell>
          <cell r="H119">
            <v>12651.728000000001</v>
          </cell>
          <cell r="I119">
            <v>10011.040000000001</v>
          </cell>
          <cell r="J119">
            <v>14203.779999999999</v>
          </cell>
          <cell r="K119">
            <v>15402.109999999999</v>
          </cell>
          <cell r="L119">
            <v>19863.879999999997</v>
          </cell>
          <cell r="M119">
            <v>14266.849999999999</v>
          </cell>
          <cell r="N119">
            <v>21854.870000000006</v>
          </cell>
          <cell r="O119">
            <v>15808.319999999996</v>
          </cell>
          <cell r="P119">
            <v>27907.04353216639</v>
          </cell>
          <cell r="Q119">
            <v>36288.984350254352</v>
          </cell>
        </row>
        <row r="120">
          <cell r="A120" t="str">
            <v>x</v>
          </cell>
          <cell r="B120" t="str">
            <v>tci</v>
          </cell>
          <cell r="C120" t="str">
            <v>Cash net interest payment</v>
          </cell>
          <cell r="D120">
            <v>1000000</v>
          </cell>
          <cell r="F120">
            <v>480</v>
          </cell>
          <cell r="G120">
            <v>474.03</v>
          </cell>
          <cell r="H120">
            <v>615.61</v>
          </cell>
          <cell r="I120">
            <v>488.82</v>
          </cell>
          <cell r="J120">
            <v>723.43</v>
          </cell>
          <cell r="K120">
            <v>836.36</v>
          </cell>
          <cell r="L120">
            <v>596.62</v>
          </cell>
          <cell r="M120">
            <v>618.78</v>
          </cell>
          <cell r="N120">
            <v>808.01</v>
          </cell>
          <cell r="O120">
            <v>1737.78</v>
          </cell>
          <cell r="P120">
            <v>1974.6580015970264</v>
          </cell>
          <cell r="Q120">
            <v>2044.4093555281258</v>
          </cell>
          <cell r="R120">
            <v>1630.5538171620858</v>
          </cell>
        </row>
        <row r="121">
          <cell r="F121">
            <v>67.685736500667815</v>
          </cell>
          <cell r="G121">
            <v>76.9841045820217</v>
          </cell>
          <cell r="H121">
            <v>72.414024764574378</v>
          </cell>
          <cell r="I121">
            <v>87.80956650900454</v>
          </cell>
          <cell r="J121">
            <v>78.849119971222947</v>
          </cell>
          <cell r="K121">
            <v>83.131249829429507</v>
          </cell>
          <cell r="L121">
            <v>80.446243393323059</v>
          </cell>
          <cell r="M121">
            <v>77.850687985970353</v>
          </cell>
          <cell r="N121">
            <v>81.731586540129129</v>
          </cell>
          <cell r="O121">
            <v>94.770069942098658</v>
          </cell>
          <cell r="P121">
            <v>89.378237911220978</v>
          </cell>
          <cell r="Q121">
            <v>87.873337312346706</v>
          </cell>
        </row>
        <row r="122">
          <cell r="E122">
            <v>0</v>
          </cell>
          <cell r="F122">
            <v>0</v>
          </cell>
          <cell r="G122">
            <v>0</v>
          </cell>
          <cell r="H122">
            <v>0</v>
          </cell>
          <cell r="I122">
            <v>0</v>
          </cell>
          <cell r="J122">
            <v>0</v>
          </cell>
          <cell r="K122">
            <v>0</v>
          </cell>
          <cell r="L122">
            <v>0</v>
          </cell>
          <cell r="M122">
            <v>0</v>
          </cell>
          <cell r="N122">
            <v>0</v>
          </cell>
          <cell r="O122">
            <v>0</v>
          </cell>
          <cell r="P122">
            <v>0</v>
          </cell>
          <cell r="Q122">
            <v>0</v>
          </cell>
        </row>
        <row r="123">
          <cell r="A123" t="str">
            <v>x</v>
          </cell>
          <cell r="B123" t="str">
            <v>tev</v>
          </cell>
          <cell r="C123" t="str">
            <v>EVA/Capital employed</v>
          </cell>
          <cell r="D123">
            <v>0.01</v>
          </cell>
        </row>
        <row r="125">
          <cell r="A125" t="str">
            <v>x</v>
          </cell>
          <cell r="B125" t="str">
            <v>tcs</v>
          </cell>
          <cell r="C125" t="str">
            <v>Company score</v>
          </cell>
          <cell r="D125">
            <v>1</v>
          </cell>
          <cell r="F125" t="e">
            <v>#REF!</v>
          </cell>
          <cell r="G125" t="e">
            <v>#REF!</v>
          </cell>
          <cell r="H125" t="e">
            <v>#REF!</v>
          </cell>
          <cell r="I125" t="e">
            <v>#REF!</v>
          </cell>
          <cell r="J125" t="e">
            <v>#REF!</v>
          </cell>
          <cell r="K125" t="e">
            <v>#REF!</v>
          </cell>
          <cell r="L125" t="e">
            <v>#REF!</v>
          </cell>
          <cell r="M125" t="e">
            <v>#REF!</v>
          </cell>
          <cell r="N125" t="e">
            <v>#REF!</v>
          </cell>
          <cell r="O125" t="e">
            <v>#REF!</v>
          </cell>
          <cell r="P125" t="e">
            <v>#REF!</v>
          </cell>
          <cell r="Q125" t="e">
            <v>#REF!</v>
          </cell>
          <cell r="R125" t="e">
            <v>#REF!</v>
          </cell>
        </row>
        <row r="126">
          <cell r="A126" t="str">
            <v>x</v>
          </cell>
          <cell r="B126" t="str">
            <v>tre</v>
          </cell>
          <cell r="C126" t="str">
            <v>Result</v>
          </cell>
        </row>
        <row r="127">
          <cell r="B127" t="str">
            <v>tzs</v>
          </cell>
          <cell r="C127" t="str">
            <v>Altman Z- Score</v>
          </cell>
          <cell r="D127">
            <v>1</v>
          </cell>
        </row>
        <row r="130">
          <cell r="F130">
            <v>30.37</v>
          </cell>
          <cell r="G130">
            <v>31.4</v>
          </cell>
          <cell r="H130">
            <v>33.17</v>
          </cell>
          <cell r="I130">
            <v>35.5</v>
          </cell>
          <cell r="J130">
            <v>37</v>
          </cell>
          <cell r="K130">
            <v>42.5</v>
          </cell>
          <cell r="L130">
            <v>46.637500000000003</v>
          </cell>
          <cell r="M130">
            <v>48.969374999999999</v>
          </cell>
          <cell r="N130">
            <v>51.417843750000003</v>
          </cell>
          <cell r="O130">
            <v>51.417843750000003</v>
          </cell>
          <cell r="P130">
            <v>51.417843750000003</v>
          </cell>
          <cell r="Q130">
            <v>51.417843750000003</v>
          </cell>
        </row>
        <row r="131">
          <cell r="F131">
            <v>31.37</v>
          </cell>
          <cell r="G131">
            <v>31.4</v>
          </cell>
          <cell r="H131">
            <v>35.5</v>
          </cell>
          <cell r="I131">
            <v>10.469629734313171</v>
          </cell>
          <cell r="J131">
            <v>39.5</v>
          </cell>
          <cell r="K131">
            <v>45.5</v>
          </cell>
          <cell r="L131">
            <v>47.774999999999999</v>
          </cell>
          <cell r="M131">
            <v>50.16375</v>
          </cell>
          <cell r="N131">
            <v>52.671937500000006</v>
          </cell>
          <cell r="O131">
            <v>52.671937500000006</v>
          </cell>
          <cell r="P131">
            <v>52.671937500000006</v>
          </cell>
          <cell r="Q131">
            <v>52.671937500000006</v>
          </cell>
        </row>
        <row r="182">
          <cell r="E182">
            <v>0</v>
          </cell>
          <cell r="F182">
            <v>7494</v>
          </cell>
          <cell r="G182">
            <v>9561.1669999999995</v>
          </cell>
          <cell r="H182">
            <v>12518.18</v>
          </cell>
          <cell r="I182">
            <v>11570.76</v>
          </cell>
          <cell r="J182">
            <v>14732.849999999999</v>
          </cell>
          <cell r="K182">
            <v>17669.939999999999</v>
          </cell>
          <cell r="L182">
            <v>20311.809999999998</v>
          </cell>
          <cell r="M182">
            <v>22754.01</v>
          </cell>
          <cell r="N182">
            <v>40259.25</v>
          </cell>
          <cell r="O182">
            <v>70457.5</v>
          </cell>
          <cell r="P182">
            <v>87041.3606049503</v>
          </cell>
          <cell r="Q182">
            <v>98331.917878942346</v>
          </cell>
        </row>
        <row r="186">
          <cell r="F186">
            <v>7494</v>
          </cell>
          <cell r="G186">
            <v>9561.1669999999995</v>
          </cell>
          <cell r="H186">
            <v>12518.18</v>
          </cell>
          <cell r="I186">
            <v>11570.76</v>
          </cell>
          <cell r="J186">
            <v>14732.849999999999</v>
          </cell>
          <cell r="K186">
            <v>17669.939999999999</v>
          </cell>
          <cell r="L186">
            <v>20311.809999999998</v>
          </cell>
          <cell r="M186">
            <v>22754.01</v>
          </cell>
          <cell r="N186">
            <v>40259.25</v>
          </cell>
          <cell r="O186">
            <v>70457.5</v>
          </cell>
          <cell r="P186">
            <v>87041.3606049503</v>
          </cell>
          <cell r="Q186">
            <v>98331.917878942346</v>
          </cell>
        </row>
        <row r="187">
          <cell r="F187">
            <v>0</v>
          </cell>
          <cell r="G187">
            <v>0</v>
          </cell>
          <cell r="H187">
            <v>0</v>
          </cell>
          <cell r="I187">
            <v>0</v>
          </cell>
          <cell r="J187">
            <v>0</v>
          </cell>
          <cell r="K187">
            <v>0</v>
          </cell>
          <cell r="L187">
            <v>0</v>
          </cell>
          <cell r="M187">
            <v>0</v>
          </cell>
          <cell r="N187">
            <v>0</v>
          </cell>
          <cell r="O187">
            <v>0</v>
          </cell>
          <cell r="P187">
            <v>0</v>
          </cell>
          <cell r="Q187">
            <v>0</v>
          </cell>
        </row>
        <row r="188">
          <cell r="F188">
            <v>7494</v>
          </cell>
          <cell r="G188">
            <v>9561.1669999999995</v>
          </cell>
          <cell r="H188">
            <v>12518.18</v>
          </cell>
          <cell r="I188">
            <v>11570.76</v>
          </cell>
          <cell r="J188">
            <v>14732.849999999999</v>
          </cell>
          <cell r="K188">
            <v>17669.939999999999</v>
          </cell>
          <cell r="L188">
            <v>20311.809999999998</v>
          </cell>
          <cell r="M188">
            <v>22754.01</v>
          </cell>
          <cell r="N188">
            <v>40259.25</v>
          </cell>
          <cell r="O188">
            <v>70457.5</v>
          </cell>
          <cell r="P188">
            <v>87041.3606049503</v>
          </cell>
          <cell r="Q188">
            <v>98331.917878942346</v>
          </cell>
        </row>
        <row r="189">
          <cell r="F189">
            <v>-2217</v>
          </cell>
          <cell r="G189">
            <v>-2284</v>
          </cell>
          <cell r="H189">
            <v>-2384.04</v>
          </cell>
          <cell r="I189">
            <v>-2755.27</v>
          </cell>
          <cell r="J189">
            <v>-3219.46</v>
          </cell>
          <cell r="K189">
            <v>-3835.69</v>
          </cell>
          <cell r="L189">
            <v>-3888.7100000000005</v>
          </cell>
          <cell r="M189">
            <v>-4290.6900000000005</v>
          </cell>
          <cell r="N189">
            <v>-4755.7000000000007</v>
          </cell>
          <cell r="O189">
            <v>-5495.78</v>
          </cell>
          <cell r="P189">
            <v>-6462.5276787702669</v>
          </cell>
          <cell r="Q189">
            <v>-6971.5720490316462</v>
          </cell>
        </row>
        <row r="190">
          <cell r="F190">
            <v>-1746</v>
          </cell>
          <cell r="G190">
            <v>-1991</v>
          </cell>
          <cell r="H190">
            <v>-2483</v>
          </cell>
          <cell r="I190">
            <v>-2372.8000000000002</v>
          </cell>
          <cell r="J190">
            <v>-2983.19</v>
          </cell>
          <cell r="K190">
            <v>-3203.27</v>
          </cell>
          <cell r="L190">
            <v>-3334.43</v>
          </cell>
          <cell r="M190">
            <v>-3736.44</v>
          </cell>
          <cell r="N190">
            <v>-4280.7700000000004</v>
          </cell>
          <cell r="O190">
            <v>-5165.0535152283446</v>
          </cell>
          <cell r="P190">
            <v>-5567.8350587715295</v>
          </cell>
          <cell r="Q190">
            <v>-6091.1324647373567</v>
          </cell>
        </row>
        <row r="196">
          <cell r="F196">
            <v>2253</v>
          </cell>
          <cell r="G196">
            <v>3843.1669999999995</v>
          </cell>
          <cell r="H196">
            <v>5611.54</v>
          </cell>
          <cell r="I196">
            <v>4266.1100000000006</v>
          </cell>
          <cell r="J196">
            <v>6059.2699999999986</v>
          </cell>
          <cell r="K196">
            <v>7776.6699999999983</v>
          </cell>
          <cell r="L196">
            <v>9400.4999999999964</v>
          </cell>
          <cell r="M196">
            <v>10528.469999999998</v>
          </cell>
          <cell r="N196">
            <v>12005.190000000006</v>
          </cell>
          <cell r="O196">
            <v>14647.049999999996</v>
          </cell>
          <cell r="P196">
            <v>18625.826148878419</v>
          </cell>
          <cell r="Q196">
            <v>22374.2975159911</v>
          </cell>
        </row>
        <row r="197">
          <cell r="F197">
            <v>-269</v>
          </cell>
          <cell r="G197">
            <v>-329.52</v>
          </cell>
          <cell r="H197">
            <v>-348.36</v>
          </cell>
          <cell r="I197">
            <v>-423.15</v>
          </cell>
          <cell r="J197">
            <v>-776.35</v>
          </cell>
          <cell r="K197">
            <v>-1245.98</v>
          </cell>
          <cell r="L197">
            <v>-1353.63</v>
          </cell>
          <cell r="M197">
            <v>-1423.86</v>
          </cell>
          <cell r="N197">
            <v>-2175.1</v>
          </cell>
          <cell r="O197">
            <v>-3640.6</v>
          </cell>
          <cell r="P197">
            <v>-3943.8361736000002</v>
          </cell>
          <cell r="Q197">
            <v>-4252.5799913831115</v>
          </cell>
        </row>
        <row r="198">
          <cell r="F198">
            <v>1984</v>
          </cell>
          <cell r="G198">
            <v>3513.6469999999995</v>
          </cell>
          <cell r="H198">
            <v>5263.18</v>
          </cell>
          <cell r="I198">
            <v>3842.9600000000005</v>
          </cell>
          <cell r="J198">
            <v>5282.9199999999983</v>
          </cell>
          <cell r="K198">
            <v>6530.6899999999987</v>
          </cell>
          <cell r="L198">
            <v>8046.8699999999963</v>
          </cell>
          <cell r="M198">
            <v>9104.6099999999969</v>
          </cell>
          <cell r="N198">
            <v>9830.0900000000056</v>
          </cell>
          <cell r="O198">
            <v>11006.449999999995</v>
          </cell>
          <cell r="P198">
            <v>14681.989975278419</v>
          </cell>
          <cell r="Q198">
            <v>18121.71752460799</v>
          </cell>
        </row>
        <row r="199">
          <cell r="F199">
            <v>278.84500000000003</v>
          </cell>
          <cell r="G199">
            <v>522.44299999999998</v>
          </cell>
          <cell r="H199">
            <v>835.81</v>
          </cell>
          <cell r="I199">
            <v>683.07</v>
          </cell>
          <cell r="J199">
            <v>568.44999999999993</v>
          </cell>
          <cell r="K199">
            <v>644.30999999999995</v>
          </cell>
          <cell r="L199">
            <v>887.17000000000007</v>
          </cell>
          <cell r="M199">
            <v>906.19999999999993</v>
          </cell>
        </row>
        <row r="200">
          <cell r="F200">
            <v>-480</v>
          </cell>
          <cell r="G200">
            <v>-474.03</v>
          </cell>
          <cell r="H200">
            <v>-615.61</v>
          </cell>
          <cell r="I200">
            <v>-488.82</v>
          </cell>
          <cell r="J200">
            <v>-723.43</v>
          </cell>
          <cell r="K200">
            <v>-836.36</v>
          </cell>
          <cell r="L200">
            <v>-596.62</v>
          </cell>
          <cell r="M200">
            <v>-618.78</v>
          </cell>
          <cell r="N200">
            <v>-808.01</v>
          </cell>
          <cell r="O200">
            <v>-1737.78</v>
          </cell>
          <cell r="P200">
            <v>-1974.6580015970264</v>
          </cell>
          <cell r="Q200">
            <v>-2044.4093555281258</v>
          </cell>
        </row>
        <row r="201">
          <cell r="E201">
            <v>0</v>
          </cell>
          <cell r="F201">
            <v>-201.15499999999997</v>
          </cell>
          <cell r="G201">
            <v>48.413000000000011</v>
          </cell>
          <cell r="H201">
            <v>220.19999999999993</v>
          </cell>
          <cell r="I201">
            <v>194.25000000000006</v>
          </cell>
          <cell r="J201">
            <v>-154.98000000000002</v>
          </cell>
          <cell r="K201">
            <v>-192.05000000000007</v>
          </cell>
          <cell r="L201">
            <v>290.55000000000007</v>
          </cell>
          <cell r="M201">
            <v>287.41999999999996</v>
          </cell>
          <cell r="N201">
            <v>-808.01</v>
          </cell>
          <cell r="O201">
            <v>-1737.78</v>
          </cell>
          <cell r="P201">
            <v>-1974.6580015970264</v>
          </cell>
          <cell r="Q201">
            <v>-2044.4093555281258</v>
          </cell>
        </row>
        <row r="203">
          <cell r="F203">
            <v>0</v>
          </cell>
          <cell r="G203">
            <v>0</v>
          </cell>
          <cell r="H203">
            <v>0</v>
          </cell>
          <cell r="I203">
            <v>0</v>
          </cell>
          <cell r="J203">
            <v>0</v>
          </cell>
          <cell r="K203">
            <v>2.77</v>
          </cell>
          <cell r="L203">
            <v>19.48</v>
          </cell>
          <cell r="M203">
            <v>42.97</v>
          </cell>
          <cell r="N203">
            <v>0</v>
          </cell>
          <cell r="O203">
            <v>0</v>
          </cell>
          <cell r="P203">
            <v>0</v>
          </cell>
          <cell r="Q203">
            <v>0</v>
          </cell>
        </row>
        <row r="207">
          <cell r="E207">
            <v>0</v>
          </cell>
          <cell r="F207">
            <v>0</v>
          </cell>
          <cell r="G207">
            <v>0</v>
          </cell>
          <cell r="H207">
            <v>0</v>
          </cell>
          <cell r="I207">
            <v>0</v>
          </cell>
          <cell r="J207">
            <v>0</v>
          </cell>
          <cell r="K207">
            <v>2.77</v>
          </cell>
          <cell r="L207">
            <v>19.48</v>
          </cell>
          <cell r="M207">
            <v>42.97</v>
          </cell>
          <cell r="N207">
            <v>0</v>
          </cell>
          <cell r="O207">
            <v>0</v>
          </cell>
          <cell r="P207">
            <v>0</v>
          </cell>
          <cell r="Q207">
            <v>0</v>
          </cell>
        </row>
        <row r="208">
          <cell r="E208">
            <v>0</v>
          </cell>
          <cell r="F208">
            <v>-201.15499999999997</v>
          </cell>
          <cell r="G208">
            <v>48.413000000000011</v>
          </cell>
          <cell r="H208">
            <v>220.19999999999993</v>
          </cell>
          <cell r="I208">
            <v>194.25000000000006</v>
          </cell>
          <cell r="J208">
            <v>-154.98000000000002</v>
          </cell>
          <cell r="K208">
            <v>-189.28000000000006</v>
          </cell>
          <cell r="L208">
            <v>310.03000000000009</v>
          </cell>
          <cell r="M208">
            <v>330.39</v>
          </cell>
          <cell r="N208">
            <v>-808.01</v>
          </cell>
          <cell r="O208">
            <v>-1737.78</v>
          </cell>
          <cell r="P208">
            <v>-1974.6580015970264</v>
          </cell>
          <cell r="Q208">
            <v>-2044.4093555281258</v>
          </cell>
        </row>
        <row r="214">
          <cell r="E214">
            <v>0</v>
          </cell>
          <cell r="F214">
            <v>0</v>
          </cell>
          <cell r="G214">
            <v>0</v>
          </cell>
          <cell r="H214">
            <v>0</v>
          </cell>
          <cell r="I214">
            <v>0</v>
          </cell>
          <cell r="J214">
            <v>0</v>
          </cell>
          <cell r="K214">
            <v>0</v>
          </cell>
          <cell r="L214">
            <v>0</v>
          </cell>
          <cell r="M214">
            <v>0</v>
          </cell>
          <cell r="N214">
            <v>0</v>
          </cell>
          <cell r="O214">
            <v>0</v>
          </cell>
          <cell r="P214">
            <v>0</v>
          </cell>
          <cell r="Q214">
            <v>0</v>
          </cell>
        </row>
        <row r="215">
          <cell r="E215">
            <v>0</v>
          </cell>
          <cell r="F215">
            <v>-201.15499999999997</v>
          </cell>
          <cell r="G215">
            <v>48.413000000000011</v>
          </cell>
          <cell r="H215">
            <v>220.19999999999993</v>
          </cell>
          <cell r="I215">
            <v>194.25000000000006</v>
          </cell>
          <cell r="J215">
            <v>-154.98000000000002</v>
          </cell>
          <cell r="K215">
            <v>-189.28000000000006</v>
          </cell>
          <cell r="L215">
            <v>310.03000000000009</v>
          </cell>
          <cell r="M215">
            <v>330.39</v>
          </cell>
          <cell r="N215">
            <v>-808.01</v>
          </cell>
          <cell r="O215">
            <v>-1737.78</v>
          </cell>
          <cell r="P215">
            <v>-1974.6580015970264</v>
          </cell>
          <cell r="Q215">
            <v>-2044.4093555281258</v>
          </cell>
        </row>
        <row r="216">
          <cell r="F216">
            <v>278.84500000000003</v>
          </cell>
          <cell r="G216">
            <v>522.44299999999998</v>
          </cell>
          <cell r="H216">
            <v>835.81</v>
          </cell>
          <cell r="I216">
            <v>683.07</v>
          </cell>
          <cell r="J216">
            <v>568.44999999999993</v>
          </cell>
          <cell r="K216">
            <v>644.30999999999995</v>
          </cell>
          <cell r="L216">
            <v>887.17000000000007</v>
          </cell>
          <cell r="M216">
            <v>906.19999999999993</v>
          </cell>
          <cell r="N216">
            <v>0</v>
          </cell>
          <cell r="O216">
            <v>0</v>
          </cell>
          <cell r="P216">
            <v>0</v>
          </cell>
          <cell r="Q216">
            <v>0</v>
          </cell>
        </row>
        <row r="217">
          <cell r="F217">
            <v>-480</v>
          </cell>
          <cell r="G217">
            <v>-474.03</v>
          </cell>
          <cell r="H217">
            <v>-615.61</v>
          </cell>
          <cell r="I217">
            <v>-488.82</v>
          </cell>
          <cell r="J217">
            <v>-723.43</v>
          </cell>
          <cell r="K217">
            <v>-836.36</v>
          </cell>
          <cell r="L217">
            <v>-596.62</v>
          </cell>
          <cell r="M217">
            <v>-618.78</v>
          </cell>
          <cell r="N217">
            <v>-808.01</v>
          </cell>
          <cell r="O217">
            <v>-1737.78</v>
          </cell>
          <cell r="P217">
            <v>-1974.6580015970264</v>
          </cell>
          <cell r="Q217">
            <v>-2044.4093555281258</v>
          </cell>
        </row>
        <row r="218">
          <cell r="F218">
            <v>1782.8450000000003</v>
          </cell>
          <cell r="G218">
            <v>3562.0599999999995</v>
          </cell>
          <cell r="H218">
            <v>5483.38</v>
          </cell>
          <cell r="I218">
            <v>4037.2100000000005</v>
          </cell>
          <cell r="J218">
            <v>5127.9399999999978</v>
          </cell>
          <cell r="K218">
            <v>6338.6399999999985</v>
          </cell>
          <cell r="L218">
            <v>8337.4199999999964</v>
          </cell>
          <cell r="M218">
            <v>9392.029999999997</v>
          </cell>
          <cell r="N218">
            <v>9022.0800000000054</v>
          </cell>
          <cell r="O218">
            <v>9268.6699999999946</v>
          </cell>
          <cell r="P218">
            <v>12707.331973681392</v>
          </cell>
          <cell r="Q218">
            <v>16077.308169079864</v>
          </cell>
        </row>
        <row r="222">
          <cell r="E222">
            <v>0</v>
          </cell>
          <cell r="F222">
            <v>0</v>
          </cell>
          <cell r="G222">
            <v>0</v>
          </cell>
          <cell r="H222">
            <v>0</v>
          </cell>
          <cell r="I222">
            <v>0</v>
          </cell>
          <cell r="J222">
            <v>0</v>
          </cell>
          <cell r="K222">
            <v>0</v>
          </cell>
          <cell r="L222">
            <v>0</v>
          </cell>
          <cell r="M222">
            <v>0</v>
          </cell>
          <cell r="N222">
            <v>0</v>
          </cell>
          <cell r="O222">
            <v>0</v>
          </cell>
          <cell r="P222">
            <v>0</v>
          </cell>
          <cell r="Q222">
            <v>0</v>
          </cell>
        </row>
        <row r="223">
          <cell r="E223">
            <v>0</v>
          </cell>
          <cell r="F223">
            <v>-201.15499999999997</v>
          </cell>
          <cell r="G223">
            <v>48.413000000000011</v>
          </cell>
          <cell r="H223">
            <v>220.19999999999993</v>
          </cell>
          <cell r="I223">
            <v>194.25000000000006</v>
          </cell>
          <cell r="J223">
            <v>-154.98000000000002</v>
          </cell>
          <cell r="K223">
            <v>-189.28000000000006</v>
          </cell>
          <cell r="L223">
            <v>310.03000000000009</v>
          </cell>
          <cell r="M223">
            <v>330.39</v>
          </cell>
          <cell r="N223">
            <v>-808.01</v>
          </cell>
          <cell r="O223">
            <v>-1737.78</v>
          </cell>
          <cell r="P223">
            <v>-1974.6580015970264</v>
          </cell>
          <cell r="Q223">
            <v>-2044.4093555281258</v>
          </cell>
        </row>
        <row r="225">
          <cell r="F225">
            <v>204.149</v>
          </cell>
          <cell r="G225">
            <v>569.95399999999995</v>
          </cell>
          <cell r="H225">
            <v>908.28000000000009</v>
          </cell>
          <cell r="I225">
            <v>599.31000000000006</v>
          </cell>
          <cell r="J225">
            <v>555.14</v>
          </cell>
          <cell r="K225">
            <v>570.27</v>
          </cell>
          <cell r="L225">
            <v>422.11</v>
          </cell>
          <cell r="M225">
            <v>131.62</v>
          </cell>
        </row>
        <row r="227">
          <cell r="F227">
            <v>220.571</v>
          </cell>
          <cell r="G227">
            <v>167.852</v>
          </cell>
          <cell r="H227">
            <v>127.42</v>
          </cell>
          <cell r="I227">
            <v>468.00999999999993</v>
          </cell>
          <cell r="J227">
            <v>149.05000000000001</v>
          </cell>
          <cell r="K227">
            <v>224.85000000000011</v>
          </cell>
          <cell r="L227">
            <v>57.779999999999873</v>
          </cell>
          <cell r="M227">
            <v>234.11999999999998</v>
          </cell>
          <cell r="N227">
            <v>2383.63</v>
          </cell>
          <cell r="O227">
            <v>2546.36</v>
          </cell>
          <cell r="P227">
            <v>2645.7276500000003</v>
          </cell>
          <cell r="Q227">
            <v>3140.6776500000005</v>
          </cell>
        </row>
        <row r="228">
          <cell r="F228">
            <v>0</v>
          </cell>
          <cell r="G228">
            <v>0</v>
          </cell>
          <cell r="H228">
            <v>0</v>
          </cell>
          <cell r="I228">
            <v>0</v>
          </cell>
          <cell r="J228">
            <v>0</v>
          </cell>
          <cell r="K228">
            <v>-0.48</v>
          </cell>
          <cell r="L228">
            <v>-228.68999999999997</v>
          </cell>
          <cell r="M228">
            <v>0</v>
          </cell>
          <cell r="N228">
            <v>-71.77</v>
          </cell>
          <cell r="O228">
            <v>-1613.1699999999998</v>
          </cell>
          <cell r="P228">
            <v>0</v>
          </cell>
          <cell r="Q228">
            <v>-71.765000000000001</v>
          </cell>
        </row>
        <row r="230">
          <cell r="A230" t="str">
            <v>x</v>
          </cell>
          <cell r="B230" t="str">
            <v>pto</v>
          </cell>
          <cell r="C230" t="str">
            <v>Total other items</v>
          </cell>
          <cell r="D230">
            <v>1000000</v>
          </cell>
          <cell r="F230">
            <v>223.56500000000003</v>
          </cell>
          <cell r="G230">
            <v>786.21899999999994</v>
          </cell>
          <cell r="H230">
            <v>1255.9000000000001</v>
          </cell>
          <cell r="I230">
            <v>1261.5700000000002</v>
          </cell>
          <cell r="J230">
            <v>549.21</v>
          </cell>
          <cell r="K230">
            <v>605.36</v>
          </cell>
          <cell r="L230">
            <v>561.23</v>
          </cell>
          <cell r="M230">
            <v>696.13</v>
          </cell>
          <cell r="N230">
            <v>1503.8500000000001</v>
          </cell>
          <cell r="O230">
            <v>-804.58999999999969</v>
          </cell>
          <cell r="P230">
            <v>671.06964840297383</v>
          </cell>
          <cell r="Q230">
            <v>1024.5032944718746</v>
          </cell>
          <cell r="R230">
            <v>1772.4354828379139</v>
          </cell>
        </row>
        <row r="231">
          <cell r="F231">
            <v>2207.5650000000001</v>
          </cell>
          <cell r="G231">
            <v>4299.8659999999991</v>
          </cell>
          <cell r="H231">
            <v>6519.08</v>
          </cell>
          <cell r="I231">
            <v>5104.5300000000007</v>
          </cell>
          <cell r="J231">
            <v>5832.1299999999992</v>
          </cell>
          <cell r="K231">
            <v>7136.0499999999993</v>
          </cell>
          <cell r="L231">
            <v>8608.0999999999967</v>
          </cell>
          <cell r="M231">
            <v>9800.739999999998</v>
          </cell>
          <cell r="N231">
            <v>11333.940000000006</v>
          </cell>
          <cell r="O231">
            <v>10201.859999999995</v>
          </cell>
          <cell r="P231">
            <v>15353.059623681393</v>
          </cell>
          <cell r="Q231">
            <v>19146.220819079866</v>
          </cell>
        </row>
        <row r="234">
          <cell r="F234">
            <v>1782.8450000000003</v>
          </cell>
          <cell r="G234">
            <v>3562.0599999999995</v>
          </cell>
          <cell r="H234">
            <v>5483.38</v>
          </cell>
          <cell r="I234">
            <v>4037.2100000000005</v>
          </cell>
          <cell r="J234">
            <v>5127.9399999999978</v>
          </cell>
          <cell r="K234">
            <v>6338.6399999999985</v>
          </cell>
          <cell r="L234">
            <v>8337.4199999999964</v>
          </cell>
          <cell r="M234">
            <v>9392.029999999997</v>
          </cell>
          <cell r="N234">
            <v>9022.0800000000054</v>
          </cell>
          <cell r="O234">
            <v>9268.6699999999946</v>
          </cell>
          <cell r="P234">
            <v>12707.331973681392</v>
          </cell>
          <cell r="Q234">
            <v>16077.308169079864</v>
          </cell>
        </row>
        <row r="235">
          <cell r="N235">
            <v>-704.8</v>
          </cell>
          <cell r="O235">
            <v>-827.88</v>
          </cell>
          <cell r="P235">
            <v>-1014.79192</v>
          </cell>
          <cell r="Q235">
            <v>-724.78775839999992</v>
          </cell>
        </row>
        <row r="236">
          <cell r="E236">
            <v>0</v>
          </cell>
          <cell r="F236">
            <v>-625</v>
          </cell>
          <cell r="G236">
            <v>-1380</v>
          </cell>
          <cell r="H236">
            <v>-2400</v>
          </cell>
          <cell r="I236">
            <v>-1195</v>
          </cell>
          <cell r="J236">
            <v>-870</v>
          </cell>
          <cell r="K236">
            <v>-1470</v>
          </cell>
          <cell r="L236">
            <v>-2485</v>
          </cell>
          <cell r="M236">
            <v>-3020</v>
          </cell>
          <cell r="N236">
            <v>-2843.91</v>
          </cell>
          <cell r="O236">
            <v>-2669.49</v>
          </cell>
          <cell r="P236">
            <v>-4059.6687883884538</v>
          </cell>
          <cell r="Q236">
            <v>-5171.1225096532562</v>
          </cell>
        </row>
        <row r="240">
          <cell r="F240">
            <v>-625</v>
          </cell>
          <cell r="G240">
            <v>-1380</v>
          </cell>
          <cell r="H240">
            <v>-2400</v>
          </cell>
          <cell r="I240">
            <v>-1195</v>
          </cell>
          <cell r="J240">
            <v>-870</v>
          </cell>
          <cell r="K240">
            <v>-1470</v>
          </cell>
          <cell r="L240">
            <v>-2485</v>
          </cell>
          <cell r="M240">
            <v>-3020</v>
          </cell>
          <cell r="N240">
            <v>-3548.71</v>
          </cell>
          <cell r="O240">
            <v>-3497.37</v>
          </cell>
          <cell r="P240">
            <v>-5074.4607083884539</v>
          </cell>
          <cell r="Q240">
            <v>-5895.910268053256</v>
          </cell>
        </row>
        <row r="241">
          <cell r="E241">
            <v>0</v>
          </cell>
          <cell r="F241">
            <v>1582.5650000000001</v>
          </cell>
          <cell r="G241">
            <v>2919.8659999999991</v>
          </cell>
          <cell r="H241">
            <v>4119.08</v>
          </cell>
          <cell r="I241">
            <v>3909.5300000000007</v>
          </cell>
          <cell r="J241">
            <v>4962.1299999999992</v>
          </cell>
          <cell r="K241">
            <v>5666.0499999999993</v>
          </cell>
          <cell r="L241">
            <v>6123.0999999999967</v>
          </cell>
          <cell r="M241">
            <v>6780.739999999998</v>
          </cell>
          <cell r="N241">
            <v>7785.2300000000059</v>
          </cell>
          <cell r="O241">
            <v>6704.4899999999952</v>
          </cell>
          <cell r="P241">
            <v>10278.59891529294</v>
          </cell>
          <cell r="Q241">
            <v>13250.31055102661</v>
          </cell>
        </row>
        <row r="242">
          <cell r="N242">
            <v>-295.41000000000003</v>
          </cell>
          <cell r="O242">
            <v>-47.93</v>
          </cell>
          <cell r="P242">
            <v>-29.676599326000002</v>
          </cell>
          <cell r="Q242">
            <v>-53.041635318031069</v>
          </cell>
        </row>
        <row r="243">
          <cell r="E243">
            <v>0</v>
          </cell>
          <cell r="F243">
            <v>1582.5650000000001</v>
          </cell>
          <cell r="G243">
            <v>2919.8659999999991</v>
          </cell>
          <cell r="H243">
            <v>4119.08</v>
          </cell>
          <cell r="I243">
            <v>3909.5300000000007</v>
          </cell>
          <cell r="J243">
            <v>4962.1299999999992</v>
          </cell>
          <cell r="K243">
            <v>5666.0499999999993</v>
          </cell>
          <cell r="L243">
            <v>6123.0999999999967</v>
          </cell>
          <cell r="M243">
            <v>6780.739999999998</v>
          </cell>
          <cell r="N243">
            <v>7489.8200000000061</v>
          </cell>
          <cell r="O243">
            <v>6656.5599999999949</v>
          </cell>
          <cell r="P243">
            <v>10248.92231596694</v>
          </cell>
          <cell r="Q243">
            <v>13197.268915708579</v>
          </cell>
        </row>
        <row r="245">
          <cell r="F245">
            <v>1582.5650000000001</v>
          </cell>
          <cell r="G245">
            <v>2919.8659999999991</v>
          </cell>
          <cell r="H245">
            <v>4119.08</v>
          </cell>
          <cell r="I245">
            <v>3909.5300000000007</v>
          </cell>
          <cell r="J245">
            <v>4962.1299999999992</v>
          </cell>
          <cell r="K245">
            <v>5666.0499999999993</v>
          </cell>
          <cell r="L245">
            <v>6123.0999999999967</v>
          </cell>
          <cell r="M245">
            <v>6780.739999999998</v>
          </cell>
          <cell r="N245">
            <v>7489.8200000000061</v>
          </cell>
          <cell r="O245">
            <v>6656.5599999999949</v>
          </cell>
          <cell r="P245">
            <v>10248.92231596694</v>
          </cell>
          <cell r="Q245">
            <v>13197.268915708579</v>
          </cell>
        </row>
        <row r="246">
          <cell r="F246">
            <v>1157.8450000000003</v>
          </cell>
          <cell r="G246">
            <v>2182.0599999999995</v>
          </cell>
          <cell r="H246">
            <v>3083.38</v>
          </cell>
          <cell r="I246">
            <v>2842.2100000000005</v>
          </cell>
          <cell r="J246">
            <v>4257.9399999999978</v>
          </cell>
          <cell r="K246">
            <v>4868.6399999999985</v>
          </cell>
          <cell r="L246">
            <v>5852.4199999999964</v>
          </cell>
          <cell r="M246">
            <v>6372.029999999997</v>
          </cell>
          <cell r="N246">
            <v>5882.7600000000057</v>
          </cell>
          <cell r="O246">
            <v>6551.2499999999945</v>
          </cell>
          <cell r="P246">
            <v>8617.9865859669389</v>
          </cell>
          <cell r="Q246">
            <v>10853.144024108577</v>
          </cell>
        </row>
        <row r="247">
          <cell r="P247">
            <v>0</v>
          </cell>
          <cell r="Q247">
            <v>0</v>
          </cell>
        </row>
        <row r="248">
          <cell r="E248">
            <v>0</v>
          </cell>
          <cell r="F248">
            <v>1582.5650000000001</v>
          </cell>
          <cell r="G248">
            <v>2919.8659999999991</v>
          </cell>
          <cell r="H248">
            <v>4119.08</v>
          </cell>
          <cell r="I248">
            <v>3909.5300000000007</v>
          </cell>
          <cell r="J248">
            <v>4962.1299999999992</v>
          </cell>
          <cell r="K248">
            <v>5666.0499999999993</v>
          </cell>
          <cell r="L248">
            <v>6123.0999999999967</v>
          </cell>
          <cell r="M248">
            <v>6780.739999999998</v>
          </cell>
          <cell r="N248">
            <v>7489.8200000000061</v>
          </cell>
          <cell r="O248">
            <v>6656.5599999999949</v>
          </cell>
          <cell r="P248">
            <v>10248.92231596694</v>
          </cell>
          <cell r="Q248">
            <v>13197.268915708579</v>
          </cell>
        </row>
        <row r="249">
          <cell r="F249">
            <v>-189</v>
          </cell>
          <cell r="G249">
            <v>-257.63</v>
          </cell>
          <cell r="H249">
            <v>-297.86</v>
          </cell>
          <cell r="I249">
            <v>-368.61</v>
          </cell>
          <cell r="J249">
            <v>-430.04499999999996</v>
          </cell>
          <cell r="K249">
            <v>-532.42999999999995</v>
          </cell>
          <cell r="L249">
            <v>-690.67000000000007</v>
          </cell>
          <cell r="M249">
            <v>-984.74</v>
          </cell>
          <cell r="N249">
            <v>-1005.21</v>
          </cell>
          <cell r="O249">
            <v>-1408.49</v>
          </cell>
          <cell r="P249">
            <v>-1560.3975</v>
          </cell>
          <cell r="Q249">
            <v>-1664.424</v>
          </cell>
        </row>
        <row r="250">
          <cell r="F250">
            <v>1393.5650000000001</v>
          </cell>
          <cell r="G250">
            <v>2662.235999999999</v>
          </cell>
          <cell r="H250">
            <v>3821.22</v>
          </cell>
          <cell r="I250">
            <v>3540.9200000000005</v>
          </cell>
          <cell r="J250">
            <v>4532.0849999999991</v>
          </cell>
          <cell r="K250">
            <v>5133.619999999999</v>
          </cell>
          <cell r="L250">
            <v>5432.4299999999967</v>
          </cell>
          <cell r="M250">
            <v>5795.9999999999982</v>
          </cell>
          <cell r="N250">
            <v>6484.610000000006</v>
          </cell>
          <cell r="O250">
            <v>5248.0699999999952</v>
          </cell>
          <cell r="P250">
            <v>8688.5248159669391</v>
          </cell>
          <cell r="Q250">
            <v>11532.844915708578</v>
          </cell>
        </row>
        <row r="255">
          <cell r="F255">
            <v>7035.585</v>
          </cell>
          <cell r="G255">
            <v>12526.985000000001</v>
          </cell>
          <cell r="H255">
            <v>14391.72</v>
          </cell>
          <cell r="I255">
            <v>14011.43</v>
          </cell>
          <cell r="J255">
            <v>13683.92</v>
          </cell>
          <cell r="K255">
            <v>16481.97</v>
          </cell>
          <cell r="L255">
            <v>20202.63</v>
          </cell>
          <cell r="M255">
            <v>15365.57</v>
          </cell>
          <cell r="N255">
            <v>27439.409999999996</v>
          </cell>
          <cell r="O255">
            <v>40900.050000000003</v>
          </cell>
          <cell r="P255">
            <v>49094.322142506819</v>
          </cell>
          <cell r="Q255">
            <v>56702.015999454532</v>
          </cell>
        </row>
        <row r="258">
          <cell r="E258">
            <v>0</v>
          </cell>
          <cell r="F258">
            <v>4653.5839999999998</v>
          </cell>
          <cell r="G258">
            <v>9868.2870000000003</v>
          </cell>
          <cell r="H258">
            <v>9817.76</v>
          </cell>
          <cell r="I258">
            <v>7344.92</v>
          </cell>
          <cell r="J258">
            <v>7730.38</v>
          </cell>
          <cell r="K258">
            <v>9520.5500000000011</v>
          </cell>
          <cell r="L258">
            <v>12819.82</v>
          </cell>
          <cell r="M258">
            <v>6908.1799999999994</v>
          </cell>
          <cell r="N258">
            <v>13475.84</v>
          </cell>
          <cell r="O258">
            <v>13055.04</v>
          </cell>
          <cell r="P258">
            <v>15848.348016083191</v>
          </cell>
          <cell r="Q258">
            <v>19911.454183168767</v>
          </cell>
        </row>
        <row r="261">
          <cell r="E261">
            <v>0</v>
          </cell>
          <cell r="F261">
            <v>4653.5839999999998</v>
          </cell>
          <cell r="G261">
            <v>9868.2870000000003</v>
          </cell>
          <cell r="H261">
            <v>9817.76</v>
          </cell>
          <cell r="I261">
            <v>7344.92</v>
          </cell>
          <cell r="J261">
            <v>7730.38</v>
          </cell>
          <cell r="K261">
            <v>9520.5500000000011</v>
          </cell>
          <cell r="L261">
            <v>12819.82</v>
          </cell>
          <cell r="M261">
            <v>6908.1799999999994</v>
          </cell>
          <cell r="N261">
            <v>13475.84</v>
          </cell>
          <cell r="O261">
            <v>13055.04</v>
          </cell>
          <cell r="P261">
            <v>15848.348016083191</v>
          </cell>
          <cell r="Q261">
            <v>19911.454183168767</v>
          </cell>
        </row>
        <row r="262">
          <cell r="E262">
            <v>0</v>
          </cell>
          <cell r="F262">
            <v>4653.5839999999998</v>
          </cell>
          <cell r="G262">
            <v>9868.2870000000003</v>
          </cell>
          <cell r="H262">
            <v>9817.76</v>
          </cell>
          <cell r="I262">
            <v>7344.92</v>
          </cell>
          <cell r="J262">
            <v>7730.38</v>
          </cell>
          <cell r="K262">
            <v>9520.5500000000011</v>
          </cell>
          <cell r="L262">
            <v>12819.82</v>
          </cell>
          <cell r="M262">
            <v>6908.1799999999994</v>
          </cell>
          <cell r="N262">
            <v>13475.84</v>
          </cell>
          <cell r="O262">
            <v>13055.04</v>
          </cell>
          <cell r="P262">
            <v>15848.348016083191</v>
          </cell>
          <cell r="Q262">
            <v>19911.454183168767</v>
          </cell>
        </row>
        <row r="264">
          <cell r="F264">
            <v>4653.5839999999998</v>
          </cell>
          <cell r="G264">
            <v>9868.2870000000003</v>
          </cell>
          <cell r="H264">
            <v>9817.76</v>
          </cell>
          <cell r="I264">
            <v>7344.92</v>
          </cell>
          <cell r="J264">
            <v>7730.38</v>
          </cell>
          <cell r="K264">
            <v>9520.5500000000011</v>
          </cell>
          <cell r="L264">
            <v>12819.82</v>
          </cell>
          <cell r="M264">
            <v>6908.1799999999994</v>
          </cell>
          <cell r="N264">
            <v>13475.84</v>
          </cell>
          <cell r="O264">
            <v>13055.04</v>
          </cell>
          <cell r="P264">
            <v>15848.348016083191</v>
          </cell>
          <cell r="Q264">
            <v>19911.454183168767</v>
          </cell>
        </row>
        <row r="265">
          <cell r="F265">
            <v>456</v>
          </cell>
          <cell r="G265">
            <v>408.93</v>
          </cell>
          <cell r="H265">
            <v>668.5</v>
          </cell>
          <cell r="I265">
            <v>1004.62</v>
          </cell>
          <cell r="J265">
            <v>1211.55</v>
          </cell>
          <cell r="K265">
            <v>1638.71</v>
          </cell>
          <cell r="L265">
            <v>1854.6</v>
          </cell>
          <cell r="M265">
            <v>2055.0500000000002</v>
          </cell>
          <cell r="N265">
            <v>3999.37</v>
          </cell>
          <cell r="O265">
            <v>7027.82</v>
          </cell>
          <cell r="P265">
            <v>8141.1484935914032</v>
          </cell>
          <cell r="Q265">
            <v>8798.896756580818</v>
          </cell>
        </row>
        <row r="266">
          <cell r="F266">
            <v>0</v>
          </cell>
          <cell r="G266">
            <v>0</v>
          </cell>
          <cell r="H266">
            <v>0</v>
          </cell>
          <cell r="I266">
            <v>0</v>
          </cell>
          <cell r="J266">
            <v>0</v>
          </cell>
          <cell r="K266">
            <v>0</v>
          </cell>
          <cell r="L266">
            <v>0</v>
          </cell>
          <cell r="M266">
            <v>0</v>
          </cell>
          <cell r="N266">
            <v>0</v>
          </cell>
          <cell r="O266">
            <v>0</v>
          </cell>
          <cell r="P266">
            <v>0</v>
          </cell>
          <cell r="Q266">
            <v>0</v>
          </cell>
        </row>
        <row r="267">
          <cell r="F267">
            <v>971.89300000000003</v>
          </cell>
          <cell r="G267">
            <v>1206.0140000000001</v>
          </cell>
          <cell r="H267">
            <v>1370.24</v>
          </cell>
          <cell r="I267">
            <v>1757.31</v>
          </cell>
          <cell r="J267">
            <v>1873.71</v>
          </cell>
          <cell r="K267">
            <v>2253.2600000000002</v>
          </cell>
          <cell r="L267">
            <v>2404.8599999999997</v>
          </cell>
          <cell r="M267">
            <v>2607.58</v>
          </cell>
          <cell r="N267">
            <v>6326.71</v>
          </cell>
          <cell r="O267">
            <v>14490.85</v>
          </cell>
          <cell r="P267">
            <v>16753.040864214054</v>
          </cell>
          <cell r="Q267">
            <v>18286.711220813122</v>
          </cell>
        </row>
        <row r="268">
          <cell r="F268">
            <v>455.10699999999997</v>
          </cell>
          <cell r="G268">
            <v>433.13599999999997</v>
          </cell>
          <cell r="H268">
            <v>466.17000000000007</v>
          </cell>
          <cell r="I268">
            <v>704.63999999999987</v>
          </cell>
          <cell r="J268">
            <v>893.5</v>
          </cell>
          <cell r="K268">
            <v>903.45999999999958</v>
          </cell>
          <cell r="L268">
            <v>878.42000000000053</v>
          </cell>
          <cell r="M268">
            <v>865.96</v>
          </cell>
        </row>
        <row r="269">
          <cell r="F269">
            <v>499.00099999999998</v>
          </cell>
          <cell r="G269">
            <v>610.61799999999994</v>
          </cell>
          <cell r="H269">
            <v>2069.0499999999997</v>
          </cell>
          <cell r="I269">
            <v>3199.9399999999996</v>
          </cell>
          <cell r="J269">
            <v>1974.7800000000002</v>
          </cell>
          <cell r="K269">
            <v>2165.9900000000002</v>
          </cell>
          <cell r="L269">
            <v>2244.9299999999998</v>
          </cell>
          <cell r="M269">
            <v>2928.8</v>
          </cell>
          <cell r="N269">
            <v>3637.49</v>
          </cell>
          <cell r="O269">
            <v>6326.34</v>
          </cell>
          <cell r="P269">
            <v>8351.7847686181703</v>
          </cell>
          <cell r="Q269">
            <v>9704.9538388918227</v>
          </cell>
        </row>
        <row r="271">
          <cell r="F271">
            <v>19232</v>
          </cell>
          <cell r="G271">
            <v>20010</v>
          </cell>
          <cell r="H271">
            <v>21411</v>
          </cell>
          <cell r="I271">
            <v>26840.66</v>
          </cell>
          <cell r="J271">
            <v>34942.82</v>
          </cell>
          <cell r="K271">
            <v>50906.52</v>
          </cell>
          <cell r="L271">
            <v>52350.48</v>
          </cell>
          <cell r="M271">
            <v>53582.59</v>
          </cell>
          <cell r="N271">
            <v>74233.56</v>
          </cell>
          <cell r="O271">
            <v>85337.49</v>
          </cell>
          <cell r="P271">
            <v>97437.49000000002</v>
          </cell>
          <cell r="Q271">
            <v>99737.49000000002</v>
          </cell>
        </row>
        <row r="273">
          <cell r="F273">
            <v>-7807</v>
          </cell>
          <cell r="G273">
            <v>-8825</v>
          </cell>
          <cell r="H273">
            <v>-9862</v>
          </cell>
          <cell r="I273">
            <v>-10962.49</v>
          </cell>
          <cell r="J273">
            <v>-12333.1</v>
          </cell>
          <cell r="K273">
            <v>-16288.8</v>
          </cell>
          <cell r="L273">
            <v>-19099.93</v>
          </cell>
          <cell r="M273">
            <v>-21977.96</v>
          </cell>
          <cell r="N273">
            <v>-30532.77</v>
          </cell>
          <cell r="O273">
            <v>-24531.87</v>
          </cell>
          <cell r="P273">
            <v>-28475.7061736</v>
          </cell>
          <cell r="Q273">
            <v>-32728.28616498311</v>
          </cell>
        </row>
        <row r="274">
          <cell r="F274">
            <v>11425</v>
          </cell>
          <cell r="G274">
            <v>11185</v>
          </cell>
          <cell r="H274">
            <v>11549</v>
          </cell>
          <cell r="I274">
            <v>15878.17</v>
          </cell>
          <cell r="J274">
            <v>22609.72</v>
          </cell>
          <cell r="K274">
            <v>34617.72</v>
          </cell>
          <cell r="L274">
            <v>33250.550000000003</v>
          </cell>
          <cell r="M274">
            <v>31604.629999999997</v>
          </cell>
          <cell r="N274">
            <v>43700.789999999994</v>
          </cell>
          <cell r="O274">
            <v>60805.62000000001</v>
          </cell>
          <cell r="P274">
            <v>68961.783826400017</v>
          </cell>
          <cell r="Q274">
            <v>67009.203835016902</v>
          </cell>
        </row>
        <row r="276">
          <cell r="F276">
            <v>468.81</v>
          </cell>
          <cell r="G276">
            <v>2107</v>
          </cell>
          <cell r="H276">
            <v>3635</v>
          </cell>
          <cell r="I276">
            <v>3971.7</v>
          </cell>
          <cell r="J276">
            <v>1262.56</v>
          </cell>
          <cell r="K276">
            <v>1148.1400000000001</v>
          </cell>
          <cell r="L276">
            <v>1099.02</v>
          </cell>
          <cell r="M276">
            <v>2782.46</v>
          </cell>
          <cell r="N276">
            <v>7160.96</v>
          </cell>
          <cell r="O276">
            <v>8776.43</v>
          </cell>
          <cell r="P276">
            <v>4423.9399999999941</v>
          </cell>
          <cell r="Q276">
            <v>10773.939999999995</v>
          </cell>
        </row>
        <row r="278">
          <cell r="E278">
            <v>0</v>
          </cell>
          <cell r="F278">
            <v>11893.81</v>
          </cell>
          <cell r="G278">
            <v>13292</v>
          </cell>
          <cell r="H278">
            <v>15184</v>
          </cell>
          <cell r="I278">
            <v>19849.87</v>
          </cell>
          <cell r="J278">
            <v>23872.280000000002</v>
          </cell>
          <cell r="K278">
            <v>35765.86</v>
          </cell>
          <cell r="L278">
            <v>34349.57</v>
          </cell>
          <cell r="M278">
            <v>34387.089999999997</v>
          </cell>
          <cell r="N278">
            <v>50861.749999999993</v>
          </cell>
          <cell r="O278">
            <v>69582.050000000017</v>
          </cell>
          <cell r="P278">
            <v>73385.723826400004</v>
          </cell>
          <cell r="Q278">
            <v>77783.143835016905</v>
          </cell>
        </row>
        <row r="282">
          <cell r="F282">
            <v>1658.3339999999998</v>
          </cell>
          <cell r="G282">
            <v>1682.799</v>
          </cell>
          <cell r="H282">
            <v>2943.1399999999994</v>
          </cell>
          <cell r="I282">
            <v>2195.5</v>
          </cell>
          <cell r="J282">
            <v>4691.8100000000004</v>
          </cell>
          <cell r="K282">
            <v>5151.91</v>
          </cell>
          <cell r="L282">
            <v>5809.5800000000008</v>
          </cell>
          <cell r="M282">
            <v>16894.669999999998</v>
          </cell>
          <cell r="N282">
            <v>6206.26</v>
          </cell>
          <cell r="O282">
            <v>5667.67</v>
          </cell>
          <cell r="P282">
            <v>5667.6700000000019</v>
          </cell>
          <cell r="Q282">
            <v>5667.6700000000019</v>
          </cell>
        </row>
        <row r="283">
          <cell r="O283">
            <v>1016.25</v>
          </cell>
          <cell r="P283">
            <v>1016.25</v>
          </cell>
          <cell r="Q283">
            <v>1016.25</v>
          </cell>
        </row>
        <row r="284">
          <cell r="N284">
            <v>30.92</v>
          </cell>
          <cell r="O284">
            <v>77</v>
          </cell>
          <cell r="P284">
            <v>77</v>
          </cell>
          <cell r="Q284">
            <v>77</v>
          </cell>
        </row>
        <row r="285">
          <cell r="E285">
            <v>0</v>
          </cell>
          <cell r="F285">
            <v>13552.144</v>
          </cell>
          <cell r="G285">
            <v>14974.798999999999</v>
          </cell>
          <cell r="H285">
            <v>18127.14</v>
          </cell>
          <cell r="I285">
            <v>22045.37</v>
          </cell>
          <cell r="J285">
            <v>28564.090000000004</v>
          </cell>
          <cell r="K285">
            <v>40917.770000000004</v>
          </cell>
          <cell r="L285">
            <v>40159.15</v>
          </cell>
          <cell r="M285">
            <v>51281.759999999995</v>
          </cell>
          <cell r="N285">
            <v>57098.929999999993</v>
          </cell>
          <cell r="O285">
            <v>76342.970000000016</v>
          </cell>
          <cell r="P285">
            <v>80146.643826400003</v>
          </cell>
          <cell r="Q285">
            <v>84544.063835016903</v>
          </cell>
        </row>
        <row r="286">
          <cell r="F286">
            <v>20587.728999999999</v>
          </cell>
          <cell r="G286">
            <v>27501.784</v>
          </cell>
          <cell r="H286">
            <v>32518.86</v>
          </cell>
          <cell r="I286">
            <v>36056.799999999996</v>
          </cell>
          <cell r="J286">
            <v>42248.009999999995</v>
          </cell>
          <cell r="K286">
            <v>57399.740000000005</v>
          </cell>
          <cell r="L286">
            <v>60361.780000000006</v>
          </cell>
          <cell r="M286">
            <v>66647.329999999987</v>
          </cell>
          <cell r="N286">
            <v>84538.339999999982</v>
          </cell>
          <cell r="O286">
            <v>117243.02</v>
          </cell>
          <cell r="P286">
            <v>129240.96596890682</v>
          </cell>
          <cell r="Q286">
            <v>141246.07983447146</v>
          </cell>
        </row>
        <row r="289">
          <cell r="F289">
            <v>3194.8240000000001</v>
          </cell>
          <cell r="G289">
            <v>3961.51</v>
          </cell>
          <cell r="H289">
            <v>4405.6000000000004</v>
          </cell>
          <cell r="I289">
            <v>4548.8300000000008</v>
          </cell>
          <cell r="J289">
            <v>5052.5899999999992</v>
          </cell>
          <cell r="K289">
            <v>4855.8099999999995</v>
          </cell>
          <cell r="L289">
            <v>3376.4433333333336</v>
          </cell>
          <cell r="M289">
            <v>3252.27</v>
          </cell>
          <cell r="N289">
            <v>5170.96</v>
          </cell>
          <cell r="O289">
            <v>11648.96</v>
          </cell>
          <cell r="P289">
            <v>13871.392633613887</v>
          </cell>
          <cell r="Q289">
            <v>15565.832189751885</v>
          </cell>
        </row>
        <row r="295">
          <cell r="E295">
            <v>0</v>
          </cell>
          <cell r="F295">
            <v>0</v>
          </cell>
          <cell r="G295">
            <v>0</v>
          </cell>
          <cell r="H295">
            <v>0</v>
          </cell>
          <cell r="I295">
            <v>0</v>
          </cell>
          <cell r="J295">
            <v>0</v>
          </cell>
          <cell r="K295">
            <v>0</v>
          </cell>
          <cell r="L295">
            <v>0</v>
          </cell>
          <cell r="M295">
            <v>0</v>
          </cell>
          <cell r="N295">
            <v>0</v>
          </cell>
          <cell r="O295">
            <v>0</v>
          </cell>
          <cell r="P295">
            <v>0</v>
          </cell>
          <cell r="Q295">
            <v>0</v>
          </cell>
        </row>
        <row r="297">
          <cell r="E297">
            <v>0</v>
          </cell>
          <cell r="F297">
            <v>0</v>
          </cell>
          <cell r="G297">
            <v>0</v>
          </cell>
          <cell r="H297">
            <v>0</v>
          </cell>
          <cell r="I297">
            <v>0</v>
          </cell>
          <cell r="J297">
            <v>0</v>
          </cell>
          <cell r="K297">
            <v>0</v>
          </cell>
          <cell r="L297">
            <v>0</v>
          </cell>
          <cell r="M297">
            <v>0</v>
          </cell>
          <cell r="N297">
            <v>0</v>
          </cell>
          <cell r="O297">
            <v>0</v>
          </cell>
          <cell r="P297">
            <v>0</v>
          </cell>
          <cell r="Q297">
            <v>0</v>
          </cell>
        </row>
        <row r="298">
          <cell r="F298">
            <v>2433.1469999999999</v>
          </cell>
          <cell r="G298">
            <v>2828.17</v>
          </cell>
          <cell r="H298">
            <v>2936.0700000000006</v>
          </cell>
          <cell r="I298">
            <v>2619.9899999999998</v>
          </cell>
          <cell r="J298">
            <v>3048.579999999999</v>
          </cell>
          <cell r="K298">
            <v>2758.4700000000003</v>
          </cell>
          <cell r="L298">
            <v>1151.3433333333332</v>
          </cell>
          <cell r="M298">
            <v>462.52999999999975</v>
          </cell>
        </row>
        <row r="300">
          <cell r="F300">
            <v>533</v>
          </cell>
          <cell r="G300">
            <v>816.11</v>
          </cell>
          <cell r="H300">
            <v>1084.9000000000001</v>
          </cell>
          <cell r="I300">
            <v>1267.1000000000001</v>
          </cell>
          <cell r="J300">
            <v>1147.97</v>
          </cell>
          <cell r="K300">
            <v>1348.91</v>
          </cell>
          <cell r="L300">
            <v>1328.8600000000001</v>
          </cell>
          <cell r="M300">
            <v>1357.02</v>
          </cell>
          <cell r="N300">
            <v>4038.99</v>
          </cell>
          <cell r="O300">
            <v>9984.7999999999993</v>
          </cell>
          <cell r="P300">
            <v>11823.524712891794</v>
          </cell>
          <cell r="Q300">
            <v>13225.415523550953</v>
          </cell>
        </row>
        <row r="303">
          <cell r="F303">
            <v>0</v>
          </cell>
          <cell r="G303">
            <v>0</v>
          </cell>
          <cell r="H303">
            <v>0</v>
          </cell>
          <cell r="I303">
            <v>33.510000000000005</v>
          </cell>
          <cell r="J303">
            <v>39.090000000000003</v>
          </cell>
          <cell r="K303">
            <v>48.4</v>
          </cell>
          <cell r="L303">
            <v>94.94</v>
          </cell>
          <cell r="M303">
            <v>91.15</v>
          </cell>
        </row>
        <row r="304">
          <cell r="F304">
            <v>189</v>
          </cell>
          <cell r="G304">
            <v>257.63</v>
          </cell>
          <cell r="H304">
            <v>297.86</v>
          </cell>
          <cell r="I304">
            <v>335.1</v>
          </cell>
          <cell r="J304">
            <v>390.95</v>
          </cell>
          <cell r="K304">
            <v>484.03</v>
          </cell>
          <cell r="L304">
            <v>595.73</v>
          </cell>
          <cell r="M304">
            <v>893.59</v>
          </cell>
        </row>
        <row r="305">
          <cell r="F305">
            <v>39.677000000000021</v>
          </cell>
          <cell r="G305">
            <v>59.600000000000023</v>
          </cell>
          <cell r="H305">
            <v>86.769999999999982</v>
          </cell>
          <cell r="I305">
            <v>293.12999999999988</v>
          </cell>
          <cell r="J305">
            <v>426</v>
          </cell>
          <cell r="K305">
            <v>216</v>
          </cell>
          <cell r="L305">
            <v>205.56999999999994</v>
          </cell>
          <cell r="M305">
            <v>447.98</v>
          </cell>
          <cell r="N305">
            <v>1131.97</v>
          </cell>
          <cell r="O305">
            <v>1664.16</v>
          </cell>
          <cell r="P305">
            <v>2047.8679207220921</v>
          </cell>
          <cell r="Q305">
            <v>2340.416666200932</v>
          </cell>
        </row>
        <row r="307">
          <cell r="F307">
            <v>574.24299999999994</v>
          </cell>
          <cell r="G307">
            <v>1556.8300000000002</v>
          </cell>
          <cell r="H307">
            <v>2346.2799999999997</v>
          </cell>
          <cell r="I307">
            <v>2893.08</v>
          </cell>
          <cell r="J307">
            <v>4750.2800000000007</v>
          </cell>
          <cell r="K307">
            <v>4111.66</v>
          </cell>
          <cell r="L307">
            <v>4602.3566666666666</v>
          </cell>
          <cell r="M307">
            <v>6684.66</v>
          </cell>
          <cell r="N307">
            <v>13950.57</v>
          </cell>
          <cell r="O307">
            <v>33040.51</v>
          </cell>
          <cell r="P307">
            <v>33083.03</v>
          </cell>
          <cell r="Q307">
            <v>31083.03</v>
          </cell>
        </row>
        <row r="309">
          <cell r="M309">
            <v>0</v>
          </cell>
          <cell r="N309">
            <v>5979.52</v>
          </cell>
          <cell r="O309">
            <v>10258.67</v>
          </cell>
          <cell r="P309">
            <v>11273.46192</v>
          </cell>
          <cell r="Q309">
            <v>11998.2496784</v>
          </cell>
        </row>
        <row r="310">
          <cell r="F310">
            <v>159</v>
          </cell>
          <cell r="G310">
            <v>85.44</v>
          </cell>
          <cell r="H310">
            <v>71.27</v>
          </cell>
          <cell r="I310">
            <v>75.189999999999984</v>
          </cell>
          <cell r="J310">
            <v>77.819999999999993</v>
          </cell>
          <cell r="K310">
            <v>57.75</v>
          </cell>
          <cell r="L310">
            <v>49.889999999999873</v>
          </cell>
          <cell r="M310">
            <v>54.730000000000018</v>
          </cell>
        </row>
        <row r="311">
          <cell r="E311">
            <v>0</v>
          </cell>
          <cell r="F311">
            <v>3928.067</v>
          </cell>
          <cell r="G311">
            <v>5603.78</v>
          </cell>
          <cell r="H311">
            <v>6823.1500000000005</v>
          </cell>
          <cell r="I311">
            <v>7517.1</v>
          </cell>
          <cell r="J311">
            <v>9880.6899999999987</v>
          </cell>
          <cell r="K311">
            <v>9025.2199999999993</v>
          </cell>
          <cell r="L311">
            <v>8028.6900000000005</v>
          </cell>
          <cell r="M311">
            <v>9991.66</v>
          </cell>
          <cell r="N311">
            <v>25101.05</v>
          </cell>
          <cell r="O311">
            <v>54948.14</v>
          </cell>
          <cell r="P311">
            <v>58227.884553613883</v>
          </cell>
          <cell r="Q311">
            <v>58647.111868151886</v>
          </cell>
        </row>
        <row r="315">
          <cell r="E315">
            <v>0</v>
          </cell>
          <cell r="F315">
            <v>3007.39</v>
          </cell>
          <cell r="G315">
            <v>4385</v>
          </cell>
          <cell r="H315">
            <v>5282.35</v>
          </cell>
          <cell r="I315">
            <v>5513.07</v>
          </cell>
          <cell r="J315">
            <v>7798.86</v>
          </cell>
          <cell r="K315">
            <v>6870.13</v>
          </cell>
          <cell r="L315">
            <v>5753.7</v>
          </cell>
          <cell r="M315">
            <v>7147.19</v>
          </cell>
          <cell r="N315">
            <v>13950.57</v>
          </cell>
          <cell r="O315">
            <v>33040.51</v>
          </cell>
          <cell r="P315">
            <v>33083.03</v>
          </cell>
          <cell r="Q315">
            <v>31083.03</v>
          </cell>
        </row>
        <row r="317">
          <cell r="F317">
            <v>0</v>
          </cell>
          <cell r="G317">
            <v>0</v>
          </cell>
          <cell r="H317">
            <v>0</v>
          </cell>
          <cell r="I317">
            <v>0</v>
          </cell>
          <cell r="J317">
            <v>0</v>
          </cell>
          <cell r="K317">
            <v>0</v>
          </cell>
          <cell r="L317">
            <v>0</v>
          </cell>
          <cell r="M317">
            <v>0</v>
          </cell>
          <cell r="N317">
            <v>1988.95</v>
          </cell>
          <cell r="O317">
            <v>357.36</v>
          </cell>
          <cell r="P317">
            <v>387.03659932599999</v>
          </cell>
          <cell r="Q317">
            <v>440.07823464403106</v>
          </cell>
        </row>
        <row r="318">
          <cell r="F318">
            <v>0</v>
          </cell>
          <cell r="G318">
            <v>0</v>
          </cell>
          <cell r="H318">
            <v>0</v>
          </cell>
          <cell r="I318">
            <v>0</v>
          </cell>
          <cell r="J318">
            <v>0</v>
          </cell>
          <cell r="K318">
            <v>0</v>
          </cell>
          <cell r="L318">
            <v>0</v>
          </cell>
          <cell r="M318">
            <v>0</v>
          </cell>
          <cell r="N318">
            <v>0</v>
          </cell>
          <cell r="O318">
            <v>0</v>
          </cell>
          <cell r="P318">
            <v>0</v>
          </cell>
          <cell r="Q318">
            <v>0</v>
          </cell>
        </row>
        <row r="319">
          <cell r="F319">
            <v>433.745</v>
          </cell>
          <cell r="G319">
            <v>480.09</v>
          </cell>
          <cell r="H319">
            <v>496.47</v>
          </cell>
          <cell r="I319">
            <v>744.69</v>
          </cell>
          <cell r="J319">
            <v>744.69</v>
          </cell>
          <cell r="K319">
            <v>744.69</v>
          </cell>
          <cell r="L319">
            <v>744.69</v>
          </cell>
          <cell r="M319">
            <v>744.69</v>
          </cell>
          <cell r="N319">
            <v>744.63</v>
          </cell>
          <cell r="O319">
            <v>924.64</v>
          </cell>
          <cell r="P319">
            <v>924.64</v>
          </cell>
          <cell r="Q319">
            <v>924.64</v>
          </cell>
        </row>
        <row r="320">
          <cell r="F320">
            <v>7720.5</v>
          </cell>
          <cell r="G320">
            <v>7029.5</v>
          </cell>
          <cell r="H320">
            <v>6338.5</v>
          </cell>
          <cell r="I320">
            <v>5648.1</v>
          </cell>
          <cell r="J320">
            <v>4943.5</v>
          </cell>
          <cell r="K320">
            <v>15815.6</v>
          </cell>
          <cell r="L320">
            <v>14340.93</v>
          </cell>
          <cell r="M320">
            <v>12867.46</v>
          </cell>
          <cell r="N320">
            <v>11358.08</v>
          </cell>
          <cell r="O320">
            <v>0</v>
          </cell>
          <cell r="P320">
            <v>0</v>
          </cell>
          <cell r="Q320">
            <v>0</v>
          </cell>
        </row>
        <row r="322">
          <cell r="F322">
            <v>8505.4419999999973</v>
          </cell>
          <cell r="G322">
            <v>14388.46</v>
          </cell>
          <cell r="H322">
            <v>18860.740000000002</v>
          </cell>
          <cell r="I322">
            <v>22146.91</v>
          </cell>
          <cell r="J322">
            <v>26679.09</v>
          </cell>
          <cell r="K322">
            <v>31814.230000000007</v>
          </cell>
          <cell r="L322">
            <v>37247.47</v>
          </cell>
          <cell r="M322">
            <v>43043.520000000004</v>
          </cell>
          <cell r="N322">
            <v>45345.63</v>
          </cell>
          <cell r="O322">
            <v>61012.88</v>
          </cell>
          <cell r="P322">
            <v>69701.404815966933</v>
          </cell>
          <cell r="Q322">
            <v>81234.249731675518</v>
          </cell>
        </row>
        <row r="323">
          <cell r="A323" t="str">
            <v>x</v>
          </cell>
          <cell r="B323" t="str">
            <v>bsf</v>
          </cell>
          <cell r="C323" t="str">
            <v>Shareholders funds</v>
          </cell>
          <cell r="D323">
            <v>1000000</v>
          </cell>
          <cell r="F323">
            <v>16659.686999999998</v>
          </cell>
          <cell r="G323">
            <v>21898.05</v>
          </cell>
          <cell r="H323">
            <v>25695.710000000003</v>
          </cell>
          <cell r="I323">
            <v>28539.699999999997</v>
          </cell>
          <cell r="J323">
            <v>32367.279999999999</v>
          </cell>
          <cell r="K323">
            <v>48374.520000000004</v>
          </cell>
          <cell r="L323">
            <v>52333.090000000004</v>
          </cell>
          <cell r="M323">
            <v>56655.670000000006</v>
          </cell>
          <cell r="N323">
            <v>57448.34</v>
          </cell>
          <cell r="O323">
            <v>61937.52</v>
          </cell>
          <cell r="P323">
            <v>70626.044815966932</v>
          </cell>
          <cell r="Q323">
            <v>82158.889731675517</v>
          </cell>
          <cell r="R323">
            <v>93010.488671382103</v>
          </cell>
        </row>
        <row r="328">
          <cell r="F328">
            <v>16659.686999999998</v>
          </cell>
          <cell r="G328">
            <v>21898.05</v>
          </cell>
          <cell r="H328">
            <v>25695.710000000003</v>
          </cell>
          <cell r="I328">
            <v>28539.699999999997</v>
          </cell>
          <cell r="J328">
            <v>32367.279999999999</v>
          </cell>
          <cell r="K328">
            <v>48374.520000000004</v>
          </cell>
          <cell r="L328">
            <v>52333.090000000004</v>
          </cell>
          <cell r="M328">
            <v>56655.670000000006</v>
          </cell>
          <cell r="N328">
            <v>59437.289999999994</v>
          </cell>
          <cell r="O328">
            <v>62294.879999999997</v>
          </cell>
          <cell r="P328">
            <v>71013.081415292938</v>
          </cell>
          <cell r="Q328">
            <v>82598.967966319542</v>
          </cell>
        </row>
        <row r="331">
          <cell r="F331">
            <v>20587.753999999997</v>
          </cell>
          <cell r="G331">
            <v>27501.829999999998</v>
          </cell>
          <cell r="H331">
            <v>32518.860000000004</v>
          </cell>
          <cell r="I331">
            <v>36056.799999999996</v>
          </cell>
          <cell r="J331">
            <v>42247.97</v>
          </cell>
          <cell r="K331">
            <v>57399.740000000005</v>
          </cell>
          <cell r="L331">
            <v>60361.780000000006</v>
          </cell>
          <cell r="M331">
            <v>66647.33</v>
          </cell>
          <cell r="N331">
            <v>84538.34</v>
          </cell>
          <cell r="O331">
            <v>117243.01999999999</v>
          </cell>
          <cell r="P331">
            <v>129240.96596890682</v>
          </cell>
          <cell r="Q331">
            <v>141246.07983447143</v>
          </cell>
        </row>
        <row r="334">
          <cell r="F334">
            <v>1984</v>
          </cell>
          <cell r="G334">
            <v>3513.6469999999995</v>
          </cell>
          <cell r="H334">
            <v>5263.18</v>
          </cell>
          <cell r="I334">
            <v>3842.9600000000005</v>
          </cell>
          <cell r="J334">
            <v>5282.9199999999983</v>
          </cell>
          <cell r="K334">
            <v>6530.6899999999987</v>
          </cell>
          <cell r="L334">
            <v>8046.8699999999963</v>
          </cell>
          <cell r="M334">
            <v>9104.6099999999969</v>
          </cell>
          <cell r="N334">
            <v>9830.0900000000056</v>
          </cell>
          <cell r="O334">
            <v>11006.449999999995</v>
          </cell>
          <cell r="P334">
            <v>14681.989975278419</v>
          </cell>
          <cell r="Q334">
            <v>18121.71752460799</v>
          </cell>
        </row>
        <row r="335">
          <cell r="F335">
            <v>269</v>
          </cell>
          <cell r="G335">
            <v>329.52</v>
          </cell>
          <cell r="H335">
            <v>348.36</v>
          </cell>
          <cell r="I335">
            <v>423.15</v>
          </cell>
          <cell r="J335">
            <v>776.35</v>
          </cell>
          <cell r="K335">
            <v>1245.98</v>
          </cell>
          <cell r="L335">
            <v>1353.63</v>
          </cell>
          <cell r="M335">
            <v>1423.86</v>
          </cell>
          <cell r="N335">
            <v>2175.1</v>
          </cell>
          <cell r="O335">
            <v>3640.6</v>
          </cell>
          <cell r="P335">
            <v>3943.8361736000002</v>
          </cell>
          <cell r="Q335">
            <v>4252.5799913831115</v>
          </cell>
        </row>
        <row r="337">
          <cell r="F337">
            <v>-894.89300000000003</v>
          </cell>
          <cell r="G337">
            <v>96.058999999999855</v>
          </cell>
          <cell r="H337">
            <v>-155.00599999999974</v>
          </cell>
          <cell r="I337">
            <v>-540.98999999999978</v>
          </cell>
          <cell r="J337">
            <v>-442.46000000000004</v>
          </cell>
          <cell r="K337">
            <v>-605.77</v>
          </cell>
          <cell r="L337">
            <v>-387.53999999999928</v>
          </cell>
          <cell r="M337">
            <v>-375.01000000000067</v>
          </cell>
          <cell r="N337">
            <v>-2981.4799999999991</v>
          </cell>
          <cell r="O337">
            <v>-5246.7800000000007</v>
          </cell>
          <cell r="P337">
            <v>-1536.7946449136634</v>
          </cell>
          <cell r="Q337">
            <v>-789.52780892932424</v>
          </cell>
        </row>
        <row r="338">
          <cell r="F338">
            <v>-914.43099999999993</v>
          </cell>
          <cell r="G338">
            <v>-69.722999999999956</v>
          </cell>
          <cell r="H338">
            <v>-1464.2959999999998</v>
          </cell>
          <cell r="I338">
            <v>-1162.9999999999998</v>
          </cell>
          <cell r="J338">
            <v>1169.1699999999994</v>
          </cell>
          <cell r="K338">
            <v>-411.16999999999962</v>
          </cell>
          <cell r="L338">
            <v>-64.330000000000609</v>
          </cell>
          <cell r="M338">
            <v>-428.99999999999977</v>
          </cell>
          <cell r="N338">
            <v>841.26000000000045</v>
          </cell>
          <cell r="O338">
            <v>-2156.6600000000003</v>
          </cell>
          <cell r="P338">
            <v>-1641.7368478960782</v>
          </cell>
          <cell r="Q338">
            <v>-1060.6203247948124</v>
          </cell>
        </row>
        <row r="339">
          <cell r="F339">
            <v>379.57100000000003</v>
          </cell>
          <cell r="G339">
            <v>94.292000000000002</v>
          </cell>
          <cell r="H339">
            <v>113.25</v>
          </cell>
          <cell r="I339">
            <v>471.92999999999995</v>
          </cell>
          <cell r="J339">
            <v>151.68</v>
          </cell>
          <cell r="K339">
            <v>204.30000000000013</v>
          </cell>
          <cell r="L339">
            <v>-178.77000000000021</v>
          </cell>
          <cell r="M339">
            <v>238.96000000000012</v>
          </cell>
          <cell r="N339">
            <v>2257.13</v>
          </cell>
          <cell r="O339">
            <v>-83.059999999999718</v>
          </cell>
          <cell r="P339">
            <v>2645.7276500000003</v>
          </cell>
          <cell r="Q339">
            <v>3068.9126500000007</v>
          </cell>
        </row>
        <row r="340">
          <cell r="F340">
            <v>823.24700000000007</v>
          </cell>
          <cell r="G340">
            <v>3963.7949999999992</v>
          </cell>
          <cell r="H340">
            <v>4105.4880000000012</v>
          </cell>
          <cell r="I340">
            <v>3034.0500000000006</v>
          </cell>
          <cell r="J340">
            <v>6937.659999999998</v>
          </cell>
          <cell r="K340">
            <v>6964.0299999999979</v>
          </cell>
          <cell r="L340">
            <v>8769.8599999999969</v>
          </cell>
          <cell r="M340">
            <v>9963.4199999999983</v>
          </cell>
          <cell r="N340">
            <v>12122.100000000006</v>
          </cell>
          <cell r="O340">
            <v>7160.5499999999956</v>
          </cell>
          <cell r="P340">
            <v>18093.022306068677</v>
          </cell>
          <cell r="Q340">
            <v>23593.062032266967</v>
          </cell>
        </row>
        <row r="341">
          <cell r="F341">
            <v>-201.15499999999997</v>
          </cell>
          <cell r="G341">
            <v>48.413000000000011</v>
          </cell>
          <cell r="H341">
            <v>220.19999999999993</v>
          </cell>
          <cell r="I341">
            <v>194.25000000000006</v>
          </cell>
          <cell r="J341">
            <v>-154.98000000000002</v>
          </cell>
          <cell r="K341">
            <v>-192.05000000000007</v>
          </cell>
          <cell r="L341">
            <v>290.55000000000007</v>
          </cell>
          <cell r="M341">
            <v>287.41999999999996</v>
          </cell>
          <cell r="N341">
            <v>-808.01</v>
          </cell>
          <cell r="O341">
            <v>-1737.78</v>
          </cell>
          <cell r="P341">
            <v>-1974.6580015970264</v>
          </cell>
          <cell r="Q341">
            <v>-2044.4093555281258</v>
          </cell>
        </row>
        <row r="342">
          <cell r="F342">
            <v>204.149</v>
          </cell>
          <cell r="G342">
            <v>569.95399999999995</v>
          </cell>
          <cell r="H342">
            <v>908.28000000000009</v>
          </cell>
          <cell r="I342">
            <v>599.31000000000006</v>
          </cell>
          <cell r="J342">
            <v>555.14</v>
          </cell>
          <cell r="K342">
            <v>570.27</v>
          </cell>
          <cell r="L342">
            <v>422.11</v>
          </cell>
          <cell r="M342">
            <v>131.62</v>
          </cell>
          <cell r="N342">
            <v>0</v>
          </cell>
          <cell r="O342">
            <v>0</v>
          </cell>
          <cell r="P342">
            <v>0</v>
          </cell>
          <cell r="Q342">
            <v>0</v>
          </cell>
        </row>
        <row r="343">
          <cell r="F343">
            <v>-625</v>
          </cell>
          <cell r="G343">
            <v>-1380</v>
          </cell>
          <cell r="H343">
            <v>-2400</v>
          </cell>
          <cell r="I343">
            <v>-1161.49</v>
          </cell>
          <cell r="J343">
            <v>-864.42</v>
          </cell>
          <cell r="K343">
            <v>-1460.69</v>
          </cell>
          <cell r="L343">
            <v>-2438.46</v>
          </cell>
          <cell r="M343">
            <v>-3023.79</v>
          </cell>
          <cell r="N343">
            <v>-2935.06</v>
          </cell>
          <cell r="O343">
            <v>-2669.49</v>
          </cell>
          <cell r="P343">
            <v>-4059.6687883884538</v>
          </cell>
          <cell r="Q343">
            <v>-5171.1225096532562</v>
          </cell>
        </row>
        <row r="344">
          <cell r="F344">
            <v>201.2410000000001</v>
          </cell>
          <cell r="G344">
            <v>3202.1619999999994</v>
          </cell>
          <cell r="H344">
            <v>2833.9680000000008</v>
          </cell>
          <cell r="I344">
            <v>2666.1200000000008</v>
          </cell>
          <cell r="J344">
            <v>6473.3999999999987</v>
          </cell>
          <cell r="K344">
            <v>5881.5599999999977</v>
          </cell>
          <cell r="L344">
            <v>7044.0599999999968</v>
          </cell>
          <cell r="M344">
            <v>7358.6699999999992</v>
          </cell>
          <cell r="N344">
            <v>8379.0300000000061</v>
          </cell>
          <cell r="O344">
            <v>2753.2799999999961</v>
          </cell>
          <cell r="P344">
            <v>12058.695516083197</v>
          </cell>
          <cell r="Q344">
            <v>16377.530167085586</v>
          </cell>
        </row>
        <row r="345">
          <cell r="F345">
            <v>0</v>
          </cell>
          <cell r="G345">
            <v>-189</v>
          </cell>
          <cell r="H345">
            <v>-257.63</v>
          </cell>
          <cell r="I345">
            <v>-331.37</v>
          </cell>
          <cell r="J345">
            <v>-374.19499999999999</v>
          </cell>
          <cell r="K345">
            <v>-439.34999999999997</v>
          </cell>
          <cell r="L345">
            <v>-578.97</v>
          </cell>
          <cell r="M345">
            <v>-686.88</v>
          </cell>
          <cell r="N345">
            <v>-1898.8000000000002</v>
          </cell>
          <cell r="O345">
            <v>-1408.49</v>
          </cell>
          <cell r="P345">
            <v>-1560.3975</v>
          </cell>
          <cell r="Q345">
            <v>-1664.424</v>
          </cell>
        </row>
        <row r="346">
          <cell r="F346">
            <v>-1030.5360000000005</v>
          </cell>
          <cell r="G346">
            <v>-2418.71</v>
          </cell>
          <cell r="H346">
            <v>-2931.36</v>
          </cell>
          <cell r="I346">
            <v>-5779.4199999999992</v>
          </cell>
          <cell r="J346">
            <v>-5503.3600000000015</v>
          </cell>
          <cell r="K346">
            <v>-2267.4599999999991</v>
          </cell>
          <cell r="L346">
            <v>-1412.0100000000016</v>
          </cell>
          <cell r="M346">
            <v>-2934.8499999999958</v>
          </cell>
          <cell r="N346">
            <v>-18649.759999999995</v>
          </cell>
          <cell r="O346">
            <v>-22360.900000000016</v>
          </cell>
          <cell r="P346">
            <v>-7747.51</v>
          </cell>
          <cell r="Q346">
            <v>-8649.9999999999982</v>
          </cell>
        </row>
        <row r="349">
          <cell r="F349">
            <v>-1658.3339999999998</v>
          </cell>
          <cell r="G349">
            <v>-24.465000000000146</v>
          </cell>
          <cell r="H349">
            <v>-1260.3409999999994</v>
          </cell>
          <cell r="I349">
            <v>747.63999999999942</v>
          </cell>
          <cell r="J349">
            <v>-2496.3100000000004</v>
          </cell>
          <cell r="K349">
            <v>-460.09999999999945</v>
          </cell>
          <cell r="L349">
            <v>-657.67000000000098</v>
          </cell>
          <cell r="M349">
            <v>-11085.089999999997</v>
          </cell>
          <cell r="N349">
            <v>10688.409999999998</v>
          </cell>
          <cell r="O349">
            <v>538.59000000000015</v>
          </cell>
          <cell r="P349">
            <v>0</v>
          </cell>
          <cell r="Q349">
            <v>0</v>
          </cell>
        </row>
        <row r="350">
          <cell r="F350">
            <v>1956.714999999997</v>
          </cell>
          <cell r="G350">
            <v>3267.1270000000022</v>
          </cell>
          <cell r="H350">
            <v>667.44000000000369</v>
          </cell>
          <cell r="I350">
            <v>0</v>
          </cell>
          <cell r="J350">
            <v>0</v>
          </cell>
          <cell r="K350">
            <v>0</v>
          </cell>
          <cell r="L350">
            <v>0</v>
          </cell>
          <cell r="M350">
            <v>0</v>
          </cell>
          <cell r="N350">
            <v>0</v>
          </cell>
          <cell r="O350">
            <v>0</v>
          </cell>
          <cell r="P350">
            <v>0</v>
          </cell>
          <cell r="Q350">
            <v>0</v>
          </cell>
        </row>
        <row r="351">
          <cell r="F351">
            <v>0</v>
          </cell>
          <cell r="G351">
            <v>0</v>
          </cell>
          <cell r="H351">
            <v>0</v>
          </cell>
          <cell r="I351">
            <v>0</v>
          </cell>
          <cell r="J351">
            <v>0</v>
          </cell>
          <cell r="K351">
            <v>2.77</v>
          </cell>
          <cell r="L351">
            <v>19.48</v>
          </cell>
          <cell r="M351">
            <v>42.97</v>
          </cell>
          <cell r="N351">
            <v>0</v>
          </cell>
          <cell r="O351">
            <v>0</v>
          </cell>
          <cell r="P351">
            <v>0</v>
          </cell>
          <cell r="Q351">
            <v>0</v>
          </cell>
        </row>
        <row r="352">
          <cell r="F352">
            <v>0</v>
          </cell>
          <cell r="G352">
            <v>0</v>
          </cell>
          <cell r="H352">
            <v>0</v>
          </cell>
          <cell r="I352">
            <v>-6.5</v>
          </cell>
          <cell r="J352">
            <v>0.1</v>
          </cell>
          <cell r="K352">
            <v>1.5</v>
          </cell>
          <cell r="L352">
            <v>0.8</v>
          </cell>
          <cell r="N352">
            <v>1245.3999999999853</v>
          </cell>
          <cell r="O352">
            <v>966.63000000000375</v>
          </cell>
          <cell r="P352">
            <v>0</v>
          </cell>
          <cell r="Q352">
            <v>0</v>
          </cell>
        </row>
        <row r="353">
          <cell r="F353">
            <v>-530.9140000000034</v>
          </cell>
          <cell r="G353">
            <v>3837.1140000000014</v>
          </cell>
          <cell r="H353">
            <v>-947.92299999999523</v>
          </cell>
          <cell r="I353">
            <v>-2703.5299999999988</v>
          </cell>
          <cell r="J353">
            <v>-1900.365000000003</v>
          </cell>
          <cell r="K353">
            <v>2718.9199999999987</v>
          </cell>
          <cell r="L353">
            <v>4415.6899999999932</v>
          </cell>
          <cell r="M353">
            <v>-7305.179999999993</v>
          </cell>
          <cell r="N353">
            <v>-235.72000000000457</v>
          </cell>
          <cell r="O353">
            <v>-19510.890000000014</v>
          </cell>
          <cell r="P353">
            <v>2750.7880160831974</v>
          </cell>
          <cell r="Q353">
            <v>6063.106167085587</v>
          </cell>
        </row>
        <row r="357">
          <cell r="E357">
            <v>0</v>
          </cell>
          <cell r="F357">
            <v>-480</v>
          </cell>
          <cell r="G357">
            <v>-474.03</v>
          </cell>
          <cell r="H357">
            <v>-615.61</v>
          </cell>
          <cell r="I357">
            <v>-488.82</v>
          </cell>
          <cell r="J357">
            <v>-723.43</v>
          </cell>
          <cell r="K357">
            <v>-836.36</v>
          </cell>
          <cell r="L357">
            <v>-596.62</v>
          </cell>
          <cell r="M357">
            <v>-618.78</v>
          </cell>
          <cell r="N357">
            <v>-808.01</v>
          </cell>
          <cell r="O357">
            <v>-1737.78</v>
          </cell>
          <cell r="P357">
            <v>-1974.6580015970264</v>
          </cell>
          <cell r="Q357">
            <v>-2044.4093555281258</v>
          </cell>
        </row>
        <row r="361">
          <cell r="E361">
            <v>0</v>
          </cell>
          <cell r="F361">
            <v>0</v>
          </cell>
          <cell r="G361">
            <v>0</v>
          </cell>
          <cell r="H361">
            <v>0</v>
          </cell>
          <cell r="I361">
            <v>0</v>
          </cell>
          <cell r="J361">
            <v>0</v>
          </cell>
          <cell r="K361">
            <v>0</v>
          </cell>
          <cell r="L361">
            <v>0</v>
          </cell>
          <cell r="M361">
            <v>0</v>
          </cell>
          <cell r="N361">
            <v>0</v>
          </cell>
          <cell r="O361">
            <v>0</v>
          </cell>
          <cell r="P361">
            <v>0</v>
          </cell>
          <cell r="Q361">
            <v>0</v>
          </cell>
        </row>
        <row r="362">
          <cell r="E362">
            <v>0</v>
          </cell>
          <cell r="F362">
            <v>0</v>
          </cell>
          <cell r="G362">
            <v>0</v>
          </cell>
          <cell r="H362">
            <v>0</v>
          </cell>
          <cell r="I362">
            <v>0</v>
          </cell>
          <cell r="J362">
            <v>0</v>
          </cell>
          <cell r="K362">
            <v>0</v>
          </cell>
          <cell r="L362">
            <v>0</v>
          </cell>
          <cell r="M362">
            <v>0</v>
          </cell>
          <cell r="N362">
            <v>0</v>
          </cell>
          <cell r="O362">
            <v>1016.25</v>
          </cell>
          <cell r="P362">
            <v>1016.25</v>
          </cell>
          <cell r="Q362">
            <v>1016.25</v>
          </cell>
        </row>
        <row r="363">
          <cell r="E363">
            <v>0</v>
          </cell>
          <cell r="F363">
            <v>0</v>
          </cell>
          <cell r="G363">
            <v>0</v>
          </cell>
          <cell r="H363">
            <v>0</v>
          </cell>
          <cell r="I363">
            <v>0</v>
          </cell>
          <cell r="J363">
            <v>0</v>
          </cell>
          <cell r="K363">
            <v>0</v>
          </cell>
          <cell r="L363">
            <v>0</v>
          </cell>
          <cell r="M363">
            <v>0</v>
          </cell>
          <cell r="N363">
            <v>0</v>
          </cell>
          <cell r="O363">
            <v>1016.25</v>
          </cell>
          <cell r="P363">
            <v>1016.25</v>
          </cell>
          <cell r="Q363">
            <v>1016.25</v>
          </cell>
        </row>
        <row r="365">
          <cell r="E365">
            <v>0</v>
          </cell>
          <cell r="F365">
            <v>0</v>
          </cell>
          <cell r="G365">
            <v>0</v>
          </cell>
          <cell r="H365">
            <v>0</v>
          </cell>
          <cell r="I365">
            <v>0</v>
          </cell>
          <cell r="J365">
            <v>0</v>
          </cell>
          <cell r="K365">
            <v>0</v>
          </cell>
          <cell r="L365">
            <v>0</v>
          </cell>
          <cell r="M365">
            <v>0</v>
          </cell>
          <cell r="N365">
            <v>0</v>
          </cell>
          <cell r="O365">
            <v>0</v>
          </cell>
          <cell r="P365">
            <v>0</v>
          </cell>
          <cell r="Q365">
            <v>0</v>
          </cell>
        </row>
        <row r="367">
          <cell r="E367">
            <v>0</v>
          </cell>
          <cell r="F367">
            <v>4653.5839999999998</v>
          </cell>
          <cell r="G367">
            <v>9868.2870000000003</v>
          </cell>
          <cell r="H367">
            <v>9817.76</v>
          </cell>
          <cell r="I367">
            <v>7344.92</v>
          </cell>
          <cell r="J367">
            <v>7730.38</v>
          </cell>
          <cell r="K367">
            <v>9520.5500000000011</v>
          </cell>
          <cell r="L367">
            <v>12819.82</v>
          </cell>
          <cell r="M367">
            <v>6908.1799999999994</v>
          </cell>
          <cell r="N367">
            <v>13475.84</v>
          </cell>
          <cell r="O367">
            <v>13055.04</v>
          </cell>
          <cell r="P367">
            <v>15848.348016083191</v>
          </cell>
          <cell r="Q367">
            <v>19911.454183168767</v>
          </cell>
        </row>
        <row r="369">
          <cell r="E369">
            <v>0</v>
          </cell>
          <cell r="F369">
            <v>3007.39</v>
          </cell>
          <cell r="G369">
            <v>4385</v>
          </cell>
          <cell r="H369">
            <v>5282.35</v>
          </cell>
          <cell r="I369">
            <v>5513.07</v>
          </cell>
          <cell r="J369">
            <v>7798.86</v>
          </cell>
          <cell r="K369">
            <v>6870.13</v>
          </cell>
          <cell r="L369">
            <v>5753.7</v>
          </cell>
          <cell r="M369">
            <v>7147.19</v>
          </cell>
          <cell r="N369">
            <v>13950.57</v>
          </cell>
          <cell r="O369">
            <v>33040.51</v>
          </cell>
          <cell r="P369">
            <v>33083.03</v>
          </cell>
          <cell r="Q369">
            <v>31083.03</v>
          </cell>
        </row>
        <row r="370">
          <cell r="E370">
            <v>0</v>
          </cell>
          <cell r="F370">
            <v>3007.39</v>
          </cell>
          <cell r="G370">
            <v>4385</v>
          </cell>
          <cell r="H370">
            <v>5282.35</v>
          </cell>
          <cell r="I370">
            <v>5513.07</v>
          </cell>
          <cell r="J370">
            <v>7798.86</v>
          </cell>
          <cell r="K370">
            <v>6870.13</v>
          </cell>
          <cell r="L370">
            <v>5753.7</v>
          </cell>
          <cell r="M370">
            <v>7147.19</v>
          </cell>
          <cell r="N370">
            <v>13950.57</v>
          </cell>
          <cell r="O370">
            <v>33040.51</v>
          </cell>
          <cell r="P370">
            <v>33083.03</v>
          </cell>
          <cell r="Q370">
            <v>31083.03</v>
          </cell>
        </row>
        <row r="377">
          <cell r="E377">
            <v>0</v>
          </cell>
          <cell r="F377">
            <v>0</v>
          </cell>
          <cell r="G377">
            <v>0</v>
          </cell>
          <cell r="H377">
            <v>0</v>
          </cell>
          <cell r="I377">
            <v>0</v>
          </cell>
          <cell r="J377">
            <v>0</v>
          </cell>
          <cell r="K377">
            <v>0</v>
          </cell>
          <cell r="L377">
            <v>0</v>
          </cell>
          <cell r="M377">
            <v>0</v>
          </cell>
          <cell r="N377">
            <v>0</v>
          </cell>
          <cell r="O377">
            <v>0</v>
          </cell>
          <cell r="P377">
            <v>0</v>
          </cell>
          <cell r="Q377">
            <v>0</v>
          </cell>
        </row>
        <row r="380">
          <cell r="E380">
            <v>0</v>
          </cell>
          <cell r="F380">
            <v>0</v>
          </cell>
          <cell r="G380">
            <v>0</v>
          </cell>
          <cell r="H380">
            <v>0</v>
          </cell>
          <cell r="I380">
            <v>0</v>
          </cell>
          <cell r="J380">
            <v>0</v>
          </cell>
          <cell r="K380">
            <v>0</v>
          </cell>
          <cell r="L380">
            <v>0</v>
          </cell>
          <cell r="M380">
            <v>0</v>
          </cell>
          <cell r="N380">
            <v>0</v>
          </cell>
          <cell r="O380">
            <v>0</v>
          </cell>
          <cell r="P380">
            <v>0</v>
          </cell>
          <cell r="Q380">
            <v>0</v>
          </cell>
        </row>
        <row r="383">
          <cell r="E383">
            <v>0</v>
          </cell>
          <cell r="F383">
            <v>0</v>
          </cell>
          <cell r="G383">
            <v>0</v>
          </cell>
          <cell r="H383">
            <v>0</v>
          </cell>
          <cell r="I383">
            <v>0</v>
          </cell>
          <cell r="J383">
            <v>0</v>
          </cell>
          <cell r="K383">
            <v>0</v>
          </cell>
          <cell r="L383">
            <v>0</v>
          </cell>
          <cell r="M383">
            <v>0</v>
          </cell>
          <cell r="N383">
            <v>0</v>
          </cell>
          <cell r="O383">
            <v>0</v>
          </cell>
          <cell r="P383">
            <v>0</v>
          </cell>
          <cell r="Q383">
            <v>0</v>
          </cell>
        </row>
        <row r="385">
          <cell r="E385">
            <v>0</v>
          </cell>
          <cell r="F385">
            <v>0</v>
          </cell>
          <cell r="G385">
            <v>0</v>
          </cell>
          <cell r="H385">
            <v>0</v>
          </cell>
          <cell r="I385">
            <v>0</v>
          </cell>
          <cell r="J385">
            <v>0</v>
          </cell>
          <cell r="K385">
            <v>0</v>
          </cell>
          <cell r="L385">
            <v>0</v>
          </cell>
          <cell r="M385">
            <v>0</v>
          </cell>
          <cell r="N385">
            <v>0</v>
          </cell>
          <cell r="O385">
            <v>0</v>
          </cell>
          <cell r="P385">
            <v>0</v>
          </cell>
          <cell r="Q385">
            <v>0</v>
          </cell>
        </row>
        <row r="388">
          <cell r="E388">
            <v>0</v>
          </cell>
          <cell r="F388">
            <v>0</v>
          </cell>
          <cell r="G388">
            <v>0</v>
          </cell>
          <cell r="H388">
            <v>0</v>
          </cell>
          <cell r="I388">
            <v>0</v>
          </cell>
          <cell r="J388">
            <v>0</v>
          </cell>
          <cell r="K388">
            <v>0</v>
          </cell>
          <cell r="L388">
            <v>0</v>
          </cell>
          <cell r="M388">
            <v>0</v>
          </cell>
          <cell r="N388">
            <v>0</v>
          </cell>
          <cell r="O388">
            <v>0</v>
          </cell>
          <cell r="P388">
            <v>0</v>
          </cell>
          <cell r="Q388">
            <v>0</v>
          </cell>
        </row>
        <row r="394">
          <cell r="F394">
            <v>0</v>
          </cell>
          <cell r="G394">
            <v>0</v>
          </cell>
          <cell r="H394">
            <v>0</v>
          </cell>
          <cell r="I394">
            <v>0</v>
          </cell>
          <cell r="J394">
            <v>0</v>
          </cell>
          <cell r="K394">
            <v>0</v>
          </cell>
          <cell r="L394">
            <v>0</v>
          </cell>
          <cell r="M394">
            <v>0</v>
          </cell>
          <cell r="N394">
            <v>0</v>
          </cell>
          <cell r="O394">
            <v>0</v>
          </cell>
          <cell r="P394">
            <v>0</v>
          </cell>
          <cell r="Q394">
            <v>0</v>
          </cell>
        </row>
        <row r="398">
          <cell r="E398">
            <v>0</v>
          </cell>
          <cell r="F398">
            <v>0</v>
          </cell>
          <cell r="G398">
            <v>0</v>
          </cell>
          <cell r="H398">
            <v>0</v>
          </cell>
          <cell r="I398">
            <v>0</v>
          </cell>
          <cell r="J398">
            <v>0</v>
          </cell>
          <cell r="K398">
            <v>0</v>
          </cell>
          <cell r="L398">
            <v>0</v>
          </cell>
          <cell r="M398">
            <v>0</v>
          </cell>
          <cell r="N398">
            <v>0</v>
          </cell>
          <cell r="O398">
            <v>0</v>
          </cell>
          <cell r="P398">
            <v>0</v>
          </cell>
          <cell r="Q398">
            <v>0</v>
          </cell>
        </row>
        <row r="401">
          <cell r="E401">
            <v>0</v>
          </cell>
          <cell r="F401">
            <v>0</v>
          </cell>
          <cell r="G401">
            <v>0</v>
          </cell>
          <cell r="H401">
            <v>0</v>
          </cell>
          <cell r="I401">
            <v>0</v>
          </cell>
          <cell r="J401">
            <v>0</v>
          </cell>
          <cell r="K401">
            <v>0</v>
          </cell>
          <cell r="L401">
            <v>0</v>
          </cell>
          <cell r="M401">
            <v>0</v>
          </cell>
          <cell r="N401">
            <v>0</v>
          </cell>
          <cell r="O401">
            <v>0</v>
          </cell>
          <cell r="P401">
            <v>0</v>
          </cell>
          <cell r="Q401">
            <v>0</v>
          </cell>
        </row>
        <row r="410">
          <cell r="E410">
            <v>100</v>
          </cell>
          <cell r="F410">
            <v>100</v>
          </cell>
          <cell r="G410">
            <v>100</v>
          </cell>
          <cell r="H410">
            <v>100</v>
          </cell>
          <cell r="I410">
            <v>100</v>
          </cell>
          <cell r="J410">
            <v>100</v>
          </cell>
          <cell r="K410">
            <v>100</v>
          </cell>
          <cell r="L410">
            <v>100</v>
          </cell>
          <cell r="M410">
            <v>100</v>
          </cell>
          <cell r="N410">
            <v>100</v>
          </cell>
          <cell r="O410">
            <v>100</v>
          </cell>
          <cell r="P410">
            <v>100</v>
          </cell>
          <cell r="Q410">
            <v>100</v>
          </cell>
        </row>
        <row r="411">
          <cell r="E411">
            <v>100</v>
          </cell>
          <cell r="F411">
            <v>100</v>
          </cell>
          <cell r="G411">
            <v>100</v>
          </cell>
          <cell r="H411">
            <v>100</v>
          </cell>
          <cell r="I411">
            <v>100</v>
          </cell>
          <cell r="J411">
            <v>100</v>
          </cell>
          <cell r="K411">
            <v>100</v>
          </cell>
          <cell r="L411">
            <v>100</v>
          </cell>
          <cell r="M411">
            <v>100</v>
          </cell>
          <cell r="N411">
            <v>100</v>
          </cell>
          <cell r="O411">
            <v>100</v>
          </cell>
          <cell r="P411">
            <v>100</v>
          </cell>
          <cell r="Q411">
            <v>100</v>
          </cell>
        </row>
        <row r="413">
          <cell r="F413">
            <v>1646.194</v>
          </cell>
          <cell r="G413">
            <v>3837.0930000000003</v>
          </cell>
          <cell r="H413">
            <v>-947.87700000000041</v>
          </cell>
          <cell r="I413">
            <v>-2703.5599999999995</v>
          </cell>
          <cell r="J413">
            <v>-1900.33</v>
          </cell>
          <cell r="K413">
            <v>2718.9000000000005</v>
          </cell>
          <cell r="L413">
            <v>4415.6999999999989</v>
          </cell>
          <cell r="M413">
            <v>-7305.13</v>
          </cell>
          <cell r="N413">
            <v>-235.71999999999935</v>
          </cell>
          <cell r="O413">
            <v>-19510.740000000002</v>
          </cell>
          <cell r="P413">
            <v>2750.7880160831919</v>
          </cell>
          <cell r="Q413">
            <v>6063.1061670855779</v>
          </cell>
        </row>
        <row r="414">
          <cell r="G414">
            <v>-2.1000000001095032E-2</v>
          </cell>
          <cell r="H414">
            <v>4.5999999994819518E-2</v>
          </cell>
          <cell r="I414">
            <v>-3.0000000000654836E-2</v>
          </cell>
          <cell r="J414">
            <v>3.5000000003037712E-2</v>
          </cell>
          <cell r="K414">
            <v>-1.9999999998162821E-2</v>
          </cell>
          <cell r="L414">
            <v>1.0000000005675247E-2</v>
          </cell>
          <cell r="M414">
            <v>4.9999999992905941E-2</v>
          </cell>
          <cell r="N414">
            <v>5.2295945351943374E-12</v>
          </cell>
          <cell r="O414">
            <v>0.15000000001236913</v>
          </cell>
          <cell r="P414">
            <v>-5.4569682106375694E-12</v>
          </cell>
          <cell r="Q414">
            <v>-9.0949470177292824E-12</v>
          </cell>
        </row>
        <row r="415">
          <cell r="G415">
            <v>-4.5999999998457497E-2</v>
          </cell>
          <cell r="H415">
            <v>0</v>
          </cell>
          <cell r="I415">
            <v>0</v>
          </cell>
          <cell r="J415">
            <v>3.9999999993597157E-2</v>
          </cell>
          <cell r="K415">
            <v>0</v>
          </cell>
          <cell r="L415">
            <v>0</v>
          </cell>
          <cell r="M415">
            <v>0</v>
          </cell>
          <cell r="N415">
            <v>0</v>
          </cell>
          <cell r="O415">
            <v>0</v>
          </cell>
          <cell r="P415">
            <v>0</v>
          </cell>
          <cell r="Q415">
            <v>0</v>
          </cell>
        </row>
        <row r="422">
          <cell r="E422">
            <v>0</v>
          </cell>
          <cell r="F422">
            <v>0</v>
          </cell>
          <cell r="G422">
            <v>0</v>
          </cell>
          <cell r="H422">
            <v>0</v>
          </cell>
          <cell r="I422">
            <v>0</v>
          </cell>
          <cell r="J422">
            <v>0</v>
          </cell>
          <cell r="K422">
            <v>-0.48</v>
          </cell>
          <cell r="L422">
            <v>-228.68999999999997</v>
          </cell>
          <cell r="M422">
            <v>0</v>
          </cell>
          <cell r="N422">
            <v>-71.77</v>
          </cell>
          <cell r="O422">
            <v>-1613.1699999999998</v>
          </cell>
          <cell r="P422">
            <v>0</v>
          </cell>
          <cell r="Q422">
            <v>-71.765000000000001</v>
          </cell>
        </row>
        <row r="423">
          <cell r="F423">
            <v>0</v>
          </cell>
          <cell r="G423">
            <v>0</v>
          </cell>
          <cell r="H423">
            <v>0</v>
          </cell>
          <cell r="I423">
            <v>0</v>
          </cell>
          <cell r="J423">
            <v>0</v>
          </cell>
          <cell r="K423">
            <v>-0.48</v>
          </cell>
          <cell r="L423">
            <v>-228.68999999999997</v>
          </cell>
          <cell r="M423">
            <v>0</v>
          </cell>
          <cell r="N423">
            <v>-71.77</v>
          </cell>
          <cell r="O423">
            <v>-1613.1699999999998</v>
          </cell>
          <cell r="P423">
            <v>0</v>
          </cell>
          <cell r="Q423">
            <v>-71.765000000000001</v>
          </cell>
        </row>
        <row r="427">
          <cell r="F427">
            <v>4.3573989325525373</v>
          </cell>
          <cell r="G427">
            <v>5.3662854881376409</v>
          </cell>
          <cell r="H427">
            <v>5.9995568715128806</v>
          </cell>
          <cell r="I427">
            <v>4.4998590017322639</v>
          </cell>
          <cell r="J427">
            <v>5.2498355020209742</v>
          </cell>
          <cell r="K427">
            <v>6.4997515744806549</v>
          </cell>
          <cell r="L427">
            <v>7.9997045750580771</v>
          </cell>
          <cell r="M427">
            <v>11.999489720554861</v>
          </cell>
          <cell r="N427">
            <v>13.5</v>
          </cell>
          <cell r="O427">
            <v>13.5</v>
          </cell>
          <cell r="P427">
            <v>15</v>
          </cell>
          <cell r="Q427">
            <v>16</v>
          </cell>
        </row>
        <row r="429">
          <cell r="F429">
            <v>4.3573989325525373</v>
          </cell>
          <cell r="G429">
            <v>5.3662854881376409</v>
          </cell>
          <cell r="H429">
            <v>5.9995568715128806</v>
          </cell>
          <cell r="I429">
            <v>4.4998590017322639</v>
          </cell>
          <cell r="J429">
            <v>5.2498355020209742</v>
          </cell>
          <cell r="K429">
            <v>6.4997515744806549</v>
          </cell>
          <cell r="L429">
            <v>7.9997045750580771</v>
          </cell>
          <cell r="M429">
            <v>11.999489720554861</v>
          </cell>
          <cell r="N429">
            <v>13.5</v>
          </cell>
          <cell r="O429">
            <v>13.5</v>
          </cell>
          <cell r="P429">
            <v>15</v>
          </cell>
          <cell r="Q429">
            <v>16</v>
          </cell>
        </row>
        <row r="431">
          <cell r="F431">
            <v>34897</v>
          </cell>
          <cell r="G431">
            <v>35262</v>
          </cell>
          <cell r="H431">
            <v>35636</v>
          </cell>
          <cell r="I431">
            <v>35649</v>
          </cell>
          <cell r="J431">
            <v>35991</v>
          </cell>
          <cell r="K431">
            <v>36361</v>
          </cell>
          <cell r="L431">
            <v>37090</v>
          </cell>
          <cell r="M431">
            <v>37089</v>
          </cell>
          <cell r="N431">
            <v>37449</v>
          </cell>
          <cell r="O431">
            <v>37814</v>
          </cell>
          <cell r="P431">
            <v>38179</v>
          </cell>
          <cell r="Q431">
            <v>38544</v>
          </cell>
        </row>
        <row r="434">
          <cell r="F434">
            <v>34957</v>
          </cell>
          <cell r="G434">
            <v>35322</v>
          </cell>
          <cell r="H434">
            <v>35696</v>
          </cell>
          <cell r="I434">
            <v>35709</v>
          </cell>
          <cell r="J434">
            <v>36051</v>
          </cell>
          <cell r="K434">
            <v>36421</v>
          </cell>
          <cell r="L434">
            <v>37150</v>
          </cell>
          <cell r="M434">
            <v>37149</v>
          </cell>
          <cell r="N434">
            <v>37509</v>
          </cell>
          <cell r="O434">
            <v>37874</v>
          </cell>
          <cell r="P434">
            <v>38239</v>
          </cell>
          <cell r="Q434">
            <v>38604</v>
          </cell>
        </row>
        <row r="438">
          <cell r="F438">
            <v>43.374499999999998</v>
          </cell>
          <cell r="G438">
            <v>48.009</v>
          </cell>
          <cell r="H438">
            <v>49.647000000000006</v>
          </cell>
          <cell r="I438">
            <v>74.469000000000008</v>
          </cell>
          <cell r="J438">
            <v>74.469000000000008</v>
          </cell>
          <cell r="K438">
            <v>74.469000000000008</v>
          </cell>
          <cell r="L438">
            <v>74.469000000000008</v>
          </cell>
          <cell r="M438">
            <v>74.469000000000008</v>
          </cell>
          <cell r="N438">
            <v>74.462999999999994</v>
          </cell>
          <cell r="O438">
            <v>92.463999999999999</v>
          </cell>
          <cell r="P438">
            <v>92.463999999999999</v>
          </cell>
          <cell r="Q438">
            <v>92.463999999999999</v>
          </cell>
        </row>
        <row r="439">
          <cell r="F439">
            <v>1</v>
          </cell>
          <cell r="G439">
            <v>1</v>
          </cell>
          <cell r="H439">
            <v>1</v>
          </cell>
          <cell r="I439">
            <v>1</v>
          </cell>
          <cell r="J439">
            <v>1</v>
          </cell>
          <cell r="K439">
            <v>1</v>
          </cell>
          <cell r="L439">
            <v>1</v>
          </cell>
          <cell r="M439">
            <v>1</v>
          </cell>
          <cell r="N439">
            <v>1</v>
          </cell>
          <cell r="O439">
            <v>1</v>
          </cell>
          <cell r="P439">
            <v>1</v>
          </cell>
          <cell r="Q439">
            <v>1</v>
          </cell>
        </row>
        <row r="440">
          <cell r="F440">
            <v>43.374499999999998</v>
          </cell>
          <cell r="G440">
            <v>48.009</v>
          </cell>
          <cell r="H440">
            <v>49.647000000000006</v>
          </cell>
          <cell r="I440">
            <v>74.469000000000008</v>
          </cell>
          <cell r="J440">
            <v>74.469000000000008</v>
          </cell>
          <cell r="K440">
            <v>74.469000000000008</v>
          </cell>
          <cell r="L440">
            <v>74.469000000000008</v>
          </cell>
          <cell r="M440">
            <v>74.469000000000008</v>
          </cell>
          <cell r="N440">
            <v>74.462999999999994</v>
          </cell>
          <cell r="O440">
            <v>92.463999999999999</v>
          </cell>
          <cell r="P440">
            <v>92.463999999999999</v>
          </cell>
          <cell r="Q440">
            <v>92.463999999999999</v>
          </cell>
        </row>
        <row r="441">
          <cell r="F441">
            <v>41.072649999999996</v>
          </cell>
          <cell r="G441">
            <v>45.691749999999999</v>
          </cell>
          <cell r="H441">
            <v>48.827999999999996</v>
          </cell>
          <cell r="I441">
            <v>62.058000000000007</v>
          </cell>
          <cell r="J441">
            <v>74.469000000000008</v>
          </cell>
          <cell r="K441">
            <v>74.469000000000008</v>
          </cell>
          <cell r="L441">
            <v>74.469000000000008</v>
          </cell>
          <cell r="M441">
            <v>74.469000000000008</v>
          </cell>
          <cell r="N441">
            <v>74.466000000000008</v>
          </cell>
          <cell r="O441">
            <v>92.463999999999999</v>
          </cell>
          <cell r="P441">
            <v>92.463999999999999</v>
          </cell>
          <cell r="Q441">
            <v>92.463999999999999</v>
          </cell>
        </row>
        <row r="442">
          <cell r="F442">
            <v>0</v>
          </cell>
          <cell r="G442">
            <v>0</v>
          </cell>
          <cell r="H442">
            <v>0</v>
          </cell>
          <cell r="I442">
            <v>0</v>
          </cell>
          <cell r="J442">
            <v>0</v>
          </cell>
          <cell r="K442">
            <v>0</v>
          </cell>
          <cell r="L442">
            <v>0</v>
          </cell>
          <cell r="M442">
            <v>0</v>
          </cell>
          <cell r="N442">
            <v>0</v>
          </cell>
          <cell r="O442">
            <v>0</v>
          </cell>
          <cell r="P442">
            <v>0</v>
          </cell>
          <cell r="Q442">
            <v>0</v>
          </cell>
        </row>
        <row r="443">
          <cell r="F443">
            <v>0</v>
          </cell>
          <cell r="G443">
            <v>0</v>
          </cell>
          <cell r="H443">
            <v>0</v>
          </cell>
          <cell r="I443">
            <v>0</v>
          </cell>
          <cell r="J443">
            <v>0</v>
          </cell>
          <cell r="K443">
            <v>0</v>
          </cell>
          <cell r="L443">
            <v>0</v>
          </cell>
          <cell r="M443">
            <v>0</v>
          </cell>
          <cell r="N443">
            <v>0</v>
          </cell>
          <cell r="O443">
            <v>0</v>
          </cell>
          <cell r="P443">
            <v>0</v>
          </cell>
          <cell r="Q443">
            <v>0</v>
          </cell>
        </row>
        <row r="446">
          <cell r="F446">
            <v>43.374499999999998</v>
          </cell>
          <cell r="G446">
            <v>48.009</v>
          </cell>
          <cell r="H446">
            <v>49.647000000000006</v>
          </cell>
          <cell r="I446">
            <v>74.469000000000008</v>
          </cell>
          <cell r="J446">
            <v>74.469000000000008</v>
          </cell>
          <cell r="K446">
            <v>74.469000000000008</v>
          </cell>
          <cell r="L446">
            <v>74.469000000000008</v>
          </cell>
          <cell r="M446">
            <v>74.469000000000008</v>
          </cell>
          <cell r="N446">
            <v>74.462999999999994</v>
          </cell>
          <cell r="O446">
            <v>92.463999999999999</v>
          </cell>
          <cell r="P446">
            <v>92.463999999999999</v>
          </cell>
          <cell r="Q446">
            <v>92.463999999999999</v>
          </cell>
        </row>
        <row r="447">
          <cell r="F447">
            <v>41.072649999999996</v>
          </cell>
          <cell r="G447">
            <v>45.691749999999999</v>
          </cell>
          <cell r="H447">
            <v>48.827999999999996</v>
          </cell>
          <cell r="I447">
            <v>62.058000000000007</v>
          </cell>
          <cell r="J447">
            <v>74.469000000000008</v>
          </cell>
          <cell r="K447">
            <v>74.469000000000008</v>
          </cell>
          <cell r="L447">
            <v>74.469000000000008</v>
          </cell>
          <cell r="M447">
            <v>74.469000000000008</v>
          </cell>
          <cell r="N447">
            <v>74.466000000000008</v>
          </cell>
          <cell r="O447">
            <v>92.463999999999999</v>
          </cell>
          <cell r="P447">
            <v>92.463999999999999</v>
          </cell>
          <cell r="Q447">
            <v>92.463999999999999</v>
          </cell>
        </row>
        <row r="450">
          <cell r="F450">
            <v>0</v>
          </cell>
          <cell r="G450">
            <v>0</v>
          </cell>
          <cell r="H450">
            <v>0</v>
          </cell>
          <cell r="I450">
            <v>0</v>
          </cell>
          <cell r="J450">
            <v>0</v>
          </cell>
          <cell r="K450">
            <v>0</v>
          </cell>
          <cell r="L450">
            <v>0</v>
          </cell>
          <cell r="M450">
            <v>0</v>
          </cell>
          <cell r="N450">
            <v>0</v>
          </cell>
          <cell r="O450">
            <v>0</v>
          </cell>
          <cell r="P450">
            <v>0</v>
          </cell>
          <cell r="Q450">
            <v>0</v>
          </cell>
        </row>
        <row r="451">
          <cell r="F451">
            <v>0</v>
          </cell>
          <cell r="G451">
            <v>0</v>
          </cell>
          <cell r="H451">
            <v>0</v>
          </cell>
          <cell r="I451">
            <v>0</v>
          </cell>
          <cell r="J451">
            <v>0</v>
          </cell>
          <cell r="K451">
            <v>0</v>
          </cell>
          <cell r="L451">
            <v>0</v>
          </cell>
          <cell r="M451">
            <v>0</v>
          </cell>
          <cell r="N451">
            <v>0</v>
          </cell>
          <cell r="O451">
            <v>0</v>
          </cell>
          <cell r="P451">
            <v>0</v>
          </cell>
          <cell r="Q451">
            <v>0</v>
          </cell>
        </row>
        <row r="452">
          <cell r="F452">
            <v>0</v>
          </cell>
          <cell r="G452">
            <v>0</v>
          </cell>
          <cell r="H452">
            <v>0</v>
          </cell>
          <cell r="I452">
            <v>0</v>
          </cell>
          <cell r="J452">
            <v>0</v>
          </cell>
          <cell r="K452">
            <v>0</v>
          </cell>
          <cell r="L452">
            <v>0</v>
          </cell>
          <cell r="M452">
            <v>0</v>
          </cell>
          <cell r="N452">
            <v>0</v>
          </cell>
          <cell r="O452">
            <v>0</v>
          </cell>
          <cell r="P452">
            <v>0</v>
          </cell>
          <cell r="Q452">
            <v>0</v>
          </cell>
        </row>
        <row r="453">
          <cell r="F453">
            <v>0</v>
          </cell>
          <cell r="G453">
            <v>0</v>
          </cell>
          <cell r="H453">
            <v>0</v>
          </cell>
          <cell r="I453">
            <v>0</v>
          </cell>
          <cell r="J453">
            <v>0</v>
          </cell>
          <cell r="K453">
            <v>0</v>
          </cell>
          <cell r="L453">
            <v>0</v>
          </cell>
          <cell r="M453">
            <v>0</v>
          </cell>
          <cell r="N453">
            <v>0</v>
          </cell>
          <cell r="O453">
            <v>0</v>
          </cell>
          <cell r="P453">
            <v>0</v>
          </cell>
          <cell r="Q453">
            <v>0</v>
          </cell>
        </row>
        <row r="457">
          <cell r="F457">
            <v>0</v>
          </cell>
          <cell r="G457">
            <v>0</v>
          </cell>
          <cell r="H457">
            <v>0</v>
          </cell>
          <cell r="I457">
            <v>0</v>
          </cell>
          <cell r="J457">
            <v>0</v>
          </cell>
          <cell r="K457">
            <v>0</v>
          </cell>
          <cell r="L457">
            <v>0</v>
          </cell>
          <cell r="M457">
            <v>0</v>
          </cell>
          <cell r="N457">
            <v>0</v>
          </cell>
          <cell r="O457">
            <v>0</v>
          </cell>
          <cell r="P457">
            <v>0</v>
          </cell>
          <cell r="Q457">
            <v>0</v>
          </cell>
        </row>
        <row r="458">
          <cell r="F458">
            <v>1582.5650000000001</v>
          </cell>
          <cell r="G458">
            <v>2919.8659999999991</v>
          </cell>
          <cell r="H458">
            <v>4119.08</v>
          </cell>
          <cell r="I458">
            <v>3909.5300000000007</v>
          </cell>
          <cell r="J458">
            <v>4962.1299999999992</v>
          </cell>
          <cell r="K458">
            <v>5666.0499999999993</v>
          </cell>
          <cell r="L458">
            <v>6123.0999999999967</v>
          </cell>
          <cell r="M458">
            <v>6780.739999999998</v>
          </cell>
          <cell r="N458">
            <v>7489.8200000000061</v>
          </cell>
          <cell r="O458">
            <v>6656.5599999999949</v>
          </cell>
          <cell r="P458">
            <v>10248.92231596694</v>
          </cell>
          <cell r="Q458">
            <v>13197.268915708579</v>
          </cell>
        </row>
        <row r="459">
          <cell r="F459">
            <v>38.530871516690553</v>
          </cell>
          <cell r="G459">
            <v>63.903571213621696</v>
          </cell>
          <cell r="H459">
            <v>84.358974358974365</v>
          </cell>
          <cell r="I459">
            <v>62.998001869219124</v>
          </cell>
          <cell r="J459">
            <v>66.633498502732664</v>
          </cell>
          <cell r="K459">
            <v>76.086022371725136</v>
          </cell>
          <cell r="L459">
            <v>82.223475540157594</v>
          </cell>
          <cell r="M459">
            <v>91.054532758597503</v>
          </cell>
          <cell r="N459">
            <v>100.58039910831796</v>
          </cell>
          <cell r="O459">
            <v>71.99082886312506</v>
          </cell>
          <cell r="P459">
            <v>110.84229879701225</v>
          </cell>
          <cell r="Q459">
            <v>142.72872594424402</v>
          </cell>
        </row>
        <row r="460">
          <cell r="F460">
            <v>38.530871516690553</v>
          </cell>
          <cell r="G460">
            <v>63.903571213621696</v>
          </cell>
          <cell r="H460">
            <v>84.358974358974365</v>
          </cell>
          <cell r="I460">
            <v>62.998001869219124</v>
          </cell>
          <cell r="J460">
            <v>66.633498502732664</v>
          </cell>
          <cell r="K460">
            <v>76.086022371725136</v>
          </cell>
          <cell r="L460">
            <v>82.223475540157594</v>
          </cell>
          <cell r="M460">
            <v>91.054532758597503</v>
          </cell>
          <cell r="N460">
            <v>100.58039910831796</v>
          </cell>
          <cell r="O460">
            <v>71.99082886312506</v>
          </cell>
          <cell r="P460">
            <v>110.84229879701225</v>
          </cell>
          <cell r="Q460">
            <v>142.72872594424402</v>
          </cell>
        </row>
        <row r="463">
          <cell r="F463">
            <v>0</v>
          </cell>
          <cell r="G463">
            <v>0</v>
          </cell>
          <cell r="H463">
            <v>0</v>
          </cell>
          <cell r="I463">
            <v>0</v>
          </cell>
          <cell r="J463">
            <v>0</v>
          </cell>
          <cell r="K463">
            <v>0.48</v>
          </cell>
          <cell r="L463">
            <v>228.68999999999997</v>
          </cell>
          <cell r="M463">
            <v>0</v>
          </cell>
          <cell r="N463">
            <v>71.77</v>
          </cell>
          <cell r="O463">
            <v>1613.1699999999998</v>
          </cell>
          <cell r="P463">
            <v>0</v>
          </cell>
          <cell r="Q463">
            <v>71.765000000000001</v>
          </cell>
        </row>
        <row r="464">
          <cell r="F464">
            <v>0.51749999999999996</v>
          </cell>
          <cell r="G464">
            <v>0.46</v>
          </cell>
          <cell r="H464">
            <v>0.43</v>
          </cell>
          <cell r="I464">
            <v>0.43</v>
          </cell>
          <cell r="J464">
            <v>0.35</v>
          </cell>
          <cell r="K464">
            <v>0.35</v>
          </cell>
          <cell r="L464">
            <v>0.35</v>
          </cell>
          <cell r="M464">
            <v>0.35</v>
          </cell>
          <cell r="N464">
            <v>0.35</v>
          </cell>
          <cell r="O464">
            <v>0.35</v>
          </cell>
          <cell r="P464">
            <v>0.35</v>
          </cell>
          <cell r="Q464">
            <v>0.35</v>
          </cell>
        </row>
        <row r="465">
          <cell r="F465">
            <v>0</v>
          </cell>
          <cell r="G465">
            <v>0</v>
          </cell>
          <cell r="H465">
            <v>0</v>
          </cell>
          <cell r="I465">
            <v>0</v>
          </cell>
          <cell r="J465">
            <v>0</v>
          </cell>
          <cell r="K465">
            <v>0.312</v>
          </cell>
          <cell r="L465">
            <v>148.64849999999998</v>
          </cell>
          <cell r="M465">
            <v>0</v>
          </cell>
          <cell r="N465">
            <v>46.650500000000001</v>
          </cell>
          <cell r="O465">
            <v>1048.5605</v>
          </cell>
          <cell r="P465">
            <v>0</v>
          </cell>
          <cell r="Q465">
            <v>46.64725</v>
          </cell>
        </row>
        <row r="466">
          <cell r="F466">
            <v>1582.5650000000001</v>
          </cell>
          <cell r="G466">
            <v>2919.8659999999991</v>
          </cell>
          <cell r="H466">
            <v>4119.08</v>
          </cell>
          <cell r="I466">
            <v>3909.5300000000007</v>
          </cell>
          <cell r="J466">
            <v>4962.1299999999992</v>
          </cell>
          <cell r="K466">
            <v>5666.3619999999992</v>
          </cell>
          <cell r="L466">
            <v>6271.748499999997</v>
          </cell>
          <cell r="M466">
            <v>6780.739999999998</v>
          </cell>
          <cell r="N466">
            <v>7536.4705000000058</v>
          </cell>
          <cell r="O466">
            <v>7705.1204999999954</v>
          </cell>
          <cell r="P466">
            <v>10248.92231596694</v>
          </cell>
          <cell r="Q466">
            <v>13243.916165708579</v>
          </cell>
        </row>
        <row r="467">
          <cell r="F467">
            <v>1582.5650000000001</v>
          </cell>
          <cell r="G467">
            <v>2919.8659999999991</v>
          </cell>
          <cell r="H467">
            <v>4119.08</v>
          </cell>
          <cell r="I467">
            <v>3909.5300000000007</v>
          </cell>
          <cell r="J467">
            <v>4962.1299999999992</v>
          </cell>
          <cell r="K467">
            <v>5666.3619999999992</v>
          </cell>
          <cell r="L467">
            <v>6271.748499999997</v>
          </cell>
          <cell r="M467">
            <v>6780.739999999998</v>
          </cell>
          <cell r="N467">
            <v>7536.4705000000058</v>
          </cell>
          <cell r="O467">
            <v>7705.1204999999954</v>
          </cell>
          <cell r="P467">
            <v>10248.92231596694</v>
          </cell>
          <cell r="Q467">
            <v>13243.916165708579</v>
          </cell>
        </row>
        <row r="468">
          <cell r="F468">
            <v>38.530871516690553</v>
          </cell>
          <cell r="G468">
            <v>63.903571213621696</v>
          </cell>
          <cell r="H468">
            <v>84.358974358974365</v>
          </cell>
          <cell r="I468">
            <v>62.998001869219124</v>
          </cell>
          <cell r="J468">
            <v>66.633498502732664</v>
          </cell>
          <cell r="K468">
            <v>76.090212034537842</v>
          </cell>
          <cell r="L468">
            <v>84.219588016490036</v>
          </cell>
          <cell r="M468">
            <v>91.054532758597503</v>
          </cell>
          <cell r="N468">
            <v>101.20686622082567</v>
          </cell>
          <cell r="O468">
            <v>83.331031536597976</v>
          </cell>
          <cell r="P468">
            <v>110.84229879701225</v>
          </cell>
          <cell r="Q468">
            <v>143.23321688125733</v>
          </cell>
        </row>
        <row r="469">
          <cell r="F469">
            <v>38.530871516690553</v>
          </cell>
          <cell r="G469">
            <v>63.903571213621696</v>
          </cell>
          <cell r="H469">
            <v>84.358974358974365</v>
          </cell>
          <cell r="I469">
            <v>62.998001869219124</v>
          </cell>
          <cell r="J469">
            <v>66.633498502732664</v>
          </cell>
          <cell r="K469">
            <v>76.090212034537842</v>
          </cell>
          <cell r="L469">
            <v>84.219588016490036</v>
          </cell>
          <cell r="M469">
            <v>91.054532758597503</v>
          </cell>
          <cell r="N469">
            <v>101.20686622082567</v>
          </cell>
          <cell r="O469">
            <v>83.331031536597976</v>
          </cell>
          <cell r="P469">
            <v>110.84229879701225</v>
          </cell>
          <cell r="Q469">
            <v>143.23321688125733</v>
          </cell>
        </row>
        <row r="472">
          <cell r="F472">
            <v>16659.686999999998</v>
          </cell>
          <cell r="G472">
            <v>21898.05</v>
          </cell>
          <cell r="H472">
            <v>25695.710000000003</v>
          </cell>
          <cell r="I472">
            <v>28539.699999999997</v>
          </cell>
          <cell r="J472">
            <v>32367.279999999999</v>
          </cell>
          <cell r="K472">
            <v>48374.520000000004</v>
          </cell>
          <cell r="L472">
            <v>52333.090000000004</v>
          </cell>
          <cell r="M472">
            <v>56655.670000000006</v>
          </cell>
          <cell r="N472">
            <v>57448.34</v>
          </cell>
          <cell r="O472">
            <v>61937.52</v>
          </cell>
          <cell r="P472">
            <v>70626.044815966932</v>
          </cell>
          <cell r="Q472">
            <v>82158.889731675517</v>
          </cell>
        </row>
        <row r="473">
          <cell r="F473">
            <v>0</v>
          </cell>
          <cell r="G473">
            <v>0</v>
          </cell>
          <cell r="H473">
            <v>0</v>
          </cell>
          <cell r="I473">
            <v>0</v>
          </cell>
          <cell r="J473">
            <v>0</v>
          </cell>
          <cell r="K473">
            <v>0</v>
          </cell>
          <cell r="L473">
            <v>0</v>
          </cell>
          <cell r="M473">
            <v>0</v>
          </cell>
          <cell r="N473">
            <v>0</v>
          </cell>
          <cell r="O473">
            <v>0</v>
          </cell>
          <cell r="P473">
            <v>0</v>
          </cell>
          <cell r="Q473">
            <v>0</v>
          </cell>
        </row>
        <row r="474">
          <cell r="F474">
            <v>0</v>
          </cell>
          <cell r="G474">
            <v>0</v>
          </cell>
          <cell r="H474">
            <v>0</v>
          </cell>
          <cell r="I474">
            <v>0</v>
          </cell>
          <cell r="J474">
            <v>0</v>
          </cell>
          <cell r="K474">
            <v>0</v>
          </cell>
          <cell r="L474">
            <v>0</v>
          </cell>
          <cell r="M474">
            <v>0</v>
          </cell>
          <cell r="N474">
            <v>0</v>
          </cell>
          <cell r="O474">
            <v>0</v>
          </cell>
          <cell r="P474">
            <v>0</v>
          </cell>
          <cell r="Q474">
            <v>0</v>
          </cell>
        </row>
        <row r="475">
          <cell r="F475">
            <v>16659.686999999998</v>
          </cell>
          <cell r="G475">
            <v>21898.05</v>
          </cell>
          <cell r="H475">
            <v>25695.710000000003</v>
          </cell>
          <cell r="I475">
            <v>28539.699999999997</v>
          </cell>
          <cell r="J475">
            <v>32367.279999999999</v>
          </cell>
          <cell r="K475">
            <v>48374.520000000004</v>
          </cell>
          <cell r="L475">
            <v>52333.090000000004</v>
          </cell>
          <cell r="M475">
            <v>56655.670000000006</v>
          </cell>
          <cell r="N475">
            <v>57448.34</v>
          </cell>
          <cell r="O475">
            <v>61937.52</v>
          </cell>
          <cell r="P475">
            <v>70626.044815966932</v>
          </cell>
          <cell r="Q475">
            <v>82158.889731675517</v>
          </cell>
        </row>
        <row r="476">
          <cell r="F476">
            <v>405.61509909879203</v>
          </cell>
          <cell r="G476">
            <v>479.25610203154838</v>
          </cell>
          <cell r="H476">
            <v>526.24948799868935</v>
          </cell>
          <cell r="I476">
            <v>459.8875245737857</v>
          </cell>
          <cell r="J476">
            <v>434.64099155353227</v>
          </cell>
          <cell r="K476">
            <v>649.59271643234092</v>
          </cell>
          <cell r="L476">
            <v>702.7500033571016</v>
          </cell>
          <cell r="M476">
            <v>760.79536451409308</v>
          </cell>
          <cell r="N476">
            <v>771.4707383235301</v>
          </cell>
          <cell r="O476">
            <v>669.85551133414083</v>
          </cell>
          <cell r="P476">
            <v>763.82208011730984</v>
          </cell>
          <cell r="Q476">
            <v>888.55002738012115</v>
          </cell>
        </row>
        <row r="477">
          <cell r="F477">
            <v>405.61509909879203</v>
          </cell>
          <cell r="G477">
            <v>479.25610203154838</v>
          </cell>
          <cell r="H477">
            <v>526.24948799868935</v>
          </cell>
          <cell r="I477">
            <v>459.8875245737857</v>
          </cell>
          <cell r="J477">
            <v>434.64099155353227</v>
          </cell>
          <cell r="K477">
            <v>649.59271643234092</v>
          </cell>
          <cell r="L477">
            <v>702.7500033571016</v>
          </cell>
          <cell r="M477">
            <v>760.79536451409308</v>
          </cell>
          <cell r="N477">
            <v>771.4707383235301</v>
          </cell>
          <cell r="O477">
            <v>669.85551133414083</v>
          </cell>
          <cell r="P477">
            <v>763.82208011730984</v>
          </cell>
          <cell r="Q477">
            <v>888.55002738012115</v>
          </cell>
        </row>
        <row r="480">
          <cell r="F480">
            <v>43.374499999999998</v>
          </cell>
          <cell r="G480">
            <v>48.009</v>
          </cell>
          <cell r="H480">
            <v>49.647000000000006</v>
          </cell>
          <cell r="I480">
            <v>74.469000000000008</v>
          </cell>
          <cell r="J480">
            <v>74.469000000000008</v>
          </cell>
          <cell r="K480">
            <v>74.469000000000008</v>
          </cell>
          <cell r="L480">
            <v>74.469000000000008</v>
          </cell>
          <cell r="M480">
            <v>74.469000000000008</v>
          </cell>
          <cell r="N480">
            <v>74.462999999999994</v>
          </cell>
          <cell r="O480">
            <v>92.463999999999999</v>
          </cell>
          <cell r="P480">
            <v>92.463999999999999</v>
          </cell>
          <cell r="Q480">
            <v>92.463999999999999</v>
          </cell>
        </row>
        <row r="481">
          <cell r="F481">
            <v>1294</v>
          </cell>
          <cell r="G481">
            <v>1294</v>
          </cell>
          <cell r="H481">
            <v>1294</v>
          </cell>
          <cell r="I481">
            <v>1294</v>
          </cell>
          <cell r="J481">
            <v>1294</v>
          </cell>
          <cell r="K481">
            <v>1294</v>
          </cell>
          <cell r="L481">
            <v>1294</v>
          </cell>
          <cell r="M481">
            <v>1294</v>
          </cell>
          <cell r="N481">
            <v>1294</v>
          </cell>
          <cell r="O481">
            <v>1294</v>
          </cell>
          <cell r="P481">
            <v>1294</v>
          </cell>
          <cell r="Q481">
            <v>1294</v>
          </cell>
        </row>
        <row r="482">
          <cell r="F482">
            <v>56126.602999999996</v>
          </cell>
          <cell r="G482">
            <v>62123.646000000001</v>
          </cell>
          <cell r="H482">
            <v>64243.218000000008</v>
          </cell>
          <cell r="I482">
            <v>96362.886000000013</v>
          </cell>
          <cell r="J482">
            <v>96362.886000000013</v>
          </cell>
          <cell r="K482">
            <v>96362.886000000013</v>
          </cell>
          <cell r="L482">
            <v>96362.886000000013</v>
          </cell>
          <cell r="M482">
            <v>96362.886000000013</v>
          </cell>
          <cell r="N482">
            <v>96355.121999999988</v>
          </cell>
          <cell r="O482">
            <v>119648.416</v>
          </cell>
          <cell r="P482">
            <v>119648.416</v>
          </cell>
          <cell r="Q482">
            <v>119648.416</v>
          </cell>
        </row>
        <row r="483">
          <cell r="F483">
            <v>911.5</v>
          </cell>
          <cell r="G483">
            <v>911.5</v>
          </cell>
          <cell r="H483">
            <v>911.5</v>
          </cell>
          <cell r="I483">
            <v>911.5</v>
          </cell>
          <cell r="J483">
            <v>670</v>
          </cell>
          <cell r="K483">
            <v>466</v>
          </cell>
          <cell r="L483">
            <v>735.1</v>
          </cell>
          <cell r="M483">
            <v>771.45</v>
          </cell>
          <cell r="N483">
            <v>771</v>
          </cell>
          <cell r="O483">
            <v>1294</v>
          </cell>
          <cell r="P483">
            <v>1294</v>
          </cell>
          <cell r="Q483">
            <v>1294</v>
          </cell>
        </row>
        <row r="484">
          <cell r="F484">
            <v>39535.856749999999</v>
          </cell>
          <cell r="G484">
            <v>43760.203500000003</v>
          </cell>
          <cell r="H484">
            <v>45253.240500000007</v>
          </cell>
          <cell r="I484">
            <v>67878.493500000011</v>
          </cell>
          <cell r="J484">
            <v>49894.23</v>
          </cell>
          <cell r="K484">
            <v>34702.554000000004</v>
          </cell>
          <cell r="L484">
            <v>54742.161900000006</v>
          </cell>
          <cell r="M484">
            <v>57449.11005000001</v>
          </cell>
          <cell r="N484">
            <v>57410.972999999998</v>
          </cell>
          <cell r="O484">
            <v>119648.416</v>
          </cell>
          <cell r="P484">
            <v>119648.416</v>
          </cell>
          <cell r="Q484">
            <v>119648.416</v>
          </cell>
        </row>
        <row r="486">
          <cell r="F486">
            <v>3007.39</v>
          </cell>
          <cell r="G486">
            <v>4385</v>
          </cell>
          <cell r="H486">
            <v>5282.35</v>
          </cell>
          <cell r="I486">
            <v>5513.07</v>
          </cell>
          <cell r="J486">
            <v>7798.86</v>
          </cell>
          <cell r="K486">
            <v>6870.13</v>
          </cell>
          <cell r="L486">
            <v>5753.7</v>
          </cell>
          <cell r="M486">
            <v>7147.19</v>
          </cell>
          <cell r="N486">
            <v>13950.57</v>
          </cell>
          <cell r="O486">
            <v>33040.51</v>
          </cell>
          <cell r="P486">
            <v>33083.03</v>
          </cell>
          <cell r="Q486">
            <v>31083.03</v>
          </cell>
        </row>
        <row r="487">
          <cell r="F487">
            <v>-4653.5839999999998</v>
          </cell>
          <cell r="G487">
            <v>-9868.2870000000003</v>
          </cell>
          <cell r="H487">
            <v>-9817.76</v>
          </cell>
          <cell r="I487">
            <v>-7344.92</v>
          </cell>
          <cell r="J487">
            <v>-7730.38</v>
          </cell>
          <cell r="K487">
            <v>-9520.5500000000011</v>
          </cell>
          <cell r="L487">
            <v>-12819.82</v>
          </cell>
          <cell r="M487">
            <v>-6908.1799999999994</v>
          </cell>
          <cell r="N487">
            <v>-13475.84</v>
          </cell>
          <cell r="O487">
            <v>-13055.04</v>
          </cell>
          <cell r="P487">
            <v>-15848.348016083191</v>
          </cell>
          <cell r="Q487">
            <v>-19911.454183168767</v>
          </cell>
        </row>
        <row r="488">
          <cell r="F488">
            <v>0</v>
          </cell>
          <cell r="G488">
            <v>0</v>
          </cell>
          <cell r="H488">
            <v>0</v>
          </cell>
          <cell r="I488">
            <v>0</v>
          </cell>
          <cell r="J488">
            <v>0</v>
          </cell>
          <cell r="K488">
            <v>0</v>
          </cell>
          <cell r="L488">
            <v>0</v>
          </cell>
          <cell r="M488">
            <v>0</v>
          </cell>
          <cell r="N488">
            <v>0</v>
          </cell>
          <cell r="O488">
            <v>0</v>
          </cell>
          <cell r="P488">
            <v>0</v>
          </cell>
          <cell r="Q488">
            <v>0</v>
          </cell>
        </row>
        <row r="489">
          <cell r="F489">
            <v>-1646.194</v>
          </cell>
          <cell r="G489">
            <v>-5483.2870000000003</v>
          </cell>
          <cell r="H489">
            <v>-4535.41</v>
          </cell>
          <cell r="I489">
            <v>-1831.8500000000004</v>
          </cell>
          <cell r="J489">
            <v>68.479999999999563</v>
          </cell>
          <cell r="K489">
            <v>-2650.420000000001</v>
          </cell>
          <cell r="L489">
            <v>-7066.12</v>
          </cell>
          <cell r="M489">
            <v>239.01000000000022</v>
          </cell>
          <cell r="N489">
            <v>474.72999999999956</v>
          </cell>
          <cell r="O489">
            <v>19985.47</v>
          </cell>
          <cell r="P489">
            <v>17234.681983916809</v>
          </cell>
          <cell r="Q489">
            <v>11171.575816831231</v>
          </cell>
        </row>
        <row r="491">
          <cell r="F491">
            <v>0</v>
          </cell>
          <cell r="G491">
            <v>0</v>
          </cell>
          <cell r="H491">
            <v>0</v>
          </cell>
          <cell r="I491">
            <v>0</v>
          </cell>
          <cell r="J491">
            <v>0</v>
          </cell>
          <cell r="K491">
            <v>0</v>
          </cell>
          <cell r="L491">
            <v>0</v>
          </cell>
          <cell r="M491">
            <v>0</v>
          </cell>
          <cell r="N491">
            <v>1988.95</v>
          </cell>
          <cell r="O491">
            <v>357.36</v>
          </cell>
          <cell r="P491">
            <v>387.03659932599999</v>
          </cell>
          <cell r="Q491">
            <v>440.07823464403106</v>
          </cell>
        </row>
        <row r="493">
          <cell r="F493">
            <v>54480.408999999992</v>
          </cell>
          <cell r="G493">
            <v>56640.358999999997</v>
          </cell>
          <cell r="H493">
            <v>59707.808000000005</v>
          </cell>
          <cell r="I493">
            <v>94531.036000000007</v>
          </cell>
          <cell r="J493">
            <v>96431.366000000009</v>
          </cell>
          <cell r="K493">
            <v>93712.466000000015</v>
          </cell>
          <cell r="L493">
            <v>89296.766000000018</v>
          </cell>
          <cell r="M493">
            <v>96601.896000000008</v>
          </cell>
          <cell r="N493">
            <v>98818.801999999981</v>
          </cell>
          <cell r="O493">
            <v>139991.24599999998</v>
          </cell>
          <cell r="P493">
            <v>137270.13458324282</v>
          </cell>
          <cell r="Q493">
            <v>131260.07005147525</v>
          </cell>
        </row>
        <row r="494">
          <cell r="F494">
            <v>37889.662749999996</v>
          </cell>
          <cell r="G494">
            <v>38276.916500000007</v>
          </cell>
          <cell r="H494">
            <v>40717.830500000011</v>
          </cell>
          <cell r="I494">
            <v>66046.643500000006</v>
          </cell>
          <cell r="J494">
            <v>49962.710000000006</v>
          </cell>
          <cell r="K494">
            <v>32052.134000000002</v>
          </cell>
          <cell r="L494">
            <v>47676.041900000004</v>
          </cell>
          <cell r="M494">
            <v>57688.120050000012</v>
          </cell>
          <cell r="N494">
            <v>59874.652999999998</v>
          </cell>
          <cell r="O494">
            <v>139991.24599999998</v>
          </cell>
          <cell r="P494">
            <v>137270.13458324282</v>
          </cell>
          <cell r="Q494">
            <v>131260.07005147525</v>
          </cell>
        </row>
        <row r="496">
          <cell r="F496">
            <v>0</v>
          </cell>
          <cell r="G496">
            <v>0</v>
          </cell>
          <cell r="H496">
            <v>0</v>
          </cell>
          <cell r="I496">
            <v>0</v>
          </cell>
          <cell r="J496">
            <v>0</v>
          </cell>
          <cell r="K496">
            <v>0</v>
          </cell>
          <cell r="L496">
            <v>0</v>
          </cell>
          <cell r="M496">
            <v>0</v>
          </cell>
          <cell r="N496">
            <v>0</v>
          </cell>
          <cell r="O496">
            <v>0</v>
          </cell>
          <cell r="P496">
            <v>0</v>
          </cell>
          <cell r="Q496">
            <v>0</v>
          </cell>
        </row>
        <row r="497">
          <cell r="F497">
            <v>468.81</v>
          </cell>
          <cell r="G497">
            <v>2107</v>
          </cell>
          <cell r="H497">
            <v>3635</v>
          </cell>
          <cell r="I497">
            <v>3971.7</v>
          </cell>
          <cell r="J497">
            <v>1262.56</v>
          </cell>
          <cell r="K497">
            <v>1148.1400000000001</v>
          </cell>
          <cell r="L497">
            <v>1099.02</v>
          </cell>
          <cell r="M497">
            <v>2782.46</v>
          </cell>
          <cell r="N497">
            <v>7160.96</v>
          </cell>
          <cell r="O497">
            <v>8776.43</v>
          </cell>
          <cell r="P497">
            <v>4423.9399999999941</v>
          </cell>
          <cell r="Q497">
            <v>10773.939999999995</v>
          </cell>
        </row>
        <row r="498">
          <cell r="F498">
            <v>1658.3339999999998</v>
          </cell>
          <cell r="G498">
            <v>1682.799</v>
          </cell>
          <cell r="H498">
            <v>2943.1399999999994</v>
          </cell>
          <cell r="I498">
            <v>2195.5</v>
          </cell>
          <cell r="J498">
            <v>4691.8100000000004</v>
          </cell>
          <cell r="K498">
            <v>5151.91</v>
          </cell>
          <cell r="L498">
            <v>5809.5800000000008</v>
          </cell>
          <cell r="M498">
            <v>16894.669999999998</v>
          </cell>
          <cell r="N498">
            <v>6206.26</v>
          </cell>
          <cell r="O498">
            <v>5667.67</v>
          </cell>
          <cell r="P498">
            <v>5667.6700000000019</v>
          </cell>
          <cell r="Q498">
            <v>5667.6700000000019</v>
          </cell>
        </row>
        <row r="499">
          <cell r="F499">
            <v>2127.1439999999998</v>
          </cell>
          <cell r="G499">
            <v>3789.799</v>
          </cell>
          <cell r="H499">
            <v>6578.1399999999994</v>
          </cell>
          <cell r="I499">
            <v>6167.2</v>
          </cell>
          <cell r="J499">
            <v>5954.3700000000008</v>
          </cell>
          <cell r="K499">
            <v>6300.05</v>
          </cell>
          <cell r="L499">
            <v>6908.6</v>
          </cell>
          <cell r="M499">
            <v>19677.129999999997</v>
          </cell>
          <cell r="N499">
            <v>13367.220000000001</v>
          </cell>
          <cell r="O499">
            <v>14444.1</v>
          </cell>
          <cell r="P499">
            <v>10091.609999999997</v>
          </cell>
          <cell r="Q499">
            <v>16441.609999999997</v>
          </cell>
        </row>
        <row r="501">
          <cell r="F501">
            <v>52353.264999999992</v>
          </cell>
          <cell r="G501">
            <v>52850.559999999998</v>
          </cell>
          <cell r="H501">
            <v>53129.668000000005</v>
          </cell>
          <cell r="I501">
            <v>88363.83600000001</v>
          </cell>
          <cell r="J501">
            <v>90476.996000000014</v>
          </cell>
          <cell r="K501">
            <v>87412.416000000012</v>
          </cell>
          <cell r="L501">
            <v>82388.166000000012</v>
          </cell>
          <cell r="M501">
            <v>76924.766000000003</v>
          </cell>
          <cell r="N501">
            <v>85451.58199999998</v>
          </cell>
          <cell r="O501">
            <v>125547.14599999998</v>
          </cell>
          <cell r="P501">
            <v>127178.52458324282</v>
          </cell>
          <cell r="Q501">
            <v>114818.46005147525</v>
          </cell>
        </row>
        <row r="502">
          <cell r="F502">
            <v>35762.518749999996</v>
          </cell>
          <cell r="G502">
            <v>34487.117500000008</v>
          </cell>
          <cell r="H502">
            <v>34139.690500000012</v>
          </cell>
          <cell r="I502">
            <v>59879.443500000008</v>
          </cell>
          <cell r="J502">
            <v>44008.340000000004</v>
          </cell>
          <cell r="K502">
            <v>25752.084000000003</v>
          </cell>
          <cell r="L502">
            <v>40767.441900000005</v>
          </cell>
          <cell r="M502">
            <v>38010.990050000015</v>
          </cell>
          <cell r="N502">
            <v>46507.432999999997</v>
          </cell>
          <cell r="O502">
            <v>125547.14599999998</v>
          </cell>
          <cell r="P502">
            <v>127178.52458324282</v>
          </cell>
          <cell r="Q502">
            <v>114818.46005147525</v>
          </cell>
        </row>
        <row r="505">
          <cell r="F505">
            <v>1984</v>
          </cell>
          <cell r="G505">
            <v>3513.6469999999995</v>
          </cell>
          <cell r="H505">
            <v>5263.18</v>
          </cell>
          <cell r="I505">
            <v>3842.9600000000005</v>
          </cell>
          <cell r="J505">
            <v>5282.9199999999983</v>
          </cell>
          <cell r="K505">
            <v>6530.6899999999987</v>
          </cell>
          <cell r="L505">
            <v>8046.8699999999963</v>
          </cell>
          <cell r="M505">
            <v>9104.6099999999969</v>
          </cell>
          <cell r="N505">
            <v>9830.0900000000056</v>
          </cell>
          <cell r="O505">
            <v>11006.449999999995</v>
          </cell>
          <cell r="P505">
            <v>14681.989975278419</v>
          </cell>
          <cell r="Q505">
            <v>18121.71752460799</v>
          </cell>
        </row>
        <row r="506">
          <cell r="F506">
            <v>269</v>
          </cell>
          <cell r="G506">
            <v>329.52</v>
          </cell>
          <cell r="H506">
            <v>348.36</v>
          </cell>
          <cell r="I506">
            <v>423.15</v>
          </cell>
          <cell r="J506">
            <v>776.35</v>
          </cell>
          <cell r="K506">
            <v>1245.98</v>
          </cell>
          <cell r="L506">
            <v>1353.63</v>
          </cell>
          <cell r="M506">
            <v>1423.86</v>
          </cell>
          <cell r="N506">
            <v>2175.1</v>
          </cell>
          <cell r="O506">
            <v>3640.6</v>
          </cell>
          <cell r="P506">
            <v>3943.8361736000002</v>
          </cell>
          <cell r="Q506">
            <v>4252.5799913831115</v>
          </cell>
        </row>
        <row r="512">
          <cell r="F512">
            <v>0</v>
          </cell>
          <cell r="G512">
            <v>0</v>
          </cell>
          <cell r="H512">
            <v>0</v>
          </cell>
          <cell r="I512">
            <v>0</v>
          </cell>
          <cell r="J512">
            <v>0</v>
          </cell>
          <cell r="K512">
            <v>0</v>
          </cell>
          <cell r="L512">
            <v>0</v>
          </cell>
          <cell r="M512">
            <v>0</v>
          </cell>
          <cell r="N512">
            <v>0</v>
          </cell>
          <cell r="O512">
            <v>0</v>
          </cell>
          <cell r="P512">
            <v>0</v>
          </cell>
          <cell r="Q512">
            <v>0</v>
          </cell>
        </row>
        <row r="513">
          <cell r="F513">
            <v>0</v>
          </cell>
          <cell r="G513">
            <v>0</v>
          </cell>
          <cell r="H513">
            <v>0</v>
          </cell>
          <cell r="I513">
            <v>0</v>
          </cell>
          <cell r="J513">
            <v>0</v>
          </cell>
          <cell r="K513">
            <v>0</v>
          </cell>
          <cell r="L513">
            <v>0</v>
          </cell>
          <cell r="M513">
            <v>0</v>
          </cell>
          <cell r="N513">
            <v>0</v>
          </cell>
          <cell r="O513">
            <v>0</v>
          </cell>
          <cell r="P513">
            <v>0</v>
          </cell>
          <cell r="Q513">
            <v>0</v>
          </cell>
        </row>
        <row r="514">
          <cell r="F514">
            <v>0</v>
          </cell>
          <cell r="G514">
            <v>0</v>
          </cell>
          <cell r="H514">
            <v>0</v>
          </cell>
          <cell r="I514">
            <v>0</v>
          </cell>
          <cell r="J514">
            <v>0</v>
          </cell>
          <cell r="K514">
            <v>0</v>
          </cell>
          <cell r="L514">
            <v>0</v>
          </cell>
          <cell r="M514">
            <v>0</v>
          </cell>
          <cell r="N514">
            <v>0</v>
          </cell>
          <cell r="O514">
            <v>0</v>
          </cell>
          <cell r="P514">
            <v>0</v>
          </cell>
          <cell r="Q514">
            <v>0</v>
          </cell>
        </row>
        <row r="515">
          <cell r="F515">
            <v>0</v>
          </cell>
          <cell r="G515">
            <v>0</v>
          </cell>
          <cell r="H515">
            <v>0</v>
          </cell>
          <cell r="I515">
            <v>0</v>
          </cell>
          <cell r="J515">
            <v>0</v>
          </cell>
          <cell r="K515">
            <v>0</v>
          </cell>
          <cell r="L515">
            <v>0</v>
          </cell>
          <cell r="M515">
            <v>0</v>
          </cell>
          <cell r="N515">
            <v>0</v>
          </cell>
          <cell r="O515">
            <v>0</v>
          </cell>
          <cell r="P515">
            <v>0</v>
          </cell>
          <cell r="Q515">
            <v>0</v>
          </cell>
        </row>
        <row r="517">
          <cell r="L517">
            <v>0.17588504198737609</v>
          </cell>
        </row>
        <row r="518">
          <cell r="F518">
            <v>894.89300000000003</v>
          </cell>
          <cell r="G518">
            <v>798.83400000000017</v>
          </cell>
          <cell r="H518">
            <v>953.83999999999992</v>
          </cell>
          <cell r="I518">
            <v>1494.8299999999997</v>
          </cell>
          <cell r="J518">
            <v>1937.2900000000002</v>
          </cell>
          <cell r="K518">
            <v>2543.0600000000004</v>
          </cell>
          <cell r="L518">
            <v>2930.599999999999</v>
          </cell>
          <cell r="M518">
            <v>3305.61</v>
          </cell>
          <cell r="N518">
            <v>6287.09</v>
          </cell>
          <cell r="O518">
            <v>11533.869999999999</v>
          </cell>
          <cell r="P518">
            <v>13070.664644913664</v>
          </cell>
          <cell r="Q518">
            <v>13860.192453842988</v>
          </cell>
        </row>
        <row r="519">
          <cell r="F519">
            <v>1103.431</v>
          </cell>
          <cell r="G519">
            <v>1241.7840000000001</v>
          </cell>
          <cell r="H519">
            <v>2746.31</v>
          </cell>
          <cell r="I519">
            <v>3913.0399999999991</v>
          </cell>
          <cell r="J519">
            <v>2794.14</v>
          </cell>
          <cell r="K519">
            <v>3289.0799999999995</v>
          </cell>
          <cell r="L519">
            <v>3418.5700000000006</v>
          </cell>
          <cell r="M519">
            <v>4149.2200000000012</v>
          </cell>
          <cell r="N519">
            <v>2505.5199999999995</v>
          </cell>
          <cell r="O519">
            <v>4662.18</v>
          </cell>
          <cell r="P519">
            <v>6303.9168478960783</v>
          </cell>
          <cell r="Q519">
            <v>7364.5371726908907</v>
          </cell>
        </row>
        <row r="520">
          <cell r="F520">
            <v>11893.81</v>
          </cell>
          <cell r="G520">
            <v>13292</v>
          </cell>
          <cell r="H520">
            <v>15184</v>
          </cell>
          <cell r="I520">
            <v>19849.87</v>
          </cell>
          <cell r="J520">
            <v>23872.280000000002</v>
          </cell>
          <cell r="K520">
            <v>35765.86</v>
          </cell>
          <cell r="L520">
            <v>34349.57</v>
          </cell>
          <cell r="M520">
            <v>34387.089999999997</v>
          </cell>
          <cell r="N520">
            <v>50861.749999999993</v>
          </cell>
          <cell r="O520">
            <v>69582.050000000017</v>
          </cell>
          <cell r="P520">
            <v>73385.723826400004</v>
          </cell>
          <cell r="Q520">
            <v>77783.143835016905</v>
          </cell>
        </row>
        <row r="521">
          <cell r="F521">
            <v>1499.3339999999998</v>
          </cell>
          <cell r="G521">
            <v>1597.3589999999999</v>
          </cell>
          <cell r="H521">
            <v>2871.8699999999994</v>
          </cell>
          <cell r="I521">
            <v>2120.31</v>
          </cell>
          <cell r="J521">
            <v>4613.9900000000007</v>
          </cell>
          <cell r="K521">
            <v>5094.16</v>
          </cell>
          <cell r="L521">
            <v>5759.6900000000005</v>
          </cell>
          <cell r="M521">
            <v>16839.939999999999</v>
          </cell>
          <cell r="N521">
            <v>257.65999999999985</v>
          </cell>
          <cell r="O521">
            <v>-3497.75</v>
          </cell>
          <cell r="P521">
            <v>-4512.5419199999978</v>
          </cell>
          <cell r="Q521">
            <v>-5237.3296783999976</v>
          </cell>
        </row>
        <row r="522">
          <cell r="F522">
            <v>15391.468000000001</v>
          </cell>
          <cell r="G522">
            <v>16929.976999999999</v>
          </cell>
          <cell r="H522">
            <v>21756.02</v>
          </cell>
          <cell r="I522">
            <v>27378.05</v>
          </cell>
          <cell r="J522">
            <v>33217.700000000004</v>
          </cell>
          <cell r="K522">
            <v>46692.160000000003</v>
          </cell>
          <cell r="L522">
            <v>46458.43</v>
          </cell>
          <cell r="M522">
            <v>58681.86</v>
          </cell>
          <cell r="N522">
            <v>59912.01999999999</v>
          </cell>
          <cell r="O522">
            <v>82280.35000000002</v>
          </cell>
          <cell r="P522">
            <v>88247.76339920974</v>
          </cell>
          <cell r="Q522">
            <v>93770.543783150788</v>
          </cell>
        </row>
        <row r="523">
          <cell r="F523">
            <v>-11425</v>
          </cell>
          <cell r="G523">
            <v>-11185</v>
          </cell>
          <cell r="H523">
            <v>-11549</v>
          </cell>
          <cell r="I523">
            <v>-15878.17</v>
          </cell>
          <cell r="J523">
            <v>-22609.72</v>
          </cell>
          <cell r="K523">
            <v>-34617.72</v>
          </cell>
          <cell r="L523">
            <v>-33250.550000000003</v>
          </cell>
          <cell r="M523">
            <v>-31604.629999999997</v>
          </cell>
          <cell r="N523">
            <v>-43700.789999999994</v>
          </cell>
          <cell r="O523">
            <v>-60805.62000000001</v>
          </cell>
          <cell r="P523">
            <v>-68961.783826400017</v>
          </cell>
          <cell r="Q523">
            <v>-67009.203835016902</v>
          </cell>
        </row>
        <row r="524">
          <cell r="F524">
            <v>3966.4680000000008</v>
          </cell>
          <cell r="G524">
            <v>5744.976999999999</v>
          </cell>
          <cell r="H524">
            <v>10207.02</v>
          </cell>
          <cell r="I524">
            <v>11499.88</v>
          </cell>
          <cell r="J524">
            <v>10607.980000000003</v>
          </cell>
          <cell r="K524">
            <v>12074.440000000002</v>
          </cell>
          <cell r="L524">
            <v>13207.879999999997</v>
          </cell>
          <cell r="M524">
            <v>27077.230000000003</v>
          </cell>
          <cell r="N524">
            <v>16211.229999999996</v>
          </cell>
          <cell r="O524">
            <v>21474.73000000001</v>
          </cell>
          <cell r="P524">
            <v>19285.979572809723</v>
          </cell>
          <cell r="Q524">
            <v>26761.339948133886</v>
          </cell>
        </row>
        <row r="526">
          <cell r="F526">
            <v>-1646.194</v>
          </cell>
          <cell r="G526">
            <v>-5483.2870000000003</v>
          </cell>
          <cell r="H526">
            <v>-4535.41</v>
          </cell>
          <cell r="I526">
            <v>-1831.8500000000004</v>
          </cell>
          <cell r="J526">
            <v>68.479999999999563</v>
          </cell>
          <cell r="K526">
            <v>-2650.420000000001</v>
          </cell>
          <cell r="L526">
            <v>-7066.12</v>
          </cell>
          <cell r="M526">
            <v>239.01000000000022</v>
          </cell>
          <cell r="N526">
            <v>474.72999999999956</v>
          </cell>
          <cell r="O526">
            <v>19985.47</v>
          </cell>
          <cell r="P526">
            <v>17234.681983916809</v>
          </cell>
          <cell r="Q526">
            <v>11171.575816831231</v>
          </cell>
        </row>
        <row r="528">
          <cell r="F528">
            <v>159</v>
          </cell>
          <cell r="G528">
            <v>85.44</v>
          </cell>
          <cell r="H528">
            <v>71.27</v>
          </cell>
          <cell r="I528">
            <v>75.189999999999984</v>
          </cell>
          <cell r="J528">
            <v>77.819999999999993</v>
          </cell>
          <cell r="K528">
            <v>57.75</v>
          </cell>
          <cell r="L528">
            <v>49.889999999999873</v>
          </cell>
          <cell r="M528">
            <v>54.730000000000018</v>
          </cell>
          <cell r="N528">
            <v>0</v>
          </cell>
          <cell r="O528">
            <v>0</v>
          </cell>
          <cell r="P528">
            <v>0</v>
          </cell>
          <cell r="Q528">
            <v>0</v>
          </cell>
        </row>
        <row r="529">
          <cell r="F529">
            <v>16848.686999999998</v>
          </cell>
          <cell r="G529">
            <v>22155.68</v>
          </cell>
          <cell r="H529">
            <v>25993.570000000003</v>
          </cell>
          <cell r="I529">
            <v>28874.799999999996</v>
          </cell>
          <cell r="J529">
            <v>32758.23</v>
          </cell>
          <cell r="K529">
            <v>48858.55</v>
          </cell>
          <cell r="L529">
            <v>52928.820000000007</v>
          </cell>
          <cell r="M529">
            <v>57549.26</v>
          </cell>
          <cell r="N529">
            <v>57448.34</v>
          </cell>
          <cell r="O529">
            <v>61937.52</v>
          </cell>
          <cell r="P529">
            <v>70626.044815966932</v>
          </cell>
          <cell r="Q529">
            <v>82158.889731675517</v>
          </cell>
        </row>
        <row r="530">
          <cell r="F530">
            <v>0</v>
          </cell>
          <cell r="G530">
            <v>0</v>
          </cell>
          <cell r="H530">
            <v>0</v>
          </cell>
          <cell r="I530">
            <v>0</v>
          </cell>
          <cell r="J530">
            <v>0</v>
          </cell>
          <cell r="K530">
            <v>0</v>
          </cell>
          <cell r="L530">
            <v>0</v>
          </cell>
          <cell r="M530">
            <v>0</v>
          </cell>
          <cell r="N530">
            <v>1988.95</v>
          </cell>
          <cell r="O530">
            <v>357.36</v>
          </cell>
          <cell r="P530">
            <v>387.03659932599999</v>
          </cell>
          <cell r="Q530">
            <v>440.07823464403106</v>
          </cell>
        </row>
        <row r="531">
          <cell r="F531">
            <v>15361.492999999999</v>
          </cell>
          <cell r="G531">
            <v>16757.832999999999</v>
          </cell>
          <cell r="H531">
            <v>21529.430000000004</v>
          </cell>
          <cell r="I531">
            <v>27118.139999999996</v>
          </cell>
          <cell r="J531">
            <v>32904.53</v>
          </cell>
          <cell r="K531">
            <v>46265.880000000005</v>
          </cell>
          <cell r="L531">
            <v>45912.590000000011</v>
          </cell>
          <cell r="M531">
            <v>57843</v>
          </cell>
          <cell r="N531">
            <v>59912.01999999999</v>
          </cell>
          <cell r="O531">
            <v>82280.349999999991</v>
          </cell>
          <cell r="P531">
            <v>88247.76339920974</v>
          </cell>
          <cell r="Q531">
            <v>93770.543783150773</v>
          </cell>
        </row>
        <row r="533">
          <cell r="F533">
            <v>0.77275345015823049</v>
          </cell>
          <cell r="G533">
            <v>0.78511624676158753</v>
          </cell>
          <cell r="H533">
            <v>0.69792177061797145</v>
          </cell>
          <cell r="I533">
            <v>0.72502862694749992</v>
          </cell>
          <cell r="J533">
            <v>0.71866143652329928</v>
          </cell>
          <cell r="K533">
            <v>0.76599283477140478</v>
          </cell>
          <cell r="L533">
            <v>0.73936140330183353</v>
          </cell>
          <cell r="M533">
            <v>0.58599182098181612</v>
          </cell>
          <cell r="N533">
            <v>0.84894066332599039</v>
          </cell>
          <cell r="O533">
            <v>0.84567032104263051</v>
          </cell>
          <cell r="P533">
            <v>0.83158735133515205</v>
          </cell>
          <cell r="Q533">
            <v>0.82950509506369541</v>
          </cell>
        </row>
        <row r="534">
          <cell r="F534">
            <v>0.11819331455592215</v>
          </cell>
          <cell r="G534">
            <v>0.36675516716603052</v>
          </cell>
          <cell r="H534">
            <v>0.35612744953963055</v>
          </cell>
          <cell r="I534">
            <v>0.34536882123987372</v>
          </cell>
          <cell r="J534">
            <v>0.1190198322395028</v>
          </cell>
          <cell r="K534">
            <v>9.5088467870973664E-2</v>
          </cell>
          <cell r="L534">
            <v>8.3209417408395367E-2</v>
          </cell>
          <cell r="M534">
            <v>0.10276014200861752</v>
          </cell>
          <cell r="N534">
            <v>0.44172835744110722</v>
          </cell>
          <cell r="O534">
            <v>0.40868639559146974</v>
          </cell>
          <cell r="P534">
            <v>0.22938632612870052</v>
          </cell>
          <cell r="Q534">
            <v>0.40259344341056763</v>
          </cell>
        </row>
        <row r="535">
          <cell r="F535">
            <v>9.5524942467706762</v>
          </cell>
          <cell r="G535">
            <v>6.6626753248968642</v>
          </cell>
          <cell r="H535">
            <v>3.9891986593540532</v>
          </cell>
          <cell r="I535">
            <v>5.743246320831175</v>
          </cell>
          <cell r="J535">
            <v>4.709917439512517</v>
          </cell>
          <cell r="K535">
            <v>2.6545441444903446</v>
          </cell>
          <cell r="L535">
            <v>3.6096664945471955</v>
          </cell>
          <cell r="M535">
            <v>2.1305030112016632</v>
          </cell>
          <cell r="N535">
            <v>3.6934059290997667</v>
          </cell>
          <cell r="O535">
            <v>6.5188827053937306</v>
          </cell>
          <cell r="P535">
            <v>7.1176127748663944</v>
          </cell>
          <cell r="Q535">
            <v>4.9048392309903095</v>
          </cell>
        </row>
        <row r="536">
          <cell r="F536">
            <v>19.443294791999655</v>
          </cell>
          <cell r="G536">
            <v>17.638863315769729</v>
          </cell>
          <cell r="H536">
            <v>9.4077760906946502</v>
          </cell>
          <cell r="I536">
            <v>11.22877118071964</v>
          </cell>
          <cell r="J536">
            <v>9.4568173955273398</v>
          </cell>
          <cell r="K536">
            <v>4.4597063932294132</v>
          </cell>
          <cell r="L536">
            <v>6.4717621537699586</v>
          </cell>
          <cell r="M536">
            <v>5.1365508641775088</v>
          </cell>
          <cell r="N536">
            <v>16.352767043716472</v>
          </cell>
          <cell r="O536">
            <v>17.857168703231402</v>
          </cell>
          <cell r="P536">
            <v>13.83221803040685</v>
          </cell>
          <cell r="Q536">
            <v>11.126110918458464</v>
          </cell>
        </row>
        <row r="539">
          <cell r="F539">
            <v>-11425</v>
          </cell>
          <cell r="G539">
            <v>-11185</v>
          </cell>
          <cell r="H539">
            <v>-11549</v>
          </cell>
          <cell r="I539">
            <v>-15878.17</v>
          </cell>
          <cell r="J539">
            <v>-22609.72</v>
          </cell>
          <cell r="K539">
            <v>-34617.72</v>
          </cell>
          <cell r="L539">
            <v>-33250.550000000003</v>
          </cell>
          <cell r="M539">
            <v>-31604.629999999997</v>
          </cell>
          <cell r="N539">
            <v>-43700.789999999994</v>
          </cell>
          <cell r="O539">
            <v>-60805.62000000001</v>
          </cell>
          <cell r="P539">
            <v>-68961.783826400017</v>
          </cell>
          <cell r="Q539">
            <v>-67009.203835016902</v>
          </cell>
        </row>
        <row r="540">
          <cell r="F540">
            <v>16659.686999999998</v>
          </cell>
          <cell r="G540">
            <v>21898.05</v>
          </cell>
          <cell r="H540">
            <v>25695.710000000003</v>
          </cell>
          <cell r="I540">
            <v>28539.699999999997</v>
          </cell>
          <cell r="J540">
            <v>32367.279999999999</v>
          </cell>
          <cell r="K540">
            <v>48374.520000000004</v>
          </cell>
          <cell r="L540">
            <v>52333.090000000004</v>
          </cell>
          <cell r="M540">
            <v>56655.670000000006</v>
          </cell>
          <cell r="N540">
            <v>57448.34</v>
          </cell>
          <cell r="O540">
            <v>61937.52</v>
          </cell>
          <cell r="P540">
            <v>70626.044815966932</v>
          </cell>
          <cell r="Q540">
            <v>82158.889731675517</v>
          </cell>
        </row>
        <row r="541">
          <cell r="F541">
            <v>5234.6869999999981</v>
          </cell>
          <cell r="G541">
            <v>10713.05</v>
          </cell>
          <cell r="H541">
            <v>14146.710000000003</v>
          </cell>
          <cell r="I541">
            <v>12661.529999999997</v>
          </cell>
          <cell r="J541">
            <v>9757.5599999999977</v>
          </cell>
          <cell r="K541">
            <v>13756.800000000003</v>
          </cell>
          <cell r="L541">
            <v>19082.54</v>
          </cell>
          <cell r="M541">
            <v>25051.040000000008</v>
          </cell>
          <cell r="N541">
            <v>13747.550000000003</v>
          </cell>
          <cell r="O541">
            <v>1131.8999999999869</v>
          </cell>
          <cell r="P541">
            <v>1664.2609895669157</v>
          </cell>
          <cell r="Q541">
            <v>15149.685896658615</v>
          </cell>
        </row>
        <row r="542">
          <cell r="F542">
            <v>43.374499999999998</v>
          </cell>
          <cell r="G542">
            <v>48.009</v>
          </cell>
          <cell r="H542">
            <v>49.647000000000006</v>
          </cell>
          <cell r="I542">
            <v>74.469000000000008</v>
          </cell>
          <cell r="J542">
            <v>74.469000000000008</v>
          </cell>
          <cell r="K542">
            <v>74.469000000000008</v>
          </cell>
          <cell r="L542">
            <v>74.469000000000008</v>
          </cell>
          <cell r="M542">
            <v>74.469000000000008</v>
          </cell>
          <cell r="N542">
            <v>74.462999999999994</v>
          </cell>
          <cell r="O542">
            <v>92.463999999999999</v>
          </cell>
          <cell r="P542">
            <v>92.463999999999999</v>
          </cell>
          <cell r="Q542">
            <v>92.463999999999999</v>
          </cell>
        </row>
        <row r="543">
          <cell r="F543">
            <v>120.68581770395043</v>
          </cell>
          <cell r="G543">
            <v>223.14670166010538</v>
          </cell>
          <cell r="H543">
            <v>284.94591818236756</v>
          </cell>
          <cell r="I543">
            <v>170.02417113161175</v>
          </cell>
          <cell r="J543">
            <v>131.02848165008254</v>
          </cell>
          <cell r="K543">
            <v>184.73190186520569</v>
          </cell>
          <cell r="L543">
            <v>256.24810323758879</v>
          </cell>
          <cell r="M543">
            <v>336.39554714042094</v>
          </cell>
          <cell r="N543">
            <v>184.62256422652865</v>
          </cell>
          <cell r="O543">
            <v>12.241521024398544</v>
          </cell>
          <cell r="P543">
            <v>17.999015720355118</v>
          </cell>
          <cell r="Q543">
            <v>163.8441544456071</v>
          </cell>
        </row>
        <row r="544">
          <cell r="F544">
            <v>3.8471730221214675</v>
          </cell>
          <cell r="G544">
            <v>7.1065828554173693</v>
          </cell>
          <cell r="H544">
            <v>8.026645582601903</v>
          </cell>
          <cell r="I544">
            <v>16.239750157961595</v>
          </cell>
          <cell r="J544">
            <v>3.3171767506350012</v>
          </cell>
          <cell r="K544">
            <v>4.0600417992352895</v>
          </cell>
          <cell r="L544">
            <v>5.3636442331258776</v>
          </cell>
          <cell r="M544">
            <v>6.7059489599645348</v>
          </cell>
          <cell r="N544">
            <v>3.5051409344212683</v>
          </cell>
          <cell r="O544">
            <v>0.23241068404591236</v>
          </cell>
          <cell r="P544">
            <v>0.34171926408355713</v>
          </cell>
          <cell r="Q544">
            <v>3.1106536463673296</v>
          </cell>
        </row>
        <row r="761">
          <cell r="F761" t="str">
            <v>FY94</v>
          </cell>
          <cell r="G761" t="str">
            <v>FY95</v>
          </cell>
          <cell r="H761" t="str">
            <v>FY96</v>
          </cell>
          <cell r="I761" t="str">
            <v>FY97</v>
          </cell>
          <cell r="J761" t="str">
            <v>FY98</v>
          </cell>
          <cell r="K761" t="str">
            <v>FY99</v>
          </cell>
          <cell r="L761" t="str">
            <v>FY00</v>
          </cell>
          <cell r="M761" t="str">
            <v>FY01</v>
          </cell>
          <cell r="N761" t="str">
            <v>FY02</v>
          </cell>
          <cell r="O761" t="str">
            <v>FY03</v>
          </cell>
          <cell r="P761" t="str">
            <v>FY04</v>
          </cell>
          <cell r="Q761" t="str">
            <v>FY05</v>
          </cell>
        </row>
        <row r="763">
          <cell r="F763">
            <v>7494</v>
          </cell>
          <cell r="G763">
            <v>9561.1669999999995</v>
          </cell>
          <cell r="H763">
            <v>12518.18</v>
          </cell>
          <cell r="I763">
            <v>11570.76</v>
          </cell>
          <cell r="J763">
            <v>14732.849999999999</v>
          </cell>
          <cell r="K763">
            <v>17669.939999999999</v>
          </cell>
          <cell r="L763">
            <v>20311.809999999998</v>
          </cell>
          <cell r="M763">
            <v>22754.01</v>
          </cell>
          <cell r="N763">
            <v>40259.25</v>
          </cell>
          <cell r="O763">
            <v>70457.5</v>
          </cell>
          <cell r="P763">
            <v>87041.3606049503</v>
          </cell>
          <cell r="Q763">
            <v>98331.917878942346</v>
          </cell>
        </row>
      </sheetData>
      <sheetData sheetId="2"/>
      <sheetData sheetId="3" refreshError="1"/>
      <sheetData sheetId="4" refreshError="1"/>
      <sheetData sheetId="5" refreshError="1"/>
      <sheetData sheetId="6" refreshError="1"/>
      <sheetData sheetId="7" refreshError="1"/>
      <sheetData sheetId="8" refreshError="1">
        <row r="2">
          <cell r="A2">
            <v>36981</v>
          </cell>
          <cell r="B2" t="str">
            <v>1998A</v>
          </cell>
          <cell r="C2" t="str">
            <v>1999A</v>
          </cell>
          <cell r="D2" t="str">
            <v>2000A</v>
          </cell>
          <cell r="E2" t="str">
            <v>2001A</v>
          </cell>
          <cell r="F2" t="str">
            <v>2002CL</v>
          </cell>
          <cell r="G2" t="str">
            <v>2003CL</v>
          </cell>
          <cell r="H2" t="str">
            <v>2004CL</v>
          </cell>
        </row>
      </sheetData>
      <sheetData sheetId="9" refreshError="1"/>
      <sheetData sheetId="10" refreshError="1"/>
      <sheetData sheetId="11"/>
      <sheetData sheetId="12"/>
      <sheetData sheetId="13" refreshError="1"/>
      <sheetData sheetId="14" refreshError="1">
        <row r="3">
          <cell r="A3" t="str">
            <v>gSales</v>
          </cell>
          <cell r="B3" t="str">
            <v>Gross sales</v>
          </cell>
          <cell r="F3">
            <v>9215</v>
          </cell>
          <cell r="G3">
            <v>11305.166999999999</v>
          </cell>
          <cell r="H3">
            <v>14222.18</v>
          </cell>
          <cell r="I3">
            <v>13082.66</v>
          </cell>
          <cell r="J3">
            <v>16707.21</v>
          </cell>
          <cell r="K3">
            <v>20130.849999999999</v>
          </cell>
          <cell r="L3">
            <v>23075.71</v>
          </cell>
          <cell r="M3">
            <v>25836.23</v>
          </cell>
          <cell r="N3">
            <v>26595.210000000003</v>
          </cell>
          <cell r="O3">
            <v>27005.65</v>
          </cell>
          <cell r="P3">
            <v>32946.409604216104</v>
          </cell>
          <cell r="Q3">
            <v>36539.43562371489</v>
          </cell>
          <cell r="R3">
            <v>36358.345039282271</v>
          </cell>
          <cell r="AI3" t="str">
            <v>Gross sales</v>
          </cell>
        </row>
        <row r="4">
          <cell r="A4" t="str">
            <v>ExciseDuty</v>
          </cell>
          <cell r="B4" t="str">
            <v>Less :excise</v>
          </cell>
          <cell r="F4">
            <v>-1721</v>
          </cell>
          <cell r="G4">
            <v>-1744</v>
          </cell>
          <cell r="H4">
            <v>-1704</v>
          </cell>
          <cell r="I4">
            <v>-1511.9</v>
          </cell>
          <cell r="J4">
            <v>-1974.36</v>
          </cell>
          <cell r="K4">
            <v>-2460.91</v>
          </cell>
          <cell r="L4">
            <v>-2763.9</v>
          </cell>
          <cell r="M4">
            <v>-3082.22</v>
          </cell>
          <cell r="N4">
            <v>-3281.58</v>
          </cell>
          <cell r="O4">
            <v>-3251.7913023779447</v>
          </cell>
          <cell r="P4">
            <v>-3490.3094953360387</v>
          </cell>
          <cell r="Q4">
            <v>-3888.6152003963698</v>
          </cell>
          <cell r="R4">
            <v>-3894.7209304602361</v>
          </cell>
          <cell r="AI4" t="str">
            <v>Less :excise</v>
          </cell>
        </row>
        <row r="5">
          <cell r="A5" t="str">
            <v>NetSales</v>
          </cell>
          <cell r="B5" t="str">
            <v>Net sales</v>
          </cell>
          <cell r="F5">
            <v>7494</v>
          </cell>
          <cell r="G5">
            <v>9561.1669999999995</v>
          </cell>
          <cell r="H5">
            <v>12518.18</v>
          </cell>
          <cell r="I5">
            <v>11570.76</v>
          </cell>
          <cell r="J5">
            <v>14732.849999999999</v>
          </cell>
          <cell r="K5">
            <v>17669.939999999999</v>
          </cell>
          <cell r="L5">
            <v>20311.809999999998</v>
          </cell>
          <cell r="M5">
            <v>22754.01</v>
          </cell>
          <cell r="N5">
            <v>23313.630000000005</v>
          </cell>
          <cell r="O5">
            <v>23753.858697622058</v>
          </cell>
          <cell r="P5">
            <v>29456.100108880066</v>
          </cell>
          <cell r="Q5">
            <v>32650.820423318521</v>
          </cell>
          <cell r="R5">
            <v>32463.624108822034</v>
          </cell>
          <cell r="AI5" t="str">
            <v>Net sales</v>
          </cell>
        </row>
        <row r="7">
          <cell r="A7" t="str">
            <v>ChInventory</v>
          </cell>
          <cell r="B7" t="str">
            <v>chg in stocks</v>
          </cell>
          <cell r="F7">
            <v>-54</v>
          </cell>
          <cell r="G7">
            <v>-198</v>
          </cell>
          <cell r="H7">
            <v>-136</v>
          </cell>
          <cell r="I7">
            <v>-173.28</v>
          </cell>
          <cell r="J7">
            <v>-149.99</v>
          </cell>
          <cell r="K7">
            <v>-352.49</v>
          </cell>
          <cell r="L7">
            <v>-39.58</v>
          </cell>
          <cell r="M7">
            <v>88.81</v>
          </cell>
          <cell r="N7">
            <v>-192.98</v>
          </cell>
          <cell r="O7">
            <v>0</v>
          </cell>
          <cell r="P7">
            <v>0</v>
          </cell>
          <cell r="Q7">
            <v>0</v>
          </cell>
        </row>
        <row r="9">
          <cell r="A9" t="str">
            <v>RawMaterials</v>
          </cell>
          <cell r="B9" t="str">
            <v xml:space="preserve">Raw materials </v>
          </cell>
          <cell r="F9">
            <v>-2217</v>
          </cell>
          <cell r="G9">
            <v>-2284</v>
          </cell>
          <cell r="H9">
            <v>-2384.04</v>
          </cell>
          <cell r="I9">
            <v>-2755.27</v>
          </cell>
          <cell r="J9">
            <v>-3219.46</v>
          </cell>
          <cell r="K9">
            <v>-3835.69</v>
          </cell>
          <cell r="L9">
            <v>-3888.7100000000005</v>
          </cell>
          <cell r="M9">
            <v>-4290.6900000000005</v>
          </cell>
          <cell r="N9">
            <v>-4755.7000000000007</v>
          </cell>
          <cell r="O9">
            <v>-5495.78</v>
          </cell>
          <cell r="P9">
            <v>-6462.5276787702669</v>
          </cell>
          <cell r="Q9">
            <v>-6971.5720490316462</v>
          </cell>
          <cell r="R9">
            <v>-7399.9625151338514</v>
          </cell>
          <cell r="U9">
            <v>0.20398796755374429</v>
          </cell>
          <cell r="V9">
            <v>0.23136367315977044</v>
          </cell>
        </row>
        <row r="11">
          <cell r="A11" t="str">
            <v>Purchases</v>
          </cell>
          <cell r="B11" t="str">
            <v>Purchases</v>
          </cell>
          <cell r="F11">
            <v>0</v>
          </cell>
          <cell r="G11">
            <v>0</v>
          </cell>
          <cell r="H11">
            <v>0</v>
          </cell>
          <cell r="I11">
            <v>-23.05</v>
          </cell>
          <cell r="J11">
            <v>0</v>
          </cell>
          <cell r="K11">
            <v>0</v>
          </cell>
          <cell r="L11">
            <v>-0.02</v>
          </cell>
          <cell r="M11">
            <v>0</v>
          </cell>
          <cell r="N11">
            <v>0</v>
          </cell>
          <cell r="O11">
            <v>0</v>
          </cell>
          <cell r="P11">
            <v>0</v>
          </cell>
          <cell r="Q11">
            <v>0</v>
          </cell>
          <cell r="R11">
            <v>0</v>
          </cell>
        </row>
        <row r="12">
          <cell r="A12" t="str">
            <v>OtherVariable</v>
          </cell>
          <cell r="B12" t="str">
            <v>Conversion/fabrication charges</v>
          </cell>
          <cell r="F12">
            <v>0</v>
          </cell>
          <cell r="G12">
            <v>0</v>
          </cell>
          <cell r="H12">
            <v>0</v>
          </cell>
          <cell r="I12">
            <v>-2.48</v>
          </cell>
          <cell r="J12">
            <v>-1.67</v>
          </cell>
          <cell r="K12">
            <v>-9.8699999999999992</v>
          </cell>
          <cell r="L12">
            <v>-2.7</v>
          </cell>
          <cell r="M12">
            <v>-9.77</v>
          </cell>
          <cell r="N12">
            <v>-30.94</v>
          </cell>
          <cell r="O12">
            <v>0</v>
          </cell>
          <cell r="P12">
            <v>0</v>
          </cell>
          <cell r="Q12">
            <v>0</v>
          </cell>
          <cell r="R12">
            <v>0</v>
          </cell>
        </row>
        <row r="15">
          <cell r="A15" t="str">
            <v>Stores</v>
          </cell>
          <cell r="B15" t="str">
            <v>Stores and spares</v>
          </cell>
          <cell r="F15">
            <v>-314</v>
          </cell>
          <cell r="G15">
            <v>-401</v>
          </cell>
          <cell r="H15">
            <v>-498</v>
          </cell>
          <cell r="I15">
            <v>-469.45</v>
          </cell>
          <cell r="J15">
            <v>-517</v>
          </cell>
          <cell r="K15">
            <v>-637.19000000000005</v>
          </cell>
          <cell r="L15">
            <v>-707.38</v>
          </cell>
          <cell r="M15">
            <v>-750.1</v>
          </cell>
          <cell r="N15">
            <v>-868.35</v>
          </cell>
          <cell r="O15">
            <v>-929.13450000000012</v>
          </cell>
          <cell r="P15">
            <v>-1040.6306400000003</v>
          </cell>
          <cell r="Q15">
            <v>-1123.8810912000004</v>
          </cell>
          <cell r="R15">
            <v>-1191.3139566720004</v>
          </cell>
        </row>
        <row r="16">
          <cell r="A16" t="str">
            <v>Maintenance</v>
          </cell>
          <cell r="B16" t="str">
            <v>Repairs and maintenence</v>
          </cell>
          <cell r="F16">
            <v>-99</v>
          </cell>
          <cell r="G16">
            <v>-179</v>
          </cell>
          <cell r="H16">
            <v>-198</v>
          </cell>
          <cell r="I16">
            <v>-171.1</v>
          </cell>
          <cell r="J16">
            <v>-196.87</v>
          </cell>
          <cell r="K16">
            <v>-214.34</v>
          </cell>
          <cell r="L16">
            <v>-284.8</v>
          </cell>
          <cell r="M16">
            <v>-330.15</v>
          </cell>
          <cell r="N16">
            <v>-364.94</v>
          </cell>
          <cell r="O16">
            <v>-671.43399999999997</v>
          </cell>
          <cell r="P16">
            <v>-433.54872000000006</v>
          </cell>
          <cell r="Q16">
            <v>-468.23261760000008</v>
          </cell>
          <cell r="R16">
            <v>-496.3265746560001</v>
          </cell>
        </row>
        <row r="17">
          <cell r="A17" t="str">
            <v>OtherMfrg</v>
          </cell>
          <cell r="B17" t="str">
            <v>Other manufacturing costs</v>
          </cell>
          <cell r="F17">
            <v>0</v>
          </cell>
          <cell r="G17">
            <v>0</v>
          </cell>
          <cell r="H17">
            <v>0</v>
          </cell>
          <cell r="I17">
            <v>-3.5100000000000002</v>
          </cell>
          <cell r="J17">
            <v>-4.3100000000000005</v>
          </cell>
          <cell r="K17">
            <v>-4.7200000000000006</v>
          </cell>
          <cell r="L17">
            <v>-3.18</v>
          </cell>
          <cell r="M17">
            <v>-3.42</v>
          </cell>
          <cell r="N17">
            <v>-4.21</v>
          </cell>
          <cell r="O17">
            <v>-5.0519999999999996</v>
          </cell>
          <cell r="P17">
            <v>-5.9613599999999991</v>
          </cell>
          <cell r="Q17">
            <v>-6.8555639999999984</v>
          </cell>
          <cell r="R17">
            <v>-7.8838985999999975</v>
          </cell>
        </row>
        <row r="19">
          <cell r="A19" t="str">
            <v>SDAexpenses</v>
          </cell>
          <cell r="B19" t="str">
            <v>Selling, distribution &amp; admin</v>
          </cell>
          <cell r="F19">
            <v>-421</v>
          </cell>
          <cell r="G19">
            <v>-468</v>
          </cell>
          <cell r="H19">
            <v>-727</v>
          </cell>
          <cell r="I19">
            <v>-779.95</v>
          </cell>
          <cell r="J19">
            <v>-914.63</v>
          </cell>
          <cell r="K19">
            <v>-1148.72</v>
          </cell>
          <cell r="L19">
            <v>-1321.2</v>
          </cell>
          <cell r="M19">
            <v>-1493</v>
          </cell>
          <cell r="N19">
            <v>-1589.87</v>
          </cell>
          <cell r="O19">
            <v>-1734.7839039999999</v>
          </cell>
          <cell r="P19">
            <v>-2020.1999999999998</v>
          </cell>
          <cell r="Q19">
            <v>-2189.355</v>
          </cell>
          <cell r="R19">
            <v>-2267.5747500000002</v>
          </cell>
          <cell r="U19">
            <v>6.8194871412131E-2</v>
          </cell>
          <cell r="V19">
            <v>7.3031667237023049E-2</v>
          </cell>
        </row>
        <row r="20">
          <cell r="A20" t="str">
            <v>CashOperating</v>
          </cell>
          <cell r="B20" t="str">
            <v>Total cash operating expenses</v>
          </cell>
          <cell r="F20">
            <v>-5295</v>
          </cell>
          <cell r="G20">
            <v>-5916</v>
          </cell>
          <cell r="H20">
            <v>-7042.64</v>
          </cell>
          <cell r="I20">
            <v>-7477.9299999999994</v>
          </cell>
          <cell r="J20">
            <v>-8823.57</v>
          </cell>
          <cell r="K20">
            <v>-10245.76</v>
          </cell>
          <cell r="L20">
            <v>-10950.890000000001</v>
          </cell>
          <cell r="M20">
            <v>-12136.730000000001</v>
          </cell>
          <cell r="N20">
            <v>-13566.420000000002</v>
          </cell>
          <cell r="O20">
            <v>-15906.907519228342</v>
          </cell>
          <cell r="P20">
            <v>-17626.940017541798</v>
          </cell>
          <cell r="Q20">
            <v>-19114.964271369005</v>
          </cell>
          <cell r="R20">
            <v>-20262.040687398759</v>
          </cell>
        </row>
        <row r="22">
          <cell r="A22" t="str">
            <v>EBITDA</v>
          </cell>
          <cell r="B22" t="str">
            <v>EBITDA</v>
          </cell>
          <cell r="F22">
            <v>2253</v>
          </cell>
          <cell r="G22">
            <v>3843.1669999999995</v>
          </cell>
          <cell r="H22">
            <v>5611.54</v>
          </cell>
          <cell r="I22">
            <v>4266.1100000000006</v>
          </cell>
          <cell r="J22">
            <v>6059.2699999999986</v>
          </cell>
          <cell r="K22">
            <v>7776.6699999999983</v>
          </cell>
          <cell r="L22">
            <v>9400.4999999999964</v>
          </cell>
          <cell r="M22">
            <v>10528.469999999998</v>
          </cell>
          <cell r="N22">
            <v>9940.1900000000023</v>
          </cell>
          <cell r="O22">
            <v>7846.951178393716</v>
          </cell>
          <cell r="P22">
            <v>11829.160091338268</v>
          </cell>
        </row>
        <row r="32">
          <cell r="B32" t="str">
            <v>Pretax profit</v>
          </cell>
          <cell r="F32">
            <v>2214.4949999999999</v>
          </cell>
          <cell r="G32">
            <v>4306.7959999999994</v>
          </cell>
          <cell r="H32">
            <v>6527.4100000000008</v>
          </cell>
          <cell r="I32">
            <v>5108.4400000000005</v>
          </cell>
          <cell r="J32">
            <v>5834.7599999999984</v>
          </cell>
          <cell r="K32">
            <v>7136.5299999999988</v>
          </cell>
          <cell r="L32">
            <v>8836.7899999999972</v>
          </cell>
          <cell r="M32">
            <v>9800.7399999999961</v>
          </cell>
          <cell r="N32">
            <v>10049.990000000002</v>
          </cell>
          <cell r="O32">
            <v>7269.9326860987849</v>
          </cell>
          <cell r="P32">
            <v>11042.779676077722</v>
          </cell>
        </row>
        <row r="34">
          <cell r="B34" t="str">
            <v>Provision for curent taxes</v>
          </cell>
          <cell r="F34">
            <v>-625</v>
          </cell>
          <cell r="G34">
            <v>-1380</v>
          </cell>
          <cell r="H34">
            <v>-2400</v>
          </cell>
          <cell r="I34">
            <v>-1195</v>
          </cell>
          <cell r="J34">
            <v>-870</v>
          </cell>
          <cell r="K34">
            <v>-1470</v>
          </cell>
          <cell r="L34">
            <v>-2485</v>
          </cell>
          <cell r="M34">
            <v>-3020</v>
          </cell>
          <cell r="N34">
            <v>-2570</v>
          </cell>
          <cell r="O34">
            <v>-1577.5753928834363</v>
          </cell>
          <cell r="P34">
            <v>-2760.6949190194305</v>
          </cell>
        </row>
        <row r="48">
          <cell r="B48" t="str">
            <v>Prev yrs taxes/extraord writeoffs</v>
          </cell>
          <cell r="H48">
            <v>101.96</v>
          </cell>
          <cell r="I48">
            <v>6.5</v>
          </cell>
          <cell r="O48">
            <v>0</v>
          </cell>
        </row>
        <row r="49">
          <cell r="B49" t="str">
            <v>Dividend payment</v>
          </cell>
          <cell r="F49">
            <v>189</v>
          </cell>
          <cell r="G49">
            <v>257.63</v>
          </cell>
          <cell r="H49">
            <v>297.86</v>
          </cell>
          <cell r="I49">
            <v>335.1</v>
          </cell>
          <cell r="J49">
            <v>390.95</v>
          </cell>
          <cell r="K49">
            <v>484.03</v>
          </cell>
          <cell r="L49">
            <v>595.73</v>
          </cell>
          <cell r="M49">
            <v>893.59</v>
          </cell>
          <cell r="N49">
            <v>1005.21</v>
          </cell>
          <cell r="O49">
            <v>1248.75</v>
          </cell>
          <cell r="P49">
            <v>1387.5</v>
          </cell>
          <cell r="Q49">
            <v>1480</v>
          </cell>
          <cell r="R49">
            <v>1572.5</v>
          </cell>
        </row>
        <row r="52">
          <cell r="B52" t="str">
            <v xml:space="preserve">Dividend Tax </v>
          </cell>
          <cell r="I52">
            <v>33.51</v>
          </cell>
          <cell r="J52">
            <v>39.094999999999999</v>
          </cell>
          <cell r="K52">
            <v>48.4</v>
          </cell>
          <cell r="L52">
            <v>94.94</v>
          </cell>
          <cell r="M52">
            <v>91.15</v>
          </cell>
          <cell r="O52">
            <v>156.09375</v>
          </cell>
          <cell r="P52">
            <v>173.4375</v>
          </cell>
          <cell r="Q52">
            <v>185</v>
          </cell>
          <cell r="R52">
            <v>196.5625</v>
          </cell>
        </row>
        <row r="53">
          <cell r="B53" t="str">
            <v>Profit after dividend</v>
          </cell>
          <cell r="F53">
            <v>1400.4949999999999</v>
          </cell>
          <cell r="G53">
            <v>2669.1659999999993</v>
          </cell>
          <cell r="H53">
            <v>3727.5900000000006</v>
          </cell>
          <cell r="I53">
            <v>3538.3300000000004</v>
          </cell>
          <cell r="J53">
            <v>4534.7149999999983</v>
          </cell>
          <cell r="K53">
            <v>5133.62</v>
          </cell>
          <cell r="L53">
            <v>5432.4299999999985</v>
          </cell>
          <cell r="M53">
            <v>5795.9999999999964</v>
          </cell>
          <cell r="N53">
            <v>5854.7800000000016</v>
          </cell>
          <cell r="O53">
            <v>2048.5135432153484</v>
          </cell>
          <cell r="P53">
            <v>5921.1472570582919</v>
          </cell>
          <cell r="Q53">
            <v>7258.6535017935166</v>
          </cell>
          <cell r="R53">
            <v>6623.5837874530116</v>
          </cell>
        </row>
        <row r="93">
          <cell r="M93">
            <v>906.19999999999993</v>
          </cell>
        </row>
        <row r="109">
          <cell r="A109" t="str">
            <v>InvestmentIncome</v>
          </cell>
          <cell r="B109" t="str">
            <v>Total income from investments</v>
          </cell>
          <cell r="E109">
            <v>180.23099999999999</v>
          </cell>
          <cell r="F109">
            <v>204.149</v>
          </cell>
          <cell r="G109">
            <v>569.95399999999995</v>
          </cell>
          <cell r="H109">
            <v>908.28000000000009</v>
          </cell>
          <cell r="I109">
            <v>599.31000000000006</v>
          </cell>
          <cell r="J109">
            <v>555.14</v>
          </cell>
          <cell r="K109">
            <v>570.27</v>
          </cell>
          <cell r="L109">
            <v>422.11</v>
          </cell>
          <cell r="M109">
            <v>131.62</v>
          </cell>
          <cell r="N109">
            <v>387.49</v>
          </cell>
          <cell r="O109">
            <v>355.25029999999998</v>
          </cell>
          <cell r="P109">
            <v>381.7706</v>
          </cell>
          <cell r="Q109">
            <v>408.29090000000002</v>
          </cell>
          <cell r="R109">
            <v>434.81120000000004</v>
          </cell>
        </row>
        <row r="111">
          <cell r="A111" t="str">
            <v>Forex</v>
          </cell>
          <cell r="B111" t="str">
            <v>Foreign exchange income</v>
          </cell>
          <cell r="F111">
            <v>0</v>
          </cell>
          <cell r="G111">
            <v>0</v>
          </cell>
          <cell r="H111">
            <v>0</v>
          </cell>
          <cell r="I111">
            <v>0</v>
          </cell>
          <cell r="J111">
            <v>0</v>
          </cell>
          <cell r="K111">
            <v>2.77</v>
          </cell>
          <cell r="L111">
            <v>19.48</v>
          </cell>
          <cell r="M111">
            <v>42.97</v>
          </cell>
          <cell r="N111">
            <v>0</v>
          </cell>
          <cell r="O111">
            <v>0</v>
          </cell>
          <cell r="P111">
            <v>0</v>
          </cell>
          <cell r="Q111">
            <v>0</v>
          </cell>
        </row>
        <row r="112">
          <cell r="A112" t="str">
            <v>RentalIncome</v>
          </cell>
          <cell r="B112" t="str">
            <v>Rental income</v>
          </cell>
          <cell r="E112">
            <v>2.9249999999999998</v>
          </cell>
          <cell r="F112">
            <v>3.5739999999999998</v>
          </cell>
          <cell r="G112">
            <v>3.964</v>
          </cell>
          <cell r="H112">
            <v>3.93</v>
          </cell>
          <cell r="I112">
            <v>4.0599999999999996</v>
          </cell>
          <cell r="J112">
            <v>4.53</v>
          </cell>
          <cell r="K112">
            <v>4.7699999999999996</v>
          </cell>
          <cell r="L112">
            <v>6.01</v>
          </cell>
          <cell r="M112">
            <v>6.55</v>
          </cell>
          <cell r="N112">
            <v>10.42</v>
          </cell>
          <cell r="O112">
            <v>10.941000000000001</v>
          </cell>
          <cell r="P112">
            <v>11.488050000000001</v>
          </cell>
          <cell r="Q112">
            <v>12.062452500000001</v>
          </cell>
          <cell r="R112">
            <v>12.665575125000002</v>
          </cell>
        </row>
        <row r="113">
          <cell r="A113" t="str">
            <v>GainAssets</v>
          </cell>
          <cell r="B113" t="str">
            <v>Profit on sale of Assets</v>
          </cell>
          <cell r="E113">
            <v>0.23200000000000001</v>
          </cell>
          <cell r="G113">
            <v>0.47299999999999998</v>
          </cell>
          <cell r="H113">
            <v>0.94</v>
          </cell>
          <cell r="I113">
            <v>0</v>
          </cell>
          <cell r="J113">
            <v>8.5500000000000007</v>
          </cell>
          <cell r="K113">
            <v>10.050000000000001</v>
          </cell>
          <cell r="L113">
            <v>2.89</v>
          </cell>
          <cell r="M113">
            <v>1.59</v>
          </cell>
          <cell r="N113">
            <v>0</v>
          </cell>
          <cell r="O113">
            <v>0</v>
          </cell>
          <cell r="P113">
            <v>0</v>
          </cell>
          <cell r="Q113">
            <v>0</v>
          </cell>
          <cell r="R113">
            <v>0</v>
          </cell>
        </row>
        <row r="114">
          <cell r="A114" t="str">
            <v>GainInvestments</v>
          </cell>
          <cell r="B114" t="str">
            <v>Profit on sale of Investments</v>
          </cell>
          <cell r="E114">
            <v>6.8029999999999999</v>
          </cell>
          <cell r="F114">
            <v>46.338000000000001</v>
          </cell>
          <cell r="G114">
            <v>73.481999999999999</v>
          </cell>
          <cell r="H114">
            <v>38.380000000000003</v>
          </cell>
          <cell r="I114">
            <v>309.19</v>
          </cell>
          <cell r="J114">
            <v>47.56</v>
          </cell>
          <cell r="K114">
            <v>90.99</v>
          </cell>
          <cell r="L114">
            <v>1.99</v>
          </cell>
          <cell r="M114">
            <v>140.55000000000001</v>
          </cell>
          <cell r="N114">
            <v>589.65</v>
          </cell>
          <cell r="O114">
            <v>100</v>
          </cell>
          <cell r="P114">
            <v>150</v>
          </cell>
          <cell r="Q114">
            <v>151</v>
          </cell>
          <cell r="R114">
            <v>151</v>
          </cell>
        </row>
        <row r="115">
          <cell r="A115" t="str">
            <v>ProvInvestments</v>
          </cell>
          <cell r="B115" t="str">
            <v>Prov for diminution of inv w/b</v>
          </cell>
          <cell r="I115">
            <v>0</v>
          </cell>
          <cell r="J115">
            <v>9.69</v>
          </cell>
          <cell r="K115">
            <v>0</v>
          </cell>
        </row>
        <row r="116">
          <cell r="A116" t="str">
            <v>MiscIncome</v>
          </cell>
          <cell r="B116" t="str">
            <v>Miscellaneous</v>
          </cell>
          <cell r="E116">
            <v>62.174999999999997</v>
          </cell>
          <cell r="F116">
            <v>176.77699999999999</v>
          </cell>
          <cell r="G116">
            <v>81.53</v>
          </cell>
          <cell r="H116">
            <v>68.5</v>
          </cell>
          <cell r="I116">
            <v>121.9</v>
          </cell>
          <cell r="J116">
            <v>72.39</v>
          </cell>
          <cell r="K116">
            <v>81.98</v>
          </cell>
          <cell r="L116">
            <v>25.8</v>
          </cell>
          <cell r="M116">
            <v>72.08</v>
          </cell>
          <cell r="N116">
            <v>107.405</v>
          </cell>
          <cell r="O116">
            <v>128.563785</v>
          </cell>
          <cell r="P116">
            <v>134.99197425</v>
          </cell>
          <cell r="Q116">
            <v>141.74157296250002</v>
          </cell>
          <cell r="R116">
            <v>148.82865161062503</v>
          </cell>
        </row>
        <row r="117">
          <cell r="A117" t="str">
            <v>WriteBacks</v>
          </cell>
          <cell r="B117" t="str">
            <v>Sundry credit balances w/b</v>
          </cell>
          <cell r="F117">
            <v>0.81200000000000006</v>
          </cell>
          <cell r="G117">
            <v>0.80400000000000005</v>
          </cell>
          <cell r="H117">
            <v>0.82</v>
          </cell>
          <cell r="I117">
            <v>2</v>
          </cell>
          <cell r="J117">
            <v>0</v>
          </cell>
          <cell r="K117">
            <v>9.6199999999999992</v>
          </cell>
          <cell r="L117">
            <v>0.54</v>
          </cell>
          <cell r="M117">
            <v>7.0000000000000007E-2</v>
          </cell>
        </row>
        <row r="118">
          <cell r="A118" t="str">
            <v>Adj</v>
          </cell>
          <cell r="B118" t="str">
            <v>Prev years' adj</v>
          </cell>
          <cell r="E118">
            <v>14.702999999999999</v>
          </cell>
          <cell r="G118">
            <v>14.529</v>
          </cell>
          <cell r="H118">
            <v>23.18</v>
          </cell>
          <cell r="I118">
            <v>34.770000000000003</v>
          </cell>
          <cell r="J118">
            <v>8.9600000000000009</v>
          </cell>
          <cell r="K118">
            <v>30.21</v>
          </cell>
          <cell r="L118">
            <v>20.55</v>
          </cell>
          <cell r="M118">
            <v>13.28</v>
          </cell>
        </row>
        <row r="122">
          <cell r="L122">
            <v>1386.54</v>
          </cell>
        </row>
      </sheetData>
      <sheetData sheetId="15" refreshError="1">
        <row r="6">
          <cell r="A6" t="str">
            <v>EquityCapital</v>
          </cell>
          <cell r="B6" t="str">
            <v>Share capital</v>
          </cell>
          <cell r="E6">
            <v>387.70800000000003</v>
          </cell>
          <cell r="F6">
            <v>433.745</v>
          </cell>
          <cell r="G6">
            <v>480.09</v>
          </cell>
          <cell r="H6">
            <v>496.47</v>
          </cell>
          <cell r="I6">
            <v>744.69</v>
          </cell>
          <cell r="J6">
            <v>744.69</v>
          </cell>
          <cell r="K6">
            <v>744.69</v>
          </cell>
          <cell r="L6">
            <v>744.69</v>
          </cell>
          <cell r="M6">
            <v>744.69</v>
          </cell>
          <cell r="N6">
            <v>744.63</v>
          </cell>
          <cell r="O6">
            <v>737.3</v>
          </cell>
          <cell r="P6">
            <v>737.3</v>
          </cell>
          <cell r="Q6">
            <v>737.3</v>
          </cell>
          <cell r="R6">
            <v>737.3</v>
          </cell>
        </row>
        <row r="7">
          <cell r="A7" t="str">
            <v>Reserves</v>
          </cell>
          <cell r="B7" t="str">
            <v>Reserves</v>
          </cell>
          <cell r="E7">
            <v>13612.699000000001</v>
          </cell>
          <cell r="F7">
            <v>16225.941999999999</v>
          </cell>
          <cell r="G7">
            <v>21417.86</v>
          </cell>
          <cell r="H7">
            <v>25199.24</v>
          </cell>
          <cell r="I7">
            <v>27795.01</v>
          </cell>
          <cell r="J7">
            <v>31622.49</v>
          </cell>
          <cell r="K7">
            <v>47630.080000000002</v>
          </cell>
          <cell r="L7">
            <v>51588.4</v>
          </cell>
          <cell r="M7">
            <v>55910.98</v>
          </cell>
          <cell r="N7">
            <v>56429.08</v>
          </cell>
          <cell r="O7">
            <v>47119.513543215347</v>
          </cell>
          <cell r="P7">
            <v>53040.660800273639</v>
          </cell>
          <cell r="Q7">
            <v>60299.314302067156</v>
          </cell>
          <cell r="R7">
            <v>66922.898089520168</v>
          </cell>
        </row>
        <row r="8">
          <cell r="A8" t="str">
            <v>Sfunds</v>
          </cell>
          <cell r="B8" t="str">
            <v>Shareholders funds</v>
          </cell>
          <cell r="E8">
            <v>14000.407000000001</v>
          </cell>
          <cell r="F8">
            <v>16659.686999999998</v>
          </cell>
          <cell r="G8">
            <v>21897.95</v>
          </cell>
          <cell r="H8">
            <v>25695.710000000003</v>
          </cell>
          <cell r="I8">
            <v>28539.699999999997</v>
          </cell>
          <cell r="J8">
            <v>32367.18</v>
          </cell>
          <cell r="K8">
            <v>48374.770000000004</v>
          </cell>
          <cell r="L8">
            <v>52333.090000000004</v>
          </cell>
          <cell r="M8">
            <v>56655.670000000006</v>
          </cell>
          <cell r="N8">
            <v>57173.71</v>
          </cell>
          <cell r="O8">
            <v>47856.81354321535</v>
          </cell>
          <cell r="P8">
            <v>53777.960800273642</v>
          </cell>
          <cell r="Q8">
            <v>61036.614302067159</v>
          </cell>
          <cell r="R8">
            <v>67660.19808952017</v>
          </cell>
        </row>
        <row r="9">
          <cell r="A9" t="str">
            <v>AvSFunds</v>
          </cell>
          <cell r="E9">
            <v>7000.2035000000005</v>
          </cell>
          <cell r="F9">
            <v>15330.046999999999</v>
          </cell>
          <cell r="G9">
            <v>19278.818500000001</v>
          </cell>
          <cell r="H9">
            <v>23796.83</v>
          </cell>
          <cell r="I9">
            <v>27117.705000000002</v>
          </cell>
          <cell r="J9">
            <v>30453.439999999999</v>
          </cell>
          <cell r="K9">
            <v>40370.975000000006</v>
          </cell>
          <cell r="L9">
            <v>50353.930000000008</v>
          </cell>
          <cell r="M9">
            <v>54494.380000000005</v>
          </cell>
          <cell r="N9">
            <v>56914.69</v>
          </cell>
          <cell r="O9">
            <v>52515.261771607678</v>
          </cell>
          <cell r="P9">
            <v>50817.3871717445</v>
          </cell>
          <cell r="Q9">
            <v>57407.287551170404</v>
          </cell>
          <cell r="R9">
            <v>64348.406195793665</v>
          </cell>
        </row>
        <row r="13">
          <cell r="B13" t="str">
            <v>Total Loans</v>
          </cell>
          <cell r="E13">
            <v>3369.6450000000004</v>
          </cell>
          <cell r="F13">
            <v>3007.39</v>
          </cell>
          <cell r="G13">
            <v>4385</v>
          </cell>
          <cell r="H13">
            <v>5282.35</v>
          </cell>
          <cell r="I13">
            <v>5513.07</v>
          </cell>
          <cell r="J13">
            <v>7798.86</v>
          </cell>
          <cell r="K13">
            <v>6870.13</v>
          </cell>
          <cell r="L13">
            <v>5753.7</v>
          </cell>
          <cell r="M13">
            <v>7147.19</v>
          </cell>
          <cell r="N13">
            <v>9577.36</v>
          </cell>
          <cell r="O13">
            <v>14689.365115540519</v>
          </cell>
          <cell r="P13">
            <v>12196.351155797938</v>
          </cell>
          <cell r="Q13">
            <v>8993.1926426106311</v>
          </cell>
          <cell r="R13">
            <v>1108.6700991742346</v>
          </cell>
        </row>
        <row r="17">
          <cell r="B17" t="str">
            <v>Total liabilities</v>
          </cell>
          <cell r="E17">
            <v>17370.052000000003</v>
          </cell>
          <cell r="F17">
            <v>19667.076999999997</v>
          </cell>
          <cell r="G17">
            <v>26282.95</v>
          </cell>
          <cell r="H17">
            <v>30978.060000000005</v>
          </cell>
          <cell r="I17">
            <v>34052.769999999997</v>
          </cell>
          <cell r="J17">
            <v>40166.04</v>
          </cell>
          <cell r="K17">
            <v>55244.9</v>
          </cell>
          <cell r="L17">
            <v>58086.79</v>
          </cell>
          <cell r="M17">
            <v>63802.860000000008</v>
          </cell>
          <cell r="N17">
            <v>71194.22</v>
          </cell>
          <cell r="O17">
            <v>67592.328658755869</v>
          </cell>
          <cell r="P17">
            <v>71820.46195607158</v>
          </cell>
          <cell r="Q17">
            <v>76375.95694467779</v>
          </cell>
          <cell r="R17">
            <v>75615.018188694405</v>
          </cell>
        </row>
        <row r="20">
          <cell r="A20" t="str">
            <v>GrossFixedAssets</v>
          </cell>
          <cell r="B20" t="str">
            <v>Gross block</v>
          </cell>
          <cell r="E20">
            <v>17953.746999999999</v>
          </cell>
          <cell r="F20">
            <v>19232</v>
          </cell>
          <cell r="G20">
            <v>20010</v>
          </cell>
          <cell r="H20">
            <v>21411</v>
          </cell>
          <cell r="I20">
            <v>26840.66</v>
          </cell>
          <cell r="J20">
            <v>34942.82</v>
          </cell>
          <cell r="K20">
            <v>50906.52</v>
          </cell>
          <cell r="L20">
            <v>52350.48</v>
          </cell>
          <cell r="M20">
            <v>53582.59</v>
          </cell>
          <cell r="N20">
            <v>56726.19</v>
          </cell>
          <cell r="O20">
            <v>55740.19</v>
          </cell>
          <cell r="P20">
            <v>64340.19</v>
          </cell>
          <cell r="Q20">
            <v>66640.19</v>
          </cell>
          <cell r="R20">
            <v>68140.19</v>
          </cell>
        </row>
        <row r="21">
          <cell r="A21" t="str">
            <v>AccDepreciation</v>
          </cell>
          <cell r="B21" t="str">
            <v>Depreciation</v>
          </cell>
          <cell r="E21">
            <v>-6851.4620000000004</v>
          </cell>
          <cell r="F21">
            <v>-7807</v>
          </cell>
          <cell r="G21">
            <v>-8825</v>
          </cell>
          <cell r="H21">
            <v>-9862</v>
          </cell>
          <cell r="I21">
            <v>-10962.49</v>
          </cell>
          <cell r="J21">
            <v>-12333.1</v>
          </cell>
          <cell r="K21">
            <v>-16288.8</v>
          </cell>
          <cell r="L21">
            <v>-19099.93</v>
          </cell>
          <cell r="M21">
            <v>-21977.96</v>
          </cell>
          <cell r="N21">
            <v>-24858.27</v>
          </cell>
          <cell r="O21">
            <v>-26678.219400000002</v>
          </cell>
          <cell r="P21">
            <v>-28839.666240000002</v>
          </cell>
          <cell r="Q21">
            <v>-31197.313080000004</v>
          </cell>
          <cell r="R21">
            <v>-33623.359920000003</v>
          </cell>
        </row>
        <row r="23">
          <cell r="A23" t="str">
            <v>NonOpFixedAssets</v>
          </cell>
          <cell r="B23" t="str">
            <v>Capital work in progress</v>
          </cell>
          <cell r="E23">
            <v>720.98900000000003</v>
          </cell>
          <cell r="F23">
            <v>468.81</v>
          </cell>
          <cell r="G23">
            <v>2107</v>
          </cell>
          <cell r="H23">
            <v>3635</v>
          </cell>
          <cell r="I23">
            <v>3971.7</v>
          </cell>
          <cell r="J23">
            <v>1262.56</v>
          </cell>
          <cell r="K23">
            <v>1148.1400000000001</v>
          </cell>
          <cell r="L23">
            <v>1099.02</v>
          </cell>
          <cell r="M23">
            <v>2782.46</v>
          </cell>
          <cell r="N23">
            <v>6441.35</v>
          </cell>
          <cell r="O23">
            <v>5441.35</v>
          </cell>
          <cell r="P23">
            <v>838.85999999999422</v>
          </cell>
          <cell r="Q23">
            <v>1038.8599999999942</v>
          </cell>
          <cell r="R23">
            <v>1038.8599999999942</v>
          </cell>
        </row>
        <row r="24">
          <cell r="A24" t="str">
            <v>TotalFixedAssets</v>
          </cell>
          <cell r="B24" t="str">
            <v>Total fixed assets</v>
          </cell>
          <cell r="E24">
            <v>11823.273999999999</v>
          </cell>
          <cell r="F24">
            <v>11893.81</v>
          </cell>
          <cell r="G24">
            <v>13292</v>
          </cell>
          <cell r="H24">
            <v>15184</v>
          </cell>
          <cell r="I24">
            <v>19849.87</v>
          </cell>
          <cell r="J24">
            <v>23872.280000000002</v>
          </cell>
          <cell r="K24">
            <v>35765.86</v>
          </cell>
          <cell r="L24">
            <v>34349.57</v>
          </cell>
          <cell r="M24">
            <v>34387.089999999997</v>
          </cell>
          <cell r="N24">
            <v>38309.270000000004</v>
          </cell>
          <cell r="O24">
            <v>34503.320599999999</v>
          </cell>
          <cell r="P24">
            <v>36339.38375999999</v>
          </cell>
          <cell r="Q24">
            <v>36481.736919999988</v>
          </cell>
          <cell r="R24">
            <v>35555.690079999993</v>
          </cell>
        </row>
        <row r="35">
          <cell r="B35" t="str">
            <v>Provisions</v>
          </cell>
          <cell r="E35">
            <v>283.19900000000001</v>
          </cell>
          <cell r="F35">
            <v>348.8</v>
          </cell>
          <cell r="G35">
            <v>343.07</v>
          </cell>
          <cell r="H35">
            <v>369.13</v>
          </cell>
          <cell r="I35">
            <v>443.8</v>
          </cell>
          <cell r="J35">
            <v>507.86</v>
          </cell>
          <cell r="K35">
            <v>590.17999999999995</v>
          </cell>
          <cell r="L35">
            <v>740.56</v>
          </cell>
          <cell r="M35">
            <v>1039.47</v>
          </cell>
          <cell r="N35">
            <v>1059.94</v>
          </cell>
          <cell r="O35">
            <v>1462.31025</v>
          </cell>
          <cell r="P35">
            <v>1621.277325</v>
          </cell>
          <cell r="Q35">
            <v>1728.3568162500001</v>
          </cell>
          <cell r="R35">
            <v>1835.5871570625</v>
          </cell>
        </row>
        <row r="37">
          <cell r="B37" t="str">
            <v>Net Current Assets</v>
          </cell>
          <cell r="E37">
            <v>2919.7309999999998</v>
          </cell>
          <cell r="F37">
            <v>2852.5410000000002</v>
          </cell>
          <cell r="G37">
            <v>4576.3550000000005</v>
          </cell>
          <cell r="H37">
            <v>6338.9199999999992</v>
          </cell>
          <cell r="I37">
            <v>7058.6599999999989</v>
          </cell>
          <cell r="J37">
            <v>6282.3000000000011</v>
          </cell>
          <cell r="K37">
            <v>8851.0500000000011</v>
          </cell>
          <cell r="L37">
            <v>12408.69</v>
          </cell>
          <cell r="M37">
            <v>10241.200000000001</v>
          </cell>
          <cell r="N37">
            <v>13032.45</v>
          </cell>
          <cell r="O37">
            <v>14067.378058755879</v>
          </cell>
          <cell r="P37">
            <v>16459.448196071604</v>
          </cell>
          <cell r="Q37">
            <v>20872.590024677804</v>
          </cell>
          <cell r="R37">
            <v>21037.698108694418</v>
          </cell>
        </row>
        <row r="39">
          <cell r="B39" t="str">
            <v>Total Assets</v>
          </cell>
          <cell r="E39">
            <v>17370.052</v>
          </cell>
          <cell r="F39">
            <v>19667.252</v>
          </cell>
          <cell r="G39">
            <v>26283.004000000001</v>
          </cell>
          <cell r="H39">
            <v>30978.059999999998</v>
          </cell>
          <cell r="I39">
            <v>34052.769999999997</v>
          </cell>
          <cell r="J39">
            <v>40166.180000000008</v>
          </cell>
          <cell r="K39">
            <v>55244.65</v>
          </cell>
          <cell r="L39">
            <v>58086.79</v>
          </cell>
          <cell r="M39">
            <v>63802.86</v>
          </cell>
          <cell r="N39">
            <v>71194.22</v>
          </cell>
          <cell r="O39">
            <v>67592.328658755869</v>
          </cell>
          <cell r="P39">
            <v>71820.46195607158</v>
          </cell>
          <cell r="Q39">
            <v>76375.95694467779</v>
          </cell>
          <cell r="R39">
            <v>75615.018188694405</v>
          </cell>
        </row>
        <row r="41">
          <cell r="M41">
            <v>0</v>
          </cell>
          <cell r="N41">
            <v>0</v>
          </cell>
          <cell r="O41">
            <v>0</v>
          </cell>
          <cell r="P41">
            <v>0</v>
          </cell>
          <cell r="Q41">
            <v>0</v>
          </cell>
          <cell r="R41">
            <v>0</v>
          </cell>
        </row>
        <row r="132">
          <cell r="A132" t="str">
            <v>AvDebt</v>
          </cell>
          <cell r="B132" t="str">
            <v>Average debt</v>
          </cell>
          <cell r="G132">
            <v>3696.1949999999997</v>
          </cell>
          <cell r="H132">
            <v>4833.6750000000002</v>
          </cell>
          <cell r="I132">
            <v>5397.71</v>
          </cell>
          <cell r="J132">
            <v>6655.9650000000001</v>
          </cell>
          <cell r="K132">
            <v>7334.4949999999999</v>
          </cell>
          <cell r="L132">
            <v>6311.915</v>
          </cell>
          <cell r="M132">
            <v>6450.4449999999997</v>
          </cell>
          <cell r="N132">
            <v>8362.2749999999996</v>
          </cell>
          <cell r="O132">
            <v>12133.362557770259</v>
          </cell>
          <cell r="P132">
            <v>13442.858135669228</v>
          </cell>
          <cell r="Q132">
            <v>10594.771899204285</v>
          </cell>
          <cell r="R132">
            <v>5050.9313708924328</v>
          </cell>
        </row>
      </sheetData>
      <sheetData sheetId="16" refreshError="1">
        <row r="6">
          <cell r="A6" t="str">
            <v>ChWorkingCapital</v>
          </cell>
          <cell r="B6" t="str">
            <v xml:space="preserve"> - Working capital</v>
          </cell>
          <cell r="G6">
            <v>26.335999999999899</v>
          </cell>
          <cell r="H6">
            <v>-1619.3019999999997</v>
          </cell>
          <cell r="I6">
            <v>-1703.9899999999996</v>
          </cell>
          <cell r="J6">
            <v>726.70999999999935</v>
          </cell>
          <cell r="K6">
            <v>-1016.9399999999996</v>
          </cell>
          <cell r="L6">
            <v>-451.86999999999989</v>
          </cell>
          <cell r="M6">
            <v>-804.01000000000045</v>
          </cell>
          <cell r="N6">
            <v>-2140.2199999999984</v>
          </cell>
          <cell r="O6">
            <v>-7403.4400000000005</v>
          </cell>
          <cell r="P6">
            <v>-3178.5314928097414</v>
          </cell>
          <cell r="Q6">
            <v>-1850.1481337241366</v>
          </cell>
          <cell r="AH6" t="str">
            <v xml:space="preserve"> - Working capital</v>
          </cell>
          <cell r="AI6">
            <v>-1629.3200000000002</v>
          </cell>
          <cell r="AJ6">
            <v>790.76999999999862</v>
          </cell>
          <cell r="AK6">
            <v>-934.61999999999898</v>
          </cell>
          <cell r="AL6">
            <v>-301.48999999999978</v>
          </cell>
          <cell r="AM6">
            <v>-505.10000000000127</v>
          </cell>
          <cell r="AN6">
            <v>-252.8199999999988</v>
          </cell>
          <cell r="AO6">
            <v>-701.63805875587968</v>
          </cell>
        </row>
        <row r="8">
          <cell r="A8" t="str">
            <v>OpCashflow</v>
          </cell>
          <cell r="B8" t="str">
            <v>Operating cash flow</v>
          </cell>
          <cell r="G8">
            <v>3963.7949999999992</v>
          </cell>
          <cell r="H8">
            <v>4105.4880000000003</v>
          </cell>
          <cell r="I8">
            <v>3027.5500000000006</v>
          </cell>
          <cell r="J8">
            <v>6937.7599999999975</v>
          </cell>
          <cell r="K8">
            <v>6965.5299999999988</v>
          </cell>
          <cell r="L8">
            <v>8770.659999999998</v>
          </cell>
          <cell r="M8">
            <v>9963.4199999999983</v>
          </cell>
          <cell r="N8">
            <v>13367.499999999993</v>
          </cell>
          <cell r="O8">
            <v>8127.1799999999994</v>
          </cell>
          <cell r="P8">
            <v>18093.022306068677</v>
          </cell>
          <cell r="Q8">
            <v>23593.062032266967</v>
          </cell>
          <cell r="AH8" t="str">
            <v>Operating cash flow</v>
          </cell>
          <cell r="AL8">
            <v>9099.0099999999966</v>
          </cell>
          <cell r="AM8">
            <v>10004.369999999995</v>
          </cell>
          <cell r="AN8">
            <v>9515.3700000000026</v>
          </cell>
          <cell r="AO8">
            <v>7145.3131196378363</v>
          </cell>
          <cell r="AP8">
            <v>11937.089954022544</v>
          </cell>
        </row>
        <row r="9">
          <cell r="A9" t="str">
            <v>NetFinancing</v>
          </cell>
          <cell r="B9" t="str">
            <v>Net interest expense and swap cost</v>
          </cell>
          <cell r="G9">
            <v>48.413000000000011</v>
          </cell>
          <cell r="H9">
            <v>220.19999999999993</v>
          </cell>
          <cell r="I9">
            <v>194.25000000000006</v>
          </cell>
          <cell r="J9">
            <v>-154.98000000000002</v>
          </cell>
          <cell r="K9">
            <v>-192.05000000000007</v>
          </cell>
          <cell r="L9">
            <v>290.55000000000007</v>
          </cell>
          <cell r="M9">
            <v>287.41999999999996</v>
          </cell>
          <cell r="N9">
            <v>-808.01</v>
          </cell>
          <cell r="O9">
            <v>-1737.78</v>
          </cell>
          <cell r="P9">
            <v>-1974.6580015970264</v>
          </cell>
          <cell r="Q9">
            <v>-2044.4093555281258</v>
          </cell>
          <cell r="AH9" t="str">
            <v>Net interest expense and swap cost</v>
          </cell>
          <cell r="AL9">
            <v>-596.62</v>
          </cell>
          <cell r="AM9">
            <v>-618.78</v>
          </cell>
          <cell r="AN9">
            <v>-455.95000000000005</v>
          </cell>
          <cell r="AO9">
            <v>-507.06909229493158</v>
          </cell>
          <cell r="AP9">
            <v>-865.75722526054597</v>
          </cell>
        </row>
        <row r="11">
          <cell r="A11" t="str">
            <v>TaxPaid</v>
          </cell>
          <cell r="B11" t="str">
            <v xml:space="preserve"> - tax paid</v>
          </cell>
          <cell r="G11">
            <v>-1380</v>
          </cell>
          <cell r="H11">
            <v>-2400</v>
          </cell>
          <cell r="I11">
            <v>-1161.49</v>
          </cell>
          <cell r="J11">
            <v>-864.42</v>
          </cell>
          <cell r="K11">
            <v>-1460.69</v>
          </cell>
          <cell r="L11">
            <v>-2438.46</v>
          </cell>
          <cell r="M11">
            <v>-3023.79</v>
          </cell>
          <cell r="N11">
            <v>-2935.06</v>
          </cell>
          <cell r="O11">
            <v>-2669.49</v>
          </cell>
          <cell r="P11">
            <v>-4059.6687883884538</v>
          </cell>
          <cell r="Q11">
            <v>-5171.1225096532562</v>
          </cell>
          <cell r="AH11" t="str">
            <v xml:space="preserve"> - tax paid</v>
          </cell>
          <cell r="AL11">
            <v>-2485</v>
          </cell>
          <cell r="AM11">
            <v>-3020</v>
          </cell>
          <cell r="AN11">
            <v>-2570</v>
          </cell>
          <cell r="AO11">
            <v>-1577.5753928834363</v>
          </cell>
          <cell r="AP11">
            <v>-2760.6949190194305</v>
          </cell>
          <cell r="AQ11">
            <v>-3311.0133925220462</v>
          </cell>
          <cell r="AR11">
            <v>-3124.4432901861933</v>
          </cell>
        </row>
        <row r="12">
          <cell r="A12" t="str">
            <v>FreeCashflow</v>
          </cell>
          <cell r="B12" t="str">
            <v>Free cash flow</v>
          </cell>
          <cell r="G12">
            <v>3202.1619999999994</v>
          </cell>
          <cell r="H12">
            <v>2833.9679999999998</v>
          </cell>
          <cell r="I12">
            <v>2659.6200000000008</v>
          </cell>
          <cell r="J12">
            <v>6473.4999999999973</v>
          </cell>
          <cell r="K12">
            <v>5883.0599999999977</v>
          </cell>
          <cell r="L12">
            <v>7044.8599999999979</v>
          </cell>
          <cell r="M12">
            <v>7358.6699999999992</v>
          </cell>
          <cell r="N12">
            <v>9624.429999999993</v>
          </cell>
          <cell r="O12">
            <v>3719.91</v>
          </cell>
          <cell r="P12">
            <v>12058.695516083197</v>
          </cell>
          <cell r="Q12">
            <v>16377.530167085586</v>
          </cell>
          <cell r="AH12" t="str">
            <v>Free cash flow before capex</v>
          </cell>
          <cell r="AL12">
            <v>7403.9299999999967</v>
          </cell>
          <cell r="AM12">
            <v>7680.4999999999945</v>
          </cell>
          <cell r="AN12">
            <v>8598.510000000002</v>
          </cell>
          <cell r="AO12">
            <v>6810.6686344594691</v>
          </cell>
        </row>
        <row r="13">
          <cell r="A13" t="str">
            <v>Capex</v>
          </cell>
          <cell r="B13" t="str">
            <v xml:space="preserve"> - Capital expenditure</v>
          </cell>
          <cell r="G13">
            <v>-2418.71</v>
          </cell>
          <cell r="H13">
            <v>-2931.36</v>
          </cell>
          <cell r="I13">
            <v>-5779.4199999999992</v>
          </cell>
          <cell r="J13">
            <v>-5503.3600000000015</v>
          </cell>
          <cell r="K13">
            <v>-2267.4599999999991</v>
          </cell>
          <cell r="L13">
            <v>-1412.0100000000016</v>
          </cell>
          <cell r="M13">
            <v>-2934.8499999999958</v>
          </cell>
          <cell r="N13">
            <v>-18649.759999999995</v>
          </cell>
          <cell r="O13">
            <v>-22360.900000000016</v>
          </cell>
          <cell r="P13">
            <v>-7747.51</v>
          </cell>
          <cell r="Q13">
            <v>-8649.9999999999982</v>
          </cell>
          <cell r="AH13" t="str">
            <v xml:space="preserve"> - Capital expenditure</v>
          </cell>
          <cell r="AL13">
            <v>-1394.8400000000026</v>
          </cell>
          <cell r="AM13">
            <v>-2915.5499999999934</v>
          </cell>
          <cell r="AN13">
            <v>-6802.4900000000061</v>
          </cell>
          <cell r="AO13">
            <v>1986</v>
          </cell>
          <cell r="AP13">
            <v>-3997.5099999999902</v>
          </cell>
        </row>
        <row r="14">
          <cell r="A14" t="str">
            <v>Disposals</v>
          </cell>
          <cell r="B14" t="str">
            <v xml:space="preserve"> + Disposals</v>
          </cell>
          <cell r="G14">
            <v>0</v>
          </cell>
          <cell r="H14">
            <v>0</v>
          </cell>
          <cell r="I14">
            <v>0</v>
          </cell>
          <cell r="J14">
            <v>0</v>
          </cell>
          <cell r="K14">
            <v>0</v>
          </cell>
          <cell r="L14">
            <v>0</v>
          </cell>
          <cell r="M14">
            <v>0</v>
          </cell>
          <cell r="N14">
            <v>0</v>
          </cell>
          <cell r="O14">
            <v>0</v>
          </cell>
          <cell r="P14">
            <v>0</v>
          </cell>
          <cell r="Q14">
            <v>0</v>
          </cell>
          <cell r="AH14" t="str">
            <v xml:space="preserve"> + Disposals</v>
          </cell>
        </row>
        <row r="15">
          <cell r="A15" t="str">
            <v>ChInvestments</v>
          </cell>
          <cell r="B15" t="str">
            <v xml:space="preserve"> - New Investments</v>
          </cell>
          <cell r="G15">
            <v>-24.465000000000146</v>
          </cell>
          <cell r="H15">
            <v>-1260.3409999999994</v>
          </cell>
          <cell r="I15">
            <v>747.63999999999942</v>
          </cell>
          <cell r="J15">
            <v>-2496.3100000000004</v>
          </cell>
          <cell r="K15">
            <v>-460.09999999999945</v>
          </cell>
          <cell r="L15">
            <v>-657.67000000000098</v>
          </cell>
          <cell r="M15">
            <v>-11085.089999999997</v>
          </cell>
          <cell r="N15">
            <v>10688.409999999998</v>
          </cell>
          <cell r="O15">
            <v>538.59000000000015</v>
          </cell>
          <cell r="P15">
            <v>0</v>
          </cell>
          <cell r="Q15">
            <v>0</v>
          </cell>
          <cell r="AH15" t="str">
            <v xml:space="preserve"> - New Investments</v>
          </cell>
          <cell r="AL15">
            <v>-657.67000000000098</v>
          </cell>
          <cell r="AM15">
            <v>-11085.089999999997</v>
          </cell>
          <cell r="AN15">
            <v>545.70999999999731</v>
          </cell>
          <cell r="AO15">
            <v>1336.0000000000018</v>
          </cell>
          <cell r="AP15">
            <v>0</v>
          </cell>
          <cell r="AQ15">
            <v>1000</v>
          </cell>
          <cell r="AR15">
            <v>1000</v>
          </cell>
        </row>
        <row r="16">
          <cell r="AH16" t="str">
            <v>Others/Extraordinary items</v>
          </cell>
          <cell r="AO16">
            <v>-1636</v>
          </cell>
          <cell r="AP16">
            <v>0</v>
          </cell>
          <cell r="AQ16">
            <v>0</v>
          </cell>
          <cell r="AR16">
            <v>0</v>
          </cell>
        </row>
        <row r="17">
          <cell r="A17" t="str">
            <v>SurpCashflow</v>
          </cell>
          <cell r="B17" t="str">
            <v>Surplus cash flow</v>
          </cell>
          <cell r="G17">
            <v>758.98699999999917</v>
          </cell>
          <cell r="H17">
            <v>-1357.7329999999997</v>
          </cell>
          <cell r="I17">
            <v>-2372.1599999999989</v>
          </cell>
          <cell r="J17">
            <v>-1526.1700000000046</v>
          </cell>
          <cell r="K17">
            <v>3155.4999999999991</v>
          </cell>
          <cell r="L17">
            <v>4975.1799999999957</v>
          </cell>
          <cell r="M17">
            <v>-6661.2699999999932</v>
          </cell>
          <cell r="N17">
            <v>1663.0799999999963</v>
          </cell>
          <cell r="O17">
            <v>-18102.400000000016</v>
          </cell>
          <cell r="P17">
            <v>4311.1855160831965</v>
          </cell>
          <cell r="Q17">
            <v>7727.5301670855879</v>
          </cell>
          <cell r="AH17" t="str">
            <v>Surplus cash flow</v>
          </cell>
          <cell r="AL17">
            <v>5351.4199999999928</v>
          </cell>
          <cell r="AM17">
            <v>-6320.1399999999958</v>
          </cell>
          <cell r="AN17">
            <v>2341.7299999999932</v>
          </cell>
          <cell r="AO17">
            <v>8496.6686344594709</v>
          </cell>
          <cell r="AP17">
            <v>6553.9514597425778</v>
          </cell>
          <cell r="AQ17">
            <v>9868.158513187318</v>
          </cell>
          <cell r="AR17">
            <v>10653.585043436395</v>
          </cell>
        </row>
        <row r="18">
          <cell r="A18" t="str">
            <v>DividendsPaid</v>
          </cell>
          <cell r="B18" t="str">
            <v xml:space="preserve"> - Dividends paid</v>
          </cell>
          <cell r="G18">
            <v>-189</v>
          </cell>
          <cell r="H18">
            <v>-257.63</v>
          </cell>
          <cell r="I18">
            <v>-331.37</v>
          </cell>
          <cell r="J18">
            <v>-374.19499999999999</v>
          </cell>
          <cell r="K18">
            <v>-439.34999999999997</v>
          </cell>
          <cell r="L18">
            <v>-578.97</v>
          </cell>
          <cell r="M18">
            <v>-686.88</v>
          </cell>
          <cell r="N18">
            <v>-1898.8000000000002</v>
          </cell>
          <cell r="O18">
            <v>-1408.49</v>
          </cell>
          <cell r="P18">
            <v>-1560.3975</v>
          </cell>
          <cell r="Q18">
            <v>-1664.424</v>
          </cell>
          <cell r="AH18" t="str">
            <v xml:space="preserve"> - Dividends paid</v>
          </cell>
          <cell r="AL18">
            <v>-690.67000000000007</v>
          </cell>
          <cell r="AM18">
            <v>-984.74</v>
          </cell>
          <cell r="AN18">
            <v>-1005.21</v>
          </cell>
          <cell r="AO18">
            <v>-1248.75</v>
          </cell>
        </row>
        <row r="19">
          <cell r="A19" t="str">
            <v>NewEquity</v>
          </cell>
          <cell r="B19" t="str">
            <v xml:space="preserve"> + new equity issued</v>
          </cell>
          <cell r="G19">
            <v>3267.1270000000022</v>
          </cell>
          <cell r="H19">
            <v>667.44000000000369</v>
          </cell>
          <cell r="I19">
            <v>0</v>
          </cell>
          <cell r="J19">
            <v>0</v>
          </cell>
          <cell r="K19">
            <v>0</v>
          </cell>
          <cell r="L19">
            <v>0</v>
          </cell>
          <cell r="M19">
            <v>0</v>
          </cell>
          <cell r="N19">
            <v>0</v>
          </cell>
          <cell r="O19">
            <v>0</v>
          </cell>
          <cell r="P19">
            <v>0</v>
          </cell>
          <cell r="Q19">
            <v>0</v>
          </cell>
          <cell r="AH19" t="str">
            <v xml:space="preserve"> + new equity issued</v>
          </cell>
          <cell r="AL19">
            <v>0</v>
          </cell>
          <cell r="AM19">
            <v>0</v>
          </cell>
          <cell r="AN19">
            <v>-4.21</v>
          </cell>
          <cell r="AO19">
            <v>0</v>
          </cell>
          <cell r="AP19">
            <v>0</v>
          </cell>
          <cell r="AQ19">
            <v>0</v>
          </cell>
          <cell r="AR19">
            <v>0</v>
          </cell>
        </row>
        <row r="20">
          <cell r="A20" t="str">
            <v>ChNetDebt</v>
          </cell>
          <cell r="B20" t="str">
            <v>Decrease/(Increase) in net debt</v>
          </cell>
          <cell r="G20">
            <v>3837.1140000000014</v>
          </cell>
          <cell r="H20">
            <v>-947.92299999999614</v>
          </cell>
          <cell r="I20">
            <v>-2703.5299999999988</v>
          </cell>
          <cell r="J20">
            <v>-1900.3650000000046</v>
          </cell>
          <cell r="K20">
            <v>2716.1499999999992</v>
          </cell>
          <cell r="L20">
            <v>4396.2099999999955</v>
          </cell>
          <cell r="M20">
            <v>-7348.1499999999933</v>
          </cell>
          <cell r="N20">
            <v>-235.72000000000389</v>
          </cell>
          <cell r="O20">
            <v>-19510.890000000018</v>
          </cell>
          <cell r="P20">
            <v>2750.7880160831965</v>
          </cell>
          <cell r="Q20">
            <v>6063.1061670855879</v>
          </cell>
          <cell r="AH20" t="str">
            <v>Decrease/(Increase) in net debt</v>
          </cell>
          <cell r="AL20">
            <v>4660.7499999999927</v>
          </cell>
          <cell r="AM20">
            <v>-7304.8799999999956</v>
          </cell>
          <cell r="AN20">
            <v>1332.3099999999931</v>
          </cell>
          <cell r="AO20">
            <v>7247.9186344594709</v>
          </cell>
          <cell r="AP20">
            <v>5166.4514597425778</v>
          </cell>
        </row>
        <row r="24">
          <cell r="A24" t="str">
            <v>ChRevaluation</v>
          </cell>
          <cell r="B24" t="str">
            <v>Increase in revaluation reserve</v>
          </cell>
          <cell r="F24">
            <v>-691</v>
          </cell>
          <cell r="G24">
            <v>-691</v>
          </cell>
          <cell r="H24">
            <v>-691</v>
          </cell>
          <cell r="I24">
            <v>-690.39999999999964</v>
          </cell>
          <cell r="J24">
            <v>-704.60000000000036</v>
          </cell>
          <cell r="K24">
            <v>10872.1</v>
          </cell>
          <cell r="L24">
            <v>-1474.67</v>
          </cell>
          <cell r="M24">
            <v>-1473.4700000000012</v>
          </cell>
          <cell r="N24">
            <v>-1509.3799999999992</v>
          </cell>
          <cell r="AA24">
            <v>2400</v>
          </cell>
          <cell r="AB24" t="str">
            <v>Potlines</v>
          </cell>
        </row>
      </sheetData>
      <sheetData sheetId="17" refreshError="1">
        <row r="5">
          <cell r="A5" t="str">
            <v>RsUSDSpot</v>
          </cell>
          <cell r="B5" t="str">
            <v>Year end Rupees per USD</v>
          </cell>
          <cell r="G5">
            <v>1314.1475</v>
          </cell>
          <cell r="H5">
            <v>1548.9030000000002</v>
          </cell>
          <cell r="I5">
            <v>36</v>
          </cell>
          <cell r="J5">
            <v>39.5</v>
          </cell>
          <cell r="K5">
            <v>45.5</v>
          </cell>
          <cell r="L5">
            <v>43.6</v>
          </cell>
          <cell r="M5">
            <v>47.5</v>
          </cell>
          <cell r="N5">
            <v>49.5</v>
          </cell>
          <cell r="O5">
            <v>47.47</v>
          </cell>
          <cell r="P5">
            <v>44.75</v>
          </cell>
          <cell r="Q5">
            <v>44</v>
          </cell>
          <cell r="R5">
            <v>44</v>
          </cell>
        </row>
        <row r="6">
          <cell r="A6" t="str">
            <v>RsUSD12MMA</v>
          </cell>
          <cell r="B6" t="str">
            <v>12MMA Rupees per USD</v>
          </cell>
          <cell r="F6">
            <v>31.21</v>
          </cell>
          <cell r="G6">
            <v>31.21</v>
          </cell>
          <cell r="H6">
            <v>33.17</v>
          </cell>
          <cell r="I6">
            <v>35.5</v>
          </cell>
          <cell r="J6">
            <v>37.200000000000003</v>
          </cell>
          <cell r="K6">
            <v>42.09</v>
          </cell>
          <cell r="L6">
            <v>43.31</v>
          </cell>
          <cell r="M6">
            <v>45.6</v>
          </cell>
          <cell r="N6">
            <v>47.67</v>
          </cell>
          <cell r="O6">
            <v>48.396000000000001</v>
          </cell>
          <cell r="P6">
            <v>45.85</v>
          </cell>
          <cell r="Q6">
            <v>44.38</v>
          </cell>
          <cell r="R6">
            <v>44</v>
          </cell>
          <cell r="T6">
            <v>48.94</v>
          </cell>
        </row>
        <row r="8">
          <cell r="A8" t="str">
            <v>LME12MMA</v>
          </cell>
          <cell r="B8" t="str">
            <v>LME average price (US$/tonne)</v>
          </cell>
          <cell r="F8">
            <v>1147</v>
          </cell>
          <cell r="G8">
            <v>1650</v>
          </cell>
          <cell r="H8">
            <v>1722</v>
          </cell>
          <cell r="I8">
            <v>1550</v>
          </cell>
          <cell r="J8">
            <v>1600</v>
          </cell>
          <cell r="K8">
            <v>1294</v>
          </cell>
          <cell r="L8">
            <v>1473</v>
          </cell>
          <cell r="M8">
            <v>1533</v>
          </cell>
          <cell r="N8">
            <v>1395</v>
          </cell>
          <cell r="O8">
            <v>1354</v>
          </cell>
          <cell r="P8">
            <v>1470</v>
          </cell>
          <cell r="Q8">
            <v>1600</v>
          </cell>
          <cell r="R8">
            <v>1550</v>
          </cell>
          <cell r="T8">
            <v>1350</v>
          </cell>
        </row>
        <row r="24">
          <cell r="A24" t="str">
            <v>ProdAl2O3</v>
          </cell>
          <cell r="B24" t="str">
            <v>Alumina production (tonnes)</v>
          </cell>
          <cell r="F24">
            <v>315723</v>
          </cell>
          <cell r="G24">
            <v>319873</v>
          </cell>
          <cell r="H24">
            <v>341031</v>
          </cell>
          <cell r="I24">
            <v>339290</v>
          </cell>
          <cell r="J24">
            <v>365951</v>
          </cell>
          <cell r="K24">
            <v>427706</v>
          </cell>
          <cell r="L24">
            <v>453305</v>
          </cell>
          <cell r="M24">
            <v>476700</v>
          </cell>
          <cell r="N24">
            <v>494724</v>
          </cell>
          <cell r="O24">
            <v>501270</v>
          </cell>
          <cell r="P24">
            <v>640000</v>
          </cell>
          <cell r="Q24">
            <v>670000</v>
          </cell>
          <cell r="R24">
            <v>690000</v>
          </cell>
        </row>
        <row r="25">
          <cell r="A25" t="str">
            <v>Al2O3</v>
          </cell>
          <cell r="B25" t="str">
            <v>Total alumina requirement</v>
          </cell>
          <cell r="J25">
            <v>387152</v>
          </cell>
          <cell r="K25">
            <v>478301</v>
          </cell>
          <cell r="L25">
            <v>490371</v>
          </cell>
          <cell r="M25">
            <v>500518.99999999994</v>
          </cell>
          <cell r="N25">
            <v>517500.99009900988</v>
          </cell>
          <cell r="O25">
            <v>523209.80392156861</v>
          </cell>
          <cell r="P25">
            <v>656862.74509803916</v>
          </cell>
          <cell r="Q25">
            <v>705882.3529411765</v>
          </cell>
          <cell r="R25">
            <v>735294.1176470588</v>
          </cell>
        </row>
        <row r="27">
          <cell r="A27" t="str">
            <v>CapAl</v>
          </cell>
          <cell r="B27" t="str">
            <v>Aluminium metal capacity (tonnes)</v>
          </cell>
          <cell r="F27">
            <v>150000</v>
          </cell>
          <cell r="G27">
            <v>170000</v>
          </cell>
          <cell r="H27">
            <v>190000</v>
          </cell>
          <cell r="I27">
            <v>210000</v>
          </cell>
          <cell r="J27">
            <v>242000</v>
          </cell>
          <cell r="K27">
            <v>242000</v>
          </cell>
          <cell r="L27">
            <v>242000</v>
          </cell>
          <cell r="M27">
            <v>242000</v>
          </cell>
          <cell r="N27">
            <v>277000</v>
          </cell>
          <cell r="O27">
            <v>310000</v>
          </cell>
          <cell r="P27">
            <v>342000</v>
          </cell>
          <cell r="Q27">
            <v>360000</v>
          </cell>
          <cell r="R27">
            <v>360000</v>
          </cell>
        </row>
        <row r="29">
          <cell r="A29" t="str">
            <v>ProdAl</v>
          </cell>
          <cell r="B29" t="str">
            <v>Al metal production (tonnes)</v>
          </cell>
          <cell r="F29">
            <v>155761</v>
          </cell>
          <cell r="G29">
            <v>164280</v>
          </cell>
          <cell r="H29">
            <v>175398</v>
          </cell>
          <cell r="I29">
            <v>166272</v>
          </cell>
          <cell r="J29">
            <v>200304</v>
          </cell>
          <cell r="K29">
            <v>240926</v>
          </cell>
          <cell r="L29">
            <v>248930</v>
          </cell>
          <cell r="M29">
            <v>251492</v>
          </cell>
          <cell r="N29">
            <v>261338</v>
          </cell>
          <cell r="O29">
            <v>266837</v>
          </cell>
          <cell r="P29">
            <v>335000</v>
          </cell>
          <cell r="Q29">
            <v>360000</v>
          </cell>
          <cell r="R29">
            <v>375000</v>
          </cell>
        </row>
        <row r="33">
          <cell r="A33" t="str">
            <v>VolIngots</v>
          </cell>
          <cell r="B33" t="str">
            <v>Ingots</v>
          </cell>
        </row>
        <row r="34">
          <cell r="A34" t="str">
            <v>VolBillets</v>
          </cell>
          <cell r="B34" t="str">
            <v>Billets</v>
          </cell>
        </row>
        <row r="38">
          <cell r="A38" t="str">
            <v>VolMetal</v>
          </cell>
          <cell r="B38" t="str">
            <v>Sales (MT)</v>
          </cell>
          <cell r="F38">
            <v>71210</v>
          </cell>
          <cell r="G38">
            <v>66982</v>
          </cell>
          <cell r="H38">
            <v>81454</v>
          </cell>
          <cell r="I38">
            <v>92329</v>
          </cell>
          <cell r="J38">
            <v>96506</v>
          </cell>
          <cell r="K38">
            <v>112367</v>
          </cell>
          <cell r="L38">
            <v>122190</v>
          </cell>
          <cell r="M38">
            <v>119000</v>
          </cell>
          <cell r="N38">
            <v>109894</v>
          </cell>
          <cell r="O38">
            <v>113993</v>
          </cell>
          <cell r="P38">
            <v>178009.66666666669</v>
          </cell>
          <cell r="Q38">
            <v>190643</v>
          </cell>
          <cell r="R38">
            <v>199143</v>
          </cell>
        </row>
        <row r="48">
          <cell r="A48" t="str">
            <v>AvPxMetal</v>
          </cell>
          <cell r="B48" t="str">
            <v>Avg Realisation per tonne (Rs)</v>
          </cell>
          <cell r="F48">
            <v>52899.873613256561</v>
          </cell>
          <cell r="G48">
            <v>62837.777313308055</v>
          </cell>
          <cell r="H48">
            <v>73986.544552753709</v>
          </cell>
          <cell r="I48">
            <v>69552.469971514918</v>
          </cell>
          <cell r="J48">
            <v>77326.280231280951</v>
          </cell>
          <cell r="K48">
            <v>79811.688485053441</v>
          </cell>
          <cell r="L48">
            <v>81782.715443162291</v>
          </cell>
          <cell r="M48">
            <v>90550.084033613442</v>
          </cell>
          <cell r="N48">
            <v>88497.46118987388</v>
          </cell>
          <cell r="O48">
            <v>88096.198889405496</v>
          </cell>
          <cell r="P48">
            <v>83049.984139438122</v>
          </cell>
          <cell r="Q48">
            <v>85803.727595558186</v>
          </cell>
          <cell r="R48">
            <v>81056.591293693476</v>
          </cell>
          <cell r="U48">
            <v>0.17799159808352472</v>
          </cell>
          <cell r="V48">
            <v>79310.853530031614</v>
          </cell>
          <cell r="W48">
            <v>67327.180990987108</v>
          </cell>
        </row>
        <row r="52">
          <cell r="A52" t="str">
            <v>gSalesMetal</v>
          </cell>
          <cell r="B52" t="str">
            <v>Aluminium ingot sales (Rsm)</v>
          </cell>
          <cell r="F52">
            <v>3767</v>
          </cell>
          <cell r="G52">
            <v>4209</v>
          </cell>
          <cell r="H52">
            <v>6026.5</v>
          </cell>
          <cell r="I52">
            <v>6421.71</v>
          </cell>
          <cell r="J52">
            <v>7462.45</v>
          </cell>
          <cell r="K52">
            <v>8968.2000000000007</v>
          </cell>
          <cell r="L52">
            <v>9993.0300000000007</v>
          </cell>
          <cell r="M52">
            <v>10775.46</v>
          </cell>
          <cell r="N52">
            <v>9725.34</v>
          </cell>
          <cell r="O52">
            <v>10042.35</v>
          </cell>
          <cell r="P52">
            <v>14783.699993333334</v>
          </cell>
          <cell r="Q52">
            <v>16357.88004</v>
          </cell>
          <cell r="R52">
            <v>16141.85276</v>
          </cell>
          <cell r="U52">
            <v>0.10768867107354718</v>
          </cell>
          <cell r="V52">
            <v>89735.651721241331</v>
          </cell>
          <cell r="W52">
            <v>81011.618214233007</v>
          </cell>
        </row>
        <row r="55">
          <cell r="A55" t="str">
            <v>CapRolled</v>
          </cell>
          <cell r="B55" t="str">
            <v>Capacity (MT)</v>
          </cell>
          <cell r="F55">
            <v>45000</v>
          </cell>
          <cell r="G55">
            <v>45000</v>
          </cell>
          <cell r="H55">
            <v>45000</v>
          </cell>
          <cell r="I55">
            <v>80000</v>
          </cell>
          <cell r="J55">
            <v>80000</v>
          </cell>
          <cell r="K55">
            <v>80000</v>
          </cell>
          <cell r="L55">
            <v>80000</v>
          </cell>
          <cell r="M55">
            <v>80000</v>
          </cell>
          <cell r="N55">
            <v>80000</v>
          </cell>
          <cell r="O55">
            <v>80000</v>
          </cell>
          <cell r="P55">
            <v>80000</v>
          </cell>
          <cell r="Q55">
            <v>80000</v>
          </cell>
          <cell r="R55">
            <v>80000</v>
          </cell>
        </row>
        <row r="57">
          <cell r="A57" t="str">
            <v>ProdRolled</v>
          </cell>
          <cell r="B57" t="str">
            <v>Rolling production (tonnes)</v>
          </cell>
          <cell r="F57">
            <v>30740</v>
          </cell>
          <cell r="G57">
            <v>38202</v>
          </cell>
          <cell r="H57">
            <v>31378</v>
          </cell>
          <cell r="I57">
            <v>18302</v>
          </cell>
          <cell r="J57">
            <v>34193</v>
          </cell>
          <cell r="K57">
            <v>44668</v>
          </cell>
          <cell r="L57">
            <v>58594</v>
          </cell>
          <cell r="M57">
            <v>62811</v>
          </cell>
          <cell r="N57">
            <v>70113</v>
          </cell>
          <cell r="O57">
            <v>73171</v>
          </cell>
          <cell r="P57">
            <v>76228.399999999994</v>
          </cell>
          <cell r="Q57">
            <v>80428.399999999994</v>
          </cell>
          <cell r="R57">
            <v>83628.399999999994</v>
          </cell>
          <cell r="U57" t="str">
            <v>Domestic</v>
          </cell>
          <cell r="V57">
            <v>39600</v>
          </cell>
          <cell r="W57">
            <v>35244</v>
          </cell>
          <cell r="X57">
            <v>-0.11</v>
          </cell>
        </row>
        <row r="63">
          <cell r="A63" t="str">
            <v>VolRolled</v>
          </cell>
          <cell r="B63" t="str">
            <v>Sales (MT)</v>
          </cell>
          <cell r="F63">
            <v>30055</v>
          </cell>
          <cell r="G63">
            <v>36834</v>
          </cell>
          <cell r="H63">
            <v>31794</v>
          </cell>
          <cell r="I63">
            <v>18980</v>
          </cell>
          <cell r="J63">
            <v>32954</v>
          </cell>
          <cell r="K63">
            <v>41439</v>
          </cell>
          <cell r="L63">
            <v>48722</v>
          </cell>
          <cell r="M63">
            <v>47524</v>
          </cell>
          <cell r="N63">
            <v>49017</v>
          </cell>
          <cell r="O63">
            <v>51343</v>
          </cell>
          <cell r="P63">
            <v>53000</v>
          </cell>
          <cell r="Q63">
            <v>56000</v>
          </cell>
          <cell r="R63">
            <v>58000</v>
          </cell>
        </row>
        <row r="72">
          <cell r="A72" t="str">
            <v>AvPxRolled</v>
          </cell>
          <cell r="B72" t="str">
            <v>Avg realisation per tonne (Rs)</v>
          </cell>
          <cell r="F72">
            <v>74896.023956080506</v>
          </cell>
          <cell r="G72">
            <v>83917.033175870121</v>
          </cell>
          <cell r="H72">
            <v>96177.580675599165</v>
          </cell>
          <cell r="I72">
            <v>94963.645943098003</v>
          </cell>
          <cell r="J72">
            <v>97452.813012077429</v>
          </cell>
          <cell r="K72">
            <v>99714.761456598848</v>
          </cell>
          <cell r="L72">
            <v>103712.2860309511</v>
          </cell>
          <cell r="M72">
            <v>111978.36882417304</v>
          </cell>
          <cell r="N72">
            <v>115443.41758981577</v>
          </cell>
          <cell r="O72">
            <v>108726.21389478604</v>
          </cell>
          <cell r="P72">
            <v>111279.7138030489</v>
          </cell>
          <cell r="Q72">
            <v>113052.90590078775</v>
          </cell>
          <cell r="R72">
            <v>107898.8996531961</v>
          </cell>
        </row>
        <row r="75">
          <cell r="A75" t="str">
            <v>gSalesRolled</v>
          </cell>
          <cell r="B75" t="str">
            <v>Rolled products sales (Rsm)</v>
          </cell>
          <cell r="F75">
            <v>2251</v>
          </cell>
          <cell r="G75">
            <v>3091</v>
          </cell>
          <cell r="H75">
            <v>3057.87</v>
          </cell>
          <cell r="I75">
            <v>1802.41</v>
          </cell>
          <cell r="J75">
            <v>3211.46</v>
          </cell>
          <cell r="K75">
            <v>4132.08</v>
          </cell>
          <cell r="L75">
            <v>5053.07</v>
          </cell>
          <cell r="M75">
            <v>5321.66</v>
          </cell>
          <cell r="N75">
            <v>5658.69</v>
          </cell>
          <cell r="O75">
            <v>5582.33</v>
          </cell>
          <cell r="P75">
            <v>5897.824831561592</v>
          </cell>
          <cell r="Q75">
            <v>6330.9627304441137</v>
          </cell>
          <cell r="R75">
            <v>6258.1361798853741</v>
          </cell>
        </row>
        <row r="78">
          <cell r="A78" t="str">
            <v>CapExtrusion</v>
          </cell>
          <cell r="B78" t="str">
            <v>Capacity (MT)</v>
          </cell>
          <cell r="F78">
            <v>10400</v>
          </cell>
          <cell r="G78">
            <v>10400</v>
          </cell>
          <cell r="H78">
            <v>10400</v>
          </cell>
          <cell r="I78">
            <v>10400</v>
          </cell>
          <cell r="J78">
            <v>13700</v>
          </cell>
          <cell r="K78">
            <v>13700</v>
          </cell>
          <cell r="L78">
            <v>13700</v>
          </cell>
          <cell r="M78">
            <v>13700</v>
          </cell>
          <cell r="N78">
            <v>13700</v>
          </cell>
          <cell r="O78">
            <v>13700</v>
          </cell>
          <cell r="P78">
            <v>13700</v>
          </cell>
          <cell r="Q78">
            <v>13700</v>
          </cell>
          <cell r="R78">
            <v>13700</v>
          </cell>
        </row>
        <row r="80">
          <cell r="A80" t="str">
            <v>ProdExtrusion</v>
          </cell>
          <cell r="B80" t="str">
            <v>Extrusion production (tonnes)</v>
          </cell>
          <cell r="F80">
            <v>9807</v>
          </cell>
          <cell r="G80">
            <v>11416</v>
          </cell>
          <cell r="H80">
            <v>12589</v>
          </cell>
          <cell r="I80">
            <v>11798</v>
          </cell>
          <cell r="J80">
            <v>12389</v>
          </cell>
          <cell r="K80">
            <v>11995</v>
          </cell>
          <cell r="L80">
            <v>14959</v>
          </cell>
          <cell r="M80">
            <v>18602</v>
          </cell>
          <cell r="N80">
            <v>16250</v>
          </cell>
          <cell r="O80">
            <v>18973</v>
          </cell>
          <cell r="P80">
            <v>19500</v>
          </cell>
          <cell r="Q80">
            <v>20000</v>
          </cell>
          <cell r="R80">
            <v>21500</v>
          </cell>
        </row>
        <row r="82">
          <cell r="A82" t="str">
            <v>VolExtrusion</v>
          </cell>
          <cell r="B82" t="str">
            <v>Extrusion sales (tonnes)</v>
          </cell>
          <cell r="F82">
            <v>9638</v>
          </cell>
          <cell r="G82">
            <v>11093</v>
          </cell>
          <cell r="H82">
            <v>12517</v>
          </cell>
          <cell r="I82">
            <v>11854</v>
          </cell>
          <cell r="J82">
            <v>12503</v>
          </cell>
          <cell r="K82">
            <v>11664</v>
          </cell>
          <cell r="L82">
            <v>15257</v>
          </cell>
          <cell r="M82">
            <v>18594</v>
          </cell>
          <cell r="N82">
            <v>16119</v>
          </cell>
          <cell r="O82">
            <v>19001</v>
          </cell>
          <cell r="P82">
            <v>19500</v>
          </cell>
          <cell r="Q82">
            <v>20000</v>
          </cell>
          <cell r="R82">
            <v>21500</v>
          </cell>
        </row>
        <row r="86">
          <cell r="A86" t="str">
            <v>AvPxExtrusion</v>
          </cell>
          <cell r="B86" t="str">
            <v>Selling price per tonne (Rs)</v>
          </cell>
          <cell r="F86">
            <v>72629.176177630216</v>
          </cell>
          <cell r="G86">
            <v>84828.270080230781</v>
          </cell>
          <cell r="H86">
            <v>103046.25709035712</v>
          </cell>
          <cell r="I86">
            <v>104115.91024126878</v>
          </cell>
          <cell r="J86">
            <v>105163.56074542108</v>
          </cell>
          <cell r="K86">
            <v>104621.91358024691</v>
          </cell>
          <cell r="L86">
            <v>106450.15402765943</v>
          </cell>
          <cell r="M86">
            <v>115164.03140798108</v>
          </cell>
          <cell r="N86">
            <v>115251.56647434704</v>
          </cell>
          <cell r="O86">
            <v>116371.24361875691</v>
          </cell>
          <cell r="P86">
            <v>114144</v>
          </cell>
          <cell r="Q86">
            <v>115536</v>
          </cell>
          <cell r="R86">
            <v>107184</v>
          </cell>
        </row>
        <row r="89">
          <cell r="A89" t="str">
            <v>gSalesExtrusion</v>
          </cell>
          <cell r="B89" t="str">
            <v>Extrusion sales (Rsm)</v>
          </cell>
          <cell r="F89">
            <v>700</v>
          </cell>
          <cell r="G89">
            <v>941</v>
          </cell>
          <cell r="H89">
            <v>1289.83</v>
          </cell>
          <cell r="I89">
            <v>1234.19</v>
          </cell>
          <cell r="J89">
            <v>1314.86</v>
          </cell>
          <cell r="K89">
            <v>1220.31</v>
          </cell>
          <cell r="L89">
            <v>1624.11</v>
          </cell>
          <cell r="M89">
            <v>2141.36</v>
          </cell>
          <cell r="N89">
            <v>1857.74</v>
          </cell>
          <cell r="O89">
            <v>2211.17</v>
          </cell>
          <cell r="P89">
            <v>2225.808</v>
          </cell>
          <cell r="Q89">
            <v>2310.7199999999998</v>
          </cell>
          <cell r="R89">
            <v>2304.4560000000001</v>
          </cell>
        </row>
        <row r="92">
          <cell r="A92" t="str">
            <v>CapRods</v>
          </cell>
          <cell r="B92" t="str">
            <v>Capacity (MT)</v>
          </cell>
          <cell r="F92">
            <v>40000</v>
          </cell>
          <cell r="G92">
            <v>40000</v>
          </cell>
          <cell r="H92">
            <v>40000</v>
          </cell>
          <cell r="I92">
            <v>40000</v>
          </cell>
          <cell r="J92">
            <v>40000</v>
          </cell>
          <cell r="K92">
            <v>40000</v>
          </cell>
          <cell r="L92">
            <v>40000</v>
          </cell>
          <cell r="M92">
            <v>40000</v>
          </cell>
          <cell r="N92">
            <v>40000</v>
          </cell>
          <cell r="O92">
            <v>40000</v>
          </cell>
          <cell r="P92">
            <v>40000</v>
          </cell>
          <cell r="Q92">
            <v>40000</v>
          </cell>
          <cell r="R92">
            <v>40000</v>
          </cell>
        </row>
        <row r="94">
          <cell r="A94" t="str">
            <v>ProdRods</v>
          </cell>
          <cell r="B94" t="str">
            <v>Conductor redraw rods production (tonnes)</v>
          </cell>
          <cell r="F94">
            <v>40225</v>
          </cell>
          <cell r="G94">
            <v>44454</v>
          </cell>
          <cell r="H94">
            <v>45865</v>
          </cell>
          <cell r="I94">
            <v>42704</v>
          </cell>
          <cell r="J94">
            <v>45482</v>
          </cell>
          <cell r="K94">
            <v>51197</v>
          </cell>
          <cell r="L94">
            <v>49018</v>
          </cell>
          <cell r="M94">
            <v>43946</v>
          </cell>
          <cell r="N94">
            <v>52203</v>
          </cell>
          <cell r="O94">
            <v>50789</v>
          </cell>
          <cell r="P94">
            <v>56000</v>
          </cell>
          <cell r="Q94">
            <v>58000</v>
          </cell>
          <cell r="R94">
            <v>58000</v>
          </cell>
        </row>
        <row r="96">
          <cell r="A96" t="str">
            <v>VolRods</v>
          </cell>
          <cell r="B96" t="str">
            <v>Conductor redraw rod sales (tonnes)</v>
          </cell>
          <cell r="F96">
            <v>40141</v>
          </cell>
          <cell r="G96">
            <v>43333</v>
          </cell>
          <cell r="H96">
            <v>54786</v>
          </cell>
          <cell r="I96">
            <v>54431</v>
          </cell>
          <cell r="J96">
            <v>46024</v>
          </cell>
          <cell r="K96">
            <v>51031</v>
          </cell>
          <cell r="L96">
            <v>48311</v>
          </cell>
          <cell r="M96">
            <v>44151</v>
          </cell>
          <cell r="N96">
            <v>52537</v>
          </cell>
          <cell r="O96">
            <v>50268</v>
          </cell>
          <cell r="P96">
            <v>56000</v>
          </cell>
          <cell r="Q96">
            <v>59000</v>
          </cell>
          <cell r="R96">
            <v>61000</v>
          </cell>
        </row>
        <row r="105">
          <cell r="A105" t="str">
            <v>AvPxRods</v>
          </cell>
          <cell r="B105" t="str">
            <v>Selling price per tonne (Rs)</v>
          </cell>
          <cell r="F105">
            <v>57273.112279215762</v>
          </cell>
          <cell r="G105">
            <v>68169.755151962701</v>
          </cell>
          <cell r="H105">
            <v>67805.278720841088</v>
          </cell>
          <cell r="I105">
            <v>61322.959343021445</v>
          </cell>
          <cell r="J105">
            <v>83626.586128976181</v>
          </cell>
          <cell r="K105">
            <v>86936.567968489733</v>
          </cell>
          <cell r="L105">
            <v>91588.044130736278</v>
          </cell>
          <cell r="M105">
            <v>98635.817988267532</v>
          </cell>
          <cell r="N105">
            <v>98912.004872756341</v>
          </cell>
          <cell r="O105">
            <v>96332.656958701351</v>
          </cell>
          <cell r="P105">
            <v>97010.872321428556</v>
          </cell>
          <cell r="Q105">
            <v>97945.215254237293</v>
          </cell>
          <cell r="R105">
            <v>91308.196721311484</v>
          </cell>
        </row>
        <row r="108">
          <cell r="A108" t="str">
            <v>gSalesRods</v>
          </cell>
          <cell r="B108" t="str">
            <v>Conductor redraw rods sales (Rsm)</v>
          </cell>
          <cell r="F108">
            <v>2299</v>
          </cell>
          <cell r="G108">
            <v>2954</v>
          </cell>
          <cell r="H108">
            <v>3714.7799999999997</v>
          </cell>
          <cell r="I108">
            <v>3337.87</v>
          </cell>
          <cell r="J108">
            <v>3848.83</v>
          </cell>
          <cell r="K108">
            <v>4436.46</v>
          </cell>
          <cell r="L108">
            <v>4424.71</v>
          </cell>
          <cell r="M108">
            <v>4354.87</v>
          </cell>
          <cell r="N108">
            <v>5196.54</v>
          </cell>
          <cell r="O108">
            <v>4842.45</v>
          </cell>
          <cell r="P108">
            <v>5432.6088499999996</v>
          </cell>
          <cell r="Q108">
            <v>5778.7677000000003</v>
          </cell>
          <cell r="R108">
            <v>5569.8</v>
          </cell>
        </row>
        <row r="111">
          <cell r="A111" t="str">
            <v>CapFoil</v>
          </cell>
          <cell r="B111" t="str">
            <v>Capacity (MT)</v>
          </cell>
          <cell r="J111">
            <v>5000</v>
          </cell>
          <cell r="K111">
            <v>5000</v>
          </cell>
          <cell r="L111">
            <v>5000</v>
          </cell>
          <cell r="M111">
            <v>5000</v>
          </cell>
          <cell r="N111">
            <v>5000</v>
          </cell>
          <cell r="O111">
            <v>5000</v>
          </cell>
          <cell r="P111">
            <v>5000</v>
          </cell>
          <cell r="Q111">
            <v>5000</v>
          </cell>
          <cell r="R111">
            <v>5000</v>
          </cell>
        </row>
        <row r="113">
          <cell r="A113" t="str">
            <v>ProdFoil</v>
          </cell>
          <cell r="B113" t="str">
            <v>Al foil plant production (tonnes)</v>
          </cell>
          <cell r="J113">
            <v>26</v>
          </cell>
          <cell r="K113">
            <v>1551</v>
          </cell>
          <cell r="L113">
            <v>7537</v>
          </cell>
          <cell r="M113">
            <v>12756</v>
          </cell>
          <cell r="N113">
            <v>17209</v>
          </cell>
          <cell r="O113">
            <v>19235</v>
          </cell>
          <cell r="P113">
            <v>19357</v>
          </cell>
          <cell r="Q113">
            <v>20357</v>
          </cell>
          <cell r="R113">
            <v>21357</v>
          </cell>
        </row>
        <row r="115">
          <cell r="A115" t="str">
            <v>VolFoil</v>
          </cell>
          <cell r="B115" t="str">
            <v>Aluminium foil sales (tonnes)</v>
          </cell>
          <cell r="J115">
            <v>25</v>
          </cell>
          <cell r="K115">
            <v>1505</v>
          </cell>
          <cell r="L115">
            <v>7314</v>
          </cell>
          <cell r="M115">
            <v>12404</v>
          </cell>
          <cell r="N115">
            <v>16857</v>
          </cell>
          <cell r="O115">
            <v>19243</v>
          </cell>
          <cell r="P115">
            <v>19357</v>
          </cell>
          <cell r="Q115">
            <v>20357</v>
          </cell>
          <cell r="R115">
            <v>21357</v>
          </cell>
        </row>
        <row r="119">
          <cell r="A119" t="str">
            <v>AvPxFoil</v>
          </cell>
          <cell r="B119" t="str">
            <v>Selling price per tonne (Rs)</v>
          </cell>
          <cell r="J119">
            <v>112800</v>
          </cell>
          <cell r="K119">
            <v>131262.45847176079</v>
          </cell>
          <cell r="L119">
            <v>133902.10555099809</v>
          </cell>
          <cell r="M119">
            <v>156109.31957433088</v>
          </cell>
          <cell r="N119">
            <v>153603.84410037374</v>
          </cell>
          <cell r="O119">
            <v>153245.85563581562</v>
          </cell>
          <cell r="P119">
            <v>156245.85563581562</v>
          </cell>
          <cell r="Q119">
            <v>159245.85563581562</v>
          </cell>
          <cell r="R119">
            <v>162245.85563581562</v>
          </cell>
        </row>
        <row r="122">
          <cell r="A122" t="str">
            <v>gSalesFoil</v>
          </cell>
          <cell r="B122" t="str">
            <v>Aluminium foil plant sales (Rsm)</v>
          </cell>
          <cell r="J122">
            <v>2.82</v>
          </cell>
          <cell r="K122">
            <v>197.55</v>
          </cell>
          <cell r="L122">
            <v>979.36</v>
          </cell>
          <cell r="M122">
            <v>1936.38</v>
          </cell>
          <cell r="N122">
            <v>2589.3000000000002</v>
          </cell>
          <cell r="O122">
            <v>2948.91</v>
          </cell>
          <cell r="P122">
            <v>3024.4510275424827</v>
          </cell>
          <cell r="Q122">
            <v>3241.7678831782987</v>
          </cell>
          <cell r="R122">
            <v>3465.0847388141142</v>
          </cell>
        </row>
        <row r="135">
          <cell r="A135" t="str">
            <v>Aluwheels</v>
          </cell>
          <cell r="B135" t="str">
            <v>Alumininium alloy wheels sales (Rsm)</v>
          </cell>
          <cell r="L135">
            <v>3.88</v>
          </cell>
          <cell r="M135">
            <v>22.17</v>
          </cell>
          <cell r="N135">
            <v>29.06</v>
          </cell>
          <cell r="O135">
            <v>107.08</v>
          </cell>
          <cell r="P135">
            <v>185.6</v>
          </cell>
          <cell r="Q135">
            <v>680.4</v>
          </cell>
          <cell r="R135">
            <v>712.8</v>
          </cell>
        </row>
        <row r="138">
          <cell r="A138" t="str">
            <v>VolConversion</v>
          </cell>
          <cell r="B138" t="str">
            <v>Volume (MT)</v>
          </cell>
          <cell r="I138">
            <v>2685</v>
          </cell>
          <cell r="J138">
            <v>10336</v>
          </cell>
          <cell r="K138">
            <v>13040</v>
          </cell>
          <cell r="L138">
            <v>8932</v>
          </cell>
          <cell r="M138">
            <v>11164</v>
          </cell>
          <cell r="N138">
            <v>14162</v>
          </cell>
          <cell r="O138">
            <v>7721</v>
          </cell>
          <cell r="P138">
            <v>8599.9999999999709</v>
          </cell>
          <cell r="Q138">
            <v>13000</v>
          </cell>
          <cell r="R138">
            <v>13000</v>
          </cell>
        </row>
        <row r="139">
          <cell r="A139" t="str">
            <v>AvPxConversion</v>
          </cell>
          <cell r="B139" t="str">
            <v>Fee per tonne (Rs)</v>
          </cell>
          <cell r="I139">
            <v>53523.27746741155</v>
          </cell>
          <cell r="J139">
            <v>58445.2399380805</v>
          </cell>
          <cell r="K139">
            <v>60098.926380368095</v>
          </cell>
          <cell r="L139">
            <v>62029.780564263325</v>
          </cell>
          <cell r="M139">
            <v>67878.000716589042</v>
          </cell>
          <cell r="N139">
            <v>71861.319022736905</v>
          </cell>
          <cell r="O139">
            <v>76455.122393472353</v>
          </cell>
          <cell r="P139">
            <v>71303.418811476105</v>
          </cell>
          <cell r="Q139">
            <v>72172.97269942092</v>
          </cell>
          <cell r="R139">
            <v>66955.649371751948</v>
          </cell>
        </row>
        <row r="142">
          <cell r="A142" t="str">
            <v>gSalesConversion</v>
          </cell>
          <cell r="B142" t="str">
            <v>Conversion/Tolling sales (Rsm)</v>
          </cell>
          <cell r="I142">
            <v>143.71</v>
          </cell>
          <cell r="J142">
            <v>604.09</v>
          </cell>
          <cell r="K142">
            <v>783.69</v>
          </cell>
          <cell r="L142">
            <v>554.04999999999995</v>
          </cell>
          <cell r="M142">
            <v>757.79</v>
          </cell>
          <cell r="N142">
            <v>1017.7</v>
          </cell>
          <cell r="O142">
            <v>590.30999999999995</v>
          </cell>
          <cell r="P142">
            <v>613.2094017786925</v>
          </cell>
          <cell r="Q142">
            <v>938.24864509247197</v>
          </cell>
          <cell r="R142">
            <v>870.42344183277532</v>
          </cell>
        </row>
        <row r="147">
          <cell r="A147" t="str">
            <v>VolAl</v>
          </cell>
          <cell r="B147" t="str">
            <v>Total Al product sales (tonnes)</v>
          </cell>
          <cell r="F147">
            <v>151044</v>
          </cell>
          <cell r="G147">
            <v>158242</v>
          </cell>
          <cell r="H147">
            <v>180551</v>
          </cell>
          <cell r="I147">
            <v>180279</v>
          </cell>
          <cell r="J147">
            <v>198348</v>
          </cell>
          <cell r="K147">
            <v>231046</v>
          </cell>
          <cell r="L147">
            <v>250728</v>
          </cell>
          <cell r="M147">
            <v>252939</v>
          </cell>
          <cell r="N147">
            <v>258706.50666666665</v>
          </cell>
          <cell r="O147">
            <v>261920.90666666668</v>
          </cell>
          <cell r="P147">
            <v>334999.99999999994</v>
          </cell>
          <cell r="Q147">
            <v>360000</v>
          </cell>
          <cell r="R147">
            <v>375000</v>
          </cell>
        </row>
        <row r="149">
          <cell r="A149" t="str">
            <v>AvPxAlu</v>
          </cell>
          <cell r="B149" t="str">
            <v>Av selling price per tonne (Rs)</v>
          </cell>
          <cell r="F149">
            <v>59697.836392044701</v>
          </cell>
          <cell r="G149">
            <v>70746.072471278167</v>
          </cell>
          <cell r="H149">
            <v>78033.24268489235</v>
          </cell>
          <cell r="I149">
            <v>71777.023391520925</v>
          </cell>
          <cell r="J149">
            <v>82907.364833524916</v>
          </cell>
          <cell r="K149">
            <v>85430.130796464757</v>
          </cell>
          <cell r="L149">
            <v>90265.98545036852</v>
          </cell>
          <cell r="M149">
            <v>100062.42611855031</v>
          </cell>
          <cell r="N149">
            <v>100787.45345819934</v>
          </cell>
          <cell r="O149">
            <v>100505.91354092238</v>
          </cell>
          <cell r="P149">
            <v>96009.558520048071</v>
          </cell>
          <cell r="Q149">
            <v>98996.51944087469</v>
          </cell>
          <cell r="R149">
            <v>94193.474988086062</v>
          </cell>
        </row>
        <row r="152">
          <cell r="A152" t="str">
            <v>gSalesAlu</v>
          </cell>
          <cell r="B152" t="str">
            <v>Total gross aluminium sales</v>
          </cell>
          <cell r="F152">
            <v>9017</v>
          </cell>
          <cell r="G152">
            <v>11195</v>
          </cell>
          <cell r="H152">
            <v>14088.98</v>
          </cell>
          <cell r="I152">
            <v>12939.89</v>
          </cell>
          <cell r="J152">
            <v>16444.509999999998</v>
          </cell>
          <cell r="K152">
            <v>19738.289999999997</v>
          </cell>
          <cell r="L152">
            <v>22632.21</v>
          </cell>
          <cell r="M152">
            <v>25309.69</v>
          </cell>
          <cell r="N152">
            <v>26074.370000000003</v>
          </cell>
          <cell r="O152">
            <v>26324.600000000002</v>
          </cell>
          <cell r="P152">
            <v>32163.2021042161</v>
          </cell>
          <cell r="Q152">
            <v>35638.746998714887</v>
          </cell>
          <cell r="R152">
            <v>35322.55312053227</v>
          </cell>
        </row>
        <row r="155">
          <cell r="A155" t="str">
            <v>VolVanadium</v>
          </cell>
          <cell r="B155" t="str">
            <v>Vanadium sludge sales (tonnes)</v>
          </cell>
          <cell r="H155">
            <v>301</v>
          </cell>
          <cell r="I155">
            <v>315</v>
          </cell>
          <cell r="J155">
            <v>245</v>
          </cell>
          <cell r="K155">
            <v>303</v>
          </cell>
        </row>
        <row r="157">
          <cell r="A157" t="str">
            <v>gSalesVanadium</v>
          </cell>
          <cell r="B157" t="str">
            <v>Vanadium sludge sales (Rsm)</v>
          </cell>
          <cell r="F157">
            <v>21</v>
          </cell>
          <cell r="G157">
            <v>25</v>
          </cell>
          <cell r="H157">
            <v>39.08</v>
          </cell>
          <cell r="I157">
            <v>47.63</v>
          </cell>
          <cell r="J157">
            <v>41.97</v>
          </cell>
          <cell r="K157">
            <v>66.98</v>
          </cell>
          <cell r="L157">
            <v>56.15</v>
          </cell>
          <cell r="M157">
            <v>40.03</v>
          </cell>
          <cell r="N157">
            <v>34.119999999999997</v>
          </cell>
          <cell r="P157">
            <v>0</v>
          </cell>
          <cell r="Q157">
            <v>0</v>
          </cell>
          <cell r="R157">
            <v>0</v>
          </cell>
        </row>
        <row r="161">
          <cell r="A161" t="str">
            <v>gSalesAl2O3</v>
          </cell>
          <cell r="B161" t="str">
            <v>Alumina sales (Rsm)</v>
          </cell>
          <cell r="G161">
            <v>0.16700000000000001</v>
          </cell>
          <cell r="H161">
            <v>0.28999999999999998</v>
          </cell>
          <cell r="I161">
            <v>0</v>
          </cell>
          <cell r="K161">
            <v>0.08</v>
          </cell>
          <cell r="L161">
            <v>188.46</v>
          </cell>
          <cell r="M161">
            <v>244.12</v>
          </cell>
        </row>
        <row r="165">
          <cell r="A165" t="str">
            <v>gSalesOther</v>
          </cell>
          <cell r="B165" t="str">
            <v>Other sales (Rsm)</v>
          </cell>
          <cell r="F165">
            <v>177</v>
          </cell>
          <cell r="G165">
            <v>85</v>
          </cell>
          <cell r="H165">
            <v>93.83</v>
          </cell>
          <cell r="I165">
            <v>95.14</v>
          </cell>
          <cell r="J165">
            <v>220.73</v>
          </cell>
          <cell r="K165">
            <v>325.5</v>
          </cell>
          <cell r="L165">
            <v>443.5</v>
          </cell>
          <cell r="M165">
            <v>526.54</v>
          </cell>
          <cell r="N165">
            <v>520.84</v>
          </cell>
          <cell r="O165">
            <v>681.05000000000007</v>
          </cell>
          <cell r="P165">
            <v>783.20749999999998</v>
          </cell>
          <cell r="Q165">
            <v>900.68862499999989</v>
          </cell>
          <cell r="R165">
            <v>1035.7919187499997</v>
          </cell>
        </row>
        <row r="172">
          <cell r="A172" t="str">
            <v>NetSalesGrowth</v>
          </cell>
          <cell r="B172" t="str">
            <v>Growth (%)</v>
          </cell>
          <cell r="G172">
            <v>27.584294101948224</v>
          </cell>
          <cell r="H172">
            <v>30.927322993103257</v>
          </cell>
          <cell r="I172">
            <v>-7.568352587996019</v>
          </cell>
          <cell r="J172">
            <v>27.328282671146908</v>
          </cell>
          <cell r="K172">
            <v>19.935653997699031</v>
          </cell>
          <cell r="L172">
            <v>14.95121092657925</v>
          </cell>
          <cell r="M172">
            <v>12.023546892177507</v>
          </cell>
          <cell r="N172">
            <v>2.4594346227324593</v>
          </cell>
          <cell r="O172">
            <v>1.8882889435152483</v>
          </cell>
          <cell r="P172">
            <v>24.005537305940305</v>
          </cell>
          <cell r="Q172">
            <v>10.845700220428522</v>
          </cell>
          <cell r="R172">
            <v>-0.57332805751734162</v>
          </cell>
        </row>
        <row r="187">
          <cell r="A187" t="str">
            <v>AvPxValueAdded</v>
          </cell>
          <cell r="B187" t="str">
            <v>Av price per tonne (Rs)</v>
          </cell>
          <cell r="F187">
            <v>65761.455019164758</v>
          </cell>
          <cell r="G187">
            <v>76550.515012053467</v>
          </cell>
          <cell r="H187">
            <v>81359.476068902179</v>
          </cell>
          <cell r="I187">
            <v>74760.6872691022</v>
          </cell>
          <cell r="J187">
            <v>91556.509955631307</v>
          </cell>
          <cell r="K187">
            <v>94533.268963166978</v>
          </cell>
          <cell r="L187">
            <v>101041.16850325234</v>
          </cell>
          <cell r="M187">
            <v>112208.83730401139</v>
          </cell>
          <cell r="N187">
            <v>113860.17312176473</v>
          </cell>
          <cell r="O187">
            <v>111919.87879246654</v>
          </cell>
          <cell r="P187">
            <v>112987.76903102905</v>
          </cell>
          <cell r="Q187">
            <v>117312.42166083011</v>
          </cell>
          <cell r="R187">
            <v>112431.62356361403</v>
          </cell>
        </row>
        <row r="189">
          <cell r="A189" t="str">
            <v>PremiumValueAdded</v>
          </cell>
          <cell r="B189" t="str">
            <v>Premium over metal price</v>
          </cell>
          <cell r="F189">
            <v>24.313066416637174</v>
          </cell>
          <cell r="G189">
            <v>21.82244230309729</v>
          </cell>
          <cell r="H189">
            <v>9.9652329497445855</v>
          </cell>
          <cell r="I189">
            <v>7.488184531362152</v>
          </cell>
          <cell r="J189">
            <v>18.402837536977202</v>
          </cell>
          <cell r="K189">
            <v>18.445394098973967</v>
          </cell>
          <cell r="L189">
            <v>23.548316971052841</v>
          </cell>
          <cell r="M189">
            <v>23.919086880535545</v>
          </cell>
          <cell r="N189">
            <v>28.659253712910939</v>
          </cell>
          <cell r="O189">
            <v>27.042801168945886</v>
          </cell>
          <cell r="P189">
            <v>36.04791163033385</v>
          </cell>
          <cell r="Q189">
            <v>36.72182427060784</v>
          </cell>
          <cell r="R189">
            <v>38.707564393176817</v>
          </cell>
        </row>
        <row r="190">
          <cell r="A190" t="str">
            <v>gSalesValueAdded</v>
          </cell>
          <cell r="B190" t="str">
            <v>Gross sales</v>
          </cell>
          <cell r="F190">
            <v>5250</v>
          </cell>
          <cell r="G190">
            <v>6986</v>
          </cell>
          <cell r="H190">
            <v>8062.48</v>
          </cell>
          <cell r="I190">
            <v>6374.4699999999993</v>
          </cell>
          <cell r="J190">
            <v>8377.9699999999975</v>
          </cell>
          <cell r="K190">
            <v>9986.399999999996</v>
          </cell>
          <cell r="L190">
            <v>12085.13</v>
          </cell>
          <cell r="M190">
            <v>13776.439999999999</v>
          </cell>
          <cell r="N190">
            <v>15331.330000000002</v>
          </cell>
          <cell r="O190">
            <v>15691.940000000002</v>
          </cell>
          <cell r="P190">
            <v>16766.292709104073</v>
          </cell>
          <cell r="Q190">
            <v>18342.618313622414</v>
          </cell>
          <cell r="R190">
            <v>18310.276918699492</v>
          </cell>
        </row>
      </sheetData>
      <sheetData sheetId="18" refreshError="1">
        <row r="6">
          <cell r="A6" t="str">
            <v>VolAlumina</v>
          </cell>
          <cell r="B6" t="str">
            <v>Volume (MT)</v>
          </cell>
          <cell r="J6">
            <v>21201</v>
          </cell>
          <cell r="K6">
            <v>50595</v>
          </cell>
          <cell r="L6">
            <v>37066</v>
          </cell>
          <cell r="M6">
            <v>23819</v>
          </cell>
          <cell r="N6">
            <v>0</v>
          </cell>
          <cell r="O6">
            <v>0</v>
          </cell>
          <cell r="P6">
            <v>0</v>
          </cell>
          <cell r="Q6">
            <v>10392.156862745134</v>
          </cell>
          <cell r="R6">
            <v>19803.921568627426</v>
          </cell>
        </row>
        <row r="9">
          <cell r="A9" t="str">
            <v>AvPxAlumina</v>
          </cell>
          <cell r="B9" t="str">
            <v>Av cost per tonne (Rs)</v>
          </cell>
          <cell r="J9">
            <v>349.04013961605585</v>
          </cell>
          <cell r="K9">
            <v>5409.4278090720427</v>
          </cell>
          <cell r="L9">
            <v>5597.8524793611396</v>
          </cell>
          <cell r="M9">
            <v>4566.1026911289309</v>
          </cell>
          <cell r="N9">
            <v>5720.4000000000005</v>
          </cell>
          <cell r="O9">
            <v>5807.52</v>
          </cell>
          <cell r="P9">
            <v>5502</v>
          </cell>
          <cell r="Q9">
            <v>5325.6</v>
          </cell>
          <cell r="R9">
            <v>5280</v>
          </cell>
        </row>
        <row r="11">
          <cell r="A11" t="str">
            <v>Alumina</v>
          </cell>
          <cell r="B11" t="str">
            <v>Alumina cost (Rsm)</v>
          </cell>
          <cell r="J11">
            <v>7.4</v>
          </cell>
          <cell r="K11">
            <v>273.69</v>
          </cell>
          <cell r="L11">
            <v>207.49</v>
          </cell>
          <cell r="M11">
            <v>108.76</v>
          </cell>
          <cell r="N11">
            <v>0</v>
          </cell>
          <cell r="O11">
            <v>0</v>
          </cell>
          <cell r="P11">
            <v>0</v>
          </cell>
          <cell r="Q11">
            <v>55.344470588235488</v>
          </cell>
          <cell r="R11">
            <v>104.56470588235281</v>
          </cell>
        </row>
        <row r="13">
          <cell r="A13" t="str">
            <v>VolBauxite</v>
          </cell>
          <cell r="B13" t="str">
            <v>Volume (MT)</v>
          </cell>
          <cell r="F13">
            <v>900995</v>
          </cell>
          <cell r="G13">
            <v>877452</v>
          </cell>
          <cell r="H13">
            <v>908421</v>
          </cell>
          <cell r="I13">
            <v>921829</v>
          </cell>
          <cell r="J13">
            <v>990370</v>
          </cell>
          <cell r="K13">
            <v>1144481</v>
          </cell>
          <cell r="L13">
            <v>1187083</v>
          </cell>
          <cell r="M13">
            <v>1291951</v>
          </cell>
          <cell r="N13">
            <v>1339322</v>
          </cell>
          <cell r="O13">
            <v>1420912</v>
          </cell>
          <cell r="P13">
            <v>1807759.395136354</v>
          </cell>
          <cell r="Q13">
            <v>1809000.0000000002</v>
          </cell>
          <cell r="R13">
            <v>1828500</v>
          </cell>
        </row>
        <row r="16">
          <cell r="A16" t="str">
            <v>AvPxBauxite</v>
          </cell>
          <cell r="B16" t="str">
            <v>Av cost per tonne (Rs)</v>
          </cell>
          <cell r="F16">
            <v>418.42629537344828</v>
          </cell>
          <cell r="G16">
            <v>451.30673814636015</v>
          </cell>
          <cell r="H16">
            <v>498.66746805721129</v>
          </cell>
          <cell r="I16">
            <v>551.5014172910594</v>
          </cell>
          <cell r="J16">
            <v>618.6980623403374</v>
          </cell>
          <cell r="K16">
            <v>655.41498723001951</v>
          </cell>
          <cell r="L16">
            <v>716.76538203310133</v>
          </cell>
          <cell r="M16">
            <v>783.02505280773028</v>
          </cell>
          <cell r="N16">
            <v>800.95749939148322</v>
          </cell>
          <cell r="O16">
            <v>827.10963099755656</v>
          </cell>
          <cell r="P16">
            <v>860.19401623745887</v>
          </cell>
          <cell r="Q16">
            <v>894.60177688695728</v>
          </cell>
          <cell r="R16">
            <v>930.38584796243561</v>
          </cell>
        </row>
        <row r="17">
          <cell r="A17" t="str">
            <v>Bauxite</v>
          </cell>
          <cell r="B17" t="str">
            <v>Bauxite cost (Rsm)</v>
          </cell>
          <cell r="F17">
            <v>377</v>
          </cell>
          <cell r="G17">
            <v>396</v>
          </cell>
          <cell r="H17">
            <v>453</v>
          </cell>
          <cell r="I17">
            <v>508.39</v>
          </cell>
          <cell r="J17">
            <v>612.74</v>
          </cell>
          <cell r="K17">
            <v>750.11</v>
          </cell>
          <cell r="L17">
            <v>850.86</v>
          </cell>
          <cell r="M17">
            <v>1011.63</v>
          </cell>
          <cell r="N17">
            <v>1072.74</v>
          </cell>
          <cell r="O17">
            <v>1175.25</v>
          </cell>
          <cell r="P17">
            <v>1555.0238144933396</v>
          </cell>
          <cell r="Q17">
            <v>1618.3346143885058</v>
          </cell>
          <cell r="R17">
            <v>1701.2105229993135</v>
          </cell>
        </row>
        <row r="22">
          <cell r="A22" t="str">
            <v>VolCSoda</v>
          </cell>
          <cell r="B22" t="str">
            <v>Volume (MT)</v>
          </cell>
          <cell r="F22">
            <v>29035</v>
          </cell>
          <cell r="G22">
            <v>32020</v>
          </cell>
          <cell r="H22">
            <v>31459</v>
          </cell>
          <cell r="I22">
            <v>35400</v>
          </cell>
          <cell r="J22">
            <v>40295</v>
          </cell>
          <cell r="K22">
            <v>47909</v>
          </cell>
          <cell r="L22">
            <v>44530</v>
          </cell>
          <cell r="M22">
            <v>49851</v>
          </cell>
          <cell r="N22">
            <v>50632</v>
          </cell>
          <cell r="O22">
            <v>61147</v>
          </cell>
          <cell r="P22">
            <v>62080</v>
          </cell>
          <cell r="Q22">
            <v>62980</v>
          </cell>
          <cell r="R22">
            <v>63480</v>
          </cell>
        </row>
        <row r="27">
          <cell r="A27" t="str">
            <v>Csoda</v>
          </cell>
          <cell r="B27" t="str">
            <v>Caustic soda cost (Rsm)</v>
          </cell>
          <cell r="F27">
            <v>282</v>
          </cell>
          <cell r="G27">
            <v>365</v>
          </cell>
          <cell r="H27">
            <v>434</v>
          </cell>
          <cell r="I27">
            <v>488.3</v>
          </cell>
          <cell r="J27">
            <v>476.71</v>
          </cell>
          <cell r="K27">
            <v>556.44000000000005</v>
          </cell>
          <cell r="L27">
            <v>558.57000000000005</v>
          </cell>
          <cell r="M27">
            <v>665.95</v>
          </cell>
          <cell r="N27">
            <v>810.16</v>
          </cell>
          <cell r="O27">
            <v>710.96</v>
          </cell>
          <cell r="P27">
            <v>793.98885440005245</v>
          </cell>
          <cell r="Q27">
            <v>869.93961813989256</v>
          </cell>
          <cell r="R27">
            <v>946.99378082378553</v>
          </cell>
        </row>
        <row r="31">
          <cell r="A31" t="str">
            <v>VolCPCoke</v>
          </cell>
          <cell r="B31" t="str">
            <v>Volume (MT)</v>
          </cell>
          <cell r="F31">
            <v>57638</v>
          </cell>
          <cell r="G31">
            <v>62126</v>
          </cell>
          <cell r="H31">
            <v>65535</v>
          </cell>
          <cell r="I31">
            <v>59887</v>
          </cell>
          <cell r="J31">
            <v>76125</v>
          </cell>
          <cell r="K31">
            <v>87939</v>
          </cell>
          <cell r="L31">
            <v>92067</v>
          </cell>
          <cell r="M31">
            <v>93848</v>
          </cell>
          <cell r="N31">
            <v>96111</v>
          </cell>
          <cell r="O31">
            <v>108584</v>
          </cell>
          <cell r="P31">
            <v>135651.57459422795</v>
          </cell>
          <cell r="Q31">
            <v>142174.82642961806</v>
          </cell>
          <cell r="R31">
            <v>144348.77753085218</v>
          </cell>
        </row>
        <row r="35">
          <cell r="A35" t="str">
            <v>CPCoke</v>
          </cell>
          <cell r="B35" t="str">
            <v>Calcined petroleum coke (Rsm)</v>
          </cell>
          <cell r="F35">
            <v>487</v>
          </cell>
          <cell r="G35">
            <v>427</v>
          </cell>
          <cell r="H35">
            <v>405</v>
          </cell>
          <cell r="I35">
            <v>494.36</v>
          </cell>
          <cell r="J35">
            <v>628.85</v>
          </cell>
          <cell r="K35">
            <v>592.27</v>
          </cell>
          <cell r="L35">
            <v>539.64</v>
          </cell>
          <cell r="M35">
            <v>607.07000000000005</v>
          </cell>
          <cell r="N35">
            <v>854.5</v>
          </cell>
          <cell r="O35">
            <v>1273.27</v>
          </cell>
          <cell r="P35">
            <v>1622.4812310401574</v>
          </cell>
          <cell r="Q35">
            <v>1734.5136454216142</v>
          </cell>
          <cell r="R35">
            <v>1796.2562658035658</v>
          </cell>
        </row>
        <row r="39">
          <cell r="A39" t="str">
            <v>VolCTPitch</v>
          </cell>
          <cell r="B39" t="str">
            <v>Volume (MT)</v>
          </cell>
          <cell r="F39">
            <v>18723</v>
          </cell>
          <cell r="G39">
            <v>22140</v>
          </cell>
          <cell r="H39">
            <v>21578</v>
          </cell>
          <cell r="I39">
            <v>20164</v>
          </cell>
          <cell r="J39">
            <v>23980</v>
          </cell>
          <cell r="K39">
            <v>28081</v>
          </cell>
          <cell r="L39">
            <v>27481</v>
          </cell>
          <cell r="M39">
            <v>25478</v>
          </cell>
          <cell r="N39">
            <v>24306</v>
          </cell>
          <cell r="O39">
            <v>25211</v>
          </cell>
          <cell r="P39">
            <v>30485</v>
          </cell>
          <cell r="Q39">
            <v>32040</v>
          </cell>
          <cell r="R39">
            <v>32625</v>
          </cell>
        </row>
        <row r="44">
          <cell r="A44" t="str">
            <v>CTPitch</v>
          </cell>
          <cell r="B44" t="str">
            <v>Coal tar pitch (Rsm)</v>
          </cell>
          <cell r="F44">
            <v>145</v>
          </cell>
          <cell r="G44">
            <v>167</v>
          </cell>
          <cell r="H44">
            <v>194</v>
          </cell>
          <cell r="I44">
            <v>188.46</v>
          </cell>
          <cell r="J44">
            <v>232.59</v>
          </cell>
          <cell r="K44">
            <v>271.27999999999997</v>
          </cell>
          <cell r="L44">
            <v>326.27999999999997</v>
          </cell>
          <cell r="M44">
            <v>423.65</v>
          </cell>
          <cell r="N44">
            <v>401.05</v>
          </cell>
          <cell r="O44">
            <v>372.89</v>
          </cell>
          <cell r="P44">
            <v>468.93235952560389</v>
          </cell>
          <cell r="Q44">
            <v>517.49458550632664</v>
          </cell>
          <cell r="R44">
            <v>553.29038373130777</v>
          </cell>
        </row>
        <row r="46">
          <cell r="A46" t="str">
            <v>VolAlF3</v>
          </cell>
          <cell r="B46" t="str">
            <v>Volume (MT)</v>
          </cell>
          <cell r="F46">
            <v>7208</v>
          </cell>
          <cell r="G46">
            <v>6581</v>
          </cell>
          <cell r="H46">
            <v>4636</v>
          </cell>
          <cell r="I46">
            <v>4097</v>
          </cell>
          <cell r="J46">
            <v>4154</v>
          </cell>
          <cell r="K46">
            <v>5524</v>
          </cell>
          <cell r="L46">
            <v>4150</v>
          </cell>
          <cell r="M46">
            <v>4736</v>
          </cell>
          <cell r="N46">
            <v>4232</v>
          </cell>
          <cell r="O46">
            <v>4486</v>
          </cell>
          <cell r="P46">
            <v>5192.5</v>
          </cell>
          <cell r="Q46">
            <v>5220</v>
          </cell>
          <cell r="R46">
            <v>5250</v>
          </cell>
        </row>
        <row r="51">
          <cell r="A51" t="str">
            <v>AlF3</v>
          </cell>
          <cell r="B51" t="str">
            <v>AlF3/fluorspar (Rsm)</v>
          </cell>
          <cell r="F51">
            <v>275</v>
          </cell>
          <cell r="G51">
            <v>234</v>
          </cell>
          <cell r="H51">
            <v>178</v>
          </cell>
          <cell r="I51">
            <v>180.35</v>
          </cell>
          <cell r="J51">
            <v>177.49</v>
          </cell>
          <cell r="K51">
            <v>238.91</v>
          </cell>
          <cell r="L51">
            <v>188.36</v>
          </cell>
          <cell r="M51">
            <v>214.64</v>
          </cell>
          <cell r="N51">
            <v>183.4</v>
          </cell>
          <cell r="O51">
            <v>201.12</v>
          </cell>
          <cell r="P51">
            <v>239.77821399910837</v>
          </cell>
          <cell r="Q51">
            <v>253.10050860454751</v>
          </cell>
          <cell r="R51">
            <v>267.28286469014716</v>
          </cell>
        </row>
        <row r="64">
          <cell r="A64" t="str">
            <v>VolFuelOil</v>
          </cell>
          <cell r="B64" t="str">
            <v>Fuel oil consumption (KL)</v>
          </cell>
          <cell r="F64">
            <v>43806.192000000003</v>
          </cell>
          <cell r="G64">
            <v>46171.366000000002</v>
          </cell>
          <cell r="H64">
            <v>47921.635999999999</v>
          </cell>
          <cell r="I64">
            <v>47495.408000000003</v>
          </cell>
          <cell r="J64">
            <v>51981</v>
          </cell>
          <cell r="K64">
            <v>61528</v>
          </cell>
          <cell r="L64">
            <v>62408</v>
          </cell>
          <cell r="M64">
            <v>62591</v>
          </cell>
          <cell r="N64">
            <v>62652</v>
          </cell>
          <cell r="O64">
            <v>64756</v>
          </cell>
          <cell r="P64">
            <v>78901.772200000007</v>
          </cell>
          <cell r="Q64">
            <v>82632.372200000013</v>
          </cell>
          <cell r="R64">
            <v>84126.972199999989</v>
          </cell>
        </row>
        <row r="66">
          <cell r="A66" t="str">
            <v>AvPxFuelOil</v>
          </cell>
          <cell r="B66" t="str">
            <v>Av cost per Kl (Rs)</v>
          </cell>
          <cell r="F66">
            <v>5661.3001193986456</v>
          </cell>
          <cell r="G66">
            <v>5522.9035242318805</v>
          </cell>
          <cell r="H66">
            <v>5446.3916882971189</v>
          </cell>
          <cell r="I66">
            <v>6512.6295998973201</v>
          </cell>
          <cell r="J66">
            <v>6761.1242569400356</v>
          </cell>
          <cell r="K66">
            <v>6434.4688597061495</v>
          </cell>
          <cell r="L66">
            <v>8419.7538777079862</v>
          </cell>
          <cell r="M66">
            <v>10279.113610582992</v>
          </cell>
          <cell r="N66">
            <v>9732.490582902381</v>
          </cell>
          <cell r="O66">
            <v>11117.425412317005</v>
          </cell>
          <cell r="P66">
            <v>11450.948174686515</v>
          </cell>
          <cell r="Q66">
            <v>11794.476619927111</v>
          </cell>
          <cell r="R66">
            <v>12148.310918524925</v>
          </cell>
        </row>
        <row r="67">
          <cell r="A67" t="str">
            <v>FuelOil</v>
          </cell>
          <cell r="B67" t="str">
            <v>Fuel oil/LDO/HSD (Rsm)</v>
          </cell>
          <cell r="F67">
            <v>248</v>
          </cell>
          <cell r="G67">
            <v>255</v>
          </cell>
          <cell r="H67">
            <v>261</v>
          </cell>
          <cell r="I67">
            <v>309.32</v>
          </cell>
          <cell r="J67">
            <v>351.45</v>
          </cell>
          <cell r="K67">
            <v>395.9</v>
          </cell>
          <cell r="L67">
            <v>525.46</v>
          </cell>
          <cell r="M67">
            <v>643.38</v>
          </cell>
          <cell r="N67">
            <v>609.76</v>
          </cell>
          <cell r="O67">
            <v>719.92</v>
          </cell>
          <cell r="P67">
            <v>903.50010435312129</v>
          </cell>
          <cell r="Q67">
            <v>974.60558196201521</v>
          </cell>
          <cell r="R67">
            <v>1022.0006149197027</v>
          </cell>
        </row>
        <row r="71">
          <cell r="A71" t="str">
            <v>VolSteamCoal</v>
          </cell>
          <cell r="B71" t="str">
            <v>Volume (MT)</v>
          </cell>
          <cell r="G71">
            <v>389849</v>
          </cell>
          <cell r="H71">
            <v>427023</v>
          </cell>
          <cell r="I71">
            <v>430934</v>
          </cell>
          <cell r="J71">
            <v>659481</v>
          </cell>
          <cell r="K71">
            <v>853319</v>
          </cell>
          <cell r="L71">
            <v>814455</v>
          </cell>
          <cell r="M71">
            <v>843267</v>
          </cell>
          <cell r="N71">
            <v>845306</v>
          </cell>
          <cell r="O71">
            <v>884512</v>
          </cell>
          <cell r="P71">
            <v>1024000</v>
          </cell>
          <cell r="Q71">
            <v>1072000</v>
          </cell>
          <cell r="R71">
            <v>1104000</v>
          </cell>
        </row>
        <row r="74">
          <cell r="A74" t="str">
            <v>AvPxSteamCoal</v>
          </cell>
          <cell r="B74" t="str">
            <v>Av cost per tonne (Rs)</v>
          </cell>
          <cell r="G74">
            <v>396.33293916362487</v>
          </cell>
          <cell r="H74">
            <v>377.19279757764804</v>
          </cell>
          <cell r="I74">
            <v>513.07160725308279</v>
          </cell>
          <cell r="J74">
            <v>439.13319716564996</v>
          </cell>
          <cell r="K74">
            <v>429.41736911987198</v>
          </cell>
          <cell r="L74">
            <v>421.88948437912472</v>
          </cell>
          <cell r="M74">
            <v>419.62984440278115</v>
          </cell>
          <cell r="N74">
            <v>511.18766458536913</v>
          </cell>
          <cell r="O74">
            <v>540.5353460439203</v>
          </cell>
          <cell r="P74">
            <v>513.50857874172425</v>
          </cell>
          <cell r="Q74">
            <v>539.18400767881053</v>
          </cell>
          <cell r="R74">
            <v>566.14320806275111</v>
          </cell>
        </row>
        <row r="75">
          <cell r="A75" t="str">
            <v>SteamCoal</v>
          </cell>
          <cell r="B75" t="str">
            <v>Steam coal consumption (Rsm)</v>
          </cell>
          <cell r="G75">
            <v>154.51</v>
          </cell>
          <cell r="H75">
            <v>161.07</v>
          </cell>
          <cell r="I75">
            <v>221.1</v>
          </cell>
          <cell r="J75">
            <v>289.60000000000002</v>
          </cell>
          <cell r="K75">
            <v>366.43</v>
          </cell>
          <cell r="L75">
            <v>343.61</v>
          </cell>
          <cell r="M75">
            <v>353.86</v>
          </cell>
          <cell r="N75">
            <v>432.11</v>
          </cell>
          <cell r="O75">
            <v>478.11</v>
          </cell>
          <cell r="P75">
            <v>525.83278463152567</v>
          </cell>
          <cell r="Q75">
            <v>578.00525623168494</v>
          </cell>
          <cell r="R75">
            <v>625.02210170127728</v>
          </cell>
        </row>
        <row r="79">
          <cell r="A79" t="str">
            <v>VolSodaAsh</v>
          </cell>
          <cell r="B79" t="str">
            <v>Volume (MT)</v>
          </cell>
          <cell r="J79">
            <v>57942</v>
          </cell>
          <cell r="K79">
            <v>48564</v>
          </cell>
          <cell r="L79">
            <v>60642</v>
          </cell>
          <cell r="M79">
            <v>55017</v>
          </cell>
          <cell r="N79">
            <v>53131</v>
          </cell>
          <cell r="O79">
            <v>36987</v>
          </cell>
          <cell r="P79">
            <v>51200</v>
          </cell>
          <cell r="Q79">
            <v>50250</v>
          </cell>
          <cell r="R79">
            <v>49680</v>
          </cell>
        </row>
        <row r="82">
          <cell r="A82" t="str">
            <v>AvPxSodaAsh</v>
          </cell>
          <cell r="B82" t="str">
            <v>Av cost per tonne (Rs)</v>
          </cell>
          <cell r="J82">
            <v>2495.599047323185</v>
          </cell>
          <cell r="K82">
            <v>2723.6224363726219</v>
          </cell>
          <cell r="L82">
            <v>2477.3259457141912</v>
          </cell>
          <cell r="M82">
            <v>2476.3254993910978</v>
          </cell>
          <cell r="N82">
            <v>2653.8179217406032</v>
          </cell>
          <cell r="O82">
            <v>3168.9512531429959</v>
          </cell>
          <cell r="P82">
            <v>3295.7093032687158</v>
          </cell>
          <cell r="Q82">
            <v>3427.5376753994647</v>
          </cell>
          <cell r="R82">
            <v>3564.6391824154434</v>
          </cell>
        </row>
        <row r="83">
          <cell r="A83" t="str">
            <v>SodaAsh</v>
          </cell>
          <cell r="B83" t="str">
            <v>SodaAsh cost (Rsm)</v>
          </cell>
          <cell r="J83">
            <v>144.6</v>
          </cell>
          <cell r="K83">
            <v>132.27000000000001</v>
          </cell>
          <cell r="L83">
            <v>150.22999999999999</v>
          </cell>
          <cell r="M83">
            <v>136.24</v>
          </cell>
          <cell r="N83">
            <v>141</v>
          </cell>
          <cell r="O83">
            <v>117.21</v>
          </cell>
          <cell r="P83">
            <v>168.74031632735824</v>
          </cell>
          <cell r="Q83">
            <v>172.23376818882309</v>
          </cell>
          <cell r="R83">
            <v>177.09127458239922</v>
          </cell>
        </row>
        <row r="86">
          <cell r="A86" t="str">
            <v>OtherRawMaterials</v>
          </cell>
          <cell r="B86" t="str">
            <v>Value (Rs)</v>
          </cell>
          <cell r="F86">
            <v>-4031</v>
          </cell>
          <cell r="G86">
            <v>-4282.51</v>
          </cell>
          <cell r="H86">
            <v>-4470.1099999999997</v>
          </cell>
          <cell r="I86">
            <v>-5145.55</v>
          </cell>
          <cell r="J86">
            <v>-6140.8900000000012</v>
          </cell>
          <cell r="K86">
            <v>-7412.9900000000007</v>
          </cell>
          <cell r="L86">
            <v>198.21000000000004</v>
          </cell>
          <cell r="M86">
            <v>125.50999999999999</v>
          </cell>
          <cell r="N86">
            <v>250.98000000000002</v>
          </cell>
          <cell r="O86">
            <v>447.05000000000007</v>
          </cell>
          <cell r="P86">
            <v>184.25</v>
          </cell>
          <cell r="Q86">
            <v>198</v>
          </cell>
          <cell r="R86">
            <v>206.25</v>
          </cell>
        </row>
      </sheetData>
      <sheetData sheetId="19" refreshError="1">
        <row r="23">
          <cell r="A23" t="str">
            <v>GenerationOwn</v>
          </cell>
          <cell r="B23" t="str">
            <v>Net  electricity generation (mus)</v>
          </cell>
          <cell r="F23">
            <v>2665</v>
          </cell>
          <cell r="G23">
            <v>2899</v>
          </cell>
          <cell r="H23">
            <v>2986</v>
          </cell>
          <cell r="I23">
            <v>2951</v>
          </cell>
          <cell r="J23">
            <v>3465</v>
          </cell>
          <cell r="K23">
            <v>3952</v>
          </cell>
          <cell r="L23">
            <v>4106</v>
          </cell>
          <cell r="M23">
            <v>4059.6</v>
          </cell>
          <cell r="N23">
            <v>4364.4359999999997</v>
          </cell>
          <cell r="O23">
            <v>4479.2270802919711</v>
          </cell>
          <cell r="P23">
            <v>5309.5970802919719</v>
          </cell>
          <cell r="Q23">
            <v>5686.5932846715323</v>
          </cell>
          <cell r="R23">
            <v>5936.287007299271</v>
          </cell>
        </row>
        <row r="28">
          <cell r="A28" t="str">
            <v>VolPowerCoGen</v>
          </cell>
          <cell r="B28" t="str">
            <v>Co-generation (000kWh)</v>
          </cell>
          <cell r="I28">
            <v>2683</v>
          </cell>
          <cell r="J28">
            <v>197781</v>
          </cell>
          <cell r="K28">
            <v>226410</v>
          </cell>
          <cell r="L28">
            <v>226410</v>
          </cell>
        </row>
        <row r="30">
          <cell r="A30" t="str">
            <v>VolPowerCaptive</v>
          </cell>
          <cell r="B30" t="str">
            <v>Total captive generation</v>
          </cell>
          <cell r="F30">
            <v>2371659</v>
          </cell>
          <cell r="G30">
            <v>2578851</v>
          </cell>
          <cell r="H30">
            <v>2652516</v>
          </cell>
          <cell r="I30">
            <v>2633737</v>
          </cell>
          <cell r="J30">
            <v>3279129</v>
          </cell>
          <cell r="K30">
            <v>4065175</v>
          </cell>
          <cell r="L30">
            <v>4111700.0000000009</v>
          </cell>
          <cell r="M30">
            <v>4059600</v>
          </cell>
          <cell r="N30">
            <v>4364436</v>
          </cell>
          <cell r="O30">
            <v>4479227.0802919716</v>
          </cell>
          <cell r="P30">
            <v>5309597.0802919716</v>
          </cell>
          <cell r="Q30">
            <v>5686593.284671532</v>
          </cell>
          <cell r="R30">
            <v>5936287.0072992714</v>
          </cell>
        </row>
        <row r="35">
          <cell r="A35" t="str">
            <v>VolPowerOwn</v>
          </cell>
          <cell r="B35" t="str">
            <v>Power consumed ('000 MUs)</v>
          </cell>
          <cell r="F35">
            <v>2371659</v>
          </cell>
          <cell r="G35">
            <v>2578851</v>
          </cell>
          <cell r="H35">
            <v>2652516</v>
          </cell>
          <cell r="I35">
            <v>2631054</v>
          </cell>
          <cell r="J35">
            <v>3081348</v>
          </cell>
          <cell r="K35">
            <v>3838765</v>
          </cell>
          <cell r="L35">
            <v>3885290.0000000009</v>
          </cell>
          <cell r="M35">
            <v>4200623</v>
          </cell>
          <cell r="N35">
            <v>4383920</v>
          </cell>
          <cell r="O35">
            <v>4415986.5939999996</v>
          </cell>
          <cell r="P35">
            <v>5344694.6050000004</v>
          </cell>
          <cell r="Q35">
            <v>5739676.6050000004</v>
          </cell>
          <cell r="R35">
            <v>5979569.1050000004</v>
          </cell>
        </row>
        <row r="41">
          <cell r="A41" t="str">
            <v>PowerCaptive</v>
          </cell>
          <cell r="B41" t="str">
            <v>Total cost of generation</v>
          </cell>
          <cell r="F41">
            <v>1299</v>
          </cell>
          <cell r="G41">
            <v>1496</v>
          </cell>
          <cell r="H41">
            <v>1691</v>
          </cell>
          <cell r="I41">
            <v>1714.6730000000002</v>
          </cell>
          <cell r="J41">
            <v>2431.2530000000002</v>
          </cell>
          <cell r="K41">
            <v>2944.1019999999999</v>
          </cell>
          <cell r="L41">
            <v>3317.24</v>
          </cell>
          <cell r="M41">
            <v>3698.52</v>
          </cell>
          <cell r="N41">
            <v>4226.1600000000008</v>
          </cell>
          <cell r="O41">
            <v>5165.0535152283446</v>
          </cell>
          <cell r="P41">
            <v>5444.9937222934286</v>
          </cell>
          <cell r="Q41">
            <v>5905.3408435877172</v>
          </cell>
          <cell r="R41">
            <v>6392.9987461923574</v>
          </cell>
        </row>
        <row r="44">
          <cell r="A44" t="str">
            <v>VolPowerPurchased</v>
          </cell>
          <cell r="B44" t="str">
            <v>Electricity purchased (MWh)</v>
          </cell>
          <cell r="F44">
            <v>180870</v>
          </cell>
          <cell r="G44">
            <v>161829</v>
          </cell>
          <cell r="H44">
            <v>259987</v>
          </cell>
          <cell r="I44">
            <v>189632</v>
          </cell>
          <cell r="J44">
            <v>122659</v>
          </cell>
          <cell r="K44">
            <v>33920</v>
          </cell>
          <cell r="L44">
            <v>6131</v>
          </cell>
          <cell r="M44">
            <v>14115</v>
          </cell>
          <cell r="N44">
            <v>19484</v>
          </cell>
          <cell r="O44">
            <v>0</v>
          </cell>
          <cell r="P44">
            <v>35097.524708028883</v>
          </cell>
          <cell r="Q44">
            <v>53083.320328468457</v>
          </cell>
          <cell r="R44">
            <v>43282.097700729035</v>
          </cell>
        </row>
        <row r="47">
          <cell r="A47" t="str">
            <v>PowerPurchased</v>
          </cell>
          <cell r="B47" t="str">
            <v>Electricity purchased (Rsm)</v>
          </cell>
          <cell r="F47">
            <v>447</v>
          </cell>
          <cell r="G47">
            <v>495</v>
          </cell>
          <cell r="H47">
            <v>792</v>
          </cell>
          <cell r="I47">
            <v>658.12699999999995</v>
          </cell>
          <cell r="J47">
            <v>551.93700000000001</v>
          </cell>
          <cell r="K47">
            <v>259.16800000000001</v>
          </cell>
          <cell r="L47">
            <v>17.190000000000001</v>
          </cell>
          <cell r="M47">
            <v>37.92</v>
          </cell>
          <cell r="N47">
            <v>54.61</v>
          </cell>
          <cell r="O47">
            <v>0</v>
          </cell>
          <cell r="P47">
            <v>122.84133647810108</v>
          </cell>
          <cell r="Q47">
            <v>185.79162114963961</v>
          </cell>
          <cell r="R47">
            <v>151.48734195255162</v>
          </cell>
        </row>
        <row r="61">
          <cell r="A61" t="str">
            <v>VolPower</v>
          </cell>
          <cell r="B61" t="str">
            <v>Total power consumption (kWh)</v>
          </cell>
          <cell r="F61">
            <v>2552529</v>
          </cell>
          <cell r="G61">
            <v>2740680</v>
          </cell>
          <cell r="H61">
            <v>2912503</v>
          </cell>
          <cell r="I61">
            <v>2823369</v>
          </cell>
          <cell r="J61">
            <v>3401788</v>
          </cell>
          <cell r="K61">
            <v>4099095</v>
          </cell>
          <cell r="L61">
            <v>4111700.0000000009</v>
          </cell>
          <cell r="M61">
            <v>4200623</v>
          </cell>
          <cell r="N61">
            <v>4383920</v>
          </cell>
          <cell r="O61">
            <v>4415986.5939999996</v>
          </cell>
          <cell r="P61">
            <v>5344694.6050000004</v>
          </cell>
          <cell r="Q61">
            <v>5739676.6050000004</v>
          </cell>
          <cell r="R61">
            <v>5979569.1050000004</v>
          </cell>
        </row>
        <row r="63">
          <cell r="A63" t="str">
            <v>AvPxPower</v>
          </cell>
          <cell r="B63" t="str">
            <v>Wt avg cost of power</v>
          </cell>
          <cell r="F63">
            <v>684.0274880324572</v>
          </cell>
          <cell r="G63">
            <v>726.46204591561218</v>
          </cell>
          <cell r="H63">
            <v>852.53131069736241</v>
          </cell>
          <cell r="I63">
            <v>840.41441271048893</v>
          </cell>
          <cell r="J63">
            <v>876.94765223464833</v>
          </cell>
          <cell r="K63">
            <v>781.45785838093525</v>
          </cell>
          <cell r="L63">
            <v>810.96140282608144</v>
          </cell>
          <cell r="M63">
            <v>889.49662942853945</v>
          </cell>
          <cell r="N63">
            <v>976.47082975966725</v>
          </cell>
          <cell r="O63">
            <v>1169.6261764576238</v>
          </cell>
          <cell r="P63">
            <v>1041.7498978450105</v>
          </cell>
          <cell r="Q63">
            <v>1061.2326937429179</v>
          </cell>
          <cell r="R63">
            <v>1094.474530392589</v>
          </cell>
        </row>
        <row r="65">
          <cell r="A65" t="str">
            <v>Power</v>
          </cell>
          <cell r="B65" t="str">
            <v>Power cost (Rsm)</v>
          </cell>
          <cell r="F65">
            <v>1746</v>
          </cell>
          <cell r="G65">
            <v>1991</v>
          </cell>
          <cell r="H65">
            <v>2483</v>
          </cell>
          <cell r="I65">
            <v>2372.8000000000002</v>
          </cell>
          <cell r="J65">
            <v>2983.19</v>
          </cell>
          <cell r="K65">
            <v>3203.27</v>
          </cell>
          <cell r="L65">
            <v>3334.43</v>
          </cell>
          <cell r="M65">
            <v>3736.44</v>
          </cell>
          <cell r="N65">
            <v>4280.7700000000004</v>
          </cell>
          <cell r="O65">
            <v>5165.0535152283446</v>
          </cell>
          <cell r="P65">
            <v>5567.8350587715295</v>
          </cell>
          <cell r="Q65">
            <v>6091.1324647373567</v>
          </cell>
          <cell r="R65">
            <v>6544.4860881449094</v>
          </cell>
        </row>
      </sheetData>
      <sheetData sheetId="20" refreshError="1"/>
      <sheetData sheetId="21"/>
      <sheetData sheetId="22"/>
      <sheetData sheetId="23" refreshError="1"/>
      <sheetData sheetId="24" refreshError="1"/>
      <sheetData sheetId="25" refreshError="1"/>
      <sheetData sheetId="26" refreshError="1"/>
      <sheetData sheetId="27" refreshError="1">
        <row r="1">
          <cell r="B1">
            <v>1997</v>
          </cell>
          <cell r="C1">
            <v>1998</v>
          </cell>
          <cell r="D1">
            <v>1999</v>
          </cell>
        </row>
        <row r="2">
          <cell r="A2" t="str">
            <v>Production and Sales</v>
          </cell>
        </row>
        <row r="4">
          <cell r="A4" t="str">
            <v>Copper production (tonnes)</v>
          </cell>
          <cell r="B4">
            <v>0</v>
          </cell>
          <cell r="C4">
            <v>0</v>
          </cell>
          <cell r="D4">
            <v>2721</v>
          </cell>
        </row>
        <row r="5">
          <cell r="A5" t="str">
            <v>Copper LME price avg($/MT)</v>
          </cell>
          <cell r="B5">
            <v>2262</v>
          </cell>
          <cell r="C5">
            <v>1700</v>
          </cell>
          <cell r="D5">
            <v>1520</v>
          </cell>
        </row>
        <row r="6">
          <cell r="A6" t="str">
            <v>Re / $(avg for period July1 to June 30)</v>
          </cell>
          <cell r="B6">
            <v>35.5</v>
          </cell>
          <cell r="C6">
            <v>37.200000000000003</v>
          </cell>
          <cell r="D6">
            <v>42.09</v>
          </cell>
        </row>
        <row r="7">
          <cell r="A7" t="str">
            <v>Tc Rc Margin (c/lb)</v>
          </cell>
          <cell r="C7">
            <v>26.75</v>
          </cell>
          <cell r="D7">
            <v>24</v>
          </cell>
        </row>
        <row r="9">
          <cell r="A9" t="str">
            <v>Sales volumes</v>
          </cell>
        </row>
        <row r="10">
          <cell r="A10" t="str">
            <v>JFTC (CKm)</v>
          </cell>
          <cell r="B10">
            <v>699754</v>
          </cell>
          <cell r="C10">
            <v>904829</v>
          </cell>
          <cell r="D10">
            <v>1027879</v>
          </cell>
        </row>
        <row r="11">
          <cell r="A11" t="str">
            <v>Copper cathodes (tonnes)</v>
          </cell>
          <cell r="B11">
            <v>0</v>
          </cell>
          <cell r="C11">
            <v>0</v>
          </cell>
          <cell r="D11">
            <v>2721</v>
          </cell>
        </row>
        <row r="12">
          <cell r="A12" t="str">
            <v>CC rods (tonnes)</v>
          </cell>
          <cell r="B12">
            <v>0</v>
          </cell>
          <cell r="C12">
            <v>1534</v>
          </cell>
          <cell r="D12">
            <v>62962</v>
          </cell>
        </row>
        <row r="13">
          <cell r="A13" t="str">
            <v>OFC (FKm)</v>
          </cell>
          <cell r="B13">
            <v>0</v>
          </cell>
          <cell r="C13">
            <v>0</v>
          </cell>
          <cell r="D13">
            <v>0</v>
          </cell>
        </row>
        <row r="14">
          <cell r="A14" t="str">
            <v>Optical fibre (FKm)</v>
          </cell>
          <cell r="B14">
            <v>2430</v>
          </cell>
          <cell r="C14">
            <v>1988</v>
          </cell>
          <cell r="D14">
            <v>2156</v>
          </cell>
        </row>
        <row r="15">
          <cell r="A15" t="str">
            <v>Sulphuric acid (tonnes)</v>
          </cell>
          <cell r="B15">
            <v>0</v>
          </cell>
          <cell r="C15">
            <v>0</v>
          </cell>
          <cell r="D15">
            <v>14458</v>
          </cell>
        </row>
        <row r="16">
          <cell r="A16" t="str">
            <v>Phosphoric acid (tonnes)</v>
          </cell>
          <cell r="B16">
            <v>0</v>
          </cell>
          <cell r="C16">
            <v>0</v>
          </cell>
          <cell r="D16">
            <v>2472</v>
          </cell>
        </row>
        <row r="18">
          <cell r="A18" t="str">
            <v>Sales realisations (Rs/tonne)</v>
          </cell>
        </row>
        <row r="19">
          <cell r="A19" t="str">
            <v>JFTC (Rs / CKm)</v>
          </cell>
          <cell r="B19">
            <v>5323.0135161785429</v>
          </cell>
          <cell r="C19">
            <v>5721.7441085553182</v>
          </cell>
          <cell r="D19">
            <v>5588.790120237888</v>
          </cell>
        </row>
        <row r="20">
          <cell r="A20" t="str">
            <v>Copper cathodes (Rs / tonnes)</v>
          </cell>
          <cell r="B20">
            <v>0</v>
          </cell>
          <cell r="C20">
            <v>0</v>
          </cell>
          <cell r="D20">
            <v>106872.47335538405</v>
          </cell>
        </row>
        <row r="21">
          <cell r="A21" t="str">
            <v>CC rods (Rs / tonnes)</v>
          </cell>
          <cell r="B21">
            <v>0</v>
          </cell>
          <cell r="C21">
            <v>118187.7444589309</v>
          </cell>
          <cell r="D21">
            <v>120547.31425304151</v>
          </cell>
        </row>
        <row r="22">
          <cell r="A22" t="str">
            <v>OFC (Rs / FKm)</v>
          </cell>
          <cell r="B22">
            <v>0</v>
          </cell>
          <cell r="C22">
            <v>0</v>
          </cell>
          <cell r="D22">
            <v>0</v>
          </cell>
        </row>
        <row r="23">
          <cell r="A23" t="str">
            <v>Optical fibre (Rs / FKm)</v>
          </cell>
          <cell r="B23">
            <v>39423.8683127572</v>
          </cell>
          <cell r="C23">
            <v>48893.360160965793</v>
          </cell>
          <cell r="D23">
            <v>47820.037105751391</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row r="84">
          <cell r="J84">
            <v>37109.404999999999</v>
          </cell>
          <cell r="K84">
            <v>47705.470000000008</v>
          </cell>
          <cell r="L84">
            <v>56665.845000000008</v>
          </cell>
          <cell r="M84">
            <v>60944.825000000004</v>
          </cell>
        </row>
        <row r="85">
          <cell r="J85">
            <v>17.936059605374975</v>
          </cell>
          <cell r="K85">
            <v>15.374536714552855</v>
          </cell>
          <cell r="L85">
            <v>11.138835042519879</v>
          </cell>
          <cell r="M85">
            <v>10.584073381127929</v>
          </cell>
        </row>
        <row r="86">
          <cell r="J86">
            <v>20.855265397006495</v>
          </cell>
          <cell r="K86">
            <v>13.017718932441074</v>
          </cell>
          <cell r="L86">
            <v>11.893571868556792</v>
          </cell>
          <cell r="M86">
            <v>11.750447556457823</v>
          </cell>
        </row>
        <row r="87">
          <cell r="J87">
            <v>20.350000000000001</v>
          </cell>
          <cell r="K87">
            <v>20.82</v>
          </cell>
          <cell r="L87">
            <v>17.730384615384619</v>
          </cell>
          <cell r="M87">
            <v>16.165961538461538</v>
          </cell>
        </row>
        <row r="88">
          <cell r="J88">
            <v>8.5500000000000007</v>
          </cell>
          <cell r="K88">
            <v>8.4240000000000013</v>
          </cell>
          <cell r="L88">
            <v>7.8000000000000007</v>
          </cell>
          <cell r="M88">
            <v>7.2016500000000008</v>
          </cell>
        </row>
        <row r="89">
          <cell r="J89">
            <v>18.754894797626545</v>
          </cell>
          <cell r="K89">
            <v>18.771488254162275</v>
          </cell>
          <cell r="L89">
            <v>16.785915817568576</v>
          </cell>
          <cell r="M89">
            <v>15.174114672077788</v>
          </cell>
        </row>
        <row r="90">
          <cell r="J90">
            <v>2.10037059937995</v>
          </cell>
          <cell r="K90">
            <v>-5.7537693217212009</v>
          </cell>
          <cell r="L90">
            <v>-4.8923439490117833</v>
          </cell>
          <cell r="M90">
            <v>-3.4236671156199652</v>
          </cell>
        </row>
        <row r="91">
          <cell r="J91">
            <v>779.43503222483378</v>
          </cell>
          <cell r="K91">
            <v>-2744.8626976429096</v>
          </cell>
          <cell r="L91">
            <v>-2772.2880390138971</v>
          </cell>
          <cell r="M91">
            <v>-2086.5479321971352</v>
          </cell>
        </row>
        <row r="92">
          <cell r="J92">
            <v>2.5594318153378857</v>
          </cell>
          <cell r="K92">
            <v>-6.7990993471000127</v>
          </cell>
          <cell r="L92">
            <v>-5.5056041087833592</v>
          </cell>
          <cell r="M92">
            <v>-3.8289231517032305</v>
          </cell>
        </row>
        <row r="93">
          <cell r="J93">
            <v>2.1003705993799517</v>
          </cell>
          <cell r="K93">
            <v>-5.7537693217211974</v>
          </cell>
          <cell r="L93">
            <v>-4.8923439490117842</v>
          </cell>
          <cell r="M93">
            <v>-3.4236671156199647</v>
          </cell>
        </row>
      </sheetData>
      <sheetData sheetId="37" refreshError="1"/>
      <sheetData sheetId="38" refreshError="1"/>
      <sheetData sheetId="39" refreshError="1"/>
      <sheetData sheetId="40" refreshError="1"/>
      <sheetData sheetId="41" refreshError="1"/>
      <sheetData sheetId="42" refreshError="1">
        <row r="1">
          <cell r="J1" t="str">
            <v>Hindalco</v>
          </cell>
          <cell r="L1">
            <v>4014.68</v>
          </cell>
          <cell r="N1">
            <v>0.7</v>
          </cell>
        </row>
        <row r="2">
          <cell r="L2">
            <v>43.65</v>
          </cell>
        </row>
        <row r="4">
          <cell r="J4">
            <v>1294</v>
          </cell>
          <cell r="L4">
            <v>0</v>
          </cell>
        </row>
      </sheetData>
      <sheetData sheetId="43" refreshError="1"/>
      <sheetData sheetId="44" refreshError="1"/>
      <sheetData sheetId="45"/>
      <sheetData sheetId="46" refreshError="1"/>
      <sheetData sheetId="4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F"/>
      <sheetName val="Earnings model"/>
      <sheetName val="Sheet2"/>
      <sheetName val="Segment wise"/>
      <sheetName val="Segment Annual"/>
      <sheetName val="Halfye"/>
      <sheetName val="PRIMARY"/>
      <sheetName val="P&amp;L"/>
      <sheetName val="BSHEET"/>
      <sheetName val="CFLOW"/>
      <sheetName val="RATIOS"/>
      <sheetName val="SUMMARY"/>
      <sheetName val="Preview"/>
      <sheetName val="Flash"/>
      <sheetName val="Earnings Guid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SA"/>
      <sheetName val="EVA"/>
      <sheetName val="stress"/>
      <sheetName val="Standard"/>
      <sheetName val="Database"/>
      <sheetName val="Ratios"/>
      <sheetName val="assumptions"/>
      <sheetName val="P&amp;L"/>
      <sheetName val="B_S"/>
      <sheetName val="Cash"/>
      <sheetName val="Sales"/>
      <sheetName val="RM"/>
      <sheetName val="Exp"/>
      <sheetName val="Depn"/>
      <sheetName val="Loans &amp; Interest"/>
      <sheetName val="Result"/>
      <sheetName val="stock"/>
      <sheetName val="Asset"/>
      <sheetName val="Report "/>
      <sheetName val="expenses"/>
      <sheetName val="Re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SA Power Valuation"/>
      <sheetName val="results"/>
      <sheetName val="clsa"/>
      <sheetName val="Database"/>
      <sheetName val="GEMiUploadCheck"/>
      <sheetName val="Summary"/>
      <sheetName val="Model"/>
      <sheetName val="EVA"/>
      <sheetName val="Stress"/>
      <sheetName val="Expenses"/>
      <sheetName val="Loans &amp; interest"/>
      <sheetName val="Capex &amp; investments"/>
      <sheetName val="capex"/>
      <sheetName val="Invsts"/>
      <sheetName val="capbase"/>
      <sheetName val="sumofparts"/>
      <sheetName val="Shareholding"/>
      <sheetName val="charts"/>
      <sheetName val="Others"/>
      <sheetName val="GEMiUploadError"/>
      <sheetName val="Internet"/>
      <sheetName val="Sheet1"/>
      <sheetName val="DCF"/>
    </sheetNames>
    <sheetDataSet>
      <sheetData sheetId="0"/>
      <sheetData sheetId="1"/>
      <sheetData sheetId="2"/>
      <sheetData sheetId="3"/>
      <sheetData sheetId="4"/>
      <sheetData sheetId="5"/>
      <sheetData sheetId="6" refreshError="1">
        <row r="2">
          <cell r="I2">
            <v>34059</v>
          </cell>
          <cell r="J2">
            <v>34424</v>
          </cell>
          <cell r="K2">
            <v>34789</v>
          </cell>
          <cell r="L2">
            <v>35155</v>
          </cell>
          <cell r="M2">
            <v>35520</v>
          </cell>
          <cell r="N2">
            <v>35885</v>
          </cell>
          <cell r="O2">
            <v>36250</v>
          </cell>
          <cell r="P2">
            <v>36616</v>
          </cell>
        </row>
        <row r="3">
          <cell r="I3">
            <v>301.7403000000005</v>
          </cell>
          <cell r="J3">
            <v>445.25860000000046</v>
          </cell>
          <cell r="K3">
            <v>1031.1570000000004</v>
          </cell>
          <cell r="L3">
            <v>1465.7249999999999</v>
          </cell>
          <cell r="M3">
            <v>1609.4460000000013</v>
          </cell>
          <cell r="N3">
            <v>1762.6680000000019</v>
          </cell>
          <cell r="O3">
            <v>2613.8600000000006</v>
          </cell>
          <cell r="P3">
            <v>2537.4060000000036</v>
          </cell>
        </row>
        <row r="4">
          <cell r="J4">
            <v>0.47563517369075226</v>
          </cell>
          <cell r="K4">
            <v>1.3158609401368087</v>
          </cell>
          <cell r="L4">
            <v>0.42143727870731551</v>
          </cell>
          <cell r="M4">
            <v>9.8054546384895858E-2</v>
          </cell>
          <cell r="N4">
            <v>9.5201702946231537E-2</v>
          </cell>
          <cell r="O4">
            <v>0.48289978600621208</v>
          </cell>
          <cell r="P4">
            <v>-2.9249462480774424E-2</v>
          </cell>
        </row>
        <row r="7">
          <cell r="J7">
            <v>57.559400000000004</v>
          </cell>
          <cell r="K7">
            <v>108.39949999999999</v>
          </cell>
          <cell r="L7">
            <v>136.4984</v>
          </cell>
          <cell r="M7">
            <v>137.53879999999998</v>
          </cell>
          <cell r="N7">
            <v>137.8322</v>
          </cell>
          <cell r="O7">
            <v>137.8314</v>
          </cell>
          <cell r="P7">
            <v>137.8314</v>
          </cell>
        </row>
        <row r="9">
          <cell r="I9">
            <v>57.404800000000002</v>
          </cell>
          <cell r="J9">
            <v>57.559400000000004</v>
          </cell>
          <cell r="K9">
            <v>108.39949999999999</v>
          </cell>
          <cell r="L9">
            <v>136.4984</v>
          </cell>
          <cell r="M9">
            <v>137.53879999999998</v>
          </cell>
          <cell r="N9">
            <v>137.8322</v>
          </cell>
          <cell r="O9">
            <v>137.8314</v>
          </cell>
          <cell r="P9">
            <v>137.8314</v>
          </cell>
        </row>
        <row r="10">
          <cell r="I10">
            <v>48.163454545454542</v>
          </cell>
          <cell r="J10">
            <v>57.805833333333339</v>
          </cell>
          <cell r="K10">
            <v>62.274230769230769</v>
          </cell>
          <cell r="L10">
            <v>113.50642857142857</v>
          </cell>
          <cell r="M10">
            <v>137.761</v>
          </cell>
          <cell r="N10">
            <v>137.68549999999999</v>
          </cell>
          <cell r="O10">
            <v>137.83179999999999</v>
          </cell>
          <cell r="P10">
            <v>137.8314</v>
          </cell>
        </row>
        <row r="12">
          <cell r="I12">
            <v>6.2649222911373874</v>
          </cell>
          <cell r="J12">
            <v>7.7026586128850969</v>
          </cell>
          <cell r="K12">
            <v>16.558325767541834</v>
          </cell>
          <cell r="L12">
            <v>12.913145259236417</v>
          </cell>
          <cell r="M12">
            <v>11.682885577195297</v>
          </cell>
          <cell r="N12">
            <v>12.802132395931322</v>
          </cell>
          <cell r="O12">
            <v>18.964128742423743</v>
          </cell>
          <cell r="P12">
            <v>18.409491596254579</v>
          </cell>
        </row>
        <row r="13">
          <cell r="J13">
            <v>22.94898890895405</v>
          </cell>
          <cell r="K13">
            <v>114.96896850449629</v>
          </cell>
          <cell r="L13">
            <v>-22.014185247223594</v>
          </cell>
          <cell r="M13">
            <v>-9.5271884373882454</v>
          </cell>
          <cell r="N13">
            <v>9.5802258041520751</v>
          </cell>
          <cell r="O13">
            <v>48.132577885624592</v>
          </cell>
          <cell r="P13">
            <v>-2.9246645269202953</v>
          </cell>
        </row>
        <row r="14">
          <cell r="I14">
            <v>27.342717441575918</v>
          </cell>
          <cell r="J14">
            <v>22.239074663577505</v>
          </cell>
          <cell r="K14">
            <v>10.3452488134874</v>
          </cell>
          <cell r="L14">
            <v>13.265552006198787</v>
          </cell>
          <cell r="M14">
            <v>14.662473484664899</v>
          </cell>
          <cell r="N14">
            <v>13.380583382690316</v>
          </cell>
          <cell r="O14">
            <v>9.0328431285531714</v>
          </cell>
          <cell r="P14">
            <v>9.3049826555151096</v>
          </cell>
        </row>
        <row r="15">
          <cell r="I15">
            <v>5.256360095323048</v>
          </cell>
          <cell r="J15">
            <v>7.7356365771707214</v>
          </cell>
          <cell r="K15">
            <v>9.5125623273170117</v>
          </cell>
          <cell r="L15">
            <v>10.738037955023648</v>
          </cell>
          <cell r="M15">
            <v>11.701759794327138</v>
          </cell>
          <cell r="N15">
            <v>12.788506604407402</v>
          </cell>
          <cell r="O15">
            <v>18.964183778152151</v>
          </cell>
          <cell r="P15">
            <v>18.409491596254579</v>
          </cell>
        </row>
        <row r="16">
          <cell r="I16">
            <v>2.2000000000000002</v>
          </cell>
          <cell r="J16">
            <v>2.4</v>
          </cell>
          <cell r="K16">
            <v>2.6</v>
          </cell>
          <cell r="L16">
            <v>2.8</v>
          </cell>
          <cell r="M16">
            <v>3</v>
          </cell>
          <cell r="N16">
            <v>3.25</v>
          </cell>
          <cell r="O16">
            <v>3.4</v>
          </cell>
          <cell r="P16">
            <v>4</v>
          </cell>
        </row>
        <row r="18">
          <cell r="I18">
            <v>35.279847559584852</v>
          </cell>
          <cell r="J18">
            <v>39.322849054272027</v>
          </cell>
          <cell r="K18">
            <v>19.484865843209356</v>
          </cell>
          <cell r="L18">
            <v>23.564329273943908</v>
          </cell>
          <cell r="M18">
            <v>38.575850710148401</v>
          </cell>
          <cell r="N18">
            <v>29.455304554924165</v>
          </cell>
          <cell r="O18">
            <v>21.577251651928016</v>
          </cell>
          <cell r="P18">
            <v>25.308480629837238</v>
          </cell>
        </row>
        <row r="19">
          <cell r="O19">
            <v>1.0461538461538462</v>
          </cell>
        </row>
        <row r="20">
          <cell r="I20">
            <v>53.700699645325827</v>
          </cell>
          <cell r="J20">
            <v>62.158932945791655</v>
          </cell>
          <cell r="K20">
            <v>75.177643808320155</v>
          </cell>
          <cell r="L20">
            <v>103.46272923345622</v>
          </cell>
          <cell r="M20">
            <v>114.14146408140833</v>
          </cell>
          <cell r="N20">
            <v>128.80894304814115</v>
          </cell>
          <cell r="O20">
            <v>147.33426998492359</v>
          </cell>
          <cell r="P20">
            <v>160.20504761614552</v>
          </cell>
        </row>
        <row r="21">
          <cell r="I21">
            <v>3.1899025735488751</v>
          </cell>
          <cell r="J21">
            <v>2.7558388132143365</v>
          </cell>
          <cell r="K21">
            <v>2.27860293728761</v>
          </cell>
          <cell r="L21">
            <v>1.6556686767219708</v>
          </cell>
          <cell r="M21">
            <v>1.5007692548767808</v>
          </cell>
          <cell r="N21">
            <v>1.329876605974309</v>
          </cell>
          <cell r="O21">
            <v>1.1626622917908289</v>
          </cell>
          <cell r="P21">
            <v>1.0692546992054721</v>
          </cell>
        </row>
        <row r="22">
          <cell r="I22">
            <v>60.143619052762141</v>
          </cell>
          <cell r="J22">
            <v>68.953600715087362</v>
          </cell>
          <cell r="K22">
            <v>79.276952384466725</v>
          </cell>
          <cell r="L22">
            <v>107.62000140660989</v>
          </cell>
          <cell r="M22">
            <v>119.47204716051037</v>
          </cell>
          <cell r="N22">
            <v>135.84997554998034</v>
          </cell>
          <cell r="O22">
            <v>155.03625226182132</v>
          </cell>
          <cell r="P22">
            <v>171.78632009832302</v>
          </cell>
        </row>
        <row r="24">
          <cell r="I24">
            <v>0</v>
          </cell>
          <cell r="J24">
            <v>28.782152320267571</v>
          </cell>
          <cell r="K24">
            <v>17.40504999598549</v>
          </cell>
          <cell r="L24">
            <v>8.8050607580439255</v>
          </cell>
          <cell r="M24">
            <v>7.0967400062427037</v>
          </cell>
          <cell r="N24">
            <v>31.837717116181455</v>
          </cell>
          <cell r="O24">
            <v>45.812911098890112</v>
          </cell>
          <cell r="P24">
            <v>57.963548219056072</v>
          </cell>
        </row>
        <row r="27">
          <cell r="I27">
            <v>3.3517458470371908</v>
          </cell>
          <cell r="J27">
            <v>3.846280538018124</v>
          </cell>
          <cell r="K27">
            <v>5.5195457543623405</v>
          </cell>
          <cell r="L27">
            <v>4.5813797084800987</v>
          </cell>
          <cell r="M27">
            <v>-0.98947351583697674</v>
          </cell>
          <cell r="N27">
            <v>0.8167830158700361</v>
          </cell>
          <cell r="O27">
            <v>5.3505804918182687</v>
          </cell>
          <cell r="P27">
            <v>3.2322097867394777</v>
          </cell>
        </row>
        <row r="28">
          <cell r="J28">
            <v>3710.7301539999999</v>
          </cell>
          <cell r="K28">
            <v>6281.2549424999997</v>
          </cell>
          <cell r="L28">
            <v>11641.769999999999</v>
          </cell>
          <cell r="M28">
            <v>15561</v>
          </cell>
          <cell r="N28">
            <v>17578.271499999999</v>
          </cell>
          <cell r="O28">
            <v>20046.682350000003</v>
          </cell>
          <cell r="P28">
            <v>22523.20635</v>
          </cell>
        </row>
        <row r="29">
          <cell r="J29">
            <v>2395.6983039999996</v>
          </cell>
          <cell r="K29">
            <v>4616.5341424999997</v>
          </cell>
          <cell r="L29">
            <v>9638.1435000000001</v>
          </cell>
          <cell r="M29">
            <v>13190.270999999999</v>
          </cell>
          <cell r="N29">
            <v>14553.952499999999</v>
          </cell>
          <cell r="O29">
            <v>16568.786350000002</v>
          </cell>
          <cell r="P29">
            <v>18730.157850000003</v>
          </cell>
        </row>
        <row r="30">
          <cell r="J30">
            <v>9902.3427039999988</v>
          </cell>
          <cell r="K30">
            <v>14958.789792499998</v>
          </cell>
          <cell r="L30">
            <v>21500.789999999997</v>
          </cell>
          <cell r="M30">
            <v>27062.517999999996</v>
          </cell>
          <cell r="N30">
            <v>29496.671999999999</v>
          </cell>
          <cell r="O30">
            <v>31319.354350000001</v>
          </cell>
          <cell r="P30">
            <v>32033.179350000002</v>
          </cell>
        </row>
        <row r="31">
          <cell r="J31">
            <v>7.844773941081737</v>
          </cell>
          <cell r="K31">
            <v>10.546448087605215</v>
          </cell>
          <cell r="L31">
            <v>11.350587583060902</v>
          </cell>
          <cell r="M31">
            <v>12.052533323026342</v>
          </cell>
          <cell r="N31">
            <v>12.979637160422715</v>
          </cell>
          <cell r="O31">
            <v>12.289078366649026</v>
          </cell>
          <cell r="P31">
            <v>12.520355710492417</v>
          </cell>
        </row>
        <row r="32">
          <cell r="J32">
            <v>19.090517784926501</v>
          </cell>
          <cell r="K32">
            <v>23.348503020899322</v>
          </cell>
          <cell r="L32">
            <v>14.901050269847282</v>
          </cell>
          <cell r="M32">
            <v>13.703470213996539</v>
          </cell>
          <cell r="N32">
            <v>15.0065095990809</v>
          </cell>
          <cell r="O32">
            <v>13.493773946091384</v>
          </cell>
          <cell r="P32">
            <v>13.6502989504423</v>
          </cell>
        </row>
        <row r="33">
          <cell r="J33">
            <v>18.585754277012693</v>
          </cell>
          <cell r="K33">
            <v>22.336171859038743</v>
          </cell>
          <cell r="L33">
            <v>15.207544897002206</v>
          </cell>
          <cell r="M33">
            <v>12.201765983428253</v>
          </cell>
          <cell r="N33">
            <v>12.111266681679785</v>
          </cell>
          <cell r="O33">
            <v>15.775808467709526</v>
          </cell>
          <cell r="P33">
            <v>13.547168263720764</v>
          </cell>
        </row>
        <row r="34">
          <cell r="M34">
            <v>12.953210711821741</v>
          </cell>
          <cell r="N34">
            <v>12.133891507116902</v>
          </cell>
          <cell r="O34">
            <v>14.85967302120209</v>
          </cell>
          <cell r="P34">
            <v>14.104328314717954</v>
          </cell>
        </row>
        <row r="36">
          <cell r="I36">
            <v>2608.8022000000001</v>
          </cell>
          <cell r="J36">
            <v>16367.152919999999</v>
          </cell>
          <cell r="K36">
            <v>25884.189350000001</v>
          </cell>
          <cell r="L36">
            <v>28231.639920000001</v>
          </cell>
          <cell r="M36">
            <v>31603.099439999995</v>
          </cell>
          <cell r="N36">
            <v>30378.854860000003</v>
          </cell>
          <cell r="O36">
            <v>29202.467820000005</v>
          </cell>
          <cell r="P36">
            <v>28795.210820000004</v>
          </cell>
        </row>
        <row r="37">
          <cell r="I37">
            <v>2.1467723517217898</v>
          </cell>
          <cell r="J37">
            <v>11.86034512144149</v>
          </cell>
          <cell r="K37">
            <v>14.566475151521969</v>
          </cell>
          <cell r="L37">
            <v>9.1085437629941648</v>
          </cell>
          <cell r="M37">
            <v>7.4724926783847145</v>
          </cell>
          <cell r="N37">
            <v>5.8972345547488008</v>
          </cell>
          <cell r="O37">
            <v>5.2450794840786674</v>
          </cell>
          <cell r="P37">
            <v>4.7872687381254302</v>
          </cell>
        </row>
        <row r="41">
          <cell r="L41">
            <v>167</v>
          </cell>
          <cell r="M41">
            <v>199</v>
          </cell>
          <cell r="N41">
            <v>209.6</v>
          </cell>
          <cell r="O41">
            <v>171.3</v>
          </cell>
          <cell r="P41">
            <v>171.3</v>
          </cell>
        </row>
        <row r="43">
          <cell r="L43">
            <v>363.99288258312527</v>
          </cell>
          <cell r="M43">
            <v>-1289.628587406743</v>
          </cell>
          <cell r="N43">
            <v>-1600.2417568916067</v>
          </cell>
          <cell r="O43">
            <v>-1531.0967889100734</v>
          </cell>
          <cell r="P43">
            <v>-1707.8391196954008</v>
          </cell>
        </row>
        <row r="44">
          <cell r="L44">
            <v>6.2077485156553553</v>
          </cell>
          <cell r="M44">
            <v>-11.580864154398727</v>
          </cell>
          <cell r="N44">
            <v>-10.732178845340419</v>
          </cell>
          <cell r="O44">
            <v>-9.1537462456771976</v>
          </cell>
          <cell r="P44">
            <v>-8.9741481731835506</v>
          </cell>
        </row>
        <row r="45">
          <cell r="L45">
            <v>2.718877262700369</v>
          </cell>
          <cell r="M45">
            <v>-6.5579027187855976</v>
          </cell>
          <cell r="N45">
            <v>-6.4219150576077411</v>
          </cell>
          <cell r="O45">
            <v>-5.6598019712427172</v>
          </cell>
          <cell r="P45">
            <v>-5.9713342615963931</v>
          </cell>
        </row>
        <row r="47">
          <cell r="I47">
            <v>56.428000000000004</v>
          </cell>
          <cell r="J47">
            <v>55.538600000000002</v>
          </cell>
          <cell r="K47">
            <v>69.210000000000008</v>
          </cell>
          <cell r="L47">
            <v>130.68600000000001</v>
          </cell>
          <cell r="M47">
            <v>454.726</v>
          </cell>
          <cell r="N47">
            <v>685.11199999999997</v>
          </cell>
          <cell r="O47">
            <v>892.59500000000003</v>
          </cell>
          <cell r="P47">
            <v>911.83600000000001</v>
          </cell>
        </row>
        <row r="51">
          <cell r="J51">
            <v>2.5604106904659556</v>
          </cell>
          <cell r="K51">
            <v>4.6217119341958846</v>
          </cell>
          <cell r="L51">
            <v>6.5847537919202432</v>
          </cell>
          <cell r="M51">
            <v>5.4519479145120711</v>
          </cell>
          <cell r="N51">
            <v>5.4519479145120711</v>
          </cell>
          <cell r="O51">
            <v>5.4519479145120711</v>
          </cell>
          <cell r="P51">
            <v>5.4519479145120711</v>
          </cell>
        </row>
        <row r="52">
          <cell r="J52">
            <v>7.2012068044711733E-2</v>
          </cell>
          <cell r="K52">
            <v>6.8040711025430231E-2</v>
          </cell>
          <cell r="L52">
            <v>48.437021273072048</v>
          </cell>
          <cell r="M52">
            <v>5.3558745248632151</v>
          </cell>
          <cell r="N52">
            <v>2</v>
          </cell>
          <cell r="O52">
            <v>2</v>
          </cell>
          <cell r="P52">
            <v>2</v>
          </cell>
        </row>
        <row r="53">
          <cell r="M53">
            <v>9.5118622424985517</v>
          </cell>
          <cell r="N53">
            <v>10</v>
          </cell>
          <cell r="O53">
            <v>10</v>
          </cell>
          <cell r="P53">
            <v>10.5</v>
          </cell>
        </row>
        <row r="59">
          <cell r="L59">
            <v>62.756357670221497</v>
          </cell>
          <cell r="M59">
            <v>44.38552713661884</v>
          </cell>
          <cell r="N59">
            <v>28.283642224012894</v>
          </cell>
          <cell r="O59">
            <v>0.28631076647778109</v>
          </cell>
          <cell r="P59">
            <v>0</v>
          </cell>
        </row>
        <row r="61">
          <cell r="I61">
            <v>0.48075784487862638</v>
          </cell>
          <cell r="J61">
            <v>0.48484848484848486</v>
          </cell>
          <cell r="K61">
            <v>0.49853995221661801</v>
          </cell>
          <cell r="L61">
            <v>0.5213675213675214</v>
          </cell>
          <cell r="M61">
            <v>0.5240812599863045</v>
          </cell>
          <cell r="N61">
            <v>0.53110871905274493</v>
          </cell>
          <cell r="O61">
            <v>0.54686868686868684</v>
          </cell>
          <cell r="P61">
            <v>0.54837461300309598</v>
          </cell>
        </row>
        <row r="62">
          <cell r="I62">
            <v>0.34724689165186501</v>
          </cell>
          <cell r="J62">
            <v>0.34409515717926931</v>
          </cell>
          <cell r="K62">
            <v>0.32413060791080434</v>
          </cell>
          <cell r="L62">
            <v>0.2908357075023742</v>
          </cell>
          <cell r="M62">
            <v>0.26843186487103399</v>
          </cell>
          <cell r="N62">
            <v>0.24865446716899892</v>
          </cell>
          <cell r="O62">
            <v>0.23070707070707069</v>
          </cell>
          <cell r="P62">
            <v>0.22252321981424147</v>
          </cell>
        </row>
        <row r="63">
          <cell r="I63">
            <v>0.15600947306098284</v>
          </cell>
          <cell r="J63">
            <v>0.1580288870008496</v>
          </cell>
          <cell r="K63">
            <v>0.16246349880541544</v>
          </cell>
          <cell r="L63">
            <v>0.17426400759734093</v>
          </cell>
          <cell r="M63">
            <v>0.19424788860990641</v>
          </cell>
          <cell r="N63">
            <v>0.20731969860064586</v>
          </cell>
          <cell r="O63">
            <v>0.21010101010101009</v>
          </cell>
          <cell r="P63">
            <v>0.21691176470588236</v>
          </cell>
        </row>
        <row r="64">
          <cell r="I64">
            <v>1.5985790408525755E-2</v>
          </cell>
          <cell r="J64">
            <v>1.3027470971396206E-2</v>
          </cell>
          <cell r="K64">
            <v>1.4865941067162198E-2</v>
          </cell>
          <cell r="L64">
            <v>1.3532763532763533E-2</v>
          </cell>
          <cell r="M64">
            <v>1.3238986532755079E-2</v>
          </cell>
          <cell r="N64">
            <v>1.2917115177610334E-2</v>
          </cell>
          <cell r="O64">
            <v>1.2323232323232323E-2</v>
          </cell>
          <cell r="P64">
            <v>1.2190402476780186E-2</v>
          </cell>
        </row>
        <row r="65">
          <cell r="I65">
            <v>1</v>
          </cell>
          <cell r="J65">
            <v>1</v>
          </cell>
          <cell r="K65">
            <v>1</v>
          </cell>
          <cell r="L65">
            <v>1</v>
          </cell>
          <cell r="M65">
            <v>1</v>
          </cell>
          <cell r="N65">
            <v>1</v>
          </cell>
          <cell r="O65">
            <v>1</v>
          </cell>
          <cell r="P65">
            <v>1</v>
          </cell>
        </row>
        <row r="68">
          <cell r="I68">
            <v>0.48075784487862638</v>
          </cell>
          <cell r="J68">
            <v>0.48484848484848486</v>
          </cell>
          <cell r="K68">
            <v>0.49853995221661801</v>
          </cell>
          <cell r="L68">
            <v>0.44122965641952983</v>
          </cell>
          <cell r="M68">
            <v>0.3955892487939352</v>
          </cell>
          <cell r="N68">
            <v>0.43295893295893295</v>
          </cell>
          <cell r="O68">
            <v>0.54581014597951438</v>
          </cell>
          <cell r="P68">
            <v>0.54837461300309598</v>
          </cell>
        </row>
        <row r="69">
          <cell r="I69">
            <v>0.34724689165186501</v>
          </cell>
          <cell r="J69">
            <v>0.34409515717926931</v>
          </cell>
          <cell r="K69">
            <v>0.32413060791080434</v>
          </cell>
          <cell r="L69">
            <v>0.24613220815752462</v>
          </cell>
          <cell r="M69">
            <v>0.20261888352860097</v>
          </cell>
          <cell r="N69">
            <v>0.20270270270270271</v>
          </cell>
          <cell r="O69">
            <v>0.23026050487942573</v>
          </cell>
          <cell r="P69">
            <v>0.22252321981424147</v>
          </cell>
        </row>
        <row r="70">
          <cell r="I70">
            <v>0.15600947306098284</v>
          </cell>
          <cell r="J70">
            <v>0.1580288870008496</v>
          </cell>
          <cell r="K70">
            <v>0.16246349880541544</v>
          </cell>
          <cell r="L70">
            <v>0.14747840064295761</v>
          </cell>
          <cell r="M70">
            <v>0.14662301860785665</v>
          </cell>
          <cell r="N70">
            <v>0.169006669006669</v>
          </cell>
          <cell r="O70">
            <v>0.20969433018791836</v>
          </cell>
          <cell r="P70">
            <v>0.21691176470588236</v>
          </cell>
        </row>
        <row r="71">
          <cell r="I71">
            <v>1.5985790408525755E-2</v>
          </cell>
          <cell r="J71">
            <v>1.3027470971396206E-2</v>
          </cell>
          <cell r="K71">
            <v>1.4865941067162198E-2</v>
          </cell>
          <cell r="L71">
            <v>1.1452682338758288E-2</v>
          </cell>
          <cell r="M71">
            <v>9.9931082012405231E-3</v>
          </cell>
          <cell r="N71">
            <v>1.053001053001053E-2</v>
          </cell>
          <cell r="O71">
            <v>1.2299378982175981E-2</v>
          </cell>
          <cell r="P71">
            <v>1.2190402476780186E-2</v>
          </cell>
        </row>
        <row r="72">
          <cell r="I72">
            <v>0</v>
          </cell>
          <cell r="J72">
            <v>0</v>
          </cell>
          <cell r="K72">
            <v>0</v>
          </cell>
          <cell r="L72">
            <v>0.15370705244122965</v>
          </cell>
          <cell r="M72">
            <v>0.24517574086836663</v>
          </cell>
          <cell r="N72">
            <v>0.1848016848016848</v>
          </cell>
          <cell r="O72">
            <v>1.9356399709654002E-3</v>
          </cell>
          <cell r="P72">
            <v>0</v>
          </cell>
        </row>
        <row r="73">
          <cell r="I73">
            <v>1</v>
          </cell>
          <cell r="J73">
            <v>1</v>
          </cell>
          <cell r="K73">
            <v>1</v>
          </cell>
          <cell r="L73">
            <v>1</v>
          </cell>
          <cell r="M73">
            <v>1</v>
          </cell>
          <cell r="N73">
            <v>1</v>
          </cell>
          <cell r="O73">
            <v>1</v>
          </cell>
          <cell r="P73">
            <v>1</v>
          </cell>
        </row>
        <row r="76">
          <cell r="I76">
            <v>2.2486678507992894</v>
          </cell>
          <cell r="J76">
            <v>2.6610025488530162</v>
          </cell>
          <cell r="K76">
            <v>3.0092912131669767</v>
          </cell>
          <cell r="L76">
            <v>3.0204239501707848</v>
          </cell>
          <cell r="M76">
            <v>3.057563749138525</v>
          </cell>
          <cell r="N76">
            <v>3.2367506142506137</v>
          </cell>
          <cell r="O76">
            <v>3.5524434886573157</v>
          </cell>
          <cell r="P76">
            <v>3.7754611640743492</v>
          </cell>
        </row>
        <row r="77">
          <cell r="J77">
            <v>2.7309544038516003</v>
          </cell>
          <cell r="K77">
            <v>3.0804353597026815</v>
          </cell>
          <cell r="L77">
            <v>3.2420821462488134</v>
          </cell>
          <cell r="M77">
            <v>3.4660351517918278</v>
          </cell>
          <cell r="N77">
            <v>3.5812066738428423</v>
          </cell>
          <cell r="O77">
            <v>3.5558823689585504</v>
          </cell>
          <cell r="P77">
            <v>3.7754611640743492</v>
          </cell>
        </row>
        <row r="78">
          <cell r="L78">
            <v>0.17249999999999999</v>
          </cell>
          <cell r="M78">
            <v>0.25</v>
          </cell>
          <cell r="N78">
            <v>0.25</v>
          </cell>
        </row>
        <row r="82">
          <cell r="I82">
            <v>86.805555555555557</v>
          </cell>
          <cell r="J82">
            <v>86.666666666666671</v>
          </cell>
          <cell r="K82">
            <v>85.98726114649682</v>
          </cell>
          <cell r="L82">
            <v>85.975609756097555</v>
          </cell>
          <cell r="M82">
            <v>85.582998276852379</v>
          </cell>
        </row>
        <row r="83">
          <cell r="I83">
            <v>2.083333333333333</v>
          </cell>
          <cell r="J83">
            <v>2</v>
          </cell>
          <cell r="K83">
            <v>2.5477707006369426</v>
          </cell>
          <cell r="L83">
            <v>2.4390243902439024</v>
          </cell>
          <cell r="M83">
            <v>2.3549684089603682</v>
          </cell>
        </row>
        <row r="84">
          <cell r="I84">
            <v>11.111111111111112</v>
          </cell>
          <cell r="J84">
            <v>11.333333333333334</v>
          </cell>
          <cell r="K84">
            <v>11.464968152866241</v>
          </cell>
          <cell r="L84">
            <v>11.585365853658537</v>
          </cell>
          <cell r="M84">
            <v>12.06203331418725</v>
          </cell>
        </row>
        <row r="85">
          <cell r="I85" t="e">
            <v>#REF!</v>
          </cell>
          <cell r="J85" t="e">
            <v>#REF!</v>
          </cell>
          <cell r="K85" t="e">
            <v>#REF!</v>
          </cell>
          <cell r="L85" t="e">
            <v>#REF!</v>
          </cell>
          <cell r="M85" t="e">
            <v>#REF!</v>
          </cell>
        </row>
        <row r="86">
          <cell r="I86">
            <v>100</v>
          </cell>
          <cell r="J86">
            <v>100</v>
          </cell>
          <cell r="K86">
            <v>100</v>
          </cell>
          <cell r="L86">
            <v>100</v>
          </cell>
          <cell r="M86">
            <v>100</v>
          </cell>
        </row>
        <row r="101">
          <cell r="M101">
            <v>0</v>
          </cell>
          <cell r="N101">
            <v>0</v>
          </cell>
          <cell r="O101">
            <v>0</v>
          </cell>
        </row>
        <row r="106">
          <cell r="L106">
            <v>1219</v>
          </cell>
          <cell r="M106">
            <v>3206</v>
          </cell>
          <cell r="N106">
            <v>3723</v>
          </cell>
          <cell r="O106">
            <v>3353</v>
          </cell>
          <cell r="P106">
            <v>3895</v>
          </cell>
        </row>
        <row r="108">
          <cell r="L108" t="e">
            <v>#REF!</v>
          </cell>
          <cell r="M108" t="e">
            <v>#REF!</v>
          </cell>
          <cell r="N108" t="e">
            <v>#REF!</v>
          </cell>
          <cell r="O108" t="e">
            <v>#REF!</v>
          </cell>
          <cell r="P108" t="e">
            <v>#REF!</v>
          </cell>
        </row>
        <row r="109">
          <cell r="L109">
            <v>507.64148</v>
          </cell>
          <cell r="M109">
            <v>1073.7831280000003</v>
          </cell>
          <cell r="N109">
            <v>1181.1614408000005</v>
          </cell>
          <cell r="O109">
            <v>1299.2775848800006</v>
          </cell>
          <cell r="P109">
            <v>1429.2053433680007</v>
          </cell>
        </row>
        <row r="110">
          <cell r="L110">
            <v>-578.81420000000003</v>
          </cell>
          <cell r="M110">
            <v>-1155.56122</v>
          </cell>
          <cell r="N110">
            <v>1100</v>
          </cell>
          <cell r="O110">
            <v>1100</v>
          </cell>
          <cell r="P110">
            <v>1100</v>
          </cell>
        </row>
        <row r="111">
          <cell r="L111">
            <v>-594.71900000000005</v>
          </cell>
          <cell r="M111">
            <v>-1006.5877999999999</v>
          </cell>
          <cell r="N111">
            <v>1050</v>
          </cell>
          <cell r="O111">
            <v>1050</v>
          </cell>
          <cell r="P111">
            <v>1050</v>
          </cell>
        </row>
        <row r="112">
          <cell r="L112" t="e">
            <v>#REF!</v>
          </cell>
          <cell r="M112" t="e">
            <v>#REF!</v>
          </cell>
          <cell r="N112" t="e">
            <v>#REF!</v>
          </cell>
          <cell r="O112" t="e">
            <v>#REF!</v>
          </cell>
          <cell r="P112" t="e">
            <v>#REF!</v>
          </cell>
        </row>
        <row r="114">
          <cell r="L114" t="e">
            <v>#REF!</v>
          </cell>
          <cell r="M114" t="e">
            <v>#REF!</v>
          </cell>
          <cell r="N114" t="e">
            <v>#REF!</v>
          </cell>
          <cell r="O114" t="e">
            <v>#REF!</v>
          </cell>
          <cell r="P114" t="e">
            <v>#REF!</v>
          </cell>
        </row>
        <row r="117">
          <cell r="L117" t="e">
            <v>#REF!</v>
          </cell>
          <cell r="M117" t="e">
            <v>#REF!</v>
          </cell>
          <cell r="N117" t="e">
            <v>#REF!</v>
          </cell>
          <cell r="O117" t="e">
            <v>#REF!</v>
          </cell>
          <cell r="P117" t="e">
            <v>#REF!</v>
          </cell>
        </row>
        <row r="118">
          <cell r="L118" t="e">
            <v>#REF!</v>
          </cell>
          <cell r="M118" t="e">
            <v>#REF!</v>
          </cell>
          <cell r="N118" t="e">
            <v>#REF!</v>
          </cell>
          <cell r="O118" t="e">
            <v>#REF!</v>
          </cell>
          <cell r="P118" t="e">
            <v>#REF!</v>
          </cell>
        </row>
        <row r="119">
          <cell r="L119" t="e">
            <v>#REF!</v>
          </cell>
          <cell r="M119" t="e">
            <v>#REF!</v>
          </cell>
          <cell r="N119" t="e">
            <v>#REF!</v>
          </cell>
          <cell r="O119" t="e">
            <v>#REF!</v>
          </cell>
          <cell r="P119" t="e">
            <v>#REF!</v>
          </cell>
        </row>
        <row r="120">
          <cell r="L120" t="e">
            <v>#REF!</v>
          </cell>
          <cell r="M120" t="e">
            <v>#REF!</v>
          </cell>
          <cell r="N120" t="e">
            <v>#REF!</v>
          </cell>
          <cell r="O120" t="e">
            <v>#REF!</v>
          </cell>
          <cell r="P120" t="e">
            <v>#REF!</v>
          </cell>
        </row>
        <row r="126">
          <cell r="I126">
            <v>1.25</v>
          </cell>
          <cell r="J126">
            <v>1.3</v>
          </cell>
          <cell r="K126">
            <v>1.35</v>
          </cell>
          <cell r="L126">
            <v>1.41</v>
          </cell>
          <cell r="M126">
            <v>1.49</v>
          </cell>
          <cell r="N126">
            <v>1.55</v>
          </cell>
          <cell r="O126">
            <v>1.6064999999999998</v>
          </cell>
          <cell r="P126">
            <v>1.68</v>
          </cell>
        </row>
        <row r="127">
          <cell r="I127">
            <v>5.9322033898305149</v>
          </cell>
          <cell r="J127">
            <v>4.0000000000000036</v>
          </cell>
          <cell r="K127">
            <v>3.8461538461538547</v>
          </cell>
          <cell r="L127">
            <v>4.4444444444444287</v>
          </cell>
          <cell r="M127">
            <v>5.6737588652482351</v>
          </cell>
          <cell r="N127">
            <v>4.0268456375838868</v>
          </cell>
          <cell r="O127">
            <v>3.6451612903225739</v>
          </cell>
          <cell r="P127">
            <v>4.5751633986928164</v>
          </cell>
        </row>
        <row r="128">
          <cell r="I128">
            <v>1299.2</v>
          </cell>
          <cell r="J128">
            <v>1316.9230769230769</v>
          </cell>
          <cell r="K128">
            <v>1391.1111111111111</v>
          </cell>
          <cell r="L128">
            <v>1557.4468085106384</v>
          </cell>
          <cell r="M128">
            <v>1540.9395973154362</v>
          </cell>
          <cell r="N128">
            <v>1591.6129032258063</v>
          </cell>
          <cell r="O128">
            <v>1685.0295673825087</v>
          </cell>
          <cell r="P128">
            <v>1686.9047619047619</v>
          </cell>
        </row>
        <row r="129">
          <cell r="I129">
            <v>0.85894736842104802</v>
          </cell>
          <cell r="J129">
            <v>1.3641530882910091</v>
          </cell>
          <cell r="K129">
            <v>5.63343717549325</v>
          </cell>
          <cell r="L129">
            <v>11.957038950445265</v>
          </cell>
          <cell r="M129">
            <v>-1.0598892434077967</v>
          </cell>
          <cell r="N129">
            <v>3.2884680229290808</v>
          </cell>
          <cell r="O129">
            <v>5.8693080438949607</v>
          </cell>
          <cell r="P129">
            <v>0.11128555596600087</v>
          </cell>
        </row>
        <row r="130">
          <cell r="I130">
            <v>1624</v>
          </cell>
          <cell r="J130">
            <v>1712</v>
          </cell>
          <cell r="K130">
            <v>1878</v>
          </cell>
          <cell r="L130">
            <v>2196</v>
          </cell>
          <cell r="M130">
            <v>2296</v>
          </cell>
          <cell r="N130">
            <v>2467</v>
          </cell>
          <cell r="O130">
            <v>2707</v>
          </cell>
          <cell r="P130">
            <v>2834</v>
          </cell>
        </row>
        <row r="131">
          <cell r="I131">
            <v>6.8421052631578938</v>
          </cell>
          <cell r="J131">
            <v>5.4187192118226646</v>
          </cell>
          <cell r="K131">
            <v>9.6962616822430014</v>
          </cell>
          <cell r="L131">
            <v>16.932907348242821</v>
          </cell>
          <cell r="M131">
            <v>4.5537340619307809</v>
          </cell>
          <cell r="N131">
            <v>7.4477351916376389</v>
          </cell>
          <cell r="O131">
            <v>9.7284150790433621</v>
          </cell>
          <cell r="P131">
            <v>4.6915404506834069</v>
          </cell>
        </row>
        <row r="132">
          <cell r="I132">
            <v>1.5591133004926108</v>
          </cell>
          <cell r="J132">
            <v>1.7862149532710281</v>
          </cell>
          <cell r="K132">
            <v>2.0793397231096913</v>
          </cell>
          <cell r="L132">
            <v>2.2725</v>
          </cell>
          <cell r="M132">
            <v>2.36</v>
          </cell>
          <cell r="N132">
            <v>2.36</v>
          </cell>
          <cell r="O132">
            <v>2.3953999999999995</v>
          </cell>
          <cell r="P132">
            <v>2.5702641999999996</v>
          </cell>
        </row>
        <row r="133">
          <cell r="I133" t="e">
            <v>#DIV/0!</v>
          </cell>
          <cell r="J133">
            <v>14.566077571569892</v>
          </cell>
          <cell r="K133">
            <v>16.410386068142291</v>
          </cell>
          <cell r="L133">
            <v>9.2895006402048619</v>
          </cell>
          <cell r="M133">
            <v>3.8503850385038563</v>
          </cell>
          <cell r="N133">
            <v>0</v>
          </cell>
          <cell r="O133">
            <v>1.5</v>
          </cell>
          <cell r="P133">
            <v>7.3</v>
          </cell>
        </row>
        <row r="134">
          <cell r="I134">
            <v>2532</v>
          </cell>
          <cell r="J134">
            <v>3058</v>
          </cell>
          <cell r="K134">
            <v>3905</v>
          </cell>
          <cell r="L134">
            <v>4990.41</v>
          </cell>
          <cell r="M134">
            <v>5418.5599999999995</v>
          </cell>
          <cell r="N134">
            <v>5822.12</v>
          </cell>
          <cell r="O134">
            <v>6484.3477999999986</v>
          </cell>
          <cell r="P134">
            <v>7284.1287427999987</v>
          </cell>
        </row>
        <row r="136">
          <cell r="I136">
            <v>0.03</v>
          </cell>
          <cell r="J136">
            <v>0.03</v>
          </cell>
          <cell r="K136">
            <v>0.04</v>
          </cell>
          <cell r="L136">
            <v>0.04</v>
          </cell>
          <cell r="M136">
            <v>4.1000000000000002E-2</v>
          </cell>
          <cell r="N136">
            <v>4.2000000000000003E-2</v>
          </cell>
          <cell r="O136">
            <v>4.2999999999999997E-2</v>
          </cell>
          <cell r="P136">
            <v>4.3999999999999997E-2</v>
          </cell>
        </row>
        <row r="137">
          <cell r="I137">
            <v>0</v>
          </cell>
          <cell r="J137">
            <v>0</v>
          </cell>
          <cell r="K137">
            <v>33.33333333333335</v>
          </cell>
          <cell r="L137">
            <v>0</v>
          </cell>
          <cell r="M137">
            <v>2.4999999999999911</v>
          </cell>
          <cell r="N137">
            <v>2.4390243902439046</v>
          </cell>
          <cell r="O137">
            <v>2.3809523809523725</v>
          </cell>
          <cell r="P137">
            <v>2.3255813953488413</v>
          </cell>
        </row>
        <row r="138">
          <cell r="I138">
            <v>39100</v>
          </cell>
          <cell r="J138">
            <v>40500</v>
          </cell>
          <cell r="K138">
            <v>30525</v>
          </cell>
          <cell r="L138">
            <v>30625</v>
          </cell>
          <cell r="M138">
            <v>28682.92682926829</v>
          </cell>
          <cell r="N138">
            <v>27500</v>
          </cell>
        </row>
        <row r="139">
          <cell r="I139">
            <v>-1.179443976411132</v>
          </cell>
          <cell r="J139">
            <v>3.5805626598465423</v>
          </cell>
          <cell r="K139">
            <v>-24.629629629629633</v>
          </cell>
          <cell r="L139">
            <v>0.32760032760033031</v>
          </cell>
          <cell r="M139">
            <v>-6.341463414634152</v>
          </cell>
          <cell r="N139">
            <v>-4.1241496598639404</v>
          </cell>
          <cell r="O139">
            <v>6</v>
          </cell>
          <cell r="P139">
            <v>6</v>
          </cell>
        </row>
        <row r="140">
          <cell r="I140">
            <v>1173</v>
          </cell>
          <cell r="J140">
            <v>1215</v>
          </cell>
          <cell r="K140">
            <v>1221</v>
          </cell>
          <cell r="L140">
            <v>1225</v>
          </cell>
          <cell r="M140">
            <v>1176</v>
          </cell>
          <cell r="N140">
            <v>1155</v>
          </cell>
          <cell r="O140">
            <v>1142</v>
          </cell>
          <cell r="P140">
            <v>1150</v>
          </cell>
        </row>
        <row r="141">
          <cell r="I141">
            <v>-1.1794439764111209</v>
          </cell>
          <cell r="J141">
            <v>3.5805626598465423</v>
          </cell>
          <cell r="K141">
            <v>0.49382716049382047</v>
          </cell>
          <cell r="L141">
            <v>0.32760032760033031</v>
          </cell>
          <cell r="M141">
            <v>-4.0000000000000036</v>
          </cell>
          <cell r="N141">
            <v>-1.7857142857142905</v>
          </cell>
          <cell r="O141">
            <v>-1.1255411255411296</v>
          </cell>
          <cell r="P141">
            <v>0.70052539404552583</v>
          </cell>
        </row>
        <row r="142">
          <cell r="I142">
            <v>2.8635976129582268</v>
          </cell>
          <cell r="J142">
            <v>3.4139917695473252</v>
          </cell>
          <cell r="K142">
            <v>3.8763308763308761</v>
          </cell>
          <cell r="L142">
            <v>4.0724999999999998</v>
          </cell>
          <cell r="M142">
            <v>4.42</v>
          </cell>
          <cell r="N142">
            <v>4.6852</v>
          </cell>
          <cell r="O142">
            <v>4.6383479999999997</v>
          </cell>
          <cell r="P142">
            <v>4.9166488800000003</v>
          </cell>
        </row>
        <row r="143">
          <cell r="I143" t="e">
            <v>#DIV/0!</v>
          </cell>
          <cell r="J143">
            <v>19.220373494463018</v>
          </cell>
          <cell r="K143">
            <v>13.542478658197066</v>
          </cell>
          <cell r="L143">
            <v>5.0606908937249173</v>
          </cell>
          <cell r="M143">
            <v>8.5328422344997037</v>
          </cell>
          <cell r="N143">
            <v>6.0000000000000053</v>
          </cell>
          <cell r="O143">
            <v>-1</v>
          </cell>
          <cell r="P143">
            <v>6</v>
          </cell>
        </row>
        <row r="144">
          <cell r="I144">
            <v>3359</v>
          </cell>
          <cell r="J144">
            <v>4148</v>
          </cell>
          <cell r="K144">
            <v>4733</v>
          </cell>
          <cell r="L144">
            <v>4988.8125</v>
          </cell>
          <cell r="M144">
            <v>5197.92</v>
          </cell>
          <cell r="N144">
            <v>5411.4059999999999</v>
          </cell>
          <cell r="O144">
            <v>5296.9934159999993</v>
          </cell>
          <cell r="P144">
            <v>5654.1462120000006</v>
          </cell>
        </row>
        <row r="146">
          <cell r="I146">
            <v>0.16</v>
          </cell>
          <cell r="J146">
            <v>0.17</v>
          </cell>
          <cell r="K146">
            <v>0.18</v>
          </cell>
          <cell r="L146">
            <v>0.19</v>
          </cell>
          <cell r="M146">
            <v>0.21</v>
          </cell>
          <cell r="N146">
            <v>0.23</v>
          </cell>
          <cell r="O146">
            <v>0.24</v>
          </cell>
          <cell r="P146">
            <v>0.26</v>
          </cell>
        </row>
        <row r="147">
          <cell r="I147">
            <v>6.6666666666666652</v>
          </cell>
          <cell r="J147">
            <v>6.25</v>
          </cell>
          <cell r="K147">
            <v>5.8823529411764497</v>
          </cell>
          <cell r="L147">
            <v>5.555555555555558</v>
          </cell>
          <cell r="M147">
            <v>10.526315789473673</v>
          </cell>
          <cell r="N147">
            <v>9.5238095238095344</v>
          </cell>
          <cell r="O147">
            <v>4.3478260869565188</v>
          </cell>
          <cell r="P147">
            <v>8.3333333333333481</v>
          </cell>
        </row>
        <row r="148">
          <cell r="I148">
            <v>3293.75</v>
          </cell>
          <cell r="J148">
            <v>3282.3529411764703</v>
          </cell>
          <cell r="K148">
            <v>3400</v>
          </cell>
          <cell r="L148">
            <v>3863.1578947368421</v>
          </cell>
          <cell r="M148">
            <v>4052.3809523809527</v>
          </cell>
          <cell r="N148">
            <v>4186.95652173913</v>
          </cell>
          <cell r="O148">
            <v>4333.3333333333339</v>
          </cell>
          <cell r="P148">
            <v>4311.538461538461</v>
          </cell>
        </row>
        <row r="149">
          <cell r="I149">
            <v>-1.9717261904761862</v>
          </cell>
          <cell r="J149">
            <v>-0.34602076124568004</v>
          </cell>
          <cell r="K149">
            <v>3.5842293906810152</v>
          </cell>
          <cell r="L149">
            <v>13.622291021671828</v>
          </cell>
          <cell r="M149">
            <v>4.8981445439211235</v>
          </cell>
          <cell r="N149">
            <v>3.3209012415061467</v>
          </cell>
          <cell r="O149">
            <v>3.496019383869875</v>
          </cell>
          <cell r="P149">
            <v>-0.50295857988168491</v>
          </cell>
        </row>
        <row r="150">
          <cell r="I150">
            <v>527</v>
          </cell>
          <cell r="J150">
            <v>558</v>
          </cell>
          <cell r="K150">
            <v>612</v>
          </cell>
          <cell r="L150">
            <v>734</v>
          </cell>
          <cell r="M150">
            <v>851</v>
          </cell>
          <cell r="N150">
            <v>963</v>
          </cell>
          <cell r="O150">
            <v>1040</v>
          </cell>
          <cell r="P150">
            <v>1121</v>
          </cell>
        </row>
        <row r="151">
          <cell r="I151">
            <v>4.5634920634920695</v>
          </cell>
          <cell r="J151">
            <v>5.8823529411764719</v>
          </cell>
          <cell r="K151">
            <v>9.6774193548387011</v>
          </cell>
          <cell r="L151">
            <v>19.934640522875814</v>
          </cell>
          <cell r="M151">
            <v>15.940054495912804</v>
          </cell>
          <cell r="N151">
            <v>13.160987074030551</v>
          </cell>
          <cell r="O151">
            <v>7.9958463136033275</v>
          </cell>
          <cell r="P151">
            <v>7.788461538461533</v>
          </cell>
        </row>
        <row r="152">
          <cell r="I152">
            <v>3.2352941176470589</v>
          </cell>
          <cell r="J152">
            <v>3.924731182795699</v>
          </cell>
          <cell r="K152">
            <v>4.4084967320261441</v>
          </cell>
          <cell r="L152">
            <v>4.6924999999999999</v>
          </cell>
          <cell r="M152">
            <v>5.0599999999999996</v>
          </cell>
          <cell r="N152">
            <v>5.3129999999999997</v>
          </cell>
          <cell r="O152">
            <v>5.3129999999999997</v>
          </cell>
          <cell r="P152">
            <v>5.5786499999999997</v>
          </cell>
        </row>
        <row r="153">
          <cell r="I153" t="e">
            <v>#DIV/0!</v>
          </cell>
          <cell r="J153">
            <v>21.309872922776151</v>
          </cell>
          <cell r="K153">
            <v>12.326081117378473</v>
          </cell>
          <cell r="L153">
            <v>6.4421793921423109</v>
          </cell>
          <cell r="M153">
            <v>7.831646244006385</v>
          </cell>
          <cell r="N153">
            <v>5.0000000000000044</v>
          </cell>
          <cell r="O153">
            <v>0</v>
          </cell>
          <cell r="P153">
            <v>5.0000000000000044</v>
          </cell>
        </row>
        <row r="154">
          <cell r="I154">
            <v>1705</v>
          </cell>
          <cell r="J154">
            <v>2190</v>
          </cell>
          <cell r="K154">
            <v>2698</v>
          </cell>
          <cell r="L154">
            <v>3444.2950000000001</v>
          </cell>
          <cell r="M154">
            <v>4306.0599999999995</v>
          </cell>
          <cell r="N154">
            <v>5116.4189999999999</v>
          </cell>
          <cell r="O154">
            <v>5525.5199999999995</v>
          </cell>
          <cell r="P154">
            <v>6253.6666499999992</v>
          </cell>
        </row>
        <row r="156">
          <cell r="I156">
            <v>54</v>
          </cell>
          <cell r="J156">
            <v>46</v>
          </cell>
          <cell r="K156">
            <v>56</v>
          </cell>
          <cell r="L156">
            <v>57</v>
          </cell>
          <cell r="M156">
            <v>58</v>
          </cell>
          <cell r="N156">
            <v>60</v>
          </cell>
          <cell r="O156">
            <v>61</v>
          </cell>
          <cell r="P156">
            <v>63</v>
          </cell>
        </row>
        <row r="157">
          <cell r="I157">
            <v>1.8867924528301883</v>
          </cell>
          <cell r="J157">
            <v>-14.814814814814813</v>
          </cell>
          <cell r="K157">
            <v>21.739130434782616</v>
          </cell>
          <cell r="L157">
            <v>1.7857142857142794</v>
          </cell>
          <cell r="M157">
            <v>1.7543859649122862</v>
          </cell>
          <cell r="N157">
            <v>3.4482758620689724</v>
          </cell>
          <cell r="O157">
            <v>1.6666666666666607</v>
          </cell>
          <cell r="P157">
            <v>3.2786885245901676</v>
          </cell>
        </row>
        <row r="158">
          <cell r="I158">
            <v>4.0370370370370372</v>
          </cell>
          <cell r="J158">
            <v>5.3695652173913047</v>
          </cell>
          <cell r="K158">
            <v>4.7857142857142856</v>
          </cell>
          <cell r="L158">
            <v>4.0724999999999998</v>
          </cell>
          <cell r="M158">
            <v>4.5199999999999996</v>
          </cell>
          <cell r="N158">
            <v>4.7459999999999996</v>
          </cell>
          <cell r="O158">
            <v>4.8320739400791481</v>
          </cell>
          <cell r="P158">
            <v>5.0736776370831054</v>
          </cell>
        </row>
        <row r="159">
          <cell r="I159" t="e">
            <v>#DIV/0!</v>
          </cell>
          <cell r="J159">
            <v>33.007578779417621</v>
          </cell>
          <cell r="K159">
            <v>-10.873337189126675</v>
          </cell>
          <cell r="L159">
            <v>-14.902985074626873</v>
          </cell>
          <cell r="M159">
            <v>10.988336402701048</v>
          </cell>
          <cell r="N159">
            <v>5.0000000000000044</v>
          </cell>
          <cell r="O159">
            <v>1.8136101997292098</v>
          </cell>
          <cell r="P159">
            <v>5.0000000000000044</v>
          </cell>
        </row>
        <row r="160">
          <cell r="I160">
            <v>218</v>
          </cell>
          <cell r="J160">
            <v>247</v>
          </cell>
          <cell r="K160">
            <v>268</v>
          </cell>
          <cell r="L160">
            <v>232.13249999999999</v>
          </cell>
          <cell r="M160">
            <v>262.15999999999997</v>
          </cell>
          <cell r="N160">
            <v>284.76</v>
          </cell>
          <cell r="O160">
            <v>294.75651034482803</v>
          </cell>
          <cell r="P160">
            <v>319.64169113623564</v>
          </cell>
        </row>
        <row r="162">
          <cell r="I162">
            <v>1.44</v>
          </cell>
          <cell r="J162">
            <v>1.5</v>
          </cell>
          <cell r="K162">
            <v>1.57</v>
          </cell>
          <cell r="L162">
            <v>1.64</v>
          </cell>
          <cell r="M162">
            <v>1.7409999999999999</v>
          </cell>
          <cell r="N162">
            <v>1.8220000000000001</v>
          </cell>
          <cell r="O162">
            <v>1.89</v>
          </cell>
          <cell r="P162">
            <v>1.984</v>
          </cell>
        </row>
        <row r="163">
          <cell r="I163">
            <v>5.8823529411764719</v>
          </cell>
          <cell r="J163"/>
          <cell r="K163">
            <v>4.6666666666666634</v>
          </cell>
          <cell r="L163">
            <v>4.4585987261146487</v>
          </cell>
          <cell r="M163">
            <v>6.158536585365848</v>
          </cell>
          <cell r="N163">
            <v>4.6524985640436611</v>
          </cell>
          <cell r="O163">
            <v>3.7321624588364299</v>
          </cell>
          <cell r="P163">
            <v>4.9735449735449855</v>
          </cell>
        </row>
        <row r="164">
          <cell r="I164">
            <v>2345.8333333333335</v>
          </cell>
          <cell r="J164">
            <v>2354</v>
          </cell>
          <cell r="K164">
            <v>2399.3630573248406</v>
          </cell>
          <cell r="L164">
            <v>2568.2926829268295</v>
          </cell>
          <cell r="M164">
            <v>2516.3699023549684</v>
          </cell>
          <cell r="N164">
            <v>2549.396267837541</v>
          </cell>
          <cell r="O164">
            <v>2619.0476190476193</v>
          </cell>
          <cell r="P164">
            <v>2604.8387096774195</v>
          </cell>
        </row>
        <row r="165">
          <cell r="I165">
            <v>-2.256944444444442</v>
          </cell>
          <cell r="J165">
            <v>0.34813499111900903</v>
          </cell>
          <cell r="K165">
            <v>1.9270627580646016</v>
          </cell>
          <cell r="L165">
            <v>7.0406029252753521</v>
          </cell>
          <cell r="M165">
            <v>-2.0216847136242166</v>
          </cell>
          <cell r="N165">
            <v>1.3124606780451797</v>
          </cell>
          <cell r="O165">
            <v>2.732072376851713</v>
          </cell>
          <cell r="P165">
            <v>-0.54252199413490354</v>
          </cell>
        </row>
        <row r="166">
          <cell r="I166">
            <v>3378</v>
          </cell>
          <cell r="J166">
            <v>3531</v>
          </cell>
          <cell r="K166">
            <v>3767</v>
          </cell>
          <cell r="L166">
            <v>4212</v>
          </cell>
          <cell r="M166">
            <v>4381</v>
          </cell>
          <cell r="N166">
            <v>4645</v>
          </cell>
          <cell r="O166">
            <v>4950</v>
          </cell>
          <cell r="P166">
            <v>5168</v>
          </cell>
        </row>
        <row r="167">
          <cell r="I167">
            <v>3.4926470588235281</v>
          </cell>
          <cell r="J167">
            <v>4.5293072824156289</v>
          </cell>
          <cell r="K167">
            <v>6.6836590201076129</v>
          </cell>
          <cell r="L167">
            <v>11.8131138837271</v>
          </cell>
          <cell r="M167">
            <v>4.0123456790123413</v>
          </cell>
          <cell r="N167">
            <v>6.0260214562885217</v>
          </cell>
          <cell r="O167">
            <v>6.566200215285245</v>
          </cell>
          <cell r="P167">
            <v>4.4040404040404102</v>
          </cell>
        </row>
        <row r="169">
          <cell r="L169">
            <v>765</v>
          </cell>
          <cell r="M169">
            <v>1423</v>
          </cell>
          <cell r="N169">
            <v>1053</v>
          </cell>
          <cell r="O169">
            <v>9.6</v>
          </cell>
        </row>
        <row r="170">
          <cell r="L170">
            <v>1.8</v>
          </cell>
          <cell r="M170">
            <v>1.8</v>
          </cell>
          <cell r="N170">
            <v>1.7172839506172839</v>
          </cell>
          <cell r="O170">
            <v>1.7792708333333334</v>
          </cell>
          <cell r="P170">
            <v>1.8682343750000001</v>
          </cell>
        </row>
        <row r="171">
          <cell r="I171" t="e">
            <v>#DIV/0!</v>
          </cell>
          <cell r="J171" t="e">
            <v>#DIV/0!</v>
          </cell>
          <cell r="K171" t="e">
            <v>#DIV/0!</v>
          </cell>
          <cell r="L171" t="e">
            <v>#DIV/0!</v>
          </cell>
          <cell r="M171">
            <v>0</v>
          </cell>
          <cell r="N171">
            <v>-4.5953360768175688</v>
          </cell>
          <cell r="O171">
            <v>3.6095884255931132</v>
          </cell>
          <cell r="P171">
            <v>5.0000000000000044</v>
          </cell>
        </row>
        <row r="172">
          <cell r="L172">
            <v>1377</v>
          </cell>
          <cell r="M172">
            <v>2561.4</v>
          </cell>
          <cell r="N172">
            <v>1808.3</v>
          </cell>
          <cell r="O172">
            <v>17.081</v>
          </cell>
          <cell r="P172">
            <v>0</v>
          </cell>
        </row>
        <row r="173">
          <cell r="I173">
            <v>0</v>
          </cell>
          <cell r="J173">
            <v>0</v>
          </cell>
          <cell r="K173">
            <v>0</v>
          </cell>
          <cell r="L173">
            <v>0</v>
          </cell>
          <cell r="M173">
            <v>0</v>
          </cell>
          <cell r="N173">
            <v>0</v>
          </cell>
          <cell r="P173">
            <v>0.25445046439628483</v>
          </cell>
        </row>
        <row r="174">
          <cell r="I174">
            <v>3378</v>
          </cell>
          <cell r="J174">
            <v>3531</v>
          </cell>
          <cell r="K174">
            <v>3767</v>
          </cell>
          <cell r="L174">
            <v>4977</v>
          </cell>
          <cell r="M174">
            <v>5804</v>
          </cell>
          <cell r="N174">
            <v>5698</v>
          </cell>
          <cell r="O174">
            <v>4959.6000000000004</v>
          </cell>
          <cell r="P174">
            <v>5168</v>
          </cell>
        </row>
        <row r="175">
          <cell r="I175">
            <v>3.4926470588235281</v>
          </cell>
          <cell r="J175">
            <v>4.5293072824156289</v>
          </cell>
          <cell r="K175">
            <v>6.6836590201076129</v>
          </cell>
          <cell r="L175">
            <v>32.121051234404028</v>
          </cell>
          <cell r="M175">
            <v>16.616435603777369</v>
          </cell>
          <cell r="N175">
            <v>-1.8263266712612025</v>
          </cell>
          <cell r="O175">
            <v>-12.958932958932955</v>
          </cell>
          <cell r="P175">
            <v>4.2019517703040465</v>
          </cell>
        </row>
        <row r="176">
          <cell r="I176">
            <v>2.3175381882770871</v>
          </cell>
          <cell r="J176">
            <v>2.7356714811668086</v>
          </cell>
          <cell r="K176">
            <v>3.0852848420493761</v>
          </cell>
          <cell r="L176">
            <v>3.0200994575045206</v>
          </cell>
          <cell r="M176">
            <v>3.0575814955203309</v>
          </cell>
          <cell r="N176">
            <v>3.3204118989118987</v>
          </cell>
          <cell r="O176">
            <v>3.5528705944027741</v>
          </cell>
          <cell r="P176">
            <v>3.7737184597523221</v>
          </cell>
        </row>
        <row r="177">
          <cell r="I177">
            <v>37.762615429715481</v>
          </cell>
          <cell r="J177">
            <v>18.042131732921796</v>
          </cell>
          <cell r="K177">
            <v>12.779800618949011</v>
          </cell>
          <cell r="L177">
            <v>-2.1127833533048035</v>
          </cell>
          <cell r="M177">
            <v>1.2410862139878409</v>
          </cell>
          <cell r="N177">
            <v>8.596022829698601</v>
          </cell>
          <cell r="O177">
            <v>7.0008993633305705</v>
          </cell>
          <cell r="P177">
            <v>6.2160402266683734</v>
          </cell>
        </row>
        <row r="178">
          <cell r="I178">
            <v>7828.6440000000002</v>
          </cell>
          <cell r="J178">
            <v>9659.6560000000009</v>
          </cell>
          <cell r="K178">
            <v>11622.268</v>
          </cell>
          <cell r="L178">
            <v>15031.035</v>
          </cell>
          <cell r="M178">
            <v>17746.203000000001</v>
          </cell>
          <cell r="N178">
            <v>18919.706999999999</v>
          </cell>
          <cell r="O178">
            <v>17620.816999999999</v>
          </cell>
          <cell r="P178">
            <v>19502.577000000001</v>
          </cell>
        </row>
        <row r="179">
          <cell r="I179">
            <v>42.574177365679787</v>
          </cell>
          <cell r="J179">
            <v>23.388622601819687</v>
          </cell>
          <cell r="K179">
            <v>20.317617935876786</v>
          </cell>
          <cell r="L179">
            <v>29.329619657712236</v>
          </cell>
          <cell r="M179">
            <v>18.06374610929986</v>
          </cell>
          <cell r="N179">
            <v>6.612704700830907</v>
          </cell>
          <cell r="O179">
            <v>-6.865275450618757</v>
          </cell>
          <cell r="P179">
            <v>10.679187009319735</v>
          </cell>
        </row>
        <row r="180">
          <cell r="I180">
            <v>14.714</v>
          </cell>
          <cell r="J180">
            <v>16.27</v>
          </cell>
          <cell r="K180">
            <v>17.974</v>
          </cell>
          <cell r="L180">
            <v>19.015999999999998</v>
          </cell>
          <cell r="M180">
            <v>25.518999999999998</v>
          </cell>
          <cell r="N180">
            <v>22.494</v>
          </cell>
          <cell r="O180">
            <v>23.152999999999999</v>
          </cell>
          <cell r="P180">
            <v>23.88</v>
          </cell>
        </row>
        <row r="181">
          <cell r="I181">
            <v>0.18795081242677533</v>
          </cell>
          <cell r="J181">
            <v>0.16843249904551463</v>
          </cell>
          <cell r="K181">
            <v>0.15465139850500781</v>
          </cell>
          <cell r="L181">
            <v>0.12651158087250811</v>
          </cell>
          <cell r="M181">
            <v>0.14379977508428138</v>
          </cell>
          <cell r="N181">
            <v>0.11889190461564758</v>
          </cell>
          <cell r="O181">
            <v>0.13139572359215806</v>
          </cell>
          <cell r="P181">
            <v>0.12244535683668879</v>
          </cell>
        </row>
        <row r="182">
          <cell r="I182">
            <v>2.3131823564239196</v>
          </cell>
          <cell r="J182">
            <v>2.7310637213254036</v>
          </cell>
          <cell r="K182">
            <v>3.0805134058932837</v>
          </cell>
          <cell r="L182">
            <v>3.0162786819369098</v>
          </cell>
          <cell r="M182">
            <v>3.0531847002067543</v>
          </cell>
          <cell r="N182">
            <v>3.3164641979641978</v>
          </cell>
          <cell r="O182">
            <v>3.5482022743769659</v>
          </cell>
          <cell r="P182">
            <v>3.7690977167182664</v>
          </cell>
        </row>
        <row r="183">
          <cell r="I183">
            <v>37.503689474794946</v>
          </cell>
          <cell r="J183">
            <v>18.065214951211651</v>
          </cell>
          <cell r="K183">
            <v>12.79536913910928</v>
          </cell>
          <cell r="L183">
            <v>-2.0851954039053155</v>
          </cell>
          <cell r="M183">
            <v>1.2235612873192858</v>
          </cell>
          <cell r="N183">
            <v>8.6231107387514161</v>
          </cell>
          <cell r="O183">
            <v>6.9875042388523267</v>
          </cell>
          <cell r="P183">
            <v>6.2255594596868802</v>
          </cell>
        </row>
        <row r="185">
          <cell r="I185">
            <v>7813.93</v>
          </cell>
          <cell r="J185">
            <v>9643.3860000000004</v>
          </cell>
          <cell r="K185">
            <v>11604.294</v>
          </cell>
          <cell r="L185">
            <v>15012.019</v>
          </cell>
          <cell r="M185">
            <v>17720.684000000001</v>
          </cell>
          <cell r="N185">
            <v>18897.213</v>
          </cell>
          <cell r="O185">
            <v>17597.664000000001</v>
          </cell>
          <cell r="P185">
            <v>19478.697</v>
          </cell>
        </row>
        <row r="186">
          <cell r="I186">
            <v>19.6876</v>
          </cell>
          <cell r="J186">
            <v>20.7898</v>
          </cell>
          <cell r="K186">
            <v>21.358000000000001</v>
          </cell>
          <cell r="L186">
            <v>22.138999999999999</v>
          </cell>
          <cell r="M186">
            <v>25.434000000000001</v>
          </cell>
          <cell r="N186">
            <v>52.536000000000001</v>
          </cell>
          <cell r="O186">
            <v>54.356999999999999</v>
          </cell>
          <cell r="P186">
            <v>56.2</v>
          </cell>
        </row>
        <row r="187">
          <cell r="I187">
            <v>15.683400000000001</v>
          </cell>
          <cell r="J187">
            <v>10.433999999999999</v>
          </cell>
          <cell r="K187">
            <v>14.446</v>
          </cell>
          <cell r="L187">
            <v>44.045000000000002</v>
          </cell>
          <cell r="M187">
            <v>32.100999999999999</v>
          </cell>
          <cell r="N187">
            <v>51.718000000000004</v>
          </cell>
          <cell r="O187">
            <v>42.808999999999997</v>
          </cell>
          <cell r="P187">
            <v>124.916</v>
          </cell>
        </row>
        <row r="188">
          <cell r="I188">
            <v>35.371000000000002</v>
          </cell>
          <cell r="J188">
            <v>31.223799999999997</v>
          </cell>
          <cell r="K188">
            <v>35.804000000000002</v>
          </cell>
          <cell r="L188">
            <v>66.183999999999997</v>
          </cell>
          <cell r="M188">
            <v>57.534999999999997</v>
          </cell>
          <cell r="N188">
            <v>104.254</v>
          </cell>
          <cell r="O188">
            <v>97.165999999999997</v>
          </cell>
          <cell r="P188">
            <v>181.11599999999999</v>
          </cell>
        </row>
        <row r="189">
          <cell r="I189">
            <v>35.371000000000002</v>
          </cell>
          <cell r="J189">
            <v>31.223799999999997</v>
          </cell>
          <cell r="K189">
            <v>35.804000000000002</v>
          </cell>
          <cell r="L189">
            <v>66.183999999999997</v>
          </cell>
          <cell r="M189">
            <v>57.534999999999997</v>
          </cell>
          <cell r="N189">
            <v>104.254</v>
          </cell>
          <cell r="O189">
            <v>97.165999999999997</v>
          </cell>
          <cell r="P189">
            <v>181.11599999999999</v>
          </cell>
        </row>
        <row r="191">
          <cell r="I191">
            <v>7849.3010000000004</v>
          </cell>
          <cell r="J191">
            <v>9674.6098000000002</v>
          </cell>
          <cell r="K191">
            <v>11640.098</v>
          </cell>
          <cell r="L191">
            <v>15078.203</v>
          </cell>
          <cell r="M191">
            <v>17778.219000000001</v>
          </cell>
          <cell r="N191">
            <v>19001.467000000001</v>
          </cell>
          <cell r="O191">
            <v>17694.830000000002</v>
          </cell>
          <cell r="P191">
            <v>19659.813000000002</v>
          </cell>
        </row>
        <row r="192">
          <cell r="I192">
            <v>42.950379781046102</v>
          </cell>
          <cell r="J192">
            <v>23.254412080769992</v>
          </cell>
          <cell r="K192">
            <v>20.315942871411718</v>
          </cell>
          <cell r="L192">
            <v>29.536735859096709</v>
          </cell>
          <cell r="M192">
            <v>17.906749232650611</v>
          </cell>
          <cell r="N192">
            <v>6.8805992321278042</v>
          </cell>
          <cell r="O192">
            <v>-6.8765059034652349</v>
          </cell>
          <cell r="P192">
            <v>11.104842487890521</v>
          </cell>
        </row>
        <row r="195">
          <cell r="I195">
            <v>3378</v>
          </cell>
          <cell r="J195">
            <v>3531</v>
          </cell>
          <cell r="K195">
            <v>3767</v>
          </cell>
          <cell r="L195">
            <v>4212</v>
          </cell>
          <cell r="M195">
            <v>4381</v>
          </cell>
          <cell r="N195">
            <v>4645</v>
          </cell>
          <cell r="O195">
            <v>4950</v>
          </cell>
          <cell r="P195">
            <v>5168</v>
          </cell>
        </row>
        <row r="196">
          <cell r="I196">
            <v>3.4926470588235281</v>
          </cell>
          <cell r="J196">
            <v>4.5293072824156289</v>
          </cell>
          <cell r="K196">
            <v>6.6836590201076129</v>
          </cell>
          <cell r="L196">
            <v>11.8131138837271</v>
          </cell>
          <cell r="M196">
            <v>4.0123456790123413</v>
          </cell>
          <cell r="N196">
            <v>6.0260214562885217</v>
          </cell>
          <cell r="O196">
            <v>6.566200215285245</v>
          </cell>
          <cell r="P196">
            <v>4.4040404040404102</v>
          </cell>
        </row>
        <row r="197">
          <cell r="I197">
            <v>3871</v>
          </cell>
          <cell r="J197">
            <v>4153</v>
          </cell>
          <cell r="K197">
            <v>4376</v>
          </cell>
          <cell r="L197">
            <v>5712</v>
          </cell>
          <cell r="M197">
            <v>6721</v>
          </cell>
          <cell r="N197">
            <v>6697.6767655668245</v>
          </cell>
          <cell r="O197">
            <v>5982</v>
          </cell>
          <cell r="P197">
            <v>6258</v>
          </cell>
        </row>
        <row r="198">
          <cell r="I198">
            <v>3871</v>
          </cell>
          <cell r="J198">
            <v>4153</v>
          </cell>
          <cell r="K198">
            <v>4376</v>
          </cell>
          <cell r="L198">
            <v>4947</v>
          </cell>
          <cell r="M198">
            <v>5298</v>
          </cell>
          <cell r="N198">
            <v>5644.6767655668245</v>
          </cell>
          <cell r="O198">
            <v>5972.4</v>
          </cell>
          <cell r="P198">
            <v>6258</v>
          </cell>
        </row>
        <row r="201">
          <cell r="I201">
            <v>493</v>
          </cell>
          <cell r="J201">
            <v>622</v>
          </cell>
          <cell r="K201">
            <v>609</v>
          </cell>
          <cell r="L201">
            <v>618</v>
          </cell>
          <cell r="M201">
            <v>620</v>
          </cell>
          <cell r="N201">
            <v>654.78250480575161</v>
          </cell>
          <cell r="O201">
            <v>688.61771999999996</v>
          </cell>
          <cell r="P201">
            <v>719.67000000000007</v>
          </cell>
        </row>
        <row r="202">
          <cell r="I202">
            <v>12.735727202273313</v>
          </cell>
          <cell r="J202">
            <v>14.977124969901276</v>
          </cell>
          <cell r="K202">
            <v>13.916819012797074</v>
          </cell>
          <cell r="L202">
            <v>12.49241964827168</v>
          </cell>
          <cell r="M202">
            <v>11.7</v>
          </cell>
          <cell r="N202">
            <v>11.6</v>
          </cell>
          <cell r="O202">
            <v>11.53</v>
          </cell>
          <cell r="P202">
            <v>11.5</v>
          </cell>
        </row>
        <row r="204">
          <cell r="L204">
            <v>117</v>
          </cell>
          <cell r="M204">
            <v>297</v>
          </cell>
          <cell r="N204">
            <v>344.89426076107293</v>
          </cell>
          <cell r="O204">
            <v>333.78227999999967</v>
          </cell>
          <cell r="P204">
            <v>370.32999999999993</v>
          </cell>
        </row>
        <row r="205">
          <cell r="L205">
            <v>9.5980311730926982</v>
          </cell>
          <cell r="M205">
            <v>9.263880224578914</v>
          </cell>
          <cell r="N205">
            <v>9.2638802245789122</v>
          </cell>
          <cell r="O205">
            <v>9.9547354607813805</v>
          </cell>
          <cell r="P205">
            <v>9.5078305519897288</v>
          </cell>
        </row>
        <row r="207">
          <cell r="I207">
            <v>493</v>
          </cell>
          <cell r="J207">
            <v>622</v>
          </cell>
          <cell r="K207">
            <v>609</v>
          </cell>
          <cell r="L207">
            <v>735</v>
          </cell>
          <cell r="M207">
            <v>917</v>
          </cell>
          <cell r="N207">
            <v>999.67676556682454</v>
          </cell>
          <cell r="O207">
            <v>1022.3999999999996</v>
          </cell>
          <cell r="P207">
            <v>1090</v>
          </cell>
        </row>
        <row r="209">
          <cell r="I209">
            <v>3871</v>
          </cell>
          <cell r="J209">
            <v>4153</v>
          </cell>
          <cell r="K209">
            <v>4376</v>
          </cell>
          <cell r="L209">
            <v>4947</v>
          </cell>
          <cell r="M209">
            <v>5298</v>
          </cell>
          <cell r="N209">
            <v>5644.6767655668245</v>
          </cell>
          <cell r="O209">
            <v>5972.4</v>
          </cell>
          <cell r="P209">
            <v>6258</v>
          </cell>
        </row>
        <row r="210">
          <cell r="I210">
            <v>4.3677541116203811</v>
          </cell>
          <cell r="J210">
            <v>7.2849392921725542</v>
          </cell>
          <cell r="K210">
            <v>5.3696123284372677</v>
          </cell>
          <cell r="L210">
            <v>13.048446069469843</v>
          </cell>
          <cell r="M210">
            <v>7.0952092177076986</v>
          </cell>
          <cell r="N210">
            <v>6.5435403089245892</v>
          </cell>
          <cell r="O210">
            <v>5.805881329331819</v>
          </cell>
          <cell r="P210">
            <v>4.7819971870604938</v>
          </cell>
        </row>
        <row r="212">
          <cell r="I212">
            <v>3871</v>
          </cell>
          <cell r="J212">
            <v>4153</v>
          </cell>
          <cell r="K212">
            <v>4376</v>
          </cell>
          <cell r="L212">
            <v>5712</v>
          </cell>
          <cell r="M212">
            <v>6721</v>
          </cell>
          <cell r="N212">
            <v>6697.6767655668245</v>
          </cell>
          <cell r="O212">
            <v>5982</v>
          </cell>
          <cell r="P212">
            <v>6258</v>
          </cell>
        </row>
        <row r="213">
          <cell r="L213">
            <v>1219</v>
          </cell>
          <cell r="M213">
            <v>3206</v>
          </cell>
          <cell r="N213">
            <v>3723</v>
          </cell>
          <cell r="O213">
            <v>3353</v>
          </cell>
          <cell r="P213">
            <v>3895</v>
          </cell>
        </row>
        <row r="214">
          <cell r="I214">
            <v>3871</v>
          </cell>
          <cell r="J214">
            <v>4153</v>
          </cell>
          <cell r="K214">
            <v>4376</v>
          </cell>
          <cell r="L214">
            <v>4493</v>
          </cell>
          <cell r="M214">
            <v>3515</v>
          </cell>
          <cell r="N214">
            <v>2974.6767655668245</v>
          </cell>
          <cell r="O214">
            <v>2629</v>
          </cell>
          <cell r="P214">
            <v>2363</v>
          </cell>
        </row>
        <row r="215">
          <cell r="I215">
            <v>0</v>
          </cell>
          <cell r="J215">
            <v>0</v>
          </cell>
          <cell r="K215">
            <v>0</v>
          </cell>
          <cell r="L215">
            <v>0</v>
          </cell>
          <cell r="M215">
            <v>0</v>
          </cell>
          <cell r="N215">
            <v>0</v>
          </cell>
          <cell r="O215">
            <v>0</v>
          </cell>
          <cell r="P215">
            <v>0</v>
          </cell>
        </row>
        <row r="217">
          <cell r="I217">
            <v>3871</v>
          </cell>
          <cell r="J217">
            <v>4153</v>
          </cell>
          <cell r="K217">
            <v>4376</v>
          </cell>
          <cell r="L217">
            <v>4493</v>
          </cell>
          <cell r="M217">
            <v>3515</v>
          </cell>
          <cell r="N217">
            <v>2974.6767655668245</v>
          </cell>
          <cell r="O217">
            <v>2629</v>
          </cell>
          <cell r="P217">
            <v>2363</v>
          </cell>
        </row>
        <row r="218">
          <cell r="I218">
            <v>1.5960759493670886</v>
          </cell>
          <cell r="J218">
            <v>1.8624553334938598</v>
          </cell>
          <cell r="K218">
            <v>2.0729611517367461</v>
          </cell>
          <cell r="L218">
            <v>2.1677981304251057</v>
          </cell>
          <cell r="M218">
            <v>2.4899257467994311</v>
          </cell>
          <cell r="N218">
            <v>2.4829117857424166</v>
          </cell>
          <cell r="O218">
            <v>2.407839178394827</v>
          </cell>
          <cell r="P218">
            <v>2.7991988997037662</v>
          </cell>
        </row>
        <row r="219">
          <cell r="I219">
            <v>35.082122629070845</v>
          </cell>
          <cell r="J219">
            <v>16.689643386481823</v>
          </cell>
          <cell r="K219">
            <v>11.302596870765713</v>
          </cell>
          <cell r="L219">
            <v>4.5749520490967477</v>
          </cell>
          <cell r="M219">
            <v>14.859668520479641</v>
          </cell>
          <cell r="N219">
            <v>-0.28169358327373439</v>
          </cell>
          <cell r="O219">
            <v>-3.0235712673594706</v>
          </cell>
          <cell r="P219">
            <v>16.25356563762854</v>
          </cell>
        </row>
        <row r="220">
          <cell r="I220">
            <v>6178.41</v>
          </cell>
          <cell r="J220">
            <v>7734.777</v>
          </cell>
          <cell r="K220">
            <v>9071.2780000000002</v>
          </cell>
          <cell r="L220">
            <v>9739.9169999999995</v>
          </cell>
          <cell r="M220">
            <v>8752.0889999999999</v>
          </cell>
          <cell r="N220">
            <v>7385.86</v>
          </cell>
          <cell r="O220">
            <v>6330.2092000000002</v>
          </cell>
          <cell r="P220">
            <v>6614.5069999999996</v>
          </cell>
        </row>
        <row r="221">
          <cell r="N221">
            <v>420</v>
          </cell>
          <cell r="O221">
            <v>500</v>
          </cell>
          <cell r="P221">
            <v>420</v>
          </cell>
        </row>
        <row r="222">
          <cell r="I222">
            <v>1.5960759493670886</v>
          </cell>
          <cell r="J222">
            <v>1.8624553334938598</v>
          </cell>
          <cell r="K222">
            <v>2.0729611517367461</v>
          </cell>
          <cell r="L222">
            <v>2.1677981304251057</v>
          </cell>
          <cell r="M222">
            <v>2.4899257467994311</v>
          </cell>
          <cell r="N222">
            <v>2.6241035968533519</v>
          </cell>
          <cell r="O222">
            <v>2.5987417268923543</v>
          </cell>
          <cell r="P222">
            <v>2.9769390605162926</v>
          </cell>
        </row>
        <row r="223">
          <cell r="I223">
            <v>6178.41</v>
          </cell>
          <cell r="J223">
            <v>7734.777</v>
          </cell>
          <cell r="K223">
            <v>9071.2780000000002</v>
          </cell>
          <cell r="L223">
            <v>9739.9169999999995</v>
          </cell>
          <cell r="M223">
            <v>8752.0889999999999</v>
          </cell>
          <cell r="N223">
            <v>7805.86</v>
          </cell>
          <cell r="O223">
            <v>6832.0919999999996</v>
          </cell>
          <cell r="P223">
            <v>7034.5069999999996</v>
          </cell>
        </row>
        <row r="224">
          <cell r="P224">
            <v>1.7889921700223712</v>
          </cell>
        </row>
        <row r="226">
          <cell r="L226">
            <v>250</v>
          </cell>
          <cell r="M226">
            <v>500</v>
          </cell>
          <cell r="N226">
            <v>500</v>
          </cell>
          <cell r="O226">
            <v>500</v>
          </cell>
          <cell r="P226">
            <v>500</v>
          </cell>
        </row>
        <row r="227">
          <cell r="L227">
            <v>2190</v>
          </cell>
          <cell r="M227">
            <v>4380</v>
          </cell>
          <cell r="N227">
            <v>4380</v>
          </cell>
          <cell r="O227">
            <v>4380</v>
          </cell>
          <cell r="P227">
            <v>4380</v>
          </cell>
        </row>
        <row r="228">
          <cell r="L228">
            <v>55.662100456621005</v>
          </cell>
          <cell r="M228">
            <v>73.196347031963469</v>
          </cell>
          <cell r="N228">
            <v>85</v>
          </cell>
          <cell r="O228">
            <v>76.552511415525117</v>
          </cell>
          <cell r="P228">
            <v>88.926940639269404</v>
          </cell>
        </row>
        <row r="229">
          <cell r="L229">
            <v>1219</v>
          </cell>
          <cell r="M229">
            <v>3206</v>
          </cell>
          <cell r="N229">
            <v>3723</v>
          </cell>
          <cell r="O229">
            <v>3353</v>
          </cell>
          <cell r="P229">
            <v>3895</v>
          </cell>
        </row>
        <row r="230">
          <cell r="M230">
            <v>163.00246103363412</v>
          </cell>
          <cell r="N230">
            <v>16.126013724267008</v>
          </cell>
          <cell r="O230">
            <v>-9.9382218640881028</v>
          </cell>
          <cell r="P230">
            <v>16.164628690724726</v>
          </cell>
        </row>
        <row r="231">
          <cell r="L231">
            <v>0.93486874487284666</v>
          </cell>
          <cell r="M231">
            <v>0.9547660636306925</v>
          </cell>
          <cell r="N231">
            <v>1.0161291968842332</v>
          </cell>
          <cell r="O231">
            <v>1.0219955263942739</v>
          </cell>
          <cell r="P231">
            <v>1.0682942233632864</v>
          </cell>
        </row>
        <row r="232">
          <cell r="M232">
            <v>2.1283542601001182</v>
          </cell>
          <cell r="N232">
            <v>6.4270333426174497</v>
          </cell>
          <cell r="O232">
            <v>0.57732122332758706</v>
          </cell>
          <cell r="P232">
            <v>4.5302250130546007</v>
          </cell>
        </row>
        <row r="233">
          <cell r="L233">
            <v>1139.605</v>
          </cell>
          <cell r="M233">
            <v>3060.98</v>
          </cell>
          <cell r="N233">
            <v>3783.049</v>
          </cell>
          <cell r="O233">
            <v>3426.7510000000002</v>
          </cell>
          <cell r="P233">
            <v>4161.0060000000003</v>
          </cell>
        </row>
        <row r="235">
          <cell r="I235">
            <v>200.95599999999999</v>
          </cell>
          <cell r="J235">
            <v>216.16499999999999</v>
          </cell>
          <cell r="K235">
            <v>327.86599999999999</v>
          </cell>
          <cell r="L235">
            <v>357.87200000000001</v>
          </cell>
          <cell r="M235">
            <v>497.31299999999999</v>
          </cell>
          <cell r="N235">
            <v>599.26</v>
          </cell>
          <cell r="O235">
            <v>749.03899999999999</v>
          </cell>
          <cell r="P235">
            <v>888.61099999999999</v>
          </cell>
        </row>
        <row r="236">
          <cell r="I236">
            <v>-75.947999999999993</v>
          </cell>
          <cell r="J236">
            <v>-80.522999999999996</v>
          </cell>
          <cell r="K236">
            <v>-118.90900000000001</v>
          </cell>
          <cell r="L236">
            <v>-136.10900000000001</v>
          </cell>
          <cell r="M236">
            <v>-154.15799999999999</v>
          </cell>
          <cell r="N236">
            <v>-187.178</v>
          </cell>
          <cell r="O236">
            <v>-226.303</v>
          </cell>
          <cell r="P236">
            <v>-276.74099999999999</v>
          </cell>
        </row>
        <row r="237">
          <cell r="I237">
            <v>26.341000000000001</v>
          </cell>
          <cell r="J237">
            <v>27.956699999999998</v>
          </cell>
          <cell r="K237">
            <v>33.655999999999999</v>
          </cell>
          <cell r="L237">
            <v>99.175999999999988</v>
          </cell>
          <cell r="M237">
            <v>54.722999999999999</v>
          </cell>
          <cell r="N237">
            <v>52.057000000000002</v>
          </cell>
          <cell r="O237">
            <v>34.798000000000002</v>
          </cell>
          <cell r="P237">
            <v>67.777000000000001</v>
          </cell>
        </row>
        <row r="239">
          <cell r="I239">
            <v>3.0097999999999998</v>
          </cell>
          <cell r="J239">
            <v>3.9054000000000002</v>
          </cell>
          <cell r="K239">
            <v>5.9210000000000003</v>
          </cell>
          <cell r="L239">
            <v>10.439</v>
          </cell>
          <cell r="M239">
            <v>11.029</v>
          </cell>
          <cell r="N239">
            <v>11.634</v>
          </cell>
          <cell r="O239">
            <v>15.317</v>
          </cell>
          <cell r="P239">
            <v>18.251000000000001</v>
          </cell>
        </row>
        <row r="240">
          <cell r="I240">
            <v>248.77600000000001</v>
          </cell>
          <cell r="J240">
            <v>294.95400000000001</v>
          </cell>
          <cell r="K240">
            <v>387.47399999999999</v>
          </cell>
          <cell r="L240">
            <v>537.26</v>
          </cell>
          <cell r="M240">
            <v>776.41</v>
          </cell>
          <cell r="N240">
            <v>858.53499999999997</v>
          </cell>
          <cell r="O240">
            <v>874.98800000000006</v>
          </cell>
          <cell r="P240">
            <v>839.60299999999995</v>
          </cell>
        </row>
        <row r="241">
          <cell r="I241">
            <v>4.5659999999999998</v>
          </cell>
          <cell r="J241">
            <v>5.4725999999999999</v>
          </cell>
          <cell r="K241">
            <v>7.2169999999999996</v>
          </cell>
          <cell r="L241">
            <v>24.577000000000002</v>
          </cell>
          <cell r="M241">
            <v>26.873000000000001</v>
          </cell>
          <cell r="N241">
            <v>30.672999999999998</v>
          </cell>
          <cell r="O241">
            <v>44.198</v>
          </cell>
          <cell r="P241">
            <v>36.488999999999997</v>
          </cell>
        </row>
        <row r="242">
          <cell r="I242">
            <v>2.706</v>
          </cell>
          <cell r="J242">
            <v>3.839</v>
          </cell>
          <cell r="K242">
            <v>5.6059999999999999</v>
          </cell>
          <cell r="L242">
            <v>12.273999999999999</v>
          </cell>
          <cell r="M242">
            <v>45.048000000000002</v>
          </cell>
          <cell r="N242">
            <v>30.856000000000002</v>
          </cell>
          <cell r="O242">
            <v>30.282</v>
          </cell>
          <cell r="P242">
            <v>40.79</v>
          </cell>
        </row>
        <row r="243">
          <cell r="I243">
            <v>23.925000000000001</v>
          </cell>
          <cell r="J243">
            <v>27.27</v>
          </cell>
          <cell r="K243">
            <v>24.805</v>
          </cell>
          <cell r="L243">
            <v>34.218000000000004</v>
          </cell>
          <cell r="M243">
            <v>35.351999999999997</v>
          </cell>
          <cell r="N243">
            <v>37.978999999999999</v>
          </cell>
          <cell r="O243">
            <v>44.448999999999998</v>
          </cell>
          <cell r="P243">
            <v>58.933999999999997</v>
          </cell>
        </row>
        <row r="244">
          <cell r="M244">
            <v>57.237000000000002</v>
          </cell>
          <cell r="N244">
            <v>26.984000000000002</v>
          </cell>
          <cell r="O244">
            <v>13.596</v>
          </cell>
          <cell r="P244">
            <v>11.253</v>
          </cell>
        </row>
        <row r="245">
          <cell r="N245">
            <v>218.90600000000001</v>
          </cell>
          <cell r="O245">
            <v>0</v>
          </cell>
        </row>
        <row r="246">
          <cell r="I246">
            <v>56.9375</v>
          </cell>
          <cell r="J246">
            <v>71.757999999999996</v>
          </cell>
          <cell r="K246">
            <v>106.39</v>
          </cell>
          <cell r="L246">
            <v>164.33500000000001</v>
          </cell>
          <cell r="M246">
            <v>284.02800000000002</v>
          </cell>
          <cell r="N246">
            <v>288.86</v>
          </cell>
          <cell r="O246">
            <v>302.50900000000001</v>
          </cell>
          <cell r="P246">
            <v>339.18</v>
          </cell>
        </row>
        <row r="247">
          <cell r="I247">
            <v>3.7879999999999998</v>
          </cell>
          <cell r="J247">
            <v>3.5268000000000002</v>
          </cell>
          <cell r="K247">
            <v>3.7909999999999999</v>
          </cell>
          <cell r="L247">
            <v>6.5369999999999999</v>
          </cell>
          <cell r="M247">
            <v>15.978</v>
          </cell>
          <cell r="N247">
            <v>2.5099999999999998</v>
          </cell>
          <cell r="O247">
            <v>3.49</v>
          </cell>
          <cell r="P247">
            <v>10.997</v>
          </cell>
        </row>
        <row r="248">
          <cell r="L248">
            <v>9.2029999999999994</v>
          </cell>
          <cell r="M248">
            <v>8.1199999999999992</v>
          </cell>
          <cell r="N248">
            <v>8.1199999999999992</v>
          </cell>
          <cell r="O248">
            <v>8.1199999999999992</v>
          </cell>
          <cell r="P248">
            <v>8.1199999999999992</v>
          </cell>
        </row>
        <row r="249">
          <cell r="M249">
            <v>27.710999999999999</v>
          </cell>
          <cell r="N249">
            <v>92.453999999999994</v>
          </cell>
          <cell r="O249">
            <v>131.73500000000001</v>
          </cell>
          <cell r="P249">
            <v>130.298</v>
          </cell>
        </row>
        <row r="250">
          <cell r="N250">
            <v>106.527</v>
          </cell>
          <cell r="O250">
            <v>195.642</v>
          </cell>
          <cell r="P250">
            <v>240.59</v>
          </cell>
        </row>
        <row r="251">
          <cell r="M251">
            <v>51.463000000000001</v>
          </cell>
          <cell r="N251">
            <v>0</v>
          </cell>
          <cell r="O251">
            <v>12.872999999999999</v>
          </cell>
          <cell r="P251">
            <v>12.744</v>
          </cell>
        </row>
        <row r="252">
          <cell r="N252">
            <v>60.378999999999998</v>
          </cell>
          <cell r="O252">
            <v>0</v>
          </cell>
        </row>
        <row r="253">
          <cell r="I253">
            <v>7.4989999999999997</v>
          </cell>
          <cell r="J253">
            <v>11.8787</v>
          </cell>
          <cell r="K253">
            <v>29.492000000000001</v>
          </cell>
          <cell r="L253">
            <v>32.683</v>
          </cell>
          <cell r="M253">
            <v>45.962000000000003</v>
          </cell>
          <cell r="N253">
            <v>89.736999999999995</v>
          </cell>
          <cell r="O253">
            <v>39.51</v>
          </cell>
          <cell r="P253">
            <v>64.512</v>
          </cell>
        </row>
        <row r="254">
          <cell r="I254">
            <v>502.55630000000008</v>
          </cell>
          <cell r="J254">
            <v>586.20319999999992</v>
          </cell>
          <cell r="K254">
            <v>813.30899999999997</v>
          </cell>
          <cell r="L254">
            <v>1152.4649999999999</v>
          </cell>
          <cell r="M254">
            <v>1783.0890000000002</v>
          </cell>
          <cell r="N254">
            <v>2328.2929999999997</v>
          </cell>
          <cell r="O254">
            <v>2274.2429999999999</v>
          </cell>
          <cell r="P254">
            <v>2491.4080000000004</v>
          </cell>
        </row>
        <row r="256">
          <cell r="I256">
            <v>6680.9663</v>
          </cell>
          <cell r="J256">
            <v>8320.9802</v>
          </cell>
          <cell r="K256">
            <v>9884.5869999999995</v>
          </cell>
          <cell r="L256">
            <v>12031.986999999999</v>
          </cell>
          <cell r="M256">
            <v>13596.157999999999</v>
          </cell>
          <cell r="N256">
            <v>13917.201999999999</v>
          </cell>
          <cell r="O256">
            <v>12533.086000000001</v>
          </cell>
          <cell r="P256">
            <v>13686.920999999998</v>
          </cell>
        </row>
        <row r="262">
          <cell r="I262">
            <v>1168.3347000000003</v>
          </cell>
          <cell r="J262">
            <v>1353.6296000000002</v>
          </cell>
          <cell r="K262">
            <v>1755.5110000000004</v>
          </cell>
          <cell r="L262">
            <v>3046.2160000000003</v>
          </cell>
          <cell r="M262">
            <v>4182.0610000000015</v>
          </cell>
          <cell r="N262">
            <v>5084.2650000000012</v>
          </cell>
          <cell r="O262">
            <v>5161.7440000000006</v>
          </cell>
          <cell r="P262">
            <v>5972.8920000000035</v>
          </cell>
        </row>
        <row r="263">
          <cell r="I263">
            <v>14.884569976358408</v>
          </cell>
          <cell r="J263">
            <v>13.991567907989428</v>
          </cell>
          <cell r="K263">
            <v>15.081582646469133</v>
          </cell>
          <cell r="L263">
            <v>20.20277880593596</v>
          </cell>
          <cell r="M263">
            <v>23.523509300903545</v>
          </cell>
          <cell r="N263">
            <v>26.757223534372375</v>
          </cell>
          <cell r="O263">
            <v>29.170916024624145</v>
          </cell>
          <cell r="P263">
            <v>30.38122488754091</v>
          </cell>
        </row>
        <row r="264">
          <cell r="I264">
            <v>5.3957160976507934</v>
          </cell>
          <cell r="J264">
            <v>15.859744643380003</v>
          </cell>
          <cell r="K264">
            <v>29.689170508682739</v>
          </cell>
          <cell r="L264">
            <v>73.52303688213857</v>
          </cell>
          <cell r="M264">
            <v>37.287080102001994</v>
          </cell>
          <cell r="N264">
            <v>21.573190826245714</v>
          </cell>
          <cell r="O264">
            <v>1.5238977511990326</v>
          </cell>
          <cell r="P264">
            <v>15.71461118567683</v>
          </cell>
        </row>
        <row r="266">
          <cell r="K266">
            <v>38.799999999999997</v>
          </cell>
          <cell r="L266">
            <v>51.6</v>
          </cell>
          <cell r="M266">
            <v>61.792650000000002</v>
          </cell>
          <cell r="N266">
            <v>69.593924999999999</v>
          </cell>
          <cell r="O266">
            <v>130.45410000000001</v>
          </cell>
          <cell r="P266">
            <v>150</v>
          </cell>
        </row>
        <row r="267">
          <cell r="K267">
            <v>431.8</v>
          </cell>
          <cell r="L267">
            <v>653.79999999999995</v>
          </cell>
          <cell r="M267">
            <v>762.10935000000006</v>
          </cell>
          <cell r="N267">
            <v>858.32507499999997</v>
          </cell>
          <cell r="O267">
            <v>1608.9339000000004</v>
          </cell>
          <cell r="P267">
            <v>2505.7359999999999</v>
          </cell>
        </row>
        <row r="268">
          <cell r="I268">
            <v>343.113</v>
          </cell>
          <cell r="J268">
            <v>388.916</v>
          </cell>
          <cell r="K268">
            <v>470.46300000000002</v>
          </cell>
          <cell r="L268">
            <v>705.78599999999994</v>
          </cell>
          <cell r="M268">
            <v>823.90200000000004</v>
          </cell>
          <cell r="N268">
            <v>927.91899999999998</v>
          </cell>
          <cell r="O268">
            <v>1739.3880000000004</v>
          </cell>
          <cell r="P268">
            <v>2655.7359999999999</v>
          </cell>
        </row>
        <row r="269">
          <cell r="J269">
            <v>13.349246458163933</v>
          </cell>
          <cell r="K269">
            <v>20.967766818541801</v>
          </cell>
          <cell r="L269">
            <v>50.019448925845381</v>
          </cell>
          <cell r="M269">
            <v>16.73538437996789</v>
          </cell>
          <cell r="N269">
            <v>12.624923838029268</v>
          </cell>
          <cell r="O269">
            <v>87.450413236500196</v>
          </cell>
          <cell r="P269">
            <v>52.682207765029965</v>
          </cell>
        </row>
        <row r="270">
          <cell r="I270">
            <v>0.66158962207785776</v>
          </cell>
          <cell r="J270">
            <v>0.76206944430159718</v>
          </cell>
          <cell r="K270">
            <v>0.75077530007673288</v>
          </cell>
          <cell r="L270">
            <v>0.73898745512095743</v>
          </cell>
          <cell r="M270">
            <v>0.72922993268616887</v>
          </cell>
          <cell r="N270">
            <v>0.7248434399985344</v>
          </cell>
          <cell r="O270">
            <v>0.80600000000000005</v>
          </cell>
          <cell r="P270">
            <v>0.85499999999999998</v>
          </cell>
        </row>
        <row r="271">
          <cell r="I271">
            <v>227</v>
          </cell>
          <cell r="J271">
            <v>296.38099999999997</v>
          </cell>
          <cell r="K271">
            <v>353.21199999999999</v>
          </cell>
          <cell r="L271">
            <v>521.56700000000001</v>
          </cell>
          <cell r="M271">
            <v>600.81399999999996</v>
          </cell>
          <cell r="N271">
            <v>672.596</v>
          </cell>
          <cell r="O271">
            <v>1401.9467280000003</v>
          </cell>
          <cell r="P271">
            <v>2270.6542799999997</v>
          </cell>
        </row>
        <row r="272">
          <cell r="I272">
            <v>28.5</v>
          </cell>
          <cell r="J272">
            <v>28.166</v>
          </cell>
          <cell r="K272">
            <v>40.512999999999998</v>
          </cell>
          <cell r="L272">
            <v>37.533999999999999</v>
          </cell>
          <cell r="M272">
            <v>43.298999999999999</v>
          </cell>
          <cell r="N272">
            <v>48.548000000000002</v>
          </cell>
          <cell r="O272">
            <v>53.402800000000006</v>
          </cell>
          <cell r="P272">
            <v>69.423640000000006</v>
          </cell>
        </row>
        <row r="273">
          <cell r="I273">
            <v>3.67</v>
          </cell>
          <cell r="J273">
            <v>3.605</v>
          </cell>
          <cell r="K273">
            <v>3.6859999999999999</v>
          </cell>
          <cell r="L273">
            <v>5.4509999999999996</v>
          </cell>
          <cell r="M273">
            <v>6.7080000000000002</v>
          </cell>
          <cell r="N273">
            <v>6.0760000000000005</v>
          </cell>
          <cell r="O273">
            <v>6.6836000000000011</v>
          </cell>
          <cell r="P273">
            <v>8.0203200000000017</v>
          </cell>
        </row>
        <row r="274">
          <cell r="I274">
            <v>2.3119999999999998</v>
          </cell>
          <cell r="J274">
            <v>2.387</v>
          </cell>
          <cell r="K274">
            <v>2.5259999999999998</v>
          </cell>
          <cell r="L274">
            <v>2.6819999999999999</v>
          </cell>
          <cell r="M274">
            <v>2.5219999999999998</v>
          </cell>
          <cell r="N274">
            <v>2.41</v>
          </cell>
          <cell r="O274">
            <v>2.6510000000000002</v>
          </cell>
          <cell r="P274">
            <v>3.1812</v>
          </cell>
        </row>
        <row r="275">
          <cell r="I275">
            <v>7.5360000000000005</v>
          </cell>
          <cell r="J275">
            <v>6.1760000000000002</v>
          </cell>
          <cell r="K275">
            <v>7.6059999999999999</v>
          </cell>
          <cell r="L275">
            <v>9.3320000000000007</v>
          </cell>
          <cell r="M275">
            <v>9.8469999999999995</v>
          </cell>
          <cell r="N275">
            <v>11.184000000000001</v>
          </cell>
          <cell r="O275">
            <v>12.861600000000001</v>
          </cell>
          <cell r="P275">
            <v>15.433920000000001</v>
          </cell>
        </row>
        <row r="276">
          <cell r="I276">
            <v>1.75</v>
          </cell>
          <cell r="J276">
            <v>2.359</v>
          </cell>
          <cell r="K276">
            <v>3.169</v>
          </cell>
          <cell r="L276">
            <v>4.5129999999999999</v>
          </cell>
          <cell r="M276">
            <v>5.5330000000000004</v>
          </cell>
          <cell r="N276">
            <v>4.6900000000000004</v>
          </cell>
          <cell r="O276">
            <v>5.1590000000000007</v>
          </cell>
          <cell r="P276">
            <v>6.1908000000000003</v>
          </cell>
        </row>
        <row r="277">
          <cell r="I277">
            <v>0.16250000000000001</v>
          </cell>
          <cell r="J277">
            <v>3.137</v>
          </cell>
          <cell r="K277">
            <v>0.10199999999999999</v>
          </cell>
          <cell r="L277">
            <v>4.4080000000000004</v>
          </cell>
          <cell r="M277">
            <v>17.509</v>
          </cell>
          <cell r="N277">
            <v>26.353999999999999</v>
          </cell>
          <cell r="O277">
            <v>28.9894</v>
          </cell>
          <cell r="P277">
            <v>34.787279999999996</v>
          </cell>
        </row>
        <row r="278">
          <cell r="I278">
            <v>25.0715</v>
          </cell>
          <cell r="J278">
            <v>19.706000000000003</v>
          </cell>
          <cell r="K278">
            <v>37.156999999999996</v>
          </cell>
          <cell r="L278">
            <v>62.961000000000006</v>
          </cell>
          <cell r="M278">
            <v>84.289999999999992</v>
          </cell>
          <cell r="N278">
            <v>75.781999999999996</v>
          </cell>
          <cell r="O278">
            <v>87.149299999999982</v>
          </cell>
          <cell r="P278">
            <v>113.29408999999998</v>
          </cell>
        </row>
        <row r="279">
          <cell r="I279">
            <v>0.19500000000000001</v>
          </cell>
          <cell r="J279">
            <v>0.63900000000000001</v>
          </cell>
          <cell r="K279">
            <v>0.439</v>
          </cell>
          <cell r="L279">
            <v>4.2999999999999997E-2</v>
          </cell>
          <cell r="M279">
            <v>0.183</v>
          </cell>
          <cell r="N279">
            <v>1.4E-2</v>
          </cell>
          <cell r="O279">
            <v>0</v>
          </cell>
          <cell r="P279">
            <v>0</v>
          </cell>
        </row>
        <row r="280">
          <cell r="I280">
            <v>0.03</v>
          </cell>
          <cell r="K280">
            <v>0.59399999999999997</v>
          </cell>
          <cell r="L280">
            <v>4.0430000000000001</v>
          </cell>
          <cell r="M280">
            <v>6</v>
          </cell>
          <cell r="N280">
            <v>13.157</v>
          </cell>
          <cell r="O280">
            <v>14.472700000000001</v>
          </cell>
          <cell r="P280">
            <v>17.367240000000002</v>
          </cell>
        </row>
        <row r="281">
          <cell r="I281">
            <v>0</v>
          </cell>
          <cell r="J281">
            <v>0</v>
          </cell>
          <cell r="K281">
            <v>0</v>
          </cell>
          <cell r="L281">
            <v>0</v>
          </cell>
          <cell r="M281">
            <v>0</v>
          </cell>
          <cell r="N281">
            <v>0</v>
          </cell>
          <cell r="O281">
            <v>-22.458128000000443</v>
          </cell>
          <cell r="P281">
            <v>155.52603000000045</v>
          </cell>
        </row>
        <row r="282">
          <cell r="I282">
            <v>296.22700000000003</v>
          </cell>
          <cell r="J282">
            <v>362.55599999999998</v>
          </cell>
          <cell r="K282">
            <v>449.00399999999991</v>
          </cell>
          <cell r="L282">
            <v>652.53400000000011</v>
          </cell>
          <cell r="M282">
            <v>776.70499999999993</v>
          </cell>
          <cell r="N282">
            <v>860.81100000000015</v>
          </cell>
          <cell r="O282">
            <v>1590.8580000000002</v>
          </cell>
          <cell r="P282">
            <v>2693.8788</v>
          </cell>
        </row>
        <row r="283">
          <cell r="O283">
            <v>84.809208990126734</v>
          </cell>
          <cell r="P283">
            <v>69.334962642800278</v>
          </cell>
        </row>
        <row r="285">
          <cell r="I285">
            <v>46.885999999999967</v>
          </cell>
          <cell r="J285">
            <v>26.360000000000014</v>
          </cell>
          <cell r="K285">
            <v>21.459000000000117</v>
          </cell>
          <cell r="L285">
            <v>53.251999999999839</v>
          </cell>
          <cell r="M285">
            <v>47.197000000000116</v>
          </cell>
          <cell r="N285">
            <v>67.107999999999834</v>
          </cell>
          <cell r="O285">
            <v>148.5300000000002</v>
          </cell>
          <cell r="P285">
            <v>-38.142800000000079</v>
          </cell>
        </row>
        <row r="286">
          <cell r="I286">
            <v>13.664885912221328</v>
          </cell>
          <cell r="J286">
            <v>6.7778132038795045</v>
          </cell>
          <cell r="K286">
            <v>4.5612513630190081</v>
          </cell>
          <cell r="L286">
            <v>7.5450632344648163</v>
          </cell>
          <cell r="M286">
            <v>5.7284725610570328</v>
          </cell>
          <cell r="N286">
            <v>7.2320967670669356</v>
          </cell>
          <cell r="O286">
            <v>8.5392103429482198</v>
          </cell>
          <cell r="P286">
            <v>-1.436242156599906</v>
          </cell>
        </row>
        <row r="288">
          <cell r="O288">
            <v>3264.6</v>
          </cell>
          <cell r="P288">
            <v>1250</v>
          </cell>
        </row>
        <row r="289">
          <cell r="O289">
            <v>0.91740764565337263</v>
          </cell>
          <cell r="P289">
            <v>0.92500000000000004</v>
          </cell>
        </row>
        <row r="290">
          <cell r="O290">
            <v>-2994.9690000000001</v>
          </cell>
          <cell r="P290">
            <v>-1156.25</v>
          </cell>
        </row>
        <row r="291">
          <cell r="N291">
            <v>0.45723684210526316</v>
          </cell>
          <cell r="O291">
            <v>-12.311999999999999</v>
          </cell>
          <cell r="P291">
            <v>-13.543200000000001</v>
          </cell>
        </row>
        <row r="292">
          <cell r="O292">
            <v>-3007.2809999999999</v>
          </cell>
          <cell r="P292">
            <v>-1169.7932000000001</v>
          </cell>
        </row>
        <row r="294">
          <cell r="I294">
            <v>343.113</v>
          </cell>
          <cell r="J294">
            <v>388.916</v>
          </cell>
          <cell r="K294">
            <v>470.46300000000002</v>
          </cell>
          <cell r="L294">
            <v>705.78599999999994</v>
          </cell>
          <cell r="M294">
            <v>823.90200000000004</v>
          </cell>
          <cell r="N294">
            <v>927.91899999999998</v>
          </cell>
          <cell r="O294">
            <v>5003.9880000000003</v>
          </cell>
          <cell r="P294">
            <v>3905.7359999999999</v>
          </cell>
        </row>
        <row r="296">
          <cell r="N296">
            <v>1.0070052539404553</v>
          </cell>
          <cell r="O296">
            <v>257.31899999999996</v>
          </cell>
          <cell r="P296">
            <v>80.20679999999993</v>
          </cell>
        </row>
        <row r="297">
          <cell r="O297">
            <v>7.8820988788825569E-2</v>
          </cell>
          <cell r="P297">
            <v>6.4165439999999949E-2</v>
          </cell>
        </row>
        <row r="298">
          <cell r="O298">
            <v>8.1105110563814323E-2</v>
          </cell>
          <cell r="P298">
            <v>1.0769801133512315E-2</v>
          </cell>
        </row>
        <row r="300">
          <cell r="I300">
            <v>8192.4140000000007</v>
          </cell>
          <cell r="J300">
            <v>10063.525799999999</v>
          </cell>
          <cell r="K300">
            <v>12110.561</v>
          </cell>
          <cell r="L300">
            <v>15783.989</v>
          </cell>
          <cell r="M300">
            <v>18602.120999999999</v>
          </cell>
          <cell r="N300">
            <v>19929.386000000002</v>
          </cell>
          <cell r="O300">
            <v>22698.817999999999</v>
          </cell>
          <cell r="P300">
            <v>23565.549000000003</v>
          </cell>
        </row>
        <row r="303">
          <cell r="I303">
            <v>1215.2207000000003</v>
          </cell>
          <cell r="J303">
            <v>1379.9896000000003</v>
          </cell>
          <cell r="K303">
            <v>1776.9700000000005</v>
          </cell>
          <cell r="L303">
            <v>3099.4680000000003</v>
          </cell>
          <cell r="M303">
            <v>4229.2580000000016</v>
          </cell>
          <cell r="N303">
            <v>5151.3730000000014</v>
          </cell>
          <cell r="O303">
            <v>5567.5930000000008</v>
          </cell>
          <cell r="P303">
            <v>6014.9560000000038</v>
          </cell>
        </row>
        <row r="304">
          <cell r="I304">
            <v>14.833487418970773</v>
          </cell>
          <cell r="J304">
            <v>13.712784439823272</v>
          </cell>
          <cell r="K304">
            <v>14.672895830341803</v>
          </cell>
          <cell r="L304">
            <v>19.636785099127984</v>
          </cell>
          <cell r="M304">
            <v>22.735353672841939</v>
          </cell>
          <cell r="N304">
            <v>25.84812698193512</v>
          </cell>
          <cell r="O304">
            <v>24.528118600713043</v>
          </cell>
          <cell r="P304">
            <v>25.524361855520546</v>
          </cell>
        </row>
        <row r="306">
          <cell r="I306">
            <v>-107.934</v>
          </cell>
          <cell r="J306">
            <v>-131.41800000000001</v>
          </cell>
          <cell r="K306">
            <v>-232.65199999999999</v>
          </cell>
          <cell r="L306">
            <v>-723.37400000000002</v>
          </cell>
          <cell r="M306">
            <v>-1314.577</v>
          </cell>
          <cell r="N306">
            <v>-1553.508</v>
          </cell>
          <cell r="O306">
            <v>-1713.9</v>
          </cell>
          <cell r="P306">
            <v>-1834.7080000000001</v>
          </cell>
        </row>
        <row r="307">
          <cell r="K307">
            <v>3.3708118312811979</v>
          </cell>
          <cell r="L307">
            <v>5.2180237045577762</v>
          </cell>
          <cell r="M307">
            <v>6.7740762500910483</v>
          </cell>
          <cell r="N307">
            <v>6.8420214667042805</v>
          </cell>
          <cell r="O307">
            <v>6.799596213721081</v>
          </cell>
          <cell r="P307">
            <v>6.7148712558886396</v>
          </cell>
        </row>
        <row r="309">
          <cell r="I309">
            <v>1107.2867000000003</v>
          </cell>
          <cell r="J309">
            <v>1248.5716000000002</v>
          </cell>
          <cell r="K309">
            <v>1544.3180000000004</v>
          </cell>
          <cell r="L309">
            <v>2376.0940000000001</v>
          </cell>
          <cell r="M309">
            <v>2914.6810000000014</v>
          </cell>
          <cell r="N309">
            <v>3597.8650000000016</v>
          </cell>
          <cell r="O309">
            <v>3853.6930000000007</v>
          </cell>
          <cell r="P309">
            <v>4180.2480000000032</v>
          </cell>
        </row>
        <row r="310">
          <cell r="I310">
            <v>13.550166751165021</v>
          </cell>
          <cell r="J310">
            <v>12.425363524289821</v>
          </cell>
          <cell r="K310">
            <v>12.77063055483497</v>
          </cell>
          <cell r="L310">
            <v>15.098945333368158</v>
          </cell>
          <cell r="M310">
            <v>15.695554763960681</v>
          </cell>
          <cell r="N310">
            <v>18.127432469757348</v>
          </cell>
          <cell r="O310">
            <v>19.905228276250178</v>
          </cell>
          <cell r="P310">
            <v>18.865371204026239</v>
          </cell>
        </row>
        <row r="312">
          <cell r="B312" t="str">
            <v>Income from JVs</v>
          </cell>
        </row>
        <row r="313">
          <cell r="I313">
            <v>17.609000000000002</v>
          </cell>
          <cell r="J313">
            <v>20.788</v>
          </cell>
          <cell r="K313">
            <v>28.885999999999999</v>
          </cell>
          <cell r="L313">
            <v>30.858000000000001</v>
          </cell>
          <cell r="M313">
            <v>45.335999999999999</v>
          </cell>
          <cell r="N313">
            <v>55.256999999999998</v>
          </cell>
          <cell r="O313">
            <v>76.394999999999996</v>
          </cell>
          <cell r="P313">
            <v>-80.057000000000016</v>
          </cell>
        </row>
        <row r="314">
          <cell r="O314">
            <v>0</v>
          </cell>
          <cell r="P314">
            <v>27.222000000000001</v>
          </cell>
        </row>
        <row r="315">
          <cell r="I315">
            <v>3.4094000000000002</v>
          </cell>
          <cell r="J315">
            <v>3.4998999999999998</v>
          </cell>
          <cell r="K315">
            <v>4.4960000000000004</v>
          </cell>
          <cell r="L315">
            <v>4.3970000000000002</v>
          </cell>
          <cell r="M315">
            <v>6.2110000000000003</v>
          </cell>
          <cell r="N315">
            <v>6.0350000000000001</v>
          </cell>
          <cell r="O315">
            <v>7.7060000000000004</v>
          </cell>
          <cell r="P315">
            <v>120.102</v>
          </cell>
        </row>
        <row r="316">
          <cell r="I316">
            <v>3.4094000000000002</v>
          </cell>
          <cell r="J316">
            <v>3.4998999999999998</v>
          </cell>
          <cell r="K316">
            <v>4.4960000000000004</v>
          </cell>
          <cell r="L316">
            <v>4.3970000000000002</v>
          </cell>
          <cell r="M316">
            <v>6.2110000000000003</v>
          </cell>
          <cell r="N316">
            <v>6.0350000000000001</v>
          </cell>
          <cell r="O316">
            <v>98.63000000000001</v>
          </cell>
          <cell r="P316">
            <v>272.24</v>
          </cell>
        </row>
        <row r="317">
          <cell r="M317">
            <v>338.78199999999998</v>
          </cell>
          <cell r="N317">
            <v>511.762</v>
          </cell>
          <cell r="O317">
            <v>608.07000000000005</v>
          </cell>
          <cell r="P317">
            <v>259.95499999999998</v>
          </cell>
        </row>
        <row r="318">
          <cell r="I318">
            <v>3.8600000000000002E-2</v>
          </cell>
          <cell r="J318">
            <v>2.69E-2</v>
          </cell>
          <cell r="K318">
            <v>2.4E-2</v>
          </cell>
          <cell r="L318">
            <v>29.247</v>
          </cell>
          <cell r="M318">
            <v>6.8620000000000001</v>
          </cell>
          <cell r="N318">
            <v>7.8040000000000003</v>
          </cell>
          <cell r="O318">
            <v>12.334</v>
          </cell>
          <cell r="P318">
            <v>278.58199999999999</v>
          </cell>
        </row>
        <row r="319">
          <cell r="I319">
            <v>3.8600000000000002E-2</v>
          </cell>
          <cell r="J319">
            <v>2.69E-2</v>
          </cell>
          <cell r="K319">
            <v>2.4E-2</v>
          </cell>
          <cell r="L319">
            <v>29.247</v>
          </cell>
          <cell r="M319">
            <v>345.64400000000001</v>
          </cell>
          <cell r="N319">
            <v>519.56600000000003</v>
          </cell>
          <cell r="O319">
            <v>620.404</v>
          </cell>
          <cell r="P319">
            <v>538.53700000000003</v>
          </cell>
        </row>
        <row r="320">
          <cell r="I320">
            <v>21.057000000000002</v>
          </cell>
          <cell r="J320">
            <v>24.314800000000002</v>
          </cell>
          <cell r="K320">
            <v>33.405999999999999</v>
          </cell>
          <cell r="L320">
            <v>64.50200000000001</v>
          </cell>
          <cell r="M320">
            <v>397.19099999999997</v>
          </cell>
          <cell r="N320">
            <v>580.85799999999995</v>
          </cell>
          <cell r="O320">
            <v>795.42899999999997</v>
          </cell>
          <cell r="P320">
            <v>730.72</v>
          </cell>
        </row>
        <row r="321">
          <cell r="I321">
            <v>56.428000000000004</v>
          </cell>
          <cell r="J321">
            <v>55.538600000000002</v>
          </cell>
          <cell r="K321">
            <v>69.210000000000008</v>
          </cell>
          <cell r="L321">
            <v>130.68600000000001</v>
          </cell>
          <cell r="M321">
            <v>454.726</v>
          </cell>
          <cell r="N321">
            <v>685.11199999999997</v>
          </cell>
          <cell r="O321">
            <v>892.59500000000003</v>
          </cell>
          <cell r="P321">
            <v>911.83600000000001</v>
          </cell>
        </row>
        <row r="323">
          <cell r="I323">
            <v>1128.3437000000004</v>
          </cell>
          <cell r="J323">
            <v>1272.8864000000003</v>
          </cell>
          <cell r="K323">
            <v>1577.7240000000004</v>
          </cell>
          <cell r="L323">
            <v>2440.596</v>
          </cell>
          <cell r="M323">
            <v>3311.8720000000012</v>
          </cell>
          <cell r="N323">
            <v>4178.7230000000018</v>
          </cell>
          <cell r="O323">
            <v>4649.1220000000003</v>
          </cell>
          <cell r="P323">
            <v>4910.9680000000035</v>
          </cell>
        </row>
        <row r="326">
          <cell r="J326">
            <v>11.953022659786404</v>
          </cell>
          <cell r="K326">
            <v>13.191004557162678</v>
          </cell>
          <cell r="L326">
            <v>12.414622925292848</v>
          </cell>
          <cell r="M326">
            <v>12.998324958123952</v>
          </cell>
          <cell r="N326">
            <v>11.895256783273563</v>
          </cell>
          <cell r="O326">
            <v>15</v>
          </cell>
          <cell r="P326">
            <v>15</v>
          </cell>
        </row>
        <row r="327">
          <cell r="L327">
            <v>6.3101494449704267</v>
          </cell>
          <cell r="M327">
            <v>8.4863460799441981</v>
          </cell>
          <cell r="N327">
            <v>8.3577628816817331</v>
          </cell>
          <cell r="O327">
            <v>10</v>
          </cell>
          <cell r="P327">
            <v>10</v>
          </cell>
        </row>
        <row r="328">
          <cell r="J328">
            <v>3.5106784886405507</v>
          </cell>
          <cell r="K328">
            <v>3.6864851942953836</v>
          </cell>
          <cell r="L328">
            <v>16.84634595608593</v>
          </cell>
          <cell r="M328">
            <v>12.007370311967515</v>
          </cell>
          <cell r="N328">
            <v>29.078498293515359</v>
          </cell>
          <cell r="O328">
            <v>15</v>
          </cell>
          <cell r="P328">
            <v>15.5</v>
          </cell>
        </row>
        <row r="329">
          <cell r="J329">
            <v>4.2782933644967196</v>
          </cell>
          <cell r="K329">
            <v>4.3878216729485855</v>
          </cell>
          <cell r="L329">
            <v>4.2631777460978464</v>
          </cell>
          <cell r="M329">
            <v>4.4100256032530085</v>
          </cell>
          <cell r="N329">
            <v>4.3534849729143277</v>
          </cell>
          <cell r="O329">
            <v>5.5</v>
          </cell>
          <cell r="P329">
            <v>5.5</v>
          </cell>
        </row>
        <row r="330">
          <cell r="J330">
            <v>10.78805006999629</v>
          </cell>
          <cell r="K330">
            <v>13.251593849725305</v>
          </cell>
          <cell r="L330">
            <v>10.363342542876506</v>
          </cell>
          <cell r="M330">
            <v>14.280599971226007</v>
          </cell>
          <cell r="N330">
            <v>16.329491416136051</v>
          </cell>
          <cell r="O330">
            <v>14</v>
          </cell>
          <cell r="P330">
            <v>14</v>
          </cell>
        </row>
        <row r="331">
          <cell r="N331">
            <v>15</v>
          </cell>
          <cell r="O331">
            <v>15</v>
          </cell>
          <cell r="P331">
            <v>15.5</v>
          </cell>
        </row>
        <row r="333">
          <cell r="I333">
            <v>-74.114400000000003</v>
          </cell>
          <cell r="J333">
            <v>-68.418800000000005</v>
          </cell>
          <cell r="K333">
            <v>-111.042</v>
          </cell>
          <cell r="L333">
            <v>-705.76100000000008</v>
          </cell>
          <cell r="M333">
            <v>-1128.7339999999999</v>
          </cell>
          <cell r="N333">
            <v>-1205.8969999999999</v>
          </cell>
        </row>
        <row r="334">
          <cell r="I334">
            <v>-13.318</v>
          </cell>
          <cell r="J334">
            <v>-7.1310000000000002</v>
          </cell>
          <cell r="K334">
            <v>-5.3259999999999996</v>
          </cell>
          <cell r="L334">
            <v>-3.508</v>
          </cell>
          <cell r="M334">
            <v>-2.1339999999999999</v>
          </cell>
          <cell r="N334">
            <v>-0.879</v>
          </cell>
          <cell r="O334">
            <v>-9.6000000000000002E-2</v>
          </cell>
          <cell r="P334">
            <v>0</v>
          </cell>
        </row>
        <row r="335">
          <cell r="I335">
            <v>0</v>
          </cell>
          <cell r="J335">
            <v>0</v>
          </cell>
          <cell r="K335">
            <v>-35.609000000000002</v>
          </cell>
          <cell r="L335">
            <v>-517.399</v>
          </cell>
          <cell r="M335">
            <v>-774.23599999999999</v>
          </cell>
          <cell r="N335">
            <v>-774.39599999999996</v>
          </cell>
          <cell r="O335">
            <v>-866.01599999999996</v>
          </cell>
          <cell r="P335">
            <v>-676.61099999999999</v>
          </cell>
        </row>
        <row r="336">
          <cell r="I336">
            <v>-1.5469999999999999</v>
          </cell>
          <cell r="J336">
            <v>-0.75270000000000004</v>
          </cell>
          <cell r="K336">
            <v>-0.29299999999999998</v>
          </cell>
          <cell r="L336">
            <v>-29.815000000000001</v>
          </cell>
          <cell r="M336">
            <v>-31.181999999999999</v>
          </cell>
          <cell r="N336">
            <v>-25.773</v>
          </cell>
          <cell r="O336">
            <v>-2.8239999999999998</v>
          </cell>
          <cell r="P336">
            <v>-6.8209999999999997</v>
          </cell>
        </row>
        <row r="337">
          <cell r="I337">
            <v>-35.151000000000003</v>
          </cell>
          <cell r="J337">
            <v>-41.9985</v>
          </cell>
          <cell r="K337">
            <v>-50.610999999999997</v>
          </cell>
          <cell r="L337">
            <v>-56.683999999999997</v>
          </cell>
          <cell r="M337">
            <v>-65.875</v>
          </cell>
          <cell r="N337">
            <v>-69.338999999999999</v>
          </cell>
          <cell r="O337">
            <v>-75.174000000000007</v>
          </cell>
          <cell r="P337">
            <v>-79.338999999999999</v>
          </cell>
        </row>
        <row r="338">
          <cell r="I338">
            <v>-14.856400000000001</v>
          </cell>
          <cell r="J338">
            <v>-14.765000000000001</v>
          </cell>
          <cell r="K338">
            <v>-16.988</v>
          </cell>
          <cell r="L338">
            <v>-12.922000000000001</v>
          </cell>
          <cell r="M338">
            <v>-21.341000000000001</v>
          </cell>
          <cell r="N338">
            <v>-35.454999999999998</v>
          </cell>
          <cell r="O338">
            <v>-36.728000000000002</v>
          </cell>
          <cell r="P338">
            <v>-23.445</v>
          </cell>
        </row>
        <row r="339">
          <cell r="I339">
            <v>0</v>
          </cell>
          <cell r="J339">
            <v>0</v>
          </cell>
          <cell r="K339">
            <v>0</v>
          </cell>
          <cell r="L339">
            <v>0</v>
          </cell>
          <cell r="M339">
            <v>0</v>
          </cell>
          <cell r="N339">
            <v>0</v>
          </cell>
        </row>
        <row r="340">
          <cell r="I340">
            <v>0</v>
          </cell>
          <cell r="J340">
            <v>0</v>
          </cell>
          <cell r="K340">
            <v>0</v>
          </cell>
          <cell r="L340">
            <v>0</v>
          </cell>
          <cell r="M340">
            <v>0</v>
          </cell>
          <cell r="N340">
            <v>-94.405000000000001</v>
          </cell>
        </row>
        <row r="341">
          <cell r="I341">
            <v>-9.2420000000000009</v>
          </cell>
          <cell r="J341">
            <v>-3.7715999999999998</v>
          </cell>
          <cell r="K341">
            <v>-2.2149999999999999</v>
          </cell>
          <cell r="L341">
            <v>-85.433000000000007</v>
          </cell>
          <cell r="M341">
            <v>-233.96600000000001</v>
          </cell>
          <cell r="N341">
            <v>-205.65</v>
          </cell>
          <cell r="O341">
            <v>-165.52799999999999</v>
          </cell>
          <cell r="P341">
            <v>-1562.04</v>
          </cell>
        </row>
        <row r="342">
          <cell r="I342">
            <v>-74.114400000000003</v>
          </cell>
          <cell r="J342">
            <v>-68.418800000000005</v>
          </cell>
          <cell r="K342">
            <v>-111.042</v>
          </cell>
          <cell r="L342">
            <v>-705.76100000000008</v>
          </cell>
          <cell r="M342">
            <v>-1128.7339999999999</v>
          </cell>
          <cell r="N342">
            <v>-1205.8969999999999</v>
          </cell>
          <cell r="O342">
            <v>-1146.3659999999998</v>
          </cell>
          <cell r="P342">
            <v>-942.42</v>
          </cell>
        </row>
        <row r="345">
          <cell r="I345">
            <v>1054.2293000000004</v>
          </cell>
          <cell r="J345">
            <v>1204.4676000000004</v>
          </cell>
          <cell r="K345">
            <v>1466.6820000000005</v>
          </cell>
          <cell r="L345">
            <v>1734.835</v>
          </cell>
          <cell r="M345">
            <v>2183.1380000000013</v>
          </cell>
          <cell r="N345">
            <v>2972.8260000000018</v>
          </cell>
          <cell r="O345">
            <v>3502.7560000000003</v>
          </cell>
          <cell r="P345">
            <v>3968.5480000000034</v>
          </cell>
        </row>
        <row r="346">
          <cell r="J346">
            <v>14.251007821543183</v>
          </cell>
          <cell r="K346">
            <v>21.77014973254574</v>
          </cell>
          <cell r="L346">
            <v>18.282967950789562</v>
          </cell>
          <cell r="M346">
            <v>25.841247150305424</v>
          </cell>
          <cell r="N346">
            <v>36.172152195601015</v>
          </cell>
          <cell r="O346">
            <v>17.825799424520582</v>
          </cell>
          <cell r="P346">
            <v>13.297871733001188</v>
          </cell>
        </row>
        <row r="347">
          <cell r="I347">
            <v>-425.08</v>
          </cell>
          <cell r="J347">
            <v>-496.07</v>
          </cell>
          <cell r="K347">
            <v>-0.10299999999999999</v>
          </cell>
          <cell r="L347">
            <v>-0.13</v>
          </cell>
          <cell r="M347">
            <v>-50.152999999999999</v>
          </cell>
          <cell r="N347">
            <v>-350.16199999999998</v>
          </cell>
          <cell r="O347">
            <v>-800.26199999999994</v>
          </cell>
          <cell r="P347">
            <v>-900.3</v>
          </cell>
        </row>
        <row r="348">
          <cell r="I348">
            <v>40.321398769698376</v>
          </cell>
          <cell r="J348">
            <v>41.185831814820077</v>
          </cell>
          <cell r="K348">
            <v>7.0226538540733409E-3</v>
          </cell>
          <cell r="L348">
            <v>7.4935080281410046E-3</v>
          </cell>
          <cell r="M348">
            <v>2.2972894979611902</v>
          </cell>
          <cell r="N348">
            <v>11.778758662632786</v>
          </cell>
          <cell r="O348">
            <v>22.846638475531837</v>
          </cell>
          <cell r="P348">
            <v>22.685879067104622</v>
          </cell>
        </row>
        <row r="349">
          <cell r="I349">
            <v>629.14930000000049</v>
          </cell>
          <cell r="J349">
            <v>708.39760000000047</v>
          </cell>
          <cell r="K349">
            <v>1466.5790000000004</v>
          </cell>
          <cell r="L349">
            <v>1734.7049999999999</v>
          </cell>
          <cell r="M349">
            <v>2132.9850000000015</v>
          </cell>
          <cell r="N349">
            <v>2622.664000000002</v>
          </cell>
          <cell r="O349">
            <v>2702.4940000000006</v>
          </cell>
          <cell r="P349">
            <v>3068.2480000000032</v>
          </cell>
        </row>
        <row r="351">
          <cell r="L351">
            <v>4.1000000000000002E-2</v>
          </cell>
          <cell r="M351">
            <v>-0.58799999999999997</v>
          </cell>
          <cell r="N351">
            <v>-55.9</v>
          </cell>
          <cell r="O351">
            <v>2.56</v>
          </cell>
          <cell r="P351">
            <v>6.2370000000000019</v>
          </cell>
        </row>
        <row r="352">
          <cell r="N352">
            <v>71.120999999999995</v>
          </cell>
          <cell r="O352">
            <v>0</v>
          </cell>
        </row>
        <row r="353">
          <cell r="O353">
            <v>0</v>
          </cell>
        </row>
        <row r="354">
          <cell r="I354">
            <v>0</v>
          </cell>
          <cell r="J354">
            <v>0</v>
          </cell>
          <cell r="K354">
            <v>0</v>
          </cell>
          <cell r="L354">
            <v>4.1000000000000002E-2</v>
          </cell>
          <cell r="M354">
            <v>-0.58799999999999997</v>
          </cell>
          <cell r="N354">
            <v>15.220999999999997</v>
          </cell>
          <cell r="O354">
            <v>2.56</v>
          </cell>
          <cell r="P354">
            <v>6.2370000000000019</v>
          </cell>
        </row>
        <row r="355">
          <cell r="I355">
            <v>629.14930000000049</v>
          </cell>
          <cell r="J355">
            <v>708.39760000000047</v>
          </cell>
          <cell r="K355">
            <v>1466.5790000000004</v>
          </cell>
          <cell r="L355">
            <v>1734.7459999999999</v>
          </cell>
          <cell r="M355">
            <v>2132.3970000000013</v>
          </cell>
          <cell r="N355">
            <v>2637.885000000002</v>
          </cell>
          <cell r="O355">
            <v>2705.0540000000005</v>
          </cell>
          <cell r="P355">
            <v>3074.4850000000033</v>
          </cell>
        </row>
        <row r="356">
          <cell r="J356">
            <v>12.596103977227656</v>
          </cell>
          <cell r="K356">
            <v>107.02766356068958</v>
          </cell>
          <cell r="L356">
            <v>18.285206593030413</v>
          </cell>
          <cell r="M356">
            <v>22.922721827864212</v>
          </cell>
          <cell r="N356">
            <v>23.70515434039724</v>
          </cell>
          <cell r="O356">
            <v>2.5463202527782114</v>
          </cell>
          <cell r="P356">
            <v>13.65706562604676</v>
          </cell>
        </row>
        <row r="357">
          <cell r="I357">
            <v>521.21530000000052</v>
          </cell>
          <cell r="J357">
            <v>576.97960000000046</v>
          </cell>
          <cell r="K357">
            <v>1233.9270000000004</v>
          </cell>
          <cell r="L357">
            <v>1011.3719999999998</v>
          </cell>
          <cell r="M357">
            <v>817.8200000000013</v>
          </cell>
          <cell r="N357">
            <v>1084.377000000002</v>
          </cell>
          <cell r="O357">
            <v>991.15400000000045</v>
          </cell>
          <cell r="P357">
            <v>1239.7770000000032</v>
          </cell>
        </row>
        <row r="358">
          <cell r="I358">
            <v>0.48826016067032357</v>
          </cell>
          <cell r="J358">
            <v>0.48928817322968532</v>
          </cell>
          <cell r="K358">
            <v>0.49616803215033234</v>
          </cell>
          <cell r="L358">
            <v>0.49750110823097565</v>
          </cell>
          <cell r="M358">
            <v>0.48811633705521817</v>
          </cell>
          <cell r="N358">
            <v>0.4734293964949533</v>
          </cell>
          <cell r="O358">
            <v>0.46697735606539409</v>
          </cell>
          <cell r="P358">
            <v>0.46223745301322994</v>
          </cell>
        </row>
        <row r="359">
          <cell r="M359">
            <v>0.82122437456987996</v>
          </cell>
          <cell r="N359">
            <v>1.0600328827011249</v>
          </cell>
        </row>
        <row r="360">
          <cell r="I360">
            <v>14.47</v>
          </cell>
          <cell r="J360">
            <v>17.61</v>
          </cell>
          <cell r="K360">
            <v>50.633000000000003</v>
          </cell>
          <cell r="L360">
            <v>87.168000000000006</v>
          </cell>
          <cell r="M360">
            <v>103.92400000000001</v>
          </cell>
          <cell r="N360">
            <v>114.191</v>
          </cell>
          <cell r="O360">
            <v>122.777</v>
          </cell>
          <cell r="P360">
            <v>131.06399999999999</v>
          </cell>
        </row>
        <row r="361">
          <cell r="L361">
            <v>33.366</v>
          </cell>
          <cell r="M361">
            <v>27.1</v>
          </cell>
          <cell r="N361">
            <v>64.676000000000002</v>
          </cell>
          <cell r="O361">
            <v>-116.33199999999999</v>
          </cell>
          <cell r="P361">
            <v>-17.302</v>
          </cell>
        </row>
        <row r="362">
          <cell r="I362">
            <v>220.822</v>
          </cell>
          <cell r="J362">
            <v>148.31700000000001</v>
          </cell>
          <cell r="K362">
            <v>257.50700000000001</v>
          </cell>
          <cell r="M362">
            <v>70</v>
          </cell>
          <cell r="N362">
            <v>300</v>
          </cell>
          <cell r="O362">
            <v>0</v>
          </cell>
        </row>
        <row r="363">
          <cell r="M363">
            <v>38.999000000000002</v>
          </cell>
          <cell r="N363">
            <v>58.128</v>
          </cell>
          <cell r="O363">
            <v>84.748999999999995</v>
          </cell>
          <cell r="P363">
            <v>421.37599999999998</v>
          </cell>
        </row>
        <row r="364">
          <cell r="I364">
            <v>7.3739999999999997</v>
          </cell>
          <cell r="J364">
            <v>6.1109999999999998</v>
          </cell>
          <cell r="K364">
            <v>5.0060000000000002</v>
          </cell>
          <cell r="L364">
            <v>2.9119999999999999</v>
          </cell>
          <cell r="M364">
            <v>1.528</v>
          </cell>
          <cell r="N364">
            <v>0.32400000000000001</v>
          </cell>
        </row>
        <row r="366">
          <cell r="I366">
            <v>84.742999999999995</v>
          </cell>
          <cell r="J366">
            <v>91.100999999999999</v>
          </cell>
          <cell r="K366">
            <v>122.276</v>
          </cell>
          <cell r="L366">
            <v>112.209</v>
          </cell>
          <cell r="M366">
            <v>254.3</v>
          </cell>
          <cell r="N366">
            <v>273.22199999999998</v>
          </cell>
        </row>
        <row r="367">
          <cell r="L367">
            <v>33.366</v>
          </cell>
          <cell r="M367">
            <v>27.1</v>
          </cell>
          <cell r="N367">
            <v>64.676000000000002</v>
          </cell>
          <cell r="P367">
            <v>1.9410000000000001</v>
          </cell>
        </row>
        <row r="368">
          <cell r="I368">
            <v>327.40899999999999</v>
          </cell>
          <cell r="J368">
            <v>263.13900000000001</v>
          </cell>
          <cell r="K368">
            <v>435.42199999999997</v>
          </cell>
          <cell r="L368">
            <v>269.02100000000002</v>
          </cell>
          <cell r="M368">
            <v>522.95100000000002</v>
          </cell>
          <cell r="N368">
            <v>875.21699999999998</v>
          </cell>
          <cell r="O368">
            <v>91.194000000000003</v>
          </cell>
          <cell r="P368">
            <v>537.07899999999995</v>
          </cell>
        </row>
        <row r="370">
          <cell r="I370">
            <v>301.7403000000005</v>
          </cell>
          <cell r="J370">
            <v>445.25860000000046</v>
          </cell>
          <cell r="K370">
            <v>1031.1570000000004</v>
          </cell>
          <cell r="L370">
            <v>1465.7249999999999</v>
          </cell>
          <cell r="M370">
            <v>1609.4460000000013</v>
          </cell>
          <cell r="N370">
            <v>1762.6680000000019</v>
          </cell>
          <cell r="O370">
            <v>2613.8600000000006</v>
          </cell>
          <cell r="P370">
            <v>2537.4060000000036</v>
          </cell>
        </row>
        <row r="371">
          <cell r="J371">
            <v>47.563517369075228</v>
          </cell>
          <cell r="K371">
            <v>131.58609401368088</v>
          </cell>
          <cell r="L371">
            <v>42.143727870731553</v>
          </cell>
          <cell r="M371">
            <v>9.8054546384895858</v>
          </cell>
          <cell r="N371">
            <v>9.5201702946231528</v>
          </cell>
          <cell r="O371">
            <v>48.289978600621211</v>
          </cell>
          <cell r="P371">
            <v>-2.9249462480774424</v>
          </cell>
        </row>
        <row r="373">
          <cell r="I373">
            <v>301.7403000000005</v>
          </cell>
          <cell r="J373">
            <v>445.25860000000046</v>
          </cell>
          <cell r="K373">
            <v>1031.1570000000004</v>
          </cell>
          <cell r="L373">
            <v>1465.7249999999999</v>
          </cell>
          <cell r="M373">
            <v>1609.4460000000013</v>
          </cell>
          <cell r="N373">
            <v>1762.6680000000019</v>
          </cell>
          <cell r="O373">
            <v>2613.8600000000006</v>
          </cell>
          <cell r="P373">
            <v>2537.4060000000036</v>
          </cell>
        </row>
        <row r="374">
          <cell r="J374">
            <v>47.563517369075228</v>
          </cell>
          <cell r="K374">
            <v>131.58609401368088</v>
          </cell>
          <cell r="L374">
            <v>42.143727870731553</v>
          </cell>
          <cell r="M374">
            <v>9.8054546384895858</v>
          </cell>
          <cell r="N374">
            <v>9.5201702946231528</v>
          </cell>
          <cell r="O374">
            <v>48.289978600621211</v>
          </cell>
          <cell r="P374">
            <v>-2.9249462480774424</v>
          </cell>
        </row>
        <row r="375">
          <cell r="J375">
            <v>-92.450999999999993</v>
          </cell>
          <cell r="K375">
            <v>-167.07499999999999</v>
          </cell>
          <cell r="M375">
            <v>-137.46</v>
          </cell>
          <cell r="N375">
            <v>-7.0810000000000004</v>
          </cell>
          <cell r="O375">
            <v>-9.4819999999999993</v>
          </cell>
          <cell r="P375">
            <v>-46.198</v>
          </cell>
        </row>
        <row r="376">
          <cell r="K376">
            <v>-33.113999999999997</v>
          </cell>
        </row>
        <row r="377">
          <cell r="I377">
            <v>-1.4</v>
          </cell>
          <cell r="L377">
            <v>-117</v>
          </cell>
          <cell r="M377">
            <v>-293.5</v>
          </cell>
          <cell r="N377">
            <v>-89.5</v>
          </cell>
          <cell r="O377">
            <v>-153</v>
          </cell>
          <cell r="P377">
            <v>-211</v>
          </cell>
        </row>
        <row r="378">
          <cell r="I378">
            <v>-1.4</v>
          </cell>
          <cell r="J378">
            <v>-92.450999999999993</v>
          </cell>
          <cell r="K378">
            <v>-200.18899999999999</v>
          </cell>
          <cell r="L378">
            <v>-117</v>
          </cell>
          <cell r="M378">
            <v>-430.96000000000004</v>
          </cell>
          <cell r="N378">
            <v>-96.581000000000003</v>
          </cell>
          <cell r="O378">
            <v>-162.482</v>
          </cell>
          <cell r="P378">
            <v>-257.19799999999998</v>
          </cell>
        </row>
        <row r="379">
          <cell r="I379">
            <v>300.34030000000052</v>
          </cell>
          <cell r="J379">
            <v>352.80760000000043</v>
          </cell>
          <cell r="K379">
            <v>830.96800000000042</v>
          </cell>
          <cell r="L379">
            <v>1348.7249999999999</v>
          </cell>
          <cell r="M379">
            <v>1178.4860000000012</v>
          </cell>
          <cell r="N379">
            <v>1666.087000000002</v>
          </cell>
          <cell r="O379">
            <v>2451.3780000000006</v>
          </cell>
          <cell r="P379">
            <v>2280.2080000000037</v>
          </cell>
        </row>
        <row r="380">
          <cell r="J380">
            <v>17.469284008839246</v>
          </cell>
          <cell r="K380">
            <v>135.53007361519406</v>
          </cell>
          <cell r="L380">
            <v>62.307694159101089</v>
          </cell>
          <cell r="M380">
            <v>-12.622217279282189</v>
          </cell>
          <cell r="N380">
            <v>41.375205136081391</v>
          </cell>
          <cell r="O380">
            <v>47.133853154126861</v>
          </cell>
          <cell r="P380">
            <v>-6.9826032541695611</v>
          </cell>
        </row>
        <row r="381">
          <cell r="I381">
            <v>209.47881453138302</v>
          </cell>
          <cell r="J381">
            <v>200.78864514256486</v>
          </cell>
          <cell r="K381">
            <v>176.49043043775447</v>
          </cell>
          <cell r="L381">
            <v>128.62117926189549</v>
          </cell>
          <cell r="M381">
            <v>180.94377022722367</v>
          </cell>
          <cell r="N381">
            <v>158.32816653632128</v>
          </cell>
          <cell r="O381">
            <v>110.34830205704709</v>
          </cell>
          <cell r="P381">
            <v>134.83353273034732</v>
          </cell>
        </row>
        <row r="382">
          <cell r="I382">
            <v>105.95959999999999</v>
          </cell>
          <cell r="J382">
            <v>138.73400000000001</v>
          </cell>
          <cell r="K382">
            <v>161.91300000000001</v>
          </cell>
          <cell r="L382">
            <v>317.81799999999998</v>
          </cell>
          <cell r="M382">
            <v>413.28300000000002</v>
          </cell>
          <cell r="N382">
            <v>440.71800000000002</v>
          </cell>
          <cell r="O382">
            <v>468.267</v>
          </cell>
          <cell r="P382">
            <v>509.58499999999998</v>
          </cell>
        </row>
        <row r="383">
          <cell r="M383">
            <v>41.328000000000003</v>
          </cell>
          <cell r="N383">
            <v>50.033000000000001</v>
          </cell>
          <cell r="O383">
            <v>60.673000000000002</v>
          </cell>
          <cell r="P383">
            <v>67.501000000000005</v>
          </cell>
        </row>
        <row r="384">
          <cell r="L384">
            <v>22.891999999999999</v>
          </cell>
          <cell r="M384">
            <v>57.581000000000003</v>
          </cell>
          <cell r="N384">
            <v>59.965000000000003</v>
          </cell>
          <cell r="O384">
            <v>91.588999999999999</v>
          </cell>
          <cell r="P384">
            <v>104.066</v>
          </cell>
        </row>
        <row r="385">
          <cell r="I385">
            <v>105.95959999999999</v>
          </cell>
          <cell r="J385">
            <v>138.73400000000001</v>
          </cell>
          <cell r="K385">
            <v>161.91300000000001</v>
          </cell>
          <cell r="L385">
            <v>340.71</v>
          </cell>
          <cell r="M385">
            <v>512.19200000000001</v>
          </cell>
          <cell r="N385">
            <v>550.71600000000001</v>
          </cell>
          <cell r="O385">
            <v>620.529</v>
          </cell>
          <cell r="P385">
            <v>681.15200000000004</v>
          </cell>
        </row>
        <row r="386">
          <cell r="I386">
            <v>194.38070000000053</v>
          </cell>
          <cell r="J386">
            <v>214.07360000000043</v>
          </cell>
          <cell r="K386">
            <v>669.0550000000004</v>
          </cell>
          <cell r="L386">
            <v>1008.0149999999999</v>
          </cell>
          <cell r="M386">
            <v>666.29400000000123</v>
          </cell>
          <cell r="N386">
            <v>1115.3710000000019</v>
          </cell>
          <cell r="O386">
            <v>1830.8490000000006</v>
          </cell>
          <cell r="P386">
            <v>1599.0560000000037</v>
          </cell>
        </row>
        <row r="387">
          <cell r="I387">
            <v>194.02799999999999</v>
          </cell>
          <cell r="J387">
            <v>215.02199999999999</v>
          </cell>
          <cell r="K387">
            <v>669.02700000000004</v>
          </cell>
          <cell r="L387">
            <v>957.952</v>
          </cell>
          <cell r="M387">
            <v>459.75</v>
          </cell>
          <cell r="N387">
            <v>1080</v>
          </cell>
          <cell r="O387">
            <v>1600</v>
          </cell>
          <cell r="P387">
            <v>1500</v>
          </cell>
        </row>
        <row r="388">
          <cell r="I388">
            <v>0.57699999999999996</v>
          </cell>
          <cell r="J388">
            <v>0.72099999999999997</v>
          </cell>
          <cell r="K388">
            <v>0.54600000000000004</v>
          </cell>
          <cell r="L388">
            <v>0.57400000000036111</v>
          </cell>
          <cell r="M388">
            <v>50.637000000000285</v>
          </cell>
          <cell r="N388">
            <v>257.18100000000152</v>
          </cell>
          <cell r="O388">
            <v>292.55200000000332</v>
          </cell>
          <cell r="P388">
            <v>523.35100000000398</v>
          </cell>
        </row>
        <row r="389">
          <cell r="I389">
            <v>0.92970000000053865</v>
          </cell>
          <cell r="J389">
            <v>-0.22739999999956606</v>
          </cell>
          <cell r="K389">
            <v>0.57400000000036111</v>
          </cell>
          <cell r="L389">
            <v>50.637000000000285</v>
          </cell>
          <cell r="M389">
            <v>257.18100000000152</v>
          </cell>
          <cell r="N389">
            <v>292.55200000000332</v>
          </cell>
          <cell r="O389">
            <v>523.35100000000398</v>
          </cell>
          <cell r="P389">
            <v>622.40700000000743</v>
          </cell>
        </row>
        <row r="391">
          <cell r="I391">
            <v>0.12</v>
          </cell>
          <cell r="J391">
            <v>0.12</v>
          </cell>
          <cell r="K391">
            <v>0.12</v>
          </cell>
          <cell r="L391">
            <v>0.12</v>
          </cell>
          <cell r="M391">
            <v>0.12</v>
          </cell>
          <cell r="N391">
            <v>0.12</v>
          </cell>
          <cell r="O391">
            <v>0.105</v>
          </cell>
          <cell r="P391">
            <v>0.08</v>
          </cell>
        </row>
        <row r="393">
          <cell r="I393">
            <v>4.1090000000000009</v>
          </cell>
          <cell r="J393">
            <v>4.1090000000000009</v>
          </cell>
          <cell r="K393">
            <v>4.1090000000000009</v>
          </cell>
          <cell r="L393">
            <v>4.1090000000000009</v>
          </cell>
          <cell r="M393">
            <v>4.1090000000000009</v>
          </cell>
          <cell r="N393">
            <v>4.1090000000000009</v>
          </cell>
          <cell r="O393">
            <v>4.1090000000000009</v>
          </cell>
          <cell r="P393">
            <v>4.1090000000000009</v>
          </cell>
        </row>
        <row r="394">
          <cell r="I394">
            <v>101.27600000000001</v>
          </cell>
          <cell r="J394">
            <v>101.27600000000001</v>
          </cell>
          <cell r="K394">
            <v>101.27600000000001</v>
          </cell>
          <cell r="L394">
            <v>101.27600000000001</v>
          </cell>
          <cell r="M394">
            <v>101.27600000000001</v>
          </cell>
          <cell r="N394">
            <v>101.27600000000001</v>
          </cell>
          <cell r="O394">
            <v>101.27600000000001</v>
          </cell>
          <cell r="P394">
            <v>101.27600000000001</v>
          </cell>
        </row>
        <row r="395">
          <cell r="I395">
            <v>186.66319599999972</v>
          </cell>
          <cell r="J395">
            <v>266.16920683333365</v>
          </cell>
          <cell r="K395">
            <v>945.13633500000003</v>
          </cell>
          <cell r="L395">
            <v>1221.0373391666672</v>
          </cell>
          <cell r="M395">
            <v>1323.4266674999992</v>
          </cell>
          <cell r="N395">
            <v>1525.0851724999993</v>
          </cell>
          <cell r="O395">
            <v>1560.3496858333331</v>
          </cell>
          <cell r="P395">
            <v>1716.5670491666665</v>
          </cell>
        </row>
        <row r="396">
          <cell r="I396">
            <v>17.0665075</v>
          </cell>
          <cell r="J396">
            <v>15.065483499999997</v>
          </cell>
          <cell r="K396">
            <v>19.334160000000001</v>
          </cell>
          <cell r="L396">
            <v>35.739359999999998</v>
          </cell>
          <cell r="M396">
            <v>32.794949999999993</v>
          </cell>
          <cell r="N396">
            <v>59.424779999999998</v>
          </cell>
          <cell r="O396">
            <v>55.384619999999991</v>
          </cell>
          <cell r="P396">
            <v>103.23611999999999</v>
          </cell>
        </row>
        <row r="397">
          <cell r="I397">
            <v>14.1505305</v>
          </cell>
          <cell r="J397">
            <v>34.997256</v>
          </cell>
          <cell r="K397">
            <v>37.600269999999995</v>
          </cell>
          <cell r="L397">
            <v>43.430135</v>
          </cell>
          <cell r="M397">
            <v>45</v>
          </cell>
          <cell r="N397">
            <v>44.08579000000001</v>
          </cell>
          <cell r="O397">
            <v>43.647105000000003</v>
          </cell>
          <cell r="P397">
            <v>34.469414999999998</v>
          </cell>
        </row>
        <row r="398">
          <cell r="I398">
            <v>1.1745000000000002E-2</v>
          </cell>
          <cell r="J398">
            <v>6.855E-3</v>
          </cell>
          <cell r="K398">
            <v>4.9900000000000005E-3</v>
          </cell>
          <cell r="L398">
            <v>3.2500000000000003E-3</v>
          </cell>
          <cell r="M398">
            <v>2.7500000000000003E-3</v>
          </cell>
          <cell r="N398">
            <v>2.7500000000000003E-3</v>
          </cell>
          <cell r="O398">
            <v>2.2500000000000003E-3</v>
          </cell>
          <cell r="P398">
            <v>0</v>
          </cell>
        </row>
        <row r="399">
          <cell r="I399">
            <v>1.8770800000000001</v>
          </cell>
          <cell r="J399">
            <v>2.3325799999999997</v>
          </cell>
          <cell r="K399">
            <v>2.9439649999999999</v>
          </cell>
          <cell r="L399">
            <v>3.50501</v>
          </cell>
          <cell r="M399">
            <v>4.776605</v>
          </cell>
          <cell r="N399">
            <v>6.1427149999999999</v>
          </cell>
          <cell r="O399">
            <v>7.9927149999999996</v>
          </cell>
          <cell r="P399">
            <v>7.9927149999999996</v>
          </cell>
        </row>
        <row r="400">
          <cell r="M400">
            <v>1380</v>
          </cell>
        </row>
        <row r="401">
          <cell r="I401">
            <v>325.15405899999973</v>
          </cell>
          <cell r="J401">
            <v>423.95638133333358</v>
          </cell>
          <cell r="K401">
            <v>1110.40472</v>
          </cell>
          <cell r="L401">
            <v>1409.1000941666673</v>
          </cell>
          <cell r="M401">
            <v>1511.3859724999993</v>
          </cell>
          <cell r="N401">
            <v>1740.1262074999995</v>
          </cell>
          <cell r="O401">
            <v>1772.7613758333332</v>
          </cell>
          <cell r="P401">
            <v>1967.6502991666666</v>
          </cell>
        </row>
        <row r="402">
          <cell r="J402">
            <v>30.386310611405886</v>
          </cell>
          <cell r="K402">
            <v>161.91484994465733</v>
          </cell>
          <cell r="L402">
            <v>26.899685203667655</v>
          </cell>
          <cell r="M402">
            <v>7.2589505001646515</v>
          </cell>
          <cell r="N402">
            <v>15.134468571362913</v>
          </cell>
          <cell r="O402">
            <v>1.8754483549914491</v>
          </cell>
          <cell r="P402">
            <v>10.993522647215892</v>
          </cell>
        </row>
        <row r="404">
          <cell r="I404">
            <v>325.15405899999973</v>
          </cell>
          <cell r="J404">
            <v>423.95638133333358</v>
          </cell>
          <cell r="K404">
            <v>1110.40472</v>
          </cell>
          <cell r="L404">
            <v>1409.1000941666673</v>
          </cell>
          <cell r="M404">
            <v>1511.3859724999993</v>
          </cell>
          <cell r="N404">
            <v>1740.1262074999995</v>
          </cell>
          <cell r="O404">
            <v>1772.7613758333332</v>
          </cell>
          <cell r="P404">
            <v>1967.6502991666666</v>
          </cell>
        </row>
        <row r="405">
          <cell r="J405">
            <v>30.386310611405886</v>
          </cell>
          <cell r="K405">
            <v>161.91484994465733</v>
          </cell>
          <cell r="L405">
            <v>26.899685203667655</v>
          </cell>
          <cell r="M405">
            <v>7.2589505001646515</v>
          </cell>
          <cell r="N405">
            <v>15.134468571362913</v>
          </cell>
          <cell r="O405">
            <v>1.8754483549914491</v>
          </cell>
          <cell r="P405">
            <v>10.993522647215892</v>
          </cell>
        </row>
        <row r="407">
          <cell r="I407">
            <v>7828.6440000000002</v>
          </cell>
          <cell r="J407">
            <v>9659.6560000000009</v>
          </cell>
          <cell r="K407">
            <v>11622.268</v>
          </cell>
          <cell r="L407">
            <v>15031.035</v>
          </cell>
          <cell r="M407">
            <v>17746.203000000001</v>
          </cell>
          <cell r="N407">
            <v>18919.706999999999</v>
          </cell>
          <cell r="O407">
            <v>17620.816999999999</v>
          </cell>
          <cell r="P407">
            <v>19502.577000000001</v>
          </cell>
        </row>
        <row r="409">
          <cell r="I409">
            <v>35.371000000000002</v>
          </cell>
          <cell r="J409">
            <v>31.223799999999997</v>
          </cell>
          <cell r="K409">
            <v>35.804000000000002</v>
          </cell>
          <cell r="L409">
            <v>66.183999999999997</v>
          </cell>
          <cell r="M409">
            <v>57.534999999999997</v>
          </cell>
          <cell r="N409">
            <v>104.254</v>
          </cell>
          <cell r="O409">
            <v>97.165999999999997</v>
          </cell>
          <cell r="P409">
            <v>181.11599999999999</v>
          </cell>
        </row>
        <row r="410">
          <cell r="I410">
            <v>7864.0150000000003</v>
          </cell>
          <cell r="J410">
            <v>9690.8798000000006</v>
          </cell>
          <cell r="K410">
            <v>11658.072</v>
          </cell>
          <cell r="L410">
            <v>15097.218999999999</v>
          </cell>
          <cell r="M410">
            <v>17803.738000000001</v>
          </cell>
          <cell r="N410">
            <v>19023.960999999999</v>
          </cell>
          <cell r="O410">
            <v>17717.983</v>
          </cell>
          <cell r="P410">
            <v>19683.692999999999</v>
          </cell>
        </row>
        <row r="413">
          <cell r="I413">
            <v>6178.41</v>
          </cell>
          <cell r="J413">
            <v>7734.777</v>
          </cell>
          <cell r="K413">
            <v>9071.2780000000002</v>
          </cell>
          <cell r="L413">
            <v>9739.9169999999995</v>
          </cell>
          <cell r="M413">
            <v>8752.0889999999999</v>
          </cell>
          <cell r="N413">
            <v>7805.86</v>
          </cell>
          <cell r="O413">
            <v>6832.0919999999996</v>
          </cell>
          <cell r="P413">
            <v>7034.5069999999996</v>
          </cell>
        </row>
        <row r="414">
          <cell r="I414">
            <v>0</v>
          </cell>
          <cell r="J414">
            <v>0</v>
          </cell>
          <cell r="K414">
            <v>0</v>
          </cell>
          <cell r="L414">
            <v>1139.605</v>
          </cell>
          <cell r="M414">
            <v>3060.98</v>
          </cell>
          <cell r="N414">
            <v>3783.049</v>
          </cell>
          <cell r="O414">
            <v>3426.7510000000002</v>
          </cell>
          <cell r="P414">
            <v>4161.0060000000003</v>
          </cell>
        </row>
        <row r="416">
          <cell r="I416">
            <v>502.55630000000008</v>
          </cell>
          <cell r="J416">
            <v>586.20319999999992</v>
          </cell>
          <cell r="K416">
            <v>813.30899999999997</v>
          </cell>
          <cell r="L416">
            <v>1152.4649999999999</v>
          </cell>
          <cell r="M416">
            <v>1783.0890000000002</v>
          </cell>
          <cell r="N416">
            <v>2328.2929999999997</v>
          </cell>
          <cell r="O416">
            <v>2274.2429999999999</v>
          </cell>
          <cell r="P416">
            <v>2491.4080000000004</v>
          </cell>
        </row>
        <row r="417">
          <cell r="I417">
            <v>14.714</v>
          </cell>
          <cell r="J417">
            <v>16.27</v>
          </cell>
          <cell r="K417">
            <v>17.974</v>
          </cell>
          <cell r="L417">
            <v>19.015999999999998</v>
          </cell>
          <cell r="M417">
            <v>25.518999999999998</v>
          </cell>
          <cell r="N417">
            <v>22.494</v>
          </cell>
          <cell r="O417">
            <v>23.152999999999999</v>
          </cell>
          <cell r="P417">
            <v>23.88</v>
          </cell>
        </row>
        <row r="421">
          <cell r="I421">
            <v>0</v>
          </cell>
          <cell r="J421">
            <v>0</v>
          </cell>
          <cell r="K421">
            <v>0</v>
          </cell>
          <cell r="L421">
            <v>0</v>
          </cell>
          <cell r="M421">
            <v>0</v>
          </cell>
          <cell r="N421">
            <v>0</v>
          </cell>
          <cell r="P421">
            <v>0</v>
          </cell>
        </row>
        <row r="422">
          <cell r="I422">
            <v>107.934</v>
          </cell>
          <cell r="J422">
            <v>131.41800000000001</v>
          </cell>
          <cell r="K422">
            <v>232.65199999999999</v>
          </cell>
          <cell r="L422">
            <v>723.37400000000002</v>
          </cell>
          <cell r="M422">
            <v>1314.577</v>
          </cell>
          <cell r="N422">
            <v>1553.508</v>
          </cell>
          <cell r="O422">
            <v>1713.9</v>
          </cell>
          <cell r="P422">
            <v>1834.7080000000001</v>
          </cell>
        </row>
        <row r="424">
          <cell r="I424">
            <v>59.258000000000003</v>
          </cell>
          <cell r="J424">
            <v>53.653800000000004</v>
          </cell>
          <cell r="K424">
            <v>94.054000000000002</v>
          </cell>
          <cell r="L424">
            <v>692.83900000000006</v>
          </cell>
          <cell r="M424">
            <v>1107.393</v>
          </cell>
          <cell r="N424">
            <v>1170.442</v>
          </cell>
          <cell r="O424">
            <v>1109.6379999999997</v>
          </cell>
          <cell r="P424">
            <v>918.97499999999991</v>
          </cell>
        </row>
        <row r="426">
          <cell r="I426">
            <v>6862.8723</v>
          </cell>
          <cell r="J426">
            <v>8522.3220000000001</v>
          </cell>
          <cell r="K426">
            <v>10229.267</v>
          </cell>
          <cell r="L426">
            <v>13467.215999999999</v>
          </cell>
          <cell r="M426">
            <v>16043.646999999999</v>
          </cell>
          <cell r="N426">
            <v>16663.646000000001</v>
          </cell>
          <cell r="O426">
            <v>15379.777</v>
          </cell>
          <cell r="P426">
            <v>16464.483999999997</v>
          </cell>
        </row>
        <row r="427">
          <cell r="O427">
            <v>2338.2060000000001</v>
          </cell>
        </row>
        <row r="428">
          <cell r="I428">
            <v>425.08</v>
          </cell>
          <cell r="J428">
            <v>496.07</v>
          </cell>
          <cell r="K428">
            <v>0.10299999999999999</v>
          </cell>
          <cell r="L428">
            <v>0.13</v>
          </cell>
          <cell r="M428">
            <v>50.152999999999999</v>
          </cell>
          <cell r="N428">
            <v>350.16199999999998</v>
          </cell>
          <cell r="O428">
            <v>800.26199999999994</v>
          </cell>
          <cell r="P428">
            <v>900.3</v>
          </cell>
        </row>
        <row r="429">
          <cell r="I429">
            <v>0</v>
          </cell>
          <cell r="J429">
            <v>-92.450999999999993</v>
          </cell>
          <cell r="K429">
            <v>-200.18899999999999</v>
          </cell>
          <cell r="L429">
            <v>0</v>
          </cell>
          <cell r="N429">
            <v>-7.0810000000000004</v>
          </cell>
          <cell r="O429">
            <v>-9.4819999999999993</v>
          </cell>
          <cell r="P429">
            <v>-46.198</v>
          </cell>
        </row>
        <row r="431">
          <cell r="I431">
            <v>425.08</v>
          </cell>
          <cell r="J431">
            <v>403.61900000000003</v>
          </cell>
          <cell r="K431">
            <v>-200.08599999999998</v>
          </cell>
          <cell r="L431">
            <v>0.13</v>
          </cell>
          <cell r="M431">
            <v>50.152999999999999</v>
          </cell>
          <cell r="N431">
            <v>343.08099999999996</v>
          </cell>
          <cell r="O431">
            <v>790.78</v>
          </cell>
          <cell r="P431">
            <v>854.10199999999998</v>
          </cell>
        </row>
        <row r="433">
          <cell r="I433">
            <v>14.47</v>
          </cell>
          <cell r="J433">
            <v>17.61</v>
          </cell>
          <cell r="K433">
            <v>50.633000000000003</v>
          </cell>
          <cell r="L433">
            <v>87.168000000000006</v>
          </cell>
          <cell r="M433">
            <v>103.92400000000001</v>
          </cell>
          <cell r="N433">
            <v>114.191</v>
          </cell>
          <cell r="O433">
            <v>122.777</v>
          </cell>
          <cell r="P433">
            <v>131.06399999999999</v>
          </cell>
        </row>
        <row r="437">
          <cell r="I437">
            <v>0</v>
          </cell>
          <cell r="J437">
            <v>0</v>
          </cell>
          <cell r="K437">
            <v>0</v>
          </cell>
          <cell r="L437">
            <v>0</v>
          </cell>
          <cell r="M437">
            <v>0</v>
          </cell>
          <cell r="N437">
            <v>0</v>
          </cell>
          <cell r="O437">
            <v>0</v>
          </cell>
          <cell r="P437">
            <v>0</v>
          </cell>
        </row>
        <row r="438">
          <cell r="I438">
            <v>220.822</v>
          </cell>
          <cell r="J438">
            <v>148.31700000000001</v>
          </cell>
          <cell r="K438">
            <v>257.50700000000001</v>
          </cell>
          <cell r="L438">
            <v>0</v>
          </cell>
          <cell r="M438">
            <v>70</v>
          </cell>
          <cell r="O438">
            <v>0</v>
          </cell>
          <cell r="P438">
            <v>0</v>
          </cell>
        </row>
        <row r="439">
          <cell r="I439">
            <v>0</v>
          </cell>
          <cell r="J439">
            <v>0</v>
          </cell>
          <cell r="K439">
            <v>0</v>
          </cell>
          <cell r="L439">
            <v>0</v>
          </cell>
          <cell r="M439">
            <v>38.999000000000002</v>
          </cell>
          <cell r="N439">
            <v>58.128</v>
          </cell>
          <cell r="O439">
            <v>84.748999999999995</v>
          </cell>
          <cell r="P439">
            <v>421.37599999999998</v>
          </cell>
        </row>
        <row r="440">
          <cell r="I440">
            <v>7.3739999999999997</v>
          </cell>
          <cell r="J440">
            <v>6.1109999999999998</v>
          </cell>
          <cell r="K440">
            <v>5.0060000000000002</v>
          </cell>
          <cell r="L440">
            <v>2.9119999999999999</v>
          </cell>
          <cell r="M440">
            <v>1.528</v>
          </cell>
          <cell r="N440">
            <v>0.32400000000000001</v>
          </cell>
          <cell r="O440">
            <v>0</v>
          </cell>
          <cell r="P440">
            <v>0</v>
          </cell>
        </row>
        <row r="441">
          <cell r="M441">
            <v>254.3</v>
          </cell>
          <cell r="O441">
            <v>0</v>
          </cell>
          <cell r="P441">
            <v>0</v>
          </cell>
        </row>
        <row r="443">
          <cell r="I443">
            <v>242.666</v>
          </cell>
          <cell r="J443">
            <v>172.03800000000001</v>
          </cell>
          <cell r="K443">
            <v>313.14599999999996</v>
          </cell>
          <cell r="L443">
            <v>90.080000000000013</v>
          </cell>
          <cell r="M443">
            <v>468.75099999999998</v>
          </cell>
          <cell r="N443">
            <v>172.64300000000003</v>
          </cell>
          <cell r="O443">
            <v>207.52600000000001</v>
          </cell>
          <cell r="P443">
            <v>552.43999999999994</v>
          </cell>
        </row>
        <row r="445">
          <cell r="K445">
            <v>-192</v>
          </cell>
          <cell r="L445">
            <v>192</v>
          </cell>
        </row>
        <row r="446">
          <cell r="I446">
            <v>7530.6183000000001</v>
          </cell>
          <cell r="J446">
            <v>9097.9789999999994</v>
          </cell>
          <cell r="K446">
            <v>10150.326999999999</v>
          </cell>
          <cell r="L446">
            <v>13749.425999999998</v>
          </cell>
          <cell r="M446">
            <v>16562.550999999999</v>
          </cell>
          <cell r="N446">
            <v>17179.37</v>
          </cell>
          <cell r="O446">
            <v>16378.083000000001</v>
          </cell>
          <cell r="P446">
            <v>17871.025999999998</v>
          </cell>
        </row>
        <row r="448">
          <cell r="I448">
            <v>333.39670000000024</v>
          </cell>
          <cell r="J448">
            <v>592.90080000000125</v>
          </cell>
          <cell r="K448">
            <v>1507.7450000000008</v>
          </cell>
          <cell r="L448">
            <v>1347.7930000000015</v>
          </cell>
          <cell r="M448">
            <v>1241.1870000000017</v>
          </cell>
          <cell r="N448">
            <v>1844.5910000000003</v>
          </cell>
          <cell r="O448">
            <v>1339.8999999999996</v>
          </cell>
          <cell r="P448">
            <v>1812.6670000000013</v>
          </cell>
        </row>
        <row r="449">
          <cell r="I449">
            <v>333.39670000000024</v>
          </cell>
          <cell r="J449">
            <v>592.90080000000125</v>
          </cell>
          <cell r="K449">
            <v>1507.7450000000008</v>
          </cell>
          <cell r="L449">
            <v>1347.7930000000015</v>
          </cell>
          <cell r="M449">
            <v>1241.1870000000017</v>
          </cell>
          <cell r="N449">
            <v>1844.5910000000003</v>
          </cell>
          <cell r="O449">
            <v>1339.8999999999996</v>
          </cell>
          <cell r="P449">
            <v>1812.6670000000013</v>
          </cell>
        </row>
        <row r="450">
          <cell r="J450">
            <v>77.836433294031053</v>
          </cell>
          <cell r="K450">
            <v>154.29970747214333</v>
          </cell>
          <cell r="L450">
            <v>-10.608690461583304</v>
          </cell>
          <cell r="M450">
            <v>-7.9096715890347831</v>
          </cell>
          <cell r="N450">
            <v>48.61507572992609</v>
          </cell>
          <cell r="O450">
            <v>-27.360591047012626</v>
          </cell>
          <cell r="P450">
            <v>35.283752518844814</v>
          </cell>
        </row>
        <row r="451">
          <cell r="I451">
            <v>8.2426410000005035</v>
          </cell>
          <cell r="J451">
            <v>168.94441866666767</v>
          </cell>
          <cell r="K451">
            <v>397.3402800000008</v>
          </cell>
          <cell r="L451">
            <v>-61.30709416666582</v>
          </cell>
          <cell r="M451">
            <v>-270.19897249999758</v>
          </cell>
          <cell r="N451">
            <v>104.46479250000084</v>
          </cell>
          <cell r="O451">
            <v>-432.86137583333357</v>
          </cell>
        </row>
        <row r="452">
          <cell r="N452">
            <v>34.82159750000028</v>
          </cell>
          <cell r="O452">
            <v>-144.28712527777785</v>
          </cell>
        </row>
        <row r="453">
          <cell r="N453">
            <v>2.0010960900374974</v>
          </cell>
          <cell r="O453">
            <v>-8.1391171561345583</v>
          </cell>
        </row>
        <row r="454">
          <cell r="N454">
            <v>34.82159750000028</v>
          </cell>
          <cell r="O454">
            <v>1484.1871252777776</v>
          </cell>
        </row>
        <row r="456">
          <cell r="I456">
            <v>1.0253499557266808</v>
          </cell>
          <cell r="J456">
            <v>1.3984948124506138</v>
          </cell>
          <cell r="K456">
            <v>1.3578337455193821</v>
          </cell>
          <cell r="L456">
            <v>0.95649202322783011</v>
          </cell>
          <cell r="M456">
            <v>0.82122437456987996</v>
          </cell>
          <cell r="N456">
            <v>1.0600328827011249</v>
          </cell>
          <cell r="O456">
            <v>0.7558264853159633</v>
          </cell>
          <cell r="P456">
            <v>0.92123432744512401</v>
          </cell>
        </row>
        <row r="464">
          <cell r="I464">
            <v>3775</v>
          </cell>
          <cell r="J464">
            <v>3859</v>
          </cell>
          <cell r="K464">
            <v>3914</v>
          </cell>
          <cell r="L464">
            <v>3920</v>
          </cell>
          <cell r="M464">
            <v>3960</v>
          </cell>
          <cell r="N464">
            <v>4000</v>
          </cell>
          <cell r="O464">
            <v>4040</v>
          </cell>
          <cell r="P464">
            <v>4080.4</v>
          </cell>
        </row>
        <row r="465">
          <cell r="I465">
            <v>380</v>
          </cell>
          <cell r="J465">
            <v>480</v>
          </cell>
          <cell r="K465">
            <v>546</v>
          </cell>
          <cell r="L465">
            <v>550</v>
          </cell>
          <cell r="M465">
            <v>550</v>
          </cell>
          <cell r="N465">
            <v>550</v>
          </cell>
          <cell r="O465">
            <v>550</v>
          </cell>
          <cell r="P465">
            <v>550</v>
          </cell>
        </row>
        <row r="466">
          <cell r="I466">
            <v>254</v>
          </cell>
          <cell r="J466">
            <v>247</v>
          </cell>
          <cell r="K466">
            <v>242</v>
          </cell>
          <cell r="L466">
            <v>240</v>
          </cell>
          <cell r="M466">
            <v>240</v>
          </cell>
          <cell r="N466">
            <v>240</v>
          </cell>
          <cell r="O466">
            <v>240</v>
          </cell>
          <cell r="P466">
            <v>240</v>
          </cell>
        </row>
        <row r="467">
          <cell r="I467">
            <v>74</v>
          </cell>
          <cell r="J467">
            <v>80</v>
          </cell>
          <cell r="K467">
            <v>91</v>
          </cell>
          <cell r="L467">
            <v>90</v>
          </cell>
          <cell r="M467">
            <v>90</v>
          </cell>
          <cell r="N467">
            <v>90</v>
          </cell>
          <cell r="O467">
            <v>90</v>
          </cell>
          <cell r="P467">
            <v>90</v>
          </cell>
        </row>
        <row r="468">
          <cell r="I468">
            <v>4483</v>
          </cell>
          <cell r="J468">
            <v>4666</v>
          </cell>
          <cell r="K468">
            <v>4793</v>
          </cell>
          <cell r="L468">
            <v>4800</v>
          </cell>
          <cell r="M468">
            <v>4840</v>
          </cell>
          <cell r="N468">
            <v>4880</v>
          </cell>
          <cell r="O468">
            <v>4920</v>
          </cell>
          <cell r="P468">
            <v>4960.3999999999996</v>
          </cell>
        </row>
        <row r="470">
          <cell r="I470">
            <v>4409</v>
          </cell>
          <cell r="J470">
            <v>4586</v>
          </cell>
          <cell r="K470">
            <v>4702</v>
          </cell>
          <cell r="L470">
            <v>4710</v>
          </cell>
          <cell r="M470">
            <v>4750</v>
          </cell>
          <cell r="N470">
            <v>4790</v>
          </cell>
          <cell r="O470">
            <v>4830</v>
          </cell>
          <cell r="P470">
            <v>4870.3999999999996</v>
          </cell>
        </row>
        <row r="471">
          <cell r="I471">
            <v>200.95599999999999</v>
          </cell>
          <cell r="J471">
            <v>216.16499999999999</v>
          </cell>
          <cell r="K471">
            <v>327.86599999999999</v>
          </cell>
          <cell r="L471">
            <v>357.87200000000001</v>
          </cell>
          <cell r="M471">
            <v>497.31299999999999</v>
          </cell>
          <cell r="N471">
            <v>599.26</v>
          </cell>
          <cell r="O471">
            <v>664.69068475991651</v>
          </cell>
          <cell r="P471">
            <v>737.27545800417545</v>
          </cell>
        </row>
        <row r="472">
          <cell r="I472">
            <v>45578.58924926287</v>
          </cell>
          <cell r="J472">
            <v>47135.848233754907</v>
          </cell>
          <cell r="K472">
            <v>69729.051467460653</v>
          </cell>
          <cell r="L472">
            <v>75981.316348195323</v>
          </cell>
          <cell r="M472">
            <v>104697.47368421052</v>
          </cell>
          <cell r="N472">
            <v>125106.47181628393</v>
          </cell>
          <cell r="O472">
            <v>137617.11899791233</v>
          </cell>
          <cell r="P472">
            <v>151378.83089770356</v>
          </cell>
        </row>
        <row r="474">
          <cell r="I474">
            <v>74</v>
          </cell>
          <cell r="J474">
            <v>80</v>
          </cell>
          <cell r="K474">
            <v>91</v>
          </cell>
          <cell r="L474">
            <v>90</v>
          </cell>
          <cell r="M474">
            <v>90</v>
          </cell>
          <cell r="N474">
            <v>90</v>
          </cell>
          <cell r="O474">
            <v>90</v>
          </cell>
          <cell r="P474">
            <v>90</v>
          </cell>
        </row>
        <row r="475">
          <cell r="I475">
            <v>28.5</v>
          </cell>
          <cell r="J475">
            <v>28.166</v>
          </cell>
          <cell r="K475">
            <v>40.512999999999998</v>
          </cell>
          <cell r="L475">
            <v>37.533999999999999</v>
          </cell>
          <cell r="M475">
            <v>43.298999999999999</v>
          </cell>
          <cell r="N475">
            <v>47.628900000000002</v>
          </cell>
          <cell r="O475">
            <v>52.39179</v>
          </cell>
          <cell r="P475">
            <v>57.630969000000007</v>
          </cell>
        </row>
        <row r="476">
          <cell r="I476">
            <v>385135.13513513515</v>
          </cell>
          <cell r="J476">
            <v>352075</v>
          </cell>
          <cell r="K476">
            <v>445197.80219780217</v>
          </cell>
          <cell r="L476">
            <v>417044.44444444444</v>
          </cell>
          <cell r="M476">
            <v>481100</v>
          </cell>
          <cell r="N476">
            <v>529210</v>
          </cell>
          <cell r="O476">
            <v>582131</v>
          </cell>
          <cell r="P476">
            <v>640344.10000000009</v>
          </cell>
        </row>
        <row r="478">
          <cell r="I478">
            <v>9793.4088229999998</v>
          </cell>
          <cell r="J478">
            <v>15704.844785000001</v>
          </cell>
        </row>
        <row r="479">
          <cell r="I479">
            <v>301.7403000000005</v>
          </cell>
          <cell r="J479">
            <v>445.25860000000046</v>
          </cell>
          <cell r="K479">
            <v>1031.1570000000004</v>
          </cell>
          <cell r="L479">
            <v>1465.7249999999999</v>
          </cell>
          <cell r="M479">
            <v>1609.4460000000013</v>
          </cell>
          <cell r="N479">
            <v>1762.6680000000019</v>
          </cell>
          <cell r="O479">
            <v>2613.8600000000006</v>
          </cell>
          <cell r="P479">
            <v>2537.4060000000036</v>
          </cell>
        </row>
        <row r="481">
          <cell r="I481">
            <v>3082.6779230000002</v>
          </cell>
          <cell r="J481">
            <v>3577.8308850000003</v>
          </cell>
          <cell r="K481">
            <v>8149.2190000000001</v>
          </cell>
          <cell r="L481">
            <v>14122.496999999999</v>
          </cell>
          <cell r="M481">
            <v>15698.880000000001</v>
          </cell>
          <cell r="N481">
            <v>17754.02</v>
          </cell>
          <cell r="O481">
            <v>20307.288699999997</v>
          </cell>
          <cell r="P481">
            <v>22081.286</v>
          </cell>
        </row>
        <row r="483">
          <cell r="I483">
            <v>583.84739999999999</v>
          </cell>
          <cell r="J483">
            <v>575.59400000000005</v>
          </cell>
          <cell r="K483">
            <v>1083.9949999999999</v>
          </cell>
          <cell r="L483">
            <v>1754.9839999999999</v>
          </cell>
          <cell r="M483">
            <v>1875.3879999999999</v>
          </cell>
          <cell r="N483">
            <v>1878.3219999999999</v>
          </cell>
          <cell r="O483">
            <v>2348.3140000000003</v>
          </cell>
          <cell r="P483">
            <v>2248.3140000000003</v>
          </cell>
        </row>
        <row r="484">
          <cell r="I484">
            <v>574.048</v>
          </cell>
          <cell r="J484">
            <v>575.59400000000005</v>
          </cell>
          <cell r="K484">
            <v>1083.9949999999999</v>
          </cell>
          <cell r="L484">
            <v>1364.9839999999999</v>
          </cell>
          <cell r="M484">
            <v>1375.3879999999999</v>
          </cell>
          <cell r="N484">
            <v>1378.3219999999999</v>
          </cell>
          <cell r="O484">
            <v>1378.3140000000001</v>
          </cell>
          <cell r="P484">
            <v>1378.3140000000001</v>
          </cell>
        </row>
        <row r="485">
          <cell r="I485">
            <v>5.0823999999999998</v>
          </cell>
          <cell r="L485">
            <v>330</v>
          </cell>
          <cell r="M485">
            <v>440</v>
          </cell>
          <cell r="N485">
            <v>110</v>
          </cell>
          <cell r="O485">
            <v>0</v>
          </cell>
          <cell r="P485">
            <v>0</v>
          </cell>
        </row>
        <row r="486">
          <cell r="I486">
            <v>4.7169999999999996</v>
          </cell>
          <cell r="L486">
            <v>60</v>
          </cell>
          <cell r="M486">
            <v>60</v>
          </cell>
          <cell r="N486">
            <v>0</v>
          </cell>
          <cell r="O486">
            <v>0</v>
          </cell>
          <cell r="P486">
            <v>0</v>
          </cell>
        </row>
        <row r="487">
          <cell r="N487">
            <v>220</v>
          </cell>
          <cell r="O487">
            <v>220</v>
          </cell>
          <cell r="P487">
            <v>220</v>
          </cell>
        </row>
        <row r="488">
          <cell r="N488">
            <v>100</v>
          </cell>
          <cell r="O488">
            <v>100</v>
          </cell>
          <cell r="P488">
            <v>0</v>
          </cell>
        </row>
        <row r="489">
          <cell r="N489">
            <v>20</v>
          </cell>
          <cell r="O489">
            <v>20</v>
          </cell>
          <cell r="P489">
            <v>20</v>
          </cell>
        </row>
        <row r="490">
          <cell r="N490">
            <v>50</v>
          </cell>
          <cell r="O490">
            <v>0</v>
          </cell>
          <cell r="P490">
            <v>0</v>
          </cell>
        </row>
        <row r="491">
          <cell r="N491">
            <v>0</v>
          </cell>
          <cell r="O491">
            <v>630</v>
          </cell>
          <cell r="P491">
            <v>630</v>
          </cell>
        </row>
        <row r="492">
          <cell r="I492">
            <v>2868.685023</v>
          </cell>
          <cell r="J492">
            <v>3393.3338849999996</v>
          </cell>
          <cell r="K492">
            <v>7509.5870000000004</v>
          </cell>
          <cell r="L492">
            <v>12934.973999999998</v>
          </cell>
          <cell r="M492">
            <v>14556.654</v>
          </cell>
          <cell r="N492">
            <v>16846.179</v>
          </cell>
          <cell r="O492">
            <v>19020.549700000003</v>
          </cell>
          <cell r="P492">
            <v>21429.235000000001</v>
          </cell>
        </row>
        <row r="494">
          <cell r="I494">
            <v>101.5975</v>
          </cell>
          <cell r="J494">
            <v>119.20699999999999</v>
          </cell>
          <cell r="K494">
            <v>169.84</v>
          </cell>
          <cell r="L494">
            <v>257.00799999999998</v>
          </cell>
          <cell r="M494">
            <v>360.93200000000002</v>
          </cell>
          <cell r="N494">
            <v>475.12299999999999</v>
          </cell>
          <cell r="O494">
            <v>597.9</v>
          </cell>
          <cell r="P494">
            <v>728.96399999999994</v>
          </cell>
        </row>
        <row r="495">
          <cell r="I495">
            <v>8.4920000000000009</v>
          </cell>
          <cell r="J495">
            <v>8.4920000000000009</v>
          </cell>
          <cell r="K495">
            <v>8.4920000000000009</v>
          </cell>
          <cell r="L495">
            <v>41.857999999999997</v>
          </cell>
          <cell r="M495">
            <v>68.957999999999998</v>
          </cell>
          <cell r="N495">
            <v>133.63399999999999</v>
          </cell>
          <cell r="O495">
            <v>17.301999999999992</v>
          </cell>
          <cell r="P495">
            <v>0</v>
          </cell>
        </row>
        <row r="496">
          <cell r="I496">
            <v>16.922000000000001</v>
          </cell>
          <cell r="J496">
            <v>16.922000000000001</v>
          </cell>
          <cell r="K496">
            <v>16.922000000000001</v>
          </cell>
          <cell r="L496">
            <v>16.922000000000001</v>
          </cell>
          <cell r="M496">
            <v>16.922000000000001</v>
          </cell>
          <cell r="N496">
            <v>16.922000000000001</v>
          </cell>
          <cell r="O496">
            <v>16.922000000000001</v>
          </cell>
          <cell r="P496">
            <v>16.922000000000001</v>
          </cell>
        </row>
        <row r="497">
          <cell r="I497">
            <v>189.70599999999999</v>
          </cell>
          <cell r="J497">
            <v>189.70599999999999</v>
          </cell>
          <cell r="K497">
            <v>189.70599999999999</v>
          </cell>
          <cell r="L497">
            <v>189.70599999999999</v>
          </cell>
          <cell r="M497">
            <v>189.70599999999999</v>
          </cell>
          <cell r="N497">
            <v>189.70599999999999</v>
          </cell>
          <cell r="O497">
            <v>189.70599999999999</v>
          </cell>
          <cell r="P497">
            <v>189.70599999999999</v>
          </cell>
        </row>
        <row r="498">
          <cell r="I498">
            <v>2.3490000000000002</v>
          </cell>
          <cell r="J498">
            <v>1.371</v>
          </cell>
          <cell r="K498">
            <v>0.998</v>
          </cell>
          <cell r="L498">
            <v>0.65</v>
          </cell>
          <cell r="M498">
            <v>0.55000000000000004</v>
          </cell>
          <cell r="N498">
            <v>0.55000000000000004</v>
          </cell>
          <cell r="O498">
            <v>0.45</v>
          </cell>
          <cell r="P498">
            <v>0</v>
          </cell>
        </row>
        <row r="499">
          <cell r="I499">
            <v>41.537999999999997</v>
          </cell>
          <cell r="J499">
            <v>47.649000000000001</v>
          </cell>
          <cell r="K499">
            <v>52.655000000000001</v>
          </cell>
          <cell r="L499">
            <v>55.567</v>
          </cell>
          <cell r="M499">
            <v>57.094999999999999</v>
          </cell>
          <cell r="N499">
            <v>57.418999999999997</v>
          </cell>
          <cell r="O499">
            <v>57.418999999999997</v>
          </cell>
          <cell r="P499">
            <v>57.418999999999997</v>
          </cell>
        </row>
        <row r="500">
          <cell r="M500">
            <v>38.999000000000002</v>
          </cell>
          <cell r="N500">
            <v>97.126999999999995</v>
          </cell>
          <cell r="O500">
            <v>181.87599999999998</v>
          </cell>
          <cell r="P500">
            <v>603.25199999999995</v>
          </cell>
        </row>
        <row r="501">
          <cell r="I501">
            <v>9.25</v>
          </cell>
          <cell r="J501">
            <v>7.75</v>
          </cell>
          <cell r="K501">
            <v>5.75</v>
          </cell>
          <cell r="L501">
            <v>5.75</v>
          </cell>
          <cell r="N501">
            <v>0</v>
          </cell>
          <cell r="O501">
            <v>0</v>
          </cell>
          <cell r="P501">
            <v>0</v>
          </cell>
        </row>
        <row r="502">
          <cell r="B502" t="str">
            <v>Statutory reserves</v>
          </cell>
          <cell r="I502">
            <v>369.85449999999997</v>
          </cell>
          <cell r="J502">
            <v>391.09699999999998</v>
          </cell>
          <cell r="K502">
            <v>444.36299999999994</v>
          </cell>
          <cell r="L502">
            <v>567.46100000000001</v>
          </cell>
          <cell r="M502">
            <v>733.16200000000003</v>
          </cell>
          <cell r="N502">
            <v>970.48099999999988</v>
          </cell>
          <cell r="O502">
            <v>1061.575</v>
          </cell>
          <cell r="P502">
            <v>1596.2629999999999</v>
          </cell>
          <cell r="Q502">
            <v>1734.2239999999999</v>
          </cell>
          <cell r="R502">
            <v>1986.3050242665997</v>
          </cell>
          <cell r="S502">
            <v>2196.2569828736077</v>
          </cell>
        </row>
        <row r="504">
          <cell r="I504">
            <v>1.06</v>
          </cell>
          <cell r="J504">
            <v>1.06</v>
          </cell>
          <cell r="K504">
            <v>1.06</v>
          </cell>
          <cell r="L504">
            <v>1.06</v>
          </cell>
          <cell r="M504">
            <v>1.06</v>
          </cell>
          <cell r="N504">
            <v>1.06</v>
          </cell>
          <cell r="O504">
            <v>1.06</v>
          </cell>
          <cell r="P504">
            <v>1.06</v>
          </cell>
        </row>
        <row r="505">
          <cell r="I505">
            <v>0.38800000000000001</v>
          </cell>
          <cell r="J505">
            <v>0.38800000000000001</v>
          </cell>
          <cell r="K505">
            <v>0.38800000000000001</v>
          </cell>
          <cell r="L505">
            <v>0.38800000000000001</v>
          </cell>
          <cell r="M505">
            <v>0.38800000000000001</v>
          </cell>
          <cell r="N505">
            <v>0.38800000000000001</v>
          </cell>
          <cell r="O505">
            <v>0.38800000000000001</v>
          </cell>
          <cell r="P505">
            <v>0.38800000000000001</v>
          </cell>
        </row>
        <row r="506">
          <cell r="I506">
            <v>32.897599999999997</v>
          </cell>
          <cell r="J506">
            <v>34.129600000000003</v>
          </cell>
          <cell r="K506">
            <v>38.566000000000003</v>
          </cell>
          <cell r="L506">
            <v>43.584000000000003</v>
          </cell>
          <cell r="M506">
            <v>47.444000000000003</v>
          </cell>
          <cell r="N506">
            <v>50.203000000000003</v>
          </cell>
          <cell r="O506">
            <v>52.963000000000001</v>
          </cell>
          <cell r="P506">
            <v>54.725999999999999</v>
          </cell>
        </row>
        <row r="507">
          <cell r="I507">
            <v>594.17600000000004</v>
          </cell>
          <cell r="J507">
            <v>742.49300000000005</v>
          </cell>
          <cell r="K507">
            <v>1000</v>
          </cell>
          <cell r="L507">
            <v>1000</v>
          </cell>
          <cell r="M507">
            <v>1070</v>
          </cell>
          <cell r="N507">
            <v>1370</v>
          </cell>
          <cell r="O507">
            <v>1000</v>
          </cell>
          <cell r="P507">
            <v>1000</v>
          </cell>
        </row>
        <row r="508">
          <cell r="I508">
            <v>185.71</v>
          </cell>
          <cell r="J508">
            <v>276.81</v>
          </cell>
          <cell r="K508">
            <v>399.08699999999999</v>
          </cell>
          <cell r="L508">
            <v>511.29599999999999</v>
          </cell>
          <cell r="M508">
            <v>765.61500000000001</v>
          </cell>
          <cell r="N508">
            <v>1038.837</v>
          </cell>
          <cell r="O508">
            <v>1408.837</v>
          </cell>
          <cell r="P508">
            <v>1408.837</v>
          </cell>
        </row>
        <row r="509">
          <cell r="I509">
            <v>814.23160000000007</v>
          </cell>
          <cell r="J509">
            <v>1054.8806</v>
          </cell>
          <cell r="K509">
            <v>1439.1009999999999</v>
          </cell>
          <cell r="L509">
            <v>1556.328</v>
          </cell>
          <cell r="M509">
            <v>1884.5070000000001</v>
          </cell>
          <cell r="N509">
            <v>2460.4880000000003</v>
          </cell>
          <cell r="O509">
            <v>2463.248</v>
          </cell>
          <cell r="P509">
            <v>2465.011</v>
          </cell>
        </row>
        <row r="511">
          <cell r="I511">
            <v>1184.0861</v>
          </cell>
          <cell r="J511">
            <v>1445.9775999999999</v>
          </cell>
          <cell r="K511">
            <v>1883.4639999999999</v>
          </cell>
          <cell r="L511">
            <v>2123.7889999999998</v>
          </cell>
          <cell r="M511">
            <v>2617.6689999999999</v>
          </cell>
          <cell r="N511">
            <v>3430.9690000000001</v>
          </cell>
          <cell r="O511">
            <v>3524.8230000000003</v>
          </cell>
          <cell r="P511">
            <v>4061.2739999999999</v>
          </cell>
        </row>
        <row r="513">
          <cell r="I513">
            <v>13.4</v>
          </cell>
          <cell r="J513">
            <v>13.4</v>
          </cell>
          <cell r="K513">
            <v>13.4</v>
          </cell>
          <cell r="L513">
            <v>130.4</v>
          </cell>
          <cell r="M513">
            <v>423.9</v>
          </cell>
          <cell r="N513">
            <v>513.4</v>
          </cell>
          <cell r="O513">
            <v>666.4</v>
          </cell>
          <cell r="P513">
            <v>877.4</v>
          </cell>
        </row>
        <row r="514">
          <cell r="I514">
            <v>373.27300000000002</v>
          </cell>
          <cell r="J514">
            <v>418.70499999999998</v>
          </cell>
          <cell r="K514">
            <v>472.54500000000002</v>
          </cell>
          <cell r="L514">
            <v>530.58199999999999</v>
          </cell>
          <cell r="M514">
            <v>618.82100000000003</v>
          </cell>
          <cell r="N514">
            <v>699.73599999999999</v>
          </cell>
          <cell r="O514">
            <v>764.81600000000003</v>
          </cell>
          <cell r="P514">
            <v>818.31500000000005</v>
          </cell>
        </row>
        <row r="515">
          <cell r="I515">
            <v>5.0000000000000001E-3</v>
          </cell>
          <cell r="J515">
            <v>5.0000000000000001E-3</v>
          </cell>
          <cell r="K515">
            <v>5.0000000000000001E-3</v>
          </cell>
          <cell r="L515">
            <v>3.7999999999999999E-2</v>
          </cell>
          <cell r="M515">
            <v>3.7999999999999999E-2</v>
          </cell>
          <cell r="N515">
            <v>3.7999999999999999E-2</v>
          </cell>
          <cell r="O515">
            <v>3.7999999999999999E-2</v>
          </cell>
          <cell r="P515">
            <v>3.7999999999999999E-2</v>
          </cell>
        </row>
        <row r="516">
          <cell r="I516">
            <v>386.678</v>
          </cell>
          <cell r="J516">
            <v>432.10999999999996</v>
          </cell>
          <cell r="K516">
            <v>485.95</v>
          </cell>
          <cell r="L516">
            <v>661.02</v>
          </cell>
          <cell r="M516">
            <v>1042.759</v>
          </cell>
          <cell r="N516">
            <v>1213.174</v>
          </cell>
          <cell r="O516">
            <v>1431.2539999999999</v>
          </cell>
          <cell r="P516">
            <v>1695.7530000000002</v>
          </cell>
        </row>
        <row r="518">
          <cell r="I518">
            <v>690</v>
          </cell>
          <cell r="J518">
            <v>690</v>
          </cell>
          <cell r="K518">
            <v>3643.4960000000001</v>
          </cell>
          <cell r="L518">
            <v>7645.125</v>
          </cell>
          <cell r="M518">
            <v>7719.0609999999997</v>
          </cell>
          <cell r="N518">
            <v>7909.5</v>
          </cell>
          <cell r="O518">
            <v>7941.1279999999997</v>
          </cell>
          <cell r="P518">
            <v>7949.2479999999996</v>
          </cell>
        </row>
        <row r="519">
          <cell r="O519">
            <v>0</v>
          </cell>
          <cell r="P519">
            <v>0</v>
          </cell>
        </row>
        <row r="520">
          <cell r="I520">
            <v>1890.9096</v>
          </cell>
          <cell r="J520">
            <v>2176.9906000000001</v>
          </cell>
          <cell r="K520">
            <v>5568.5470000000005</v>
          </cell>
          <cell r="L520">
            <v>9862.473</v>
          </cell>
          <cell r="M520">
            <v>10646.326999999999</v>
          </cell>
          <cell r="N520">
            <v>11583.162</v>
          </cell>
          <cell r="O520">
            <v>11835.63</v>
          </cell>
          <cell r="P520">
            <v>12110.011999999999</v>
          </cell>
        </row>
        <row r="522">
          <cell r="I522">
            <v>607.20000000000005</v>
          </cell>
          <cell r="J522">
            <v>824.7</v>
          </cell>
          <cell r="K522">
            <v>1496.1</v>
          </cell>
          <cell r="L522">
            <v>2454.4</v>
          </cell>
          <cell r="M522">
            <v>2920</v>
          </cell>
          <cell r="N522">
            <v>4000</v>
          </cell>
          <cell r="O522">
            <v>5600</v>
          </cell>
          <cell r="P522">
            <v>7100</v>
          </cell>
        </row>
        <row r="523">
          <cell r="I523">
            <v>0.72092299999999998</v>
          </cell>
          <cell r="J523">
            <v>0.54628500000000002</v>
          </cell>
          <cell r="K523">
            <v>0.57699999999999996</v>
          </cell>
          <cell r="L523">
            <v>50.64</v>
          </cell>
          <cell r="M523">
            <v>257.16500000000002</v>
          </cell>
          <cell r="N523">
            <v>292.536</v>
          </cell>
          <cell r="O523">
            <v>523.34469999999999</v>
          </cell>
          <cell r="P523">
            <v>622.96</v>
          </cell>
        </row>
        <row r="524">
          <cell r="I524">
            <v>607.92092300000002</v>
          </cell>
          <cell r="J524">
            <v>825.24628500000006</v>
          </cell>
          <cell r="K524">
            <v>1496.6769999999999</v>
          </cell>
          <cell r="L524">
            <v>2505.04</v>
          </cell>
          <cell r="M524">
            <v>3177.165</v>
          </cell>
          <cell r="N524">
            <v>4292.5360000000001</v>
          </cell>
          <cell r="O524">
            <v>6123.3446999999996</v>
          </cell>
          <cell r="P524">
            <v>7722.96</v>
          </cell>
        </row>
        <row r="526">
          <cell r="B526" t="str">
            <v>Consumer Deposits</v>
          </cell>
          <cell r="I526">
            <v>871.75760000000002</v>
          </cell>
          <cell r="J526">
            <v>1091.5719999999999</v>
          </cell>
          <cell r="K526">
            <v>1215.3130000000001</v>
          </cell>
          <cell r="L526">
            <v>1443.924</v>
          </cell>
          <cell r="M526">
            <v>1543.587</v>
          </cell>
          <cell r="N526">
            <v>1641.8610000000001</v>
          </cell>
          <cell r="O526">
            <v>1763.5350000000001</v>
          </cell>
          <cell r="P526">
            <v>163.03100000000001</v>
          </cell>
          <cell r="Q526">
            <v>164.16900000000001</v>
          </cell>
          <cell r="R526">
            <v>179.51972167552088</v>
          </cell>
          <cell r="S526">
            <v>190.8784285831988</v>
          </cell>
        </row>
        <row r="527">
          <cell r="I527">
            <v>11.135486554248731</v>
          </cell>
          <cell r="J527">
            <v>11.300319597302428</v>
          </cell>
          <cell r="K527">
            <v>10.456762828046989</v>
          </cell>
          <cell r="L527">
            <v>9.6062845971684592</v>
          </cell>
          <cell r="M527">
            <v>8.6981254525263783</v>
          </cell>
          <cell r="N527">
            <v>8.6780466526252233</v>
          </cell>
          <cell r="O527">
            <v>10.008247631196671</v>
          </cell>
          <cell r="P527">
            <v>0.83594593678568729</v>
          </cell>
        </row>
        <row r="529">
          <cell r="I529">
            <v>3146.9088000000002</v>
          </cell>
          <cell r="J529">
            <v>7272.9866999999995</v>
          </cell>
          <cell r="K529">
            <v>7775.1979999999994</v>
          </cell>
          <cell r="L529">
            <v>9283.6049999999996</v>
          </cell>
          <cell r="M529">
            <v>9814.119999999999</v>
          </cell>
          <cell r="N529">
            <v>9343.348</v>
          </cell>
          <cell r="O529">
            <v>8106.9650000000001</v>
          </cell>
          <cell r="P529">
            <v>7872.8649999999998</v>
          </cell>
        </row>
        <row r="531">
          <cell r="I531">
            <v>3007.9238</v>
          </cell>
          <cell r="J531">
            <v>7138.2428999999993</v>
          </cell>
          <cell r="K531">
            <v>7653.5499999999993</v>
          </cell>
          <cell r="L531">
            <v>9155.8739999999998</v>
          </cell>
          <cell r="M531">
            <v>9642.9699999999993</v>
          </cell>
          <cell r="N531">
            <v>9080.2530000000006</v>
          </cell>
          <cell r="O531">
            <v>7918.1930000000002</v>
          </cell>
          <cell r="P531">
            <v>6883.3739999999998</v>
          </cell>
        </row>
        <row r="533">
          <cell r="I533">
            <v>74.3001</v>
          </cell>
          <cell r="J533">
            <v>1473.575</v>
          </cell>
          <cell r="K533">
            <v>35.734999999999999</v>
          </cell>
          <cell r="L533">
            <v>20.779</v>
          </cell>
          <cell r="M533">
            <v>12.056000000000001</v>
          </cell>
          <cell r="N533">
            <v>2.7229999999999999</v>
          </cell>
          <cell r="O533">
            <v>0</v>
          </cell>
          <cell r="P533">
            <v>0</v>
          </cell>
        </row>
        <row r="534">
          <cell r="I534">
            <v>26.521100000000001</v>
          </cell>
          <cell r="J534">
            <v>17.238</v>
          </cell>
          <cell r="K534">
            <v>7.9560000000000004</v>
          </cell>
          <cell r="O534">
            <v>0</v>
          </cell>
        </row>
        <row r="535">
          <cell r="I535">
            <v>7.7789999999999999</v>
          </cell>
          <cell r="J535">
            <v>7.7789999999999999</v>
          </cell>
          <cell r="K535">
            <v>7.7789999999999999</v>
          </cell>
          <cell r="L535">
            <v>7.7789999999999999</v>
          </cell>
          <cell r="M535">
            <v>5.056</v>
          </cell>
          <cell r="N535">
            <v>2.7229999999999999</v>
          </cell>
          <cell r="O535">
            <v>0</v>
          </cell>
          <cell r="P535">
            <v>0</v>
          </cell>
        </row>
        <row r="536">
          <cell r="I536">
            <v>20</v>
          </cell>
          <cell r="J536">
            <v>20</v>
          </cell>
          <cell r="K536">
            <v>20</v>
          </cell>
          <cell r="L536">
            <v>13</v>
          </cell>
          <cell r="M536">
            <v>7</v>
          </cell>
          <cell r="O536">
            <v>0</v>
          </cell>
        </row>
        <row r="537">
          <cell r="I537">
            <v>20</v>
          </cell>
          <cell r="O537">
            <v>0</v>
          </cell>
        </row>
        <row r="538">
          <cell r="J538">
            <v>1428.558</v>
          </cell>
          <cell r="O538">
            <v>0</v>
          </cell>
        </row>
        <row r="540">
          <cell r="I540">
            <v>2894.7910000000002</v>
          </cell>
          <cell r="J540">
            <v>5660.62</v>
          </cell>
          <cell r="K540">
            <v>7605.9669999999996</v>
          </cell>
          <cell r="L540">
            <v>8792.9789999999994</v>
          </cell>
          <cell r="M540">
            <v>9453.6489999999994</v>
          </cell>
          <cell r="N540">
            <v>9077.5300000000007</v>
          </cell>
          <cell r="O540">
            <v>7918.1930000000002</v>
          </cell>
          <cell r="P540">
            <v>6883.3739999999998</v>
          </cell>
        </row>
        <row r="542">
          <cell r="I542">
            <v>950</v>
          </cell>
          <cell r="J542">
            <v>1100</v>
          </cell>
          <cell r="K542">
            <v>1100</v>
          </cell>
          <cell r="L542">
            <v>1100</v>
          </cell>
          <cell r="M542">
            <v>1100</v>
          </cell>
          <cell r="N542">
            <v>980</v>
          </cell>
          <cell r="O542">
            <v>430</v>
          </cell>
          <cell r="P542">
            <v>709.83300000000008</v>
          </cell>
        </row>
        <row r="543">
          <cell r="I543">
            <v>350</v>
          </cell>
          <cell r="J543">
            <v>400</v>
          </cell>
          <cell r="K543">
            <v>400</v>
          </cell>
          <cell r="L543">
            <v>400</v>
          </cell>
          <cell r="M543">
            <v>400</v>
          </cell>
          <cell r="N543">
            <v>350</v>
          </cell>
          <cell r="O543">
            <v>150</v>
          </cell>
          <cell r="P543">
            <v>0</v>
          </cell>
        </row>
        <row r="544">
          <cell r="I544">
            <v>260</v>
          </cell>
          <cell r="J544">
            <v>300</v>
          </cell>
          <cell r="K544">
            <v>300</v>
          </cell>
          <cell r="L544">
            <v>300</v>
          </cell>
          <cell r="M544">
            <v>300</v>
          </cell>
          <cell r="N544">
            <v>270</v>
          </cell>
          <cell r="O544">
            <v>120</v>
          </cell>
          <cell r="P544">
            <v>0</v>
          </cell>
        </row>
        <row r="545">
          <cell r="I545">
            <v>260</v>
          </cell>
          <cell r="J545">
            <v>300</v>
          </cell>
          <cell r="K545">
            <v>300</v>
          </cell>
          <cell r="L545">
            <v>300</v>
          </cell>
          <cell r="M545">
            <v>300</v>
          </cell>
          <cell r="N545">
            <v>270</v>
          </cell>
          <cell r="O545">
            <v>120</v>
          </cell>
          <cell r="P545">
            <v>0</v>
          </cell>
        </row>
        <row r="546">
          <cell r="I546">
            <v>80</v>
          </cell>
          <cell r="J546">
            <v>100</v>
          </cell>
          <cell r="K546">
            <v>100</v>
          </cell>
          <cell r="L546">
            <v>100</v>
          </cell>
          <cell r="M546">
            <v>100</v>
          </cell>
          <cell r="N546">
            <v>90</v>
          </cell>
          <cell r="O546">
            <v>40</v>
          </cell>
          <cell r="P546">
            <v>709.83300000000008</v>
          </cell>
        </row>
        <row r="548">
          <cell r="I548">
            <v>1944.7909999999999</v>
          </cell>
          <cell r="J548">
            <v>4560.62</v>
          </cell>
          <cell r="K548">
            <v>6505.9669999999996</v>
          </cell>
          <cell r="L548">
            <v>7692.9790000000003</v>
          </cell>
          <cell r="M548">
            <v>8353.6489999999994</v>
          </cell>
          <cell r="N548">
            <v>8097.5300000000007</v>
          </cell>
          <cell r="O548">
            <v>7488.1930000000002</v>
          </cell>
          <cell r="P548">
            <v>6173.5410000000002</v>
          </cell>
        </row>
        <row r="549">
          <cell r="I549">
            <v>1831.85</v>
          </cell>
          <cell r="J549">
            <v>3447.6950000000002</v>
          </cell>
          <cell r="K549">
            <v>4987.8339999999998</v>
          </cell>
          <cell r="L549">
            <v>5970.4790000000003</v>
          </cell>
          <cell r="M549">
            <v>6728.6989999999996</v>
          </cell>
          <cell r="N549">
            <v>7302.93</v>
          </cell>
          <cell r="O549">
            <v>7488.1930000000002</v>
          </cell>
          <cell r="P549">
            <v>6173.5410000000002</v>
          </cell>
        </row>
        <row r="550">
          <cell r="I550">
            <v>112.941</v>
          </cell>
          <cell r="J550">
            <v>1112.925</v>
          </cell>
          <cell r="K550">
            <v>1518.133</v>
          </cell>
          <cell r="L550">
            <v>1722.5</v>
          </cell>
          <cell r="M550">
            <v>1624.95</v>
          </cell>
          <cell r="N550">
            <v>794.6</v>
          </cell>
          <cell r="O550">
            <v>0</v>
          </cell>
        </row>
        <row r="552">
          <cell r="I552">
            <v>38.832700000000003</v>
          </cell>
          <cell r="J552">
            <v>4.0479000000000003</v>
          </cell>
          <cell r="K552">
            <v>11.848000000000001</v>
          </cell>
          <cell r="L552">
            <v>342.11599999999999</v>
          </cell>
          <cell r="M552">
            <v>177.26499999999999</v>
          </cell>
          <cell r="N552">
            <v>0</v>
          </cell>
          <cell r="O552">
            <v>0</v>
          </cell>
          <cell r="P552">
            <v>0</v>
          </cell>
        </row>
        <row r="554">
          <cell r="I554">
            <v>138.98500000000001</v>
          </cell>
          <cell r="J554">
            <v>134.74379999999999</v>
          </cell>
          <cell r="K554">
            <v>121.648</v>
          </cell>
          <cell r="L554">
            <v>127.73099999999999</v>
          </cell>
          <cell r="M554">
            <v>171.15</v>
          </cell>
          <cell r="N554">
            <v>263.09500000000003</v>
          </cell>
          <cell r="O554">
            <v>188.77199999999999</v>
          </cell>
          <cell r="P554">
            <v>989.49099999999999</v>
          </cell>
        </row>
        <row r="555">
          <cell r="I555">
            <v>97.484999999999999</v>
          </cell>
          <cell r="J555">
            <v>109.74379999999999</v>
          </cell>
          <cell r="K555">
            <v>108.148</v>
          </cell>
          <cell r="L555">
            <v>118.73099999999999</v>
          </cell>
          <cell r="M555">
            <v>166.65</v>
          </cell>
          <cell r="N555">
            <v>263.09500000000003</v>
          </cell>
          <cell r="O555">
            <v>188.77199999999999</v>
          </cell>
          <cell r="P555">
            <v>102.24299999999999</v>
          </cell>
        </row>
        <row r="556">
          <cell r="I556">
            <v>41.5</v>
          </cell>
          <cell r="J556">
            <v>25</v>
          </cell>
          <cell r="K556">
            <v>13.5</v>
          </cell>
          <cell r="L556">
            <v>9</v>
          </cell>
          <cell r="M556">
            <v>4.5</v>
          </cell>
          <cell r="N556">
            <v>0</v>
          </cell>
          <cell r="O556">
            <v>0</v>
          </cell>
          <cell r="P556">
            <v>887.24800000000005</v>
          </cell>
        </row>
        <row r="558">
          <cell r="M558">
            <v>917.8</v>
          </cell>
          <cell r="N558">
            <v>576.08499999999731</v>
          </cell>
          <cell r="O558">
            <v>1113.55</v>
          </cell>
          <cell r="P558">
            <v>0</v>
          </cell>
        </row>
        <row r="559">
          <cell r="M559">
            <v>523.59999999999991</v>
          </cell>
          <cell r="N559">
            <v>576.08500000000004</v>
          </cell>
          <cell r="O559">
            <v>1044.19</v>
          </cell>
          <cell r="P559">
            <v>0</v>
          </cell>
        </row>
        <row r="560">
          <cell r="M560">
            <v>394.2</v>
          </cell>
          <cell r="O560">
            <v>69.36</v>
          </cell>
          <cell r="P560">
            <v>0</v>
          </cell>
        </row>
        <row r="561">
          <cell r="N561">
            <v>0</v>
          </cell>
          <cell r="O561">
            <v>0</v>
          </cell>
          <cell r="P561">
            <v>0</v>
          </cell>
        </row>
        <row r="563">
          <cell r="I563">
            <v>2830.1061</v>
          </cell>
          <cell r="J563">
            <v>6999.4511999999995</v>
          </cell>
          <cell r="K563">
            <v>7520.0539999999992</v>
          </cell>
          <cell r="L563">
            <v>8686.027</v>
          </cell>
          <cell r="M563">
            <v>9294.5550000000003</v>
          </cell>
          <cell r="N563">
            <v>8817.1580000000013</v>
          </cell>
          <cell r="O563">
            <v>8729.4210000000003</v>
          </cell>
          <cell r="P563">
            <v>6893.8829999999998</v>
          </cell>
        </row>
        <row r="565">
          <cell r="I565">
            <v>3108.0761000000002</v>
          </cell>
          <cell r="J565">
            <v>7268.9387999999999</v>
          </cell>
          <cell r="K565">
            <v>7763.3499999999995</v>
          </cell>
          <cell r="L565">
            <v>8941.4889999999996</v>
          </cell>
          <cell r="M565">
            <v>10554.654999999999</v>
          </cell>
          <cell r="N565">
            <v>9919.4329999999973</v>
          </cell>
          <cell r="O565">
            <v>9220.5150000000012</v>
          </cell>
          <cell r="P565">
            <v>7872.8649999999998</v>
          </cell>
        </row>
        <row r="566">
          <cell r="I566">
            <v>38.832700000000003</v>
          </cell>
          <cell r="J566">
            <v>4.0479000000000003</v>
          </cell>
          <cell r="K566">
            <v>11.848000000000001</v>
          </cell>
          <cell r="L566">
            <v>342.11599999999999</v>
          </cell>
          <cell r="M566">
            <v>177.26499999999999</v>
          </cell>
          <cell r="N566">
            <v>0</v>
          </cell>
          <cell r="O566">
            <v>0</v>
          </cell>
          <cell r="P566">
            <v>0</v>
          </cell>
        </row>
        <row r="567">
          <cell r="I567">
            <v>1944.7909999999999</v>
          </cell>
          <cell r="J567">
            <v>4560.62</v>
          </cell>
          <cell r="K567">
            <v>6505.9669999999996</v>
          </cell>
          <cell r="L567">
            <v>7692.9790000000003</v>
          </cell>
          <cell r="M567">
            <v>8747.8490000000002</v>
          </cell>
          <cell r="N567">
            <v>8097.5300000000007</v>
          </cell>
          <cell r="O567">
            <v>7557.5529999999999</v>
          </cell>
          <cell r="P567">
            <v>6173.5410000000002</v>
          </cell>
        </row>
        <row r="568">
          <cell r="I568">
            <v>3007.9238</v>
          </cell>
          <cell r="J568">
            <v>7138.2428999999993</v>
          </cell>
          <cell r="K568">
            <v>7653.5499999999993</v>
          </cell>
          <cell r="L568">
            <v>9155.8739999999998</v>
          </cell>
          <cell r="M568">
            <v>10560.769999999999</v>
          </cell>
          <cell r="N568">
            <v>9656.3379999999979</v>
          </cell>
          <cell r="O568">
            <v>9031.7430000000004</v>
          </cell>
          <cell r="P568">
            <v>6883.3739999999998</v>
          </cell>
        </row>
        <row r="569">
          <cell r="I569">
            <v>138.98500000000001</v>
          </cell>
          <cell r="J569">
            <v>134.74379999999999</v>
          </cell>
          <cell r="K569">
            <v>121.648</v>
          </cell>
          <cell r="L569">
            <v>127.73099999999999</v>
          </cell>
          <cell r="M569">
            <v>171.15</v>
          </cell>
          <cell r="N569">
            <v>263.09500000000003</v>
          </cell>
          <cell r="O569">
            <v>188.77199999999999</v>
          </cell>
          <cell r="P569">
            <v>989.49099999999999</v>
          </cell>
        </row>
        <row r="570">
          <cell r="I570">
            <v>3146.9088000000002</v>
          </cell>
          <cell r="J570">
            <v>7272.9866999999995</v>
          </cell>
          <cell r="K570">
            <v>7775.1979999999994</v>
          </cell>
          <cell r="L570">
            <v>9283.6049999999996</v>
          </cell>
          <cell r="M570">
            <v>10731.919999999998</v>
          </cell>
          <cell r="N570">
            <v>9919.4329999999973</v>
          </cell>
          <cell r="O570">
            <v>9220.5150000000012</v>
          </cell>
          <cell r="P570">
            <v>7872.8649999999998</v>
          </cell>
        </row>
        <row r="572">
          <cell r="I572">
            <v>7471.1988229999997</v>
          </cell>
          <cell r="J572">
            <v>12333.486584999999</v>
          </cell>
          <cell r="K572">
            <v>17584.092999999997</v>
          </cell>
          <cell r="L572">
            <v>25417.486999999997</v>
          </cell>
          <cell r="M572">
            <v>28707.548999999999</v>
          </cell>
          <cell r="N572">
            <v>30285.794999999998</v>
          </cell>
          <cell r="O572">
            <v>32352.913700000005</v>
          </cell>
          <cell r="P572">
            <v>31713.445</v>
          </cell>
        </row>
        <row r="573">
          <cell r="K573">
            <v>8593.5819999999967</v>
          </cell>
          <cell r="L573">
            <v>14689.957999999999</v>
          </cell>
          <cell r="M573">
            <v>16432.042000000001</v>
          </cell>
          <cell r="N573">
            <v>18724.501</v>
          </cell>
          <cell r="O573">
            <v>21368.863700000005</v>
          </cell>
          <cell r="P573">
            <v>23677.549000000003</v>
          </cell>
        </row>
        <row r="575">
          <cell r="I575">
            <v>2963.5839999999998</v>
          </cell>
          <cell r="J575">
            <v>3599.1060000000002</v>
          </cell>
          <cell r="K575">
            <v>10204.808999999999</v>
          </cell>
          <cell r="L575">
            <v>17521.167000000001</v>
          </cell>
          <cell r="M575">
            <v>20939.510999999999</v>
          </cell>
        </row>
        <row r="576">
          <cell r="M576">
            <v>351.315</v>
          </cell>
        </row>
        <row r="577">
          <cell r="I577">
            <v>2963.5839999999998</v>
          </cell>
          <cell r="J577">
            <v>3599.1060000000002</v>
          </cell>
          <cell r="K577">
            <v>10204.808999999999</v>
          </cell>
          <cell r="L577">
            <v>17521.167000000001</v>
          </cell>
          <cell r="M577">
            <v>21290.825999999997</v>
          </cell>
          <cell r="N577">
            <v>24119.964</v>
          </cell>
          <cell r="O577">
            <v>26291.852999999999</v>
          </cell>
          <cell r="P577">
            <v>28354.258000000002</v>
          </cell>
        </row>
        <row r="578">
          <cell r="J578">
            <v>3281.3450000000003</v>
          </cell>
          <cell r="K578">
            <v>6901.9574999999995</v>
          </cell>
          <cell r="L578">
            <v>13862.988000000001</v>
          </cell>
          <cell r="M578">
            <v>19405.996500000001</v>
          </cell>
          <cell r="N578">
            <v>22705.394999999997</v>
          </cell>
          <cell r="O578">
            <v>25205.908499999998</v>
          </cell>
          <cell r="P578">
            <v>27323.055500000002</v>
          </cell>
        </row>
        <row r="579">
          <cell r="I579">
            <v>-641.07299999999998</v>
          </cell>
          <cell r="J579">
            <v>-769.97900000000004</v>
          </cell>
          <cell r="K579">
            <v>-1002.92</v>
          </cell>
          <cell r="L579">
            <v>-1729.1949999999999</v>
          </cell>
          <cell r="M579">
            <v>-3027.5949999999998</v>
          </cell>
          <cell r="N579">
            <v>-4675.2870000000003</v>
          </cell>
          <cell r="O579">
            <v>-6480.0010000000002</v>
          </cell>
          <cell r="P579">
            <v>-8344.4449999999997</v>
          </cell>
        </row>
        <row r="580">
          <cell r="I580">
            <v>2322.511</v>
          </cell>
          <cell r="J580">
            <v>2829.1270000000004</v>
          </cell>
          <cell r="K580">
            <v>9201.8889999999992</v>
          </cell>
          <cell r="L580">
            <v>15791.972000000002</v>
          </cell>
          <cell r="M580">
            <v>18263.230999999996</v>
          </cell>
          <cell r="N580">
            <v>19444.677</v>
          </cell>
          <cell r="O580">
            <v>19811.851999999999</v>
          </cell>
          <cell r="P580">
            <v>20009.813000000002</v>
          </cell>
        </row>
        <row r="582">
          <cell r="I582">
            <v>4347.7550000000001</v>
          </cell>
          <cell r="J582">
            <v>8762.3719999999994</v>
          </cell>
          <cell r="K582">
            <v>7290.433</v>
          </cell>
          <cell r="L582">
            <v>2980.8870000000002</v>
          </cell>
          <cell r="M582">
            <v>1574.88</v>
          </cell>
          <cell r="N582">
            <v>976.22699999999998</v>
          </cell>
          <cell r="O582">
            <v>924.45699999999999</v>
          </cell>
          <cell r="P582">
            <v>1066.797</v>
          </cell>
        </row>
        <row r="583">
          <cell r="I583">
            <v>6670.2659999999996</v>
          </cell>
          <cell r="J583">
            <v>11591.499</v>
          </cell>
          <cell r="K583">
            <v>16492.322</v>
          </cell>
          <cell r="L583">
            <v>18772.859</v>
          </cell>
          <cell r="M583">
            <v>19838.110999999997</v>
          </cell>
          <cell r="N583">
            <v>20420.903999999999</v>
          </cell>
          <cell r="O583">
            <v>20736.308999999997</v>
          </cell>
          <cell r="P583">
            <v>21076.61</v>
          </cell>
        </row>
        <row r="586">
          <cell r="I586">
            <v>3.4990000000000001</v>
          </cell>
          <cell r="J586">
            <v>3.4990000000000001</v>
          </cell>
          <cell r="K586">
            <v>3.4990000000000001</v>
          </cell>
          <cell r="L586">
            <v>2.9990000000000001</v>
          </cell>
          <cell r="M586">
            <v>2</v>
          </cell>
          <cell r="N586">
            <v>0</v>
          </cell>
          <cell r="O586">
            <v>0</v>
          </cell>
          <cell r="P586">
            <v>0</v>
          </cell>
        </row>
        <row r="587">
          <cell r="I587">
            <v>0.999</v>
          </cell>
          <cell r="J587">
            <v>0.999</v>
          </cell>
          <cell r="K587">
            <v>0.999</v>
          </cell>
          <cell r="L587">
            <v>0.999</v>
          </cell>
          <cell r="M587">
            <v>0.999</v>
          </cell>
          <cell r="N587">
            <v>0.999</v>
          </cell>
          <cell r="O587">
            <v>0.499</v>
          </cell>
          <cell r="P587">
            <v>0.499</v>
          </cell>
        </row>
        <row r="588">
          <cell r="L588">
            <v>17.393999999999998</v>
          </cell>
          <cell r="M588">
            <v>17.393999999999998</v>
          </cell>
          <cell r="N588">
            <v>17.393999999999998</v>
          </cell>
          <cell r="O588">
            <v>17.393999999999998</v>
          </cell>
          <cell r="P588">
            <v>0</v>
          </cell>
        </row>
        <row r="589">
          <cell r="I589">
            <v>97.78</v>
          </cell>
          <cell r="J589">
            <v>133.38300000000001</v>
          </cell>
          <cell r="K589">
            <v>145.40799999999999</v>
          </cell>
          <cell r="L589">
            <v>145.40799999999999</v>
          </cell>
          <cell r="M589">
            <v>171.108</v>
          </cell>
          <cell r="N589">
            <v>286.50200000000001</v>
          </cell>
          <cell r="O589">
            <v>402.1</v>
          </cell>
          <cell r="P589">
            <v>427.80500000000001</v>
          </cell>
        </row>
        <row r="590">
          <cell r="L590">
            <v>50</v>
          </cell>
          <cell r="M590">
            <v>50</v>
          </cell>
          <cell r="N590">
            <v>50</v>
          </cell>
          <cell r="O590">
            <v>50</v>
          </cell>
          <cell r="P590">
            <v>50</v>
          </cell>
        </row>
        <row r="591">
          <cell r="L591">
            <v>50</v>
          </cell>
          <cell r="M591">
            <v>63.480000000000004</v>
          </cell>
          <cell r="N591">
            <v>63.277999999999999</v>
          </cell>
          <cell r="O591">
            <v>63.277999999999999</v>
          </cell>
          <cell r="P591">
            <v>0</v>
          </cell>
        </row>
        <row r="592">
          <cell r="N592">
            <v>28.2</v>
          </cell>
          <cell r="O592">
            <v>28.2</v>
          </cell>
          <cell r="P592">
            <v>0</v>
          </cell>
        </row>
        <row r="593">
          <cell r="N593">
            <v>28.2</v>
          </cell>
          <cell r="O593">
            <v>28.2</v>
          </cell>
          <cell r="P593">
            <v>0</v>
          </cell>
        </row>
        <row r="594">
          <cell r="P594">
            <v>259.67799999999994</v>
          </cell>
        </row>
        <row r="596">
          <cell r="I596">
            <v>102.27800000000001</v>
          </cell>
          <cell r="J596">
            <v>137.881</v>
          </cell>
          <cell r="K596">
            <v>149.90599999999998</v>
          </cell>
          <cell r="L596">
            <v>266.79999999999995</v>
          </cell>
          <cell r="M596">
            <v>304.98099999999999</v>
          </cell>
          <cell r="N596">
            <v>474.57299999999998</v>
          </cell>
          <cell r="O596">
            <v>589.67100000000005</v>
          </cell>
          <cell r="P596">
            <v>737.48299999999995</v>
          </cell>
        </row>
        <row r="598">
          <cell r="I598">
            <v>0.16500000000000001</v>
          </cell>
          <cell r="J598">
            <v>7.1999999999999995E-2</v>
          </cell>
          <cell r="K598">
            <v>7.1999999999999995E-2</v>
          </cell>
          <cell r="L598">
            <v>7.1999999999999995E-2</v>
          </cell>
          <cell r="M598">
            <v>2.5000000000000001E-2</v>
          </cell>
          <cell r="N598">
            <v>2.5000000000000001E-2</v>
          </cell>
          <cell r="O598">
            <v>2.5000000000000001E-2</v>
          </cell>
          <cell r="P598">
            <v>1.4999999999999999E-2</v>
          </cell>
        </row>
        <row r="599">
          <cell r="I599">
            <v>12.789</v>
          </cell>
          <cell r="J599">
            <v>17.071999999999999</v>
          </cell>
          <cell r="K599">
            <v>17.071999999999999</v>
          </cell>
          <cell r="L599">
            <v>17.071999999999999</v>
          </cell>
          <cell r="M599">
            <v>17.071999999999999</v>
          </cell>
          <cell r="N599">
            <v>17.071999999999999</v>
          </cell>
          <cell r="O599">
            <v>17.071999999999999</v>
          </cell>
          <cell r="P599">
            <v>17.071999999999999</v>
          </cell>
        </row>
        <row r="600">
          <cell r="I600">
            <v>19.532</v>
          </cell>
          <cell r="J600">
            <v>35.604999999999997</v>
          </cell>
          <cell r="K600">
            <v>35.795000000000002</v>
          </cell>
          <cell r="L600">
            <v>35.795000000000002</v>
          </cell>
          <cell r="M600">
            <v>35.795000000000002</v>
          </cell>
          <cell r="N600">
            <v>35.795000000000002</v>
          </cell>
          <cell r="O600">
            <v>35.795000000000002</v>
          </cell>
          <cell r="P600">
            <v>35.795000000000002</v>
          </cell>
        </row>
        <row r="601">
          <cell r="K601">
            <v>25.966999999999999</v>
          </cell>
          <cell r="L601">
            <v>25.966999999999999</v>
          </cell>
          <cell r="M601">
            <v>25.966999999999999</v>
          </cell>
          <cell r="N601">
            <v>25.966999999999999</v>
          </cell>
          <cell r="O601">
            <v>0</v>
          </cell>
          <cell r="P601">
            <v>0</v>
          </cell>
        </row>
        <row r="603">
          <cell r="I603">
            <v>649.20100000000002</v>
          </cell>
          <cell r="J603">
            <v>649.20100000000002</v>
          </cell>
          <cell r="K603">
            <v>181.369</v>
          </cell>
          <cell r="L603">
            <v>181.369</v>
          </cell>
          <cell r="M603">
            <v>1378.3429999999998</v>
          </cell>
          <cell r="N603">
            <v>3596.9839999999999</v>
          </cell>
          <cell r="O603">
            <v>3780.7110000000002</v>
          </cell>
          <cell r="P603">
            <v>8661.2020000000011</v>
          </cell>
        </row>
        <row r="604">
          <cell r="N604">
            <v>36.097999999999999</v>
          </cell>
          <cell r="O604">
            <v>36.097999999999999</v>
          </cell>
        </row>
        <row r="605">
          <cell r="N605">
            <v>2.956</v>
          </cell>
          <cell r="O605">
            <v>2.956</v>
          </cell>
        </row>
        <row r="606">
          <cell r="N606">
            <v>8.1989999999999998</v>
          </cell>
          <cell r="O606">
            <v>8.1989999999999998</v>
          </cell>
        </row>
        <row r="607">
          <cell r="N607">
            <v>24.591999999999999</v>
          </cell>
          <cell r="O607">
            <v>24.591999999999999</v>
          </cell>
        </row>
        <row r="608">
          <cell r="N608">
            <v>2.52</v>
          </cell>
          <cell r="O608">
            <v>2.52</v>
          </cell>
        </row>
        <row r="609">
          <cell r="N609">
            <v>0.84</v>
          </cell>
          <cell r="O609">
            <v>10.227</v>
          </cell>
        </row>
        <row r="610">
          <cell r="N610">
            <v>8.3140000000000001</v>
          </cell>
          <cell r="O610">
            <v>38.314</v>
          </cell>
        </row>
        <row r="611">
          <cell r="I611">
            <v>74.114000000000004</v>
          </cell>
          <cell r="J611">
            <v>74.114000000000004</v>
          </cell>
          <cell r="K611">
            <v>74.177999999999997</v>
          </cell>
          <cell r="L611">
            <v>74.177999999999997</v>
          </cell>
          <cell r="M611">
            <v>72.784000000000006</v>
          </cell>
          <cell r="N611">
            <v>83.519000000000005</v>
          </cell>
          <cell r="O611">
            <v>122.90600000000001</v>
          </cell>
          <cell r="P611">
            <v>252.39</v>
          </cell>
        </row>
        <row r="612">
          <cell r="I612">
            <v>85.929000000000002</v>
          </cell>
          <cell r="J612">
            <v>85.929000000000002</v>
          </cell>
          <cell r="K612">
            <v>86.076999999999998</v>
          </cell>
          <cell r="L612">
            <v>86.076999999999998</v>
          </cell>
          <cell r="M612">
            <v>12.757</v>
          </cell>
          <cell r="O612">
            <v>0</v>
          </cell>
          <cell r="P612">
            <v>0</v>
          </cell>
        </row>
        <row r="614">
          <cell r="M614">
            <v>36</v>
          </cell>
          <cell r="N614">
            <v>54</v>
          </cell>
          <cell r="O614">
            <v>126</v>
          </cell>
          <cell r="P614">
            <v>135</v>
          </cell>
        </row>
        <row r="615">
          <cell r="M615">
            <v>0.51</v>
          </cell>
          <cell r="N615">
            <v>10</v>
          </cell>
          <cell r="O615">
            <v>10</v>
          </cell>
          <cell r="P615">
            <v>10</v>
          </cell>
        </row>
        <row r="616">
          <cell r="N616">
            <v>42.847000000000001</v>
          </cell>
          <cell r="O616">
            <v>50.033000000000001</v>
          </cell>
          <cell r="P616">
            <v>50.033000000000001</v>
          </cell>
        </row>
        <row r="617">
          <cell r="N617">
            <v>345</v>
          </cell>
          <cell r="O617">
            <v>615</v>
          </cell>
          <cell r="P617">
            <v>825.2</v>
          </cell>
        </row>
        <row r="618">
          <cell r="M618">
            <v>3</v>
          </cell>
          <cell r="N618">
            <v>50</v>
          </cell>
          <cell r="O618">
            <v>150</v>
          </cell>
          <cell r="P618">
            <v>150</v>
          </cell>
        </row>
        <row r="619">
          <cell r="M619">
            <v>1</v>
          </cell>
          <cell r="N619">
            <v>11</v>
          </cell>
          <cell r="O619">
            <v>31</v>
          </cell>
          <cell r="P619">
            <v>61</v>
          </cell>
        </row>
        <row r="620">
          <cell r="O620">
            <v>216</v>
          </cell>
          <cell r="P620">
            <v>481.22999999999979</v>
          </cell>
        </row>
        <row r="621">
          <cell r="O621">
            <v>0</v>
          </cell>
          <cell r="P621">
            <v>1170.0899999999999</v>
          </cell>
        </row>
        <row r="622">
          <cell r="I622">
            <v>0</v>
          </cell>
          <cell r="J622">
            <v>0</v>
          </cell>
          <cell r="K622">
            <v>0</v>
          </cell>
          <cell r="L622">
            <v>0</v>
          </cell>
          <cell r="M622">
            <v>40.51</v>
          </cell>
          <cell r="N622">
            <v>512.84699999999998</v>
          </cell>
          <cell r="O622">
            <v>1198.0329999999999</v>
          </cell>
          <cell r="P622">
            <v>2882.5529999999999</v>
          </cell>
        </row>
        <row r="623">
          <cell r="I623">
            <v>397.08500000000004</v>
          </cell>
          <cell r="J623">
            <v>488.55399999999997</v>
          </cell>
          <cell r="K623">
            <v>538.97299999999996</v>
          </cell>
          <cell r="L623">
            <v>772.76099999999985</v>
          </cell>
          <cell r="M623">
            <v>814.87199999999984</v>
          </cell>
          <cell r="N623">
            <v>1624.3709999999999</v>
          </cell>
          <cell r="O623">
            <v>2553.1730000000002</v>
          </cell>
          <cell r="P623">
            <v>7545.8429999999998</v>
          </cell>
        </row>
        <row r="624">
          <cell r="I624">
            <v>489.15800000000002</v>
          </cell>
          <cell r="J624">
            <v>489.15800000000002</v>
          </cell>
          <cell r="K624">
            <v>21.114000000000001</v>
          </cell>
          <cell r="L624">
            <v>21.114000000000001</v>
          </cell>
          <cell r="M624">
            <v>21.114000000000001</v>
          </cell>
          <cell r="N624">
            <v>120.864</v>
          </cell>
          <cell r="O624">
            <v>225.81700000000001</v>
          </cell>
          <cell r="P624">
            <v>125.71599999999999</v>
          </cell>
        </row>
        <row r="625">
          <cell r="M625">
            <v>445.44499999999999</v>
          </cell>
          <cell r="N625">
            <v>921.3</v>
          </cell>
          <cell r="O625">
            <v>746.94100000000003</v>
          </cell>
          <cell r="P625">
            <v>488.76499999999999</v>
          </cell>
        </row>
        <row r="626">
          <cell r="M626">
            <v>31.495999999999999</v>
          </cell>
          <cell r="N626">
            <v>31.495999999999999</v>
          </cell>
          <cell r="O626">
            <v>31.495999999999999</v>
          </cell>
          <cell r="P626">
            <v>4.9859999999999998</v>
          </cell>
        </row>
        <row r="627">
          <cell r="M627">
            <v>60</v>
          </cell>
          <cell r="N627">
            <v>80</v>
          </cell>
          <cell r="O627">
            <v>280</v>
          </cell>
          <cell r="P627">
            <v>710</v>
          </cell>
        </row>
        <row r="628">
          <cell r="M628">
            <v>119.554</v>
          </cell>
          <cell r="N628">
            <v>380.959</v>
          </cell>
          <cell r="O628">
            <v>0</v>
          </cell>
        </row>
        <row r="629">
          <cell r="M629">
            <v>-51.463000000000001</v>
          </cell>
          <cell r="N629">
            <v>-51.463000000000001</v>
          </cell>
          <cell r="O629">
            <v>-64.334999999999994</v>
          </cell>
          <cell r="P629">
            <v>-26.914000000000001</v>
          </cell>
        </row>
        <row r="631">
          <cell r="N631">
            <v>17.152999999999999</v>
          </cell>
          <cell r="O631">
            <v>9.9670000000000005</v>
          </cell>
          <cell r="P631">
            <v>19.3</v>
          </cell>
        </row>
        <row r="632">
          <cell r="I632">
            <v>489.15800000000002</v>
          </cell>
          <cell r="J632">
            <v>489.15800000000002</v>
          </cell>
          <cell r="K632">
            <v>21.114000000000004</v>
          </cell>
          <cell r="L632">
            <v>21.114000000000001</v>
          </cell>
          <cell r="M632">
            <v>626.14599999999996</v>
          </cell>
          <cell r="N632">
            <v>1500.3090000000002</v>
          </cell>
          <cell r="O632">
            <v>1229.886</v>
          </cell>
          <cell r="P632">
            <v>1321.8530000000001</v>
          </cell>
        </row>
        <row r="634">
          <cell r="I634">
            <v>783.97</v>
          </cell>
          <cell r="J634">
            <v>839.83199999999999</v>
          </cell>
          <cell r="K634">
            <v>410.18099999999998</v>
          </cell>
          <cell r="L634">
            <v>527.07500000000005</v>
          </cell>
          <cell r="M634">
            <v>1136.037</v>
          </cell>
          <cell r="N634">
            <v>2650.107</v>
          </cell>
          <cell r="O634">
            <v>3193.3879999999999</v>
          </cell>
          <cell r="P634">
            <v>5247.1610000000001</v>
          </cell>
        </row>
        <row r="636">
          <cell r="I636">
            <v>783.97</v>
          </cell>
          <cell r="J636">
            <v>839.83199999999999</v>
          </cell>
          <cell r="K636">
            <v>410.18099999999998</v>
          </cell>
          <cell r="L636">
            <v>527.07500000000005</v>
          </cell>
          <cell r="M636">
            <v>1136.037</v>
          </cell>
          <cell r="N636">
            <v>2650.107</v>
          </cell>
          <cell r="O636">
            <v>3193.3879999999999</v>
          </cell>
          <cell r="P636">
            <v>5247.1610000000001</v>
          </cell>
        </row>
        <row r="638">
          <cell r="I638">
            <v>0</v>
          </cell>
          <cell r="J638">
            <v>0</v>
          </cell>
          <cell r="K638">
            <v>0</v>
          </cell>
          <cell r="L638">
            <v>0</v>
          </cell>
          <cell r="M638">
            <v>40.51</v>
          </cell>
          <cell r="N638">
            <v>512.84699999999998</v>
          </cell>
          <cell r="O638">
            <v>1198.0329999999999</v>
          </cell>
          <cell r="P638">
            <v>2882.5529999999999</v>
          </cell>
        </row>
        <row r="639">
          <cell r="I639">
            <v>489.15800000000002</v>
          </cell>
          <cell r="J639">
            <v>489.15800000000002</v>
          </cell>
          <cell r="K639">
            <v>21.114000000000004</v>
          </cell>
          <cell r="L639">
            <v>21.114000000000001</v>
          </cell>
          <cell r="M639">
            <v>626.14599999999996</v>
          </cell>
          <cell r="N639">
            <v>1500.3090000000002</v>
          </cell>
          <cell r="O639">
            <v>1229.886</v>
          </cell>
          <cell r="P639">
            <v>1321.8530000000001</v>
          </cell>
        </row>
        <row r="640">
          <cell r="I640">
            <v>294.80700000000002</v>
          </cell>
          <cell r="J640">
            <v>350.673</v>
          </cell>
          <cell r="K640">
            <v>389.06700000000001</v>
          </cell>
          <cell r="L640">
            <v>505.96099999999996</v>
          </cell>
          <cell r="M640">
            <v>469.38099999999997</v>
          </cell>
          <cell r="N640">
            <v>636.95100000000002</v>
          </cell>
          <cell r="O640">
            <v>765.46900000000005</v>
          </cell>
          <cell r="P640">
            <v>1042.7550000000001</v>
          </cell>
        </row>
        <row r="641">
          <cell r="I641">
            <v>783.96500000000003</v>
          </cell>
          <cell r="J641">
            <v>839.83100000000002</v>
          </cell>
          <cell r="K641">
            <v>410.18100000000004</v>
          </cell>
          <cell r="L641">
            <v>527.07499999999993</v>
          </cell>
          <cell r="M641">
            <v>1136.0369999999998</v>
          </cell>
          <cell r="N641">
            <v>2650.107</v>
          </cell>
          <cell r="O641">
            <v>3193.3879999999999</v>
          </cell>
          <cell r="P641">
            <v>5247.1610000000001</v>
          </cell>
        </row>
        <row r="643">
          <cell r="B643" t="str">
            <v>Interest accrued on investments</v>
          </cell>
          <cell r="I643">
            <v>6.3579999999999997</v>
          </cell>
          <cell r="J643">
            <v>18.597000000000001</v>
          </cell>
          <cell r="K643">
            <v>1.41</v>
          </cell>
          <cell r="L643">
            <v>12.058</v>
          </cell>
          <cell r="M643">
            <v>84.631</v>
          </cell>
          <cell r="N643">
            <v>206.03800000000001</v>
          </cell>
          <cell r="O643">
            <v>200.31</v>
          </cell>
          <cell r="P643">
            <v>131.81899999999999</v>
          </cell>
          <cell r="Q643">
            <v>88.52</v>
          </cell>
          <cell r="R643">
            <v>88.52</v>
          </cell>
          <cell r="S643">
            <v>88.52</v>
          </cell>
        </row>
        <row r="645">
          <cell r="I645">
            <v>67.325000000000003</v>
          </cell>
          <cell r="J645">
            <v>252.012</v>
          </cell>
          <cell r="K645">
            <v>409.98099999999999</v>
          </cell>
          <cell r="L645">
            <v>391.15100000000001</v>
          </cell>
          <cell r="M645">
            <v>1466.63</v>
          </cell>
          <cell r="N645">
            <v>1708.4670000000001</v>
          </cell>
          <cell r="O645">
            <v>2145.2020000000002</v>
          </cell>
          <cell r="P645">
            <v>1464.183</v>
          </cell>
        </row>
        <row r="646">
          <cell r="I646">
            <v>43.35</v>
          </cell>
          <cell r="J646">
            <v>34.43</v>
          </cell>
          <cell r="K646">
            <v>39.506</v>
          </cell>
          <cell r="L646">
            <v>59.470999999999997</v>
          </cell>
          <cell r="M646">
            <v>71.846000000000004</v>
          </cell>
          <cell r="N646">
            <v>481.77800000000002</v>
          </cell>
          <cell r="O646">
            <v>1215.922</v>
          </cell>
          <cell r="P646">
            <v>582.375</v>
          </cell>
        </row>
        <row r="647">
          <cell r="I647">
            <v>110.67500000000001</v>
          </cell>
          <cell r="J647">
            <v>286.44200000000001</v>
          </cell>
          <cell r="K647">
            <v>449.48699999999997</v>
          </cell>
          <cell r="L647">
            <v>450.62200000000001</v>
          </cell>
          <cell r="M647">
            <v>1538.4760000000001</v>
          </cell>
          <cell r="N647">
            <v>2190.2449999999999</v>
          </cell>
          <cell r="O647">
            <v>3361.1240000000003</v>
          </cell>
          <cell r="P647">
            <v>2046.558</v>
          </cell>
        </row>
        <row r="648">
          <cell r="I648">
            <v>98.778117664083354</v>
          </cell>
          <cell r="J648">
            <v>311.8600866575805</v>
          </cell>
          <cell r="K648">
            <v>386.20156449206917</v>
          </cell>
          <cell r="L648">
            <v>265.73747347652909</v>
          </cell>
          <cell r="M648">
            <v>689.48100874537943</v>
          </cell>
          <cell r="N648">
            <v>726.34249622904144</v>
          </cell>
          <cell r="O648">
            <v>894.86796390350491</v>
          </cell>
          <cell r="P648">
            <v>636.52320799234883</v>
          </cell>
        </row>
        <row r="651">
          <cell r="I651">
            <v>152.77000000000001</v>
          </cell>
          <cell r="J651">
            <v>199.19329999999999</v>
          </cell>
          <cell r="K651">
            <v>245.79499999999999</v>
          </cell>
          <cell r="L651">
            <v>433.07900000000001</v>
          </cell>
          <cell r="M651">
            <v>777.39700000000005</v>
          </cell>
          <cell r="N651">
            <v>865.01900000000001</v>
          </cell>
          <cell r="O651">
            <v>1381.6410000000001</v>
          </cell>
          <cell r="P651">
            <v>1670.05</v>
          </cell>
        </row>
        <row r="652">
          <cell r="I652">
            <v>1195.309</v>
          </cell>
          <cell r="J652">
            <v>1285.769</v>
          </cell>
          <cell r="K652">
            <v>1816.614</v>
          </cell>
          <cell r="L652">
            <v>3346.2829999999999</v>
          </cell>
          <cell r="M652">
            <v>4720.6279999999997</v>
          </cell>
          <cell r="N652">
            <v>3915.2190000000001</v>
          </cell>
          <cell r="O652">
            <v>4115.5720000000001</v>
          </cell>
          <cell r="P652">
            <v>5155.6210000000001</v>
          </cell>
        </row>
        <row r="653">
          <cell r="I653">
            <v>1.8695999999999999</v>
          </cell>
          <cell r="J653">
            <v>1.085</v>
          </cell>
          <cell r="K653">
            <v>1.085</v>
          </cell>
          <cell r="L653">
            <v>4.0430000000000001</v>
          </cell>
          <cell r="M653">
            <v>10</v>
          </cell>
          <cell r="N653">
            <v>23.158000000000001</v>
          </cell>
          <cell r="O653">
            <v>20.597999999999999</v>
          </cell>
          <cell r="P653">
            <v>4.0510000000000002</v>
          </cell>
        </row>
        <row r="654">
          <cell r="I654">
            <v>1346.2094</v>
          </cell>
          <cell r="J654">
            <v>1483.8772999999999</v>
          </cell>
          <cell r="K654">
            <v>2061.3240000000001</v>
          </cell>
          <cell r="L654">
            <v>3775.319</v>
          </cell>
          <cell r="M654">
            <v>5488.0249999999996</v>
          </cell>
          <cell r="N654">
            <v>4757.08</v>
          </cell>
          <cell r="O654">
            <v>5476.6149999999998</v>
          </cell>
          <cell r="P654">
            <v>6821.62</v>
          </cell>
        </row>
        <row r="655">
          <cell r="I655">
            <v>11.348160249066751</v>
          </cell>
          <cell r="J655">
            <v>13.423839019573924</v>
          </cell>
          <cell r="K655">
            <v>11.924132256743723</v>
          </cell>
          <cell r="L655">
            <v>11.471322026032766</v>
          </cell>
          <cell r="M655">
            <v>14.165332701654968</v>
          </cell>
          <cell r="N655">
            <v>18.183822849310921</v>
          </cell>
          <cell r="O655">
            <v>25.228010367718017</v>
          </cell>
          <cell r="P655">
            <v>24.481721350646911</v>
          </cell>
        </row>
        <row r="656">
          <cell r="I656">
            <v>59.978222658181082</v>
          </cell>
          <cell r="J656">
            <v>53.819627957827656</v>
          </cell>
          <cell r="K656">
            <v>62.126210338232895</v>
          </cell>
          <cell r="L656">
            <v>87.303116784990152</v>
          </cell>
          <cell r="M656">
            <v>107.68283493048992</v>
          </cell>
          <cell r="N656">
            <v>87.124319836045117</v>
          </cell>
          <cell r="O656">
            <v>88.064694602159463</v>
          </cell>
          <cell r="P656">
            <v>105.65810709523466</v>
          </cell>
        </row>
        <row r="658">
          <cell r="I658">
            <v>538.10659999999996</v>
          </cell>
          <cell r="J658">
            <v>765.75900000000001</v>
          </cell>
          <cell r="K658">
            <v>459.84300000000002</v>
          </cell>
          <cell r="L658">
            <v>4434.1409999999996</v>
          </cell>
          <cell r="M658">
            <v>2689.2170000000001</v>
          </cell>
          <cell r="N658">
            <v>3151.2339999999999</v>
          </cell>
          <cell r="O658">
            <v>3628.5659999999998</v>
          </cell>
          <cell r="P658">
            <v>2688.1729999999998</v>
          </cell>
        </row>
        <row r="660">
          <cell r="I660">
            <v>78.433999999999997</v>
          </cell>
          <cell r="J660">
            <v>94.855999999999995</v>
          </cell>
          <cell r="K660">
            <v>125.129</v>
          </cell>
          <cell r="L660">
            <v>195.33600000000001</v>
          </cell>
          <cell r="M660">
            <v>310.19900000000001</v>
          </cell>
          <cell r="N660">
            <v>247.352</v>
          </cell>
          <cell r="O660">
            <v>1264.9770000000001</v>
          </cell>
          <cell r="P660">
            <v>1000.5839999999999</v>
          </cell>
        </row>
        <row r="661">
          <cell r="I661">
            <v>576.81200000000001</v>
          </cell>
          <cell r="J661">
            <v>992.80200000000002</v>
          </cell>
          <cell r="K661">
            <v>1093.3630000000001</v>
          </cell>
          <cell r="L661">
            <v>1108.8309999999999</v>
          </cell>
          <cell r="M661">
            <v>337.71100000000001</v>
          </cell>
          <cell r="N661">
            <v>191.80099999999999</v>
          </cell>
          <cell r="O661">
            <v>1280.809</v>
          </cell>
          <cell r="P661">
            <v>2324.4920000000002</v>
          </cell>
        </row>
        <row r="662">
          <cell r="K662">
            <v>489.15800000000002</v>
          </cell>
          <cell r="L662">
            <v>489.15800000000002</v>
          </cell>
          <cell r="M662">
            <v>489.15800000000002</v>
          </cell>
          <cell r="N662">
            <v>389.15800000000002</v>
          </cell>
          <cell r="O662">
            <v>349.15800000000002</v>
          </cell>
          <cell r="P662">
            <v>0</v>
          </cell>
        </row>
        <row r="663">
          <cell r="M663">
            <v>51.531999999999996</v>
          </cell>
          <cell r="N663">
            <v>51.531999999999996</v>
          </cell>
          <cell r="O663">
            <v>64.846999999999994</v>
          </cell>
          <cell r="P663">
            <v>117.00999999999999</v>
          </cell>
        </row>
        <row r="664">
          <cell r="K664">
            <v>0.25900000000000001</v>
          </cell>
          <cell r="L664">
            <v>18.056000000000001</v>
          </cell>
          <cell r="M664">
            <v>121.01300000000001</v>
          </cell>
          <cell r="N664">
            <v>29.027000000000001</v>
          </cell>
          <cell r="O664">
            <v>29.925999999999998</v>
          </cell>
          <cell r="P664">
            <v>39.244999999999997</v>
          </cell>
        </row>
        <row r="665">
          <cell r="M665">
            <v>400</v>
          </cell>
          <cell r="N665">
            <v>300</v>
          </cell>
          <cell r="O665">
            <v>0</v>
          </cell>
          <cell r="P665">
            <v>0</v>
          </cell>
        </row>
        <row r="666">
          <cell r="M666">
            <v>555</v>
          </cell>
          <cell r="N666">
            <v>351.5</v>
          </cell>
        </row>
        <row r="667">
          <cell r="I667">
            <v>52.431699999999999</v>
          </cell>
          <cell r="J667">
            <v>22.277999999999999</v>
          </cell>
          <cell r="K667">
            <v>48.268000000000001</v>
          </cell>
          <cell r="L667">
            <v>72.495000000000005</v>
          </cell>
          <cell r="M667">
            <v>183.74700000000001</v>
          </cell>
          <cell r="N667">
            <v>203.89599999999999</v>
          </cell>
          <cell r="O667">
            <v>630.21500000000003</v>
          </cell>
          <cell r="P667">
            <v>528.20399999999995</v>
          </cell>
        </row>
        <row r="668">
          <cell r="M668">
            <v>-0.93</v>
          </cell>
          <cell r="N668">
            <v>-61.308</v>
          </cell>
          <cell r="O668">
            <v>-61.308</v>
          </cell>
          <cell r="P668">
            <v>-68.527000000000001</v>
          </cell>
        </row>
        <row r="669">
          <cell r="I669">
            <v>707.67769999999996</v>
          </cell>
          <cell r="J669">
            <v>1109.9359999999999</v>
          </cell>
          <cell r="K669">
            <v>1756.1770000000001</v>
          </cell>
          <cell r="L669">
            <v>1883.8759999999997</v>
          </cell>
          <cell r="M669">
            <v>2447.4300000000003</v>
          </cell>
          <cell r="N669">
            <v>1702.9580000000001</v>
          </cell>
          <cell r="O669">
            <v>3558.6240000000003</v>
          </cell>
          <cell r="P669">
            <v>3941.0079999999998</v>
          </cell>
        </row>
        <row r="671">
          <cell r="I671">
            <v>2709.0267000000003</v>
          </cell>
          <cell r="J671">
            <v>3664.6112999999996</v>
          </cell>
          <cell r="K671">
            <v>4728.241</v>
          </cell>
          <cell r="L671">
            <v>10556.016</v>
          </cell>
          <cell r="M671">
            <v>12247.779</v>
          </cell>
          <cell r="N671">
            <v>12007.555</v>
          </cell>
          <cell r="O671">
            <v>16225.238999999998</v>
          </cell>
          <cell r="P671">
            <v>15629.177999999998</v>
          </cell>
        </row>
        <row r="673">
          <cell r="I673">
            <v>0</v>
          </cell>
          <cell r="J673">
            <v>0</v>
          </cell>
          <cell r="K673">
            <v>0</v>
          </cell>
          <cell r="L673">
            <v>0</v>
          </cell>
          <cell r="M673">
            <v>0</v>
          </cell>
          <cell r="N673">
            <v>0</v>
          </cell>
          <cell r="O673">
            <v>0</v>
          </cell>
          <cell r="P673">
            <v>0</v>
          </cell>
        </row>
        <row r="675">
          <cell r="I675">
            <v>10163.262699999999</v>
          </cell>
          <cell r="J675">
            <v>16095.942299999999</v>
          </cell>
          <cell r="K675">
            <v>21630.744000000002</v>
          </cell>
          <cell r="L675">
            <v>29855.95</v>
          </cell>
          <cell r="M675">
            <v>33221.926999999996</v>
          </cell>
          <cell r="N675">
            <v>35078.565999999992</v>
          </cell>
          <cell r="O675">
            <v>40154.936000000002</v>
          </cell>
          <cell r="P675">
            <v>41952.949000000008</v>
          </cell>
        </row>
        <row r="677">
          <cell r="I677">
            <v>2692.0645</v>
          </cell>
          <cell r="J677">
            <v>3762.4552000000003</v>
          </cell>
          <cell r="K677">
            <v>4046.6509999999998</v>
          </cell>
          <cell r="L677">
            <v>4438.4630000000006</v>
          </cell>
          <cell r="M677">
            <v>4514.3789999999999</v>
          </cell>
          <cell r="N677">
            <v>4792.7709999999997</v>
          </cell>
          <cell r="O677">
            <v>7802.0199999999986</v>
          </cell>
          <cell r="P677">
            <v>10239.506000000001</v>
          </cell>
        </row>
        <row r="679">
          <cell r="L679">
            <v>33.366</v>
          </cell>
          <cell r="M679">
            <v>60.466000000000001</v>
          </cell>
          <cell r="N679">
            <v>64.945999999999998</v>
          </cell>
          <cell r="O679">
            <v>64.945999999999998</v>
          </cell>
          <cell r="P679">
            <v>2.6840000000000002</v>
          </cell>
        </row>
        <row r="680">
          <cell r="I680">
            <v>1412.454</v>
          </cell>
          <cell r="J680">
            <v>1822.056</v>
          </cell>
          <cell r="K680">
            <v>2143.5819999999999</v>
          </cell>
          <cell r="L680">
            <v>2190.7849999999999</v>
          </cell>
          <cell r="M680">
            <v>2404.6219999999998</v>
          </cell>
          <cell r="N680">
            <v>2290.864</v>
          </cell>
          <cell r="O680">
            <v>4543.6319999999996</v>
          </cell>
          <cell r="P680">
            <v>4016.143</v>
          </cell>
        </row>
        <row r="681">
          <cell r="I681">
            <v>139.59299999999999</v>
          </cell>
          <cell r="J681">
            <v>188.27699999999999</v>
          </cell>
          <cell r="K681">
            <v>218.90199999999999</v>
          </cell>
          <cell r="L681">
            <v>255.53</v>
          </cell>
          <cell r="M681">
            <v>287.63</v>
          </cell>
          <cell r="N681">
            <v>325.279</v>
          </cell>
          <cell r="O681">
            <v>337.21199999999999</v>
          </cell>
          <cell r="P681">
            <v>1837.5070000000001</v>
          </cell>
        </row>
        <row r="682">
          <cell r="B682" t="str">
            <v>Total trade creditors</v>
          </cell>
          <cell r="I682">
            <v>1552.047</v>
          </cell>
          <cell r="J682">
            <v>2010.3330000000001</v>
          </cell>
          <cell r="K682">
            <v>2362.4839999999999</v>
          </cell>
          <cell r="L682">
            <v>2479.681</v>
          </cell>
          <cell r="M682">
            <v>2752.7179999999998</v>
          </cell>
          <cell r="N682">
            <v>2681.0889999999999</v>
          </cell>
          <cell r="O682">
            <v>4945.7899999999991</v>
          </cell>
          <cell r="P682">
            <v>5856.3340000000007</v>
          </cell>
          <cell r="Q682">
            <v>8345.3739999999998</v>
          </cell>
          <cell r="R682">
            <v>8585.6819235587354</v>
          </cell>
          <cell r="S682">
            <v>9210.0731161221884</v>
          </cell>
        </row>
        <row r="683">
          <cell r="B683" t="str">
            <v>Adv from customers agst contracts</v>
          </cell>
          <cell r="I683">
            <v>23.539000000000001</v>
          </cell>
          <cell r="J683">
            <v>20.934000000000001</v>
          </cell>
          <cell r="K683">
            <v>33.06</v>
          </cell>
          <cell r="L683">
            <v>77.262</v>
          </cell>
          <cell r="M683">
            <v>73.926000000000002</v>
          </cell>
          <cell r="N683">
            <v>397.72300000000001</v>
          </cell>
          <cell r="O683">
            <v>191.28700000000001</v>
          </cell>
          <cell r="P683">
            <v>591.95100000000002</v>
          </cell>
          <cell r="Q683">
            <v>489.19499999999999</v>
          </cell>
          <cell r="R683">
            <v>384.62956874999998</v>
          </cell>
          <cell r="S683">
            <v>384.62956874999998</v>
          </cell>
        </row>
        <row r="684">
          <cell r="B684" t="str">
            <v>Unclaimed dividends</v>
          </cell>
          <cell r="I684">
            <v>1.5289999999999999</v>
          </cell>
          <cell r="J684">
            <v>2.68</v>
          </cell>
          <cell r="K684">
            <v>3.399</v>
          </cell>
          <cell r="L684">
            <v>3.9449999999999998</v>
          </cell>
          <cell r="M684">
            <v>19.23</v>
          </cell>
          <cell r="N684">
            <v>7.109</v>
          </cell>
          <cell r="O684">
            <v>10.891999999999999</v>
          </cell>
          <cell r="P684">
            <v>11.18</v>
          </cell>
          <cell r="Q684">
            <v>12.715</v>
          </cell>
          <cell r="R684">
            <v>12.715</v>
          </cell>
          <cell r="S684">
            <v>12.715</v>
          </cell>
        </row>
        <row r="685">
          <cell r="I685">
            <v>109.29900000000001</v>
          </cell>
          <cell r="J685">
            <v>166.80199999999999</v>
          </cell>
          <cell r="K685">
            <v>250.01400000000001</v>
          </cell>
          <cell r="L685">
            <v>253.684</v>
          </cell>
          <cell r="M685">
            <v>768.45299999999997</v>
          </cell>
          <cell r="N685">
            <v>428.96199999999999</v>
          </cell>
          <cell r="O685">
            <v>828.80799999999999</v>
          </cell>
          <cell r="P685">
            <v>1006.501</v>
          </cell>
        </row>
        <row r="686">
          <cell r="B686" t="str">
            <v>Interest acc but not due</v>
          </cell>
          <cell r="I686">
            <v>55.067</v>
          </cell>
          <cell r="J686">
            <v>60.887999999999998</v>
          </cell>
          <cell r="K686">
            <v>76.227000000000004</v>
          </cell>
          <cell r="L686">
            <v>77.183999999999997</v>
          </cell>
          <cell r="M686">
            <v>126.46</v>
          </cell>
          <cell r="N686">
            <v>114.751</v>
          </cell>
          <cell r="O686">
            <v>102.13200000000001</v>
          </cell>
          <cell r="P686">
            <v>103.53</v>
          </cell>
          <cell r="Q686">
            <v>81.421000000000006</v>
          </cell>
          <cell r="R686">
            <v>76.800813147315679</v>
          </cell>
          <cell r="S686">
            <v>71.569279105218612</v>
          </cell>
        </row>
        <row r="687">
          <cell r="I687">
            <v>1741.481</v>
          </cell>
          <cell r="J687">
            <v>2261.6370000000002</v>
          </cell>
          <cell r="K687">
            <v>2725.1839999999997</v>
          </cell>
          <cell r="L687">
            <v>2891.7560000000008</v>
          </cell>
          <cell r="M687">
            <v>3740.7869999999998</v>
          </cell>
          <cell r="N687">
            <v>3629.634</v>
          </cell>
          <cell r="O687">
            <v>6078.9089999999987</v>
          </cell>
          <cell r="P687">
            <v>7569.496000000001</v>
          </cell>
        </row>
        <row r="688">
          <cell r="I688">
            <v>22.861124464061142</v>
          </cell>
          <cell r="J688">
            <v>23.556671381734727</v>
          </cell>
          <cell r="K688">
            <v>23.630430023200699</v>
          </cell>
          <cell r="L688">
            <v>22.492850811767699</v>
          </cell>
          <cell r="M688">
            <v>27.474834865139051</v>
          </cell>
          <cell r="N688">
            <v>29.348002654416046</v>
          </cell>
          <cell r="O688">
            <v>66.504256675700503</v>
          </cell>
          <cell r="P688">
            <v>57.092032177947935</v>
          </cell>
        </row>
        <row r="689">
          <cell r="I689">
            <v>1.7831057332534217</v>
          </cell>
          <cell r="J689">
            <v>1.9491066762625913</v>
          </cell>
          <cell r="K689">
            <v>1.8834705928309343</v>
          </cell>
          <cell r="L689">
            <v>1.70001600022886</v>
          </cell>
          <cell r="M689">
            <v>1.6207974179039877</v>
          </cell>
          <cell r="N689">
            <v>1.7192602401295116</v>
          </cell>
          <cell r="O689">
            <v>1.9137137625343932</v>
          </cell>
          <cell r="P689">
            <v>9.4218676844603664</v>
          </cell>
        </row>
        <row r="690">
          <cell r="I690">
            <v>6.8604220766919353</v>
          </cell>
          <cell r="J690">
            <v>5.3826533235968697</v>
          </cell>
          <cell r="K690">
            <v>7.0271200923345729</v>
          </cell>
          <cell r="L690">
            <v>10.946944257891204</v>
          </cell>
          <cell r="M690">
            <v>8.972669079574997</v>
          </cell>
          <cell r="N690">
            <v>42.861823068608359</v>
          </cell>
          <cell r="O690">
            <v>10.997373788941855</v>
          </cell>
          <cell r="P690">
            <v>22.289527272289114</v>
          </cell>
        </row>
        <row r="691">
          <cell r="I691">
            <v>-74.300001079412368</v>
          </cell>
          <cell r="J691">
            <v>-88.993083772296501</v>
          </cell>
          <cell r="K691">
            <v>-68.646998433025345</v>
          </cell>
          <cell r="L691">
            <v>-10.936280128825478</v>
          </cell>
          <cell r="M691">
            <v>-11.203702555252168</v>
          </cell>
          <cell r="N691">
            <v>-9.5158210029546488</v>
          </cell>
          <cell r="O691">
            <v>-8.9091965393251407</v>
          </cell>
          <cell r="P691">
            <v>-10.985547844909913</v>
          </cell>
        </row>
        <row r="692">
          <cell r="M692">
            <v>74.297968631182968</v>
          </cell>
          <cell r="N692">
            <v>72.152206907483702</v>
          </cell>
          <cell r="O692">
            <v>161.65815969695603</v>
          </cell>
          <cell r="P692">
            <v>130.93568780635601</v>
          </cell>
        </row>
        <row r="693">
          <cell r="I693">
            <v>120.149</v>
          </cell>
          <cell r="J693">
            <v>134.40899999999999</v>
          </cell>
          <cell r="K693">
            <v>183.98</v>
          </cell>
          <cell r="L693">
            <v>253.328</v>
          </cell>
          <cell r="M693">
            <v>268.82499999999999</v>
          </cell>
          <cell r="N693">
            <v>276.69900000000001</v>
          </cell>
          <cell r="O693">
            <v>0</v>
          </cell>
          <cell r="P693">
            <v>0</v>
          </cell>
        </row>
        <row r="694">
          <cell r="I694">
            <v>724.39499999999998</v>
          </cell>
          <cell r="J694">
            <v>1227.5640000000001</v>
          </cell>
          <cell r="K694">
            <v>975.428</v>
          </cell>
          <cell r="L694">
            <v>975.428</v>
          </cell>
          <cell r="M694">
            <v>50</v>
          </cell>
          <cell r="N694">
            <v>401.48599999999999</v>
          </cell>
          <cell r="O694">
            <v>1202.972</v>
          </cell>
          <cell r="P694">
            <v>2104.076</v>
          </cell>
        </row>
        <row r="695">
          <cell r="I695">
            <v>0.08</v>
          </cell>
          <cell r="J695">
            <v>0.11119999999999999</v>
          </cell>
          <cell r="K695">
            <v>0.14599999999999999</v>
          </cell>
          <cell r="L695">
            <v>0.13300000000000001</v>
          </cell>
          <cell r="M695">
            <v>0.156</v>
          </cell>
          <cell r="N695">
            <v>0.16200000000000001</v>
          </cell>
          <cell r="O695">
            <v>0.36299999999999999</v>
          </cell>
          <cell r="P695">
            <v>0.29399999999999998</v>
          </cell>
        </row>
        <row r="696">
          <cell r="M696">
            <v>41.328000000000003</v>
          </cell>
          <cell r="N696">
            <v>44.072000000000003</v>
          </cell>
          <cell r="O696">
            <v>51.509</v>
          </cell>
          <cell r="P696">
            <v>56.052999999999997</v>
          </cell>
        </row>
        <row r="697">
          <cell r="I697">
            <v>724.47500000000002</v>
          </cell>
          <cell r="J697">
            <v>1227.6752000000001</v>
          </cell>
          <cell r="K697">
            <v>975.57399999999996</v>
          </cell>
          <cell r="L697">
            <v>975.56100000000004</v>
          </cell>
          <cell r="M697">
            <v>91.484000000000009</v>
          </cell>
          <cell r="N697">
            <v>445.71999999999997</v>
          </cell>
          <cell r="O697">
            <v>1254.8440000000001</v>
          </cell>
          <cell r="P697">
            <v>2160.4229999999998</v>
          </cell>
        </row>
        <row r="698">
          <cell r="I698">
            <v>105.95950000000001</v>
          </cell>
          <cell r="J698">
            <v>138.73400000000001</v>
          </cell>
          <cell r="K698">
            <v>161.91300000000001</v>
          </cell>
          <cell r="L698">
            <v>317.81799999999998</v>
          </cell>
          <cell r="M698">
            <v>413.28300000000002</v>
          </cell>
          <cell r="N698">
            <v>440.71800000000002</v>
          </cell>
          <cell r="O698">
            <v>468.267</v>
          </cell>
          <cell r="P698">
            <v>509.58499999999998</v>
          </cell>
        </row>
        <row r="699">
          <cell r="I699">
            <v>950.58350000000007</v>
          </cell>
          <cell r="J699">
            <v>1500.8181999999999</v>
          </cell>
          <cell r="K699">
            <v>1321.4669999999999</v>
          </cell>
          <cell r="L699">
            <v>1546.7070000000001</v>
          </cell>
          <cell r="M699">
            <v>773.59199999999998</v>
          </cell>
          <cell r="N699">
            <v>1163.1369999999999</v>
          </cell>
          <cell r="O699">
            <v>1723.1110000000001</v>
          </cell>
          <cell r="P699">
            <v>2670.01</v>
          </cell>
        </row>
        <row r="700">
          <cell r="L700">
            <v>0.66281170252420529</v>
          </cell>
          <cell r="M700">
            <v>0.25226677084859411</v>
          </cell>
          <cell r="N700">
            <v>0.13544802435793823</v>
          </cell>
          <cell r="O700">
            <v>0</v>
          </cell>
          <cell r="P700">
            <v>0</v>
          </cell>
        </row>
        <row r="701">
          <cell r="M701">
            <v>18.452096584451578</v>
          </cell>
          <cell r="N701">
            <v>-1.0037811070304603</v>
          </cell>
        </row>
        <row r="703">
          <cell r="I703">
            <v>16.962200000000394</v>
          </cell>
          <cell r="J703">
            <v>-97.843900000000758</v>
          </cell>
          <cell r="K703">
            <v>681.59000000000015</v>
          </cell>
          <cell r="L703">
            <v>6117.552999999999</v>
          </cell>
          <cell r="M703">
            <v>7733.4000000000005</v>
          </cell>
          <cell r="N703">
            <v>7214.7840000000006</v>
          </cell>
          <cell r="O703">
            <v>8423.2189999999991</v>
          </cell>
          <cell r="P703">
            <v>5389.6719999999968</v>
          </cell>
        </row>
        <row r="705">
          <cell r="I705">
            <v>7471.1982000000007</v>
          </cell>
          <cell r="J705">
            <v>12333.487099999998</v>
          </cell>
          <cell r="K705">
            <v>17584.093000000001</v>
          </cell>
          <cell r="L705">
            <v>25417.487000000001</v>
          </cell>
          <cell r="M705">
            <v>28707.547999999999</v>
          </cell>
          <cell r="N705">
            <v>30285.794999999998</v>
          </cell>
          <cell r="O705">
            <v>32352.915999999997</v>
          </cell>
          <cell r="P705">
            <v>31713.442999999999</v>
          </cell>
        </row>
        <row r="706">
          <cell r="I706">
            <v>6.229999989955104E-4</v>
          </cell>
          <cell r="J706">
            <v>-5.1499999972293153E-4</v>
          </cell>
          <cell r="K706">
            <v>0</v>
          </cell>
          <cell r="L706">
            <v>0</v>
          </cell>
          <cell r="M706">
            <v>1.0000000002037268E-3</v>
          </cell>
          <cell r="N706">
            <v>0</v>
          </cell>
          <cell r="O706">
            <v>-2.2999999928288162E-3</v>
          </cell>
          <cell r="P706">
            <v>2.0000000004074536E-3</v>
          </cell>
        </row>
        <row r="708">
          <cell r="I708">
            <v>301.7403000000005</v>
          </cell>
          <cell r="J708">
            <v>445.25860000000046</v>
          </cell>
          <cell r="K708">
            <v>1031.1570000000004</v>
          </cell>
          <cell r="L708">
            <v>1465.7249999999999</v>
          </cell>
          <cell r="M708">
            <v>1609.4460000000013</v>
          </cell>
          <cell r="N708">
            <v>1762.6680000000019</v>
          </cell>
          <cell r="O708">
            <v>2613.8600000000006</v>
          </cell>
          <cell r="P708">
            <v>2537.4060000000036</v>
          </cell>
        </row>
        <row r="709">
          <cell r="J709">
            <v>5052.6509999999998</v>
          </cell>
          <cell r="K709">
            <v>5133.4750000000004</v>
          </cell>
          <cell r="L709">
            <v>3003.9110000000001</v>
          </cell>
          <cell r="M709">
            <v>2379.828999999997</v>
          </cell>
          <cell r="N709">
            <v>2136.3010000000013</v>
          </cell>
          <cell r="O709">
            <v>2029.3049999999989</v>
          </cell>
          <cell r="P709">
            <v>2175.0090000000032</v>
          </cell>
        </row>
        <row r="710">
          <cell r="J710">
            <v>576.4</v>
          </cell>
          <cell r="K710">
            <v>765.8</v>
          </cell>
          <cell r="L710">
            <v>965.1</v>
          </cell>
          <cell r="M710">
            <v>2379.828999999997</v>
          </cell>
          <cell r="N710">
            <v>2136.3010000000013</v>
          </cell>
          <cell r="O710">
            <v>1936.0000000000005</v>
          </cell>
          <cell r="P710">
            <v>1800</v>
          </cell>
        </row>
        <row r="711">
          <cell r="J711">
            <v>4476.2510000000002</v>
          </cell>
          <cell r="K711">
            <v>4367.6750000000002</v>
          </cell>
          <cell r="L711">
            <v>2038.8110000000001</v>
          </cell>
          <cell r="N711">
            <v>0</v>
          </cell>
        </row>
        <row r="715">
          <cell r="I715">
            <v>1027.2646</v>
          </cell>
          <cell r="J715">
            <v>1254.9169999999999</v>
          </cell>
          <cell r="K715">
            <v>480.95699999999999</v>
          </cell>
          <cell r="L715">
            <v>4455.2549999999992</v>
          </cell>
          <cell r="M715">
            <v>3315.3630000000003</v>
          </cell>
          <cell r="N715">
            <v>4651.5429999999997</v>
          </cell>
          <cell r="O715">
            <v>4858.4519999999993</v>
          </cell>
          <cell r="P715">
            <v>4010.0259999999998</v>
          </cell>
        </row>
        <row r="716">
          <cell r="I716">
            <v>-278.23859999999991</v>
          </cell>
          <cell r="J716">
            <v>-472.72070000000031</v>
          </cell>
          <cell r="K716">
            <v>-212.96299999999974</v>
          </cell>
          <cell r="L716">
            <v>1346.242999999999</v>
          </cell>
          <cell r="M716">
            <v>3370.3449999999998</v>
          </cell>
          <cell r="N716">
            <v>3523.7289999999994</v>
          </cell>
          <cell r="O716">
            <v>2959.1400000000003</v>
          </cell>
          <cell r="P716">
            <v>1430.5009999999984</v>
          </cell>
        </row>
        <row r="718">
          <cell r="J718">
            <v>1379.9896000000003</v>
          </cell>
          <cell r="K718">
            <v>1776.9700000000005</v>
          </cell>
          <cell r="L718">
            <v>3099.4680000000003</v>
          </cell>
          <cell r="M718">
            <v>4229.2580000000016</v>
          </cell>
          <cell r="N718">
            <v>5151.3730000000014</v>
          </cell>
          <cell r="O718">
            <v>5567.5930000000008</v>
          </cell>
          <cell r="P718">
            <v>6014.9560000000038</v>
          </cell>
        </row>
        <row r="719">
          <cell r="J719">
            <v>194.4821000000004</v>
          </cell>
          <cell r="K719">
            <v>-259.75770000000057</v>
          </cell>
          <cell r="L719">
            <v>-1559.2059999999988</v>
          </cell>
          <cell r="M719">
            <v>-2024.1020000000008</v>
          </cell>
          <cell r="N719">
            <v>-153.38399999999956</v>
          </cell>
          <cell r="O719">
            <v>564.58899999999903</v>
          </cell>
          <cell r="P719">
            <v>1528.6390000000019</v>
          </cell>
        </row>
        <row r="720">
          <cell r="J720">
            <v>0</v>
          </cell>
          <cell r="K720">
            <v>0</v>
          </cell>
          <cell r="L720">
            <v>0</v>
          </cell>
          <cell r="M720">
            <v>0</v>
          </cell>
          <cell r="N720">
            <v>0</v>
          </cell>
          <cell r="O720">
            <v>0</v>
          </cell>
          <cell r="P720">
            <v>0</v>
          </cell>
        </row>
        <row r="721">
          <cell r="J721">
            <v>14.259999999999991</v>
          </cell>
          <cell r="K721">
            <v>49.570999999999998</v>
          </cell>
          <cell r="L721">
            <v>69.38900000000001</v>
          </cell>
          <cell r="M721">
            <v>14.908999999999986</v>
          </cell>
          <cell r="N721">
            <v>-48.025999999999975</v>
          </cell>
          <cell r="O721">
            <v>-274.13900000000001</v>
          </cell>
          <cell r="P721">
            <v>6.2370000000000019</v>
          </cell>
        </row>
        <row r="722">
          <cell r="J722">
            <v>1588.7317000000007</v>
          </cell>
          <cell r="K722">
            <v>1566.7832999999998</v>
          </cell>
          <cell r="L722">
            <v>1609.6510000000017</v>
          </cell>
          <cell r="M722">
            <v>2220.065000000001</v>
          </cell>
          <cell r="N722">
            <v>4949.9630000000016</v>
          </cell>
          <cell r="O722">
            <v>5858.0429999999997</v>
          </cell>
          <cell r="P722">
            <v>7549.8320000000058</v>
          </cell>
        </row>
        <row r="723">
          <cell r="J723">
            <v>-68.391900000000007</v>
          </cell>
          <cell r="K723">
            <v>-111.018</v>
          </cell>
          <cell r="L723">
            <v>-676.51400000000012</v>
          </cell>
          <cell r="M723">
            <v>-783.08999999999992</v>
          </cell>
          <cell r="N723">
            <v>-686.3309999999999</v>
          </cell>
          <cell r="O723">
            <v>-525.96199999999976</v>
          </cell>
          <cell r="P723">
            <v>-403.88299999999992</v>
          </cell>
        </row>
        <row r="724">
          <cell r="J724">
            <v>20.788</v>
          </cell>
          <cell r="K724">
            <v>28.885999999999999</v>
          </cell>
          <cell r="L724">
            <v>30.858000000000001</v>
          </cell>
          <cell r="M724">
            <v>45.335999999999999</v>
          </cell>
          <cell r="N724">
            <v>55.256999999999998</v>
          </cell>
          <cell r="O724">
            <v>76.394999999999996</v>
          </cell>
          <cell r="P724">
            <v>-80.057000000000016</v>
          </cell>
        </row>
        <row r="725">
          <cell r="J725">
            <v>24.314800000000002</v>
          </cell>
          <cell r="K725">
            <v>33.405999999999999</v>
          </cell>
          <cell r="L725">
            <v>64.50200000000001</v>
          </cell>
          <cell r="M725">
            <v>397.19099999999997</v>
          </cell>
          <cell r="N725">
            <v>580.85799999999995</v>
          </cell>
          <cell r="O725">
            <v>795.42899999999997</v>
          </cell>
          <cell r="P725">
            <v>730.72</v>
          </cell>
        </row>
        <row r="726">
          <cell r="J726">
            <v>91.203499999999934</v>
          </cell>
          <cell r="K726">
            <v>-181.96700000000001</v>
          </cell>
          <cell r="L726">
            <v>-28.922999999999945</v>
          </cell>
          <cell r="M726">
            <v>73.710000000000036</v>
          </cell>
          <cell r="N726">
            <v>-541.31700000000012</v>
          </cell>
          <cell r="O726">
            <v>162.38200000000018</v>
          </cell>
          <cell r="P726">
            <v>254.8069999999999</v>
          </cell>
        </row>
        <row r="727">
          <cell r="J727">
            <v>7.1302000000001158</v>
          </cell>
          <cell r="K727">
            <v>-252.20420000000018</v>
          </cell>
          <cell r="L727">
            <v>-0.14299999999991997</v>
          </cell>
          <cell r="M727">
            <v>-975.55799999999999</v>
          </cell>
          <cell r="N727">
            <v>25.162000000000006</v>
          </cell>
          <cell r="O727">
            <v>-51.810999999999922</v>
          </cell>
          <cell r="P727">
            <v>-62.222000000000236</v>
          </cell>
        </row>
        <row r="728">
          <cell r="J728">
            <v>1663.7763000000007</v>
          </cell>
          <cell r="K728">
            <v>1083.8860999999995</v>
          </cell>
          <cell r="L728">
            <v>999.43100000000152</v>
          </cell>
          <cell r="M728">
            <v>977.65400000000113</v>
          </cell>
          <cell r="N728">
            <v>4383.5920000000015</v>
          </cell>
          <cell r="O728">
            <v>6314.4760000000015</v>
          </cell>
          <cell r="P728">
            <v>7989.1970000000056</v>
          </cell>
        </row>
        <row r="729">
          <cell r="J729">
            <v>-5052.6509999999998</v>
          </cell>
          <cell r="K729">
            <v>-5133.4750000000004</v>
          </cell>
          <cell r="L729">
            <v>-3003.9110000000001</v>
          </cell>
          <cell r="M729">
            <v>-2379.828999999997</v>
          </cell>
          <cell r="N729">
            <v>-2136.3010000000013</v>
          </cell>
          <cell r="O729">
            <v>-2029.3049999999989</v>
          </cell>
          <cell r="P729">
            <v>-2175.0090000000032</v>
          </cell>
        </row>
        <row r="730">
          <cell r="J730">
            <v>0</v>
          </cell>
          <cell r="K730">
            <v>0</v>
          </cell>
          <cell r="L730">
            <v>0</v>
          </cell>
          <cell r="M730">
            <v>0</v>
          </cell>
          <cell r="N730">
            <v>0</v>
          </cell>
          <cell r="O730">
            <v>0</v>
          </cell>
          <cell r="P730">
            <v>0</v>
          </cell>
        </row>
        <row r="731">
          <cell r="J731">
            <v>-91.468999999999937</v>
          </cell>
          <cell r="K731">
            <v>-50.418999999999983</v>
          </cell>
          <cell r="L731">
            <v>-233.7879999999999</v>
          </cell>
          <cell r="M731">
            <v>-42.11099999999999</v>
          </cell>
          <cell r="N731">
            <v>-809.49900000000002</v>
          </cell>
          <cell r="O731">
            <v>-928.80200000000036</v>
          </cell>
          <cell r="P731">
            <v>-4965.4480000000003</v>
          </cell>
        </row>
        <row r="732">
          <cell r="J732">
            <v>219.81439999999986</v>
          </cell>
          <cell r="K732">
            <v>123.74100000000021</v>
          </cell>
          <cell r="L732">
            <v>228.61099999999988</v>
          </cell>
          <cell r="M732">
            <v>99.663000000000011</v>
          </cell>
          <cell r="N732">
            <v>98.274000000000115</v>
          </cell>
          <cell r="O732">
            <v>121.67399999999998</v>
          </cell>
          <cell r="P732">
            <v>-1600.5040000000001</v>
          </cell>
        </row>
        <row r="733">
          <cell r="J733">
            <v>-402.25829999999996</v>
          </cell>
          <cell r="K733">
            <v>-646.24100000000021</v>
          </cell>
          <cell r="L733">
            <v>-127.69899999999961</v>
          </cell>
          <cell r="M733">
            <v>-563.55400000000054</v>
          </cell>
          <cell r="N733">
            <v>744.47200000000021</v>
          </cell>
          <cell r="O733">
            <v>-1855.6660000000002</v>
          </cell>
          <cell r="P733">
            <v>-382.38399999999956</v>
          </cell>
        </row>
        <row r="734">
          <cell r="J734">
            <v>-3662.7875999999997</v>
          </cell>
          <cell r="K734">
            <v>-4622.5079000000005</v>
          </cell>
          <cell r="L734">
            <v>-2137.3559999999984</v>
          </cell>
          <cell r="M734">
            <v>-1908.1769999999965</v>
          </cell>
          <cell r="N734">
            <v>2280.5380000000005</v>
          </cell>
          <cell r="O734">
            <v>1622.3770000000013</v>
          </cell>
          <cell r="P734">
            <v>-1134.1479999999981</v>
          </cell>
        </row>
        <row r="735">
          <cell r="J735">
            <v>-105.95950000000001</v>
          </cell>
          <cell r="K735">
            <v>-138.73400000000001</v>
          </cell>
          <cell r="L735">
            <v>-184.80500000000001</v>
          </cell>
          <cell r="M735">
            <v>-375.399</v>
          </cell>
          <cell r="N735">
            <v>-473.24800000000005</v>
          </cell>
          <cell r="O735">
            <v>-532.30700000000002</v>
          </cell>
          <cell r="P735">
            <v>-572.33299999999997</v>
          </cell>
        </row>
        <row r="736">
          <cell r="J736">
            <v>281.07936199999972</v>
          </cell>
          <cell r="K736">
            <v>3902.3331149999995</v>
          </cell>
          <cell r="L736">
            <v>4965.262999999999</v>
          </cell>
          <cell r="M736">
            <v>910.0890000000004</v>
          </cell>
          <cell r="N736">
            <v>939.7689999999975</v>
          </cell>
          <cell r="O736">
            <v>722.41969999999628</v>
          </cell>
          <cell r="P736">
            <v>174.94129999999905</v>
          </cell>
        </row>
        <row r="737">
          <cell r="J737">
            <v>-3487.6677380000001</v>
          </cell>
          <cell r="K737">
            <v>-858.90878500000144</v>
          </cell>
          <cell r="L737">
            <v>2643.1020000000008</v>
          </cell>
          <cell r="M737">
            <v>-1373.486999999996</v>
          </cell>
          <cell r="N737">
            <v>2747.0589999999979</v>
          </cell>
          <cell r="O737">
            <v>1812.4896999999976</v>
          </cell>
          <cell r="P737">
            <v>-1531.5396999999989</v>
          </cell>
        </row>
        <row r="738">
          <cell r="J738">
            <v>-2530.4019619999999</v>
          </cell>
          <cell r="K738">
            <v>-417.26251499999762</v>
          </cell>
          <cell r="L738">
            <v>-177.21100000000206</v>
          </cell>
          <cell r="M738">
            <v>-1214.7200000000016</v>
          </cell>
          <cell r="N738">
            <v>-598.39199999999755</v>
          </cell>
          <cell r="O738">
            <v>-906.66270000000191</v>
          </cell>
          <cell r="P738">
            <v>2030.7637000000009</v>
          </cell>
        </row>
        <row r="739">
          <cell r="J739">
            <v>6018.0697</v>
          </cell>
          <cell r="K739">
            <v>7294.2409999999991</v>
          </cell>
          <cell r="L739">
            <v>4828.3500000000004</v>
          </cell>
          <cell r="M739">
            <v>7416.556999999998</v>
          </cell>
          <cell r="N739">
            <v>5267.8899999999976</v>
          </cell>
          <cell r="O739">
            <v>4362.0630000000019</v>
          </cell>
          <cell r="P739">
            <v>3862.8389999999999</v>
          </cell>
        </row>
        <row r="741">
          <cell r="L741">
            <v>-184.94799999999992</v>
          </cell>
        </row>
        <row r="743">
          <cell r="J743">
            <v>1248.5716000000002</v>
          </cell>
          <cell r="K743">
            <v>1544.3180000000004</v>
          </cell>
          <cell r="L743">
            <v>2376.0940000000001</v>
          </cell>
          <cell r="M743">
            <v>2914.6810000000014</v>
          </cell>
          <cell r="N743">
            <v>3597.8650000000016</v>
          </cell>
          <cell r="O743">
            <v>3853.6930000000007</v>
          </cell>
          <cell r="P743">
            <v>4180.2480000000032</v>
          </cell>
        </row>
        <row r="744">
          <cell r="J744">
            <v>-131.41800000000001</v>
          </cell>
          <cell r="K744">
            <v>-232.65199999999999</v>
          </cell>
          <cell r="L744">
            <v>-723.37400000000002</v>
          </cell>
          <cell r="M744">
            <v>-1314.577</v>
          </cell>
          <cell r="N744">
            <v>-1553.508</v>
          </cell>
          <cell r="O744">
            <v>-1713.9</v>
          </cell>
          <cell r="P744">
            <v>-1834.7080000000001</v>
          </cell>
        </row>
        <row r="745">
          <cell r="J745">
            <v>-131.41800000000001</v>
          </cell>
          <cell r="K745">
            <v>-232.65199999999999</v>
          </cell>
          <cell r="L745">
            <v>-723.37400000000002</v>
          </cell>
          <cell r="M745">
            <v>-1314.577</v>
          </cell>
          <cell r="N745">
            <v>-1553.508</v>
          </cell>
          <cell r="O745">
            <v>-1713.9</v>
          </cell>
          <cell r="P745">
            <v>-1834.7080000000001</v>
          </cell>
        </row>
        <row r="747">
          <cell r="J747">
            <v>373.08250000000027</v>
          </cell>
          <cell r="K747">
            <v>-1052.8769000000011</v>
          </cell>
          <cell r="L747">
            <v>-1472.3129999999983</v>
          </cell>
          <cell r="M747">
            <v>-3433.344000000001</v>
          </cell>
          <cell r="N747">
            <v>859.22600000000011</v>
          </cell>
          <cell r="O747">
            <v>-725.37500000000091</v>
          </cell>
          <cell r="P747">
            <v>2161.6450000000032</v>
          </cell>
        </row>
        <row r="748">
          <cell r="J748">
            <v>-137.66789999999992</v>
          </cell>
          <cell r="K748">
            <v>-577.44670000000019</v>
          </cell>
          <cell r="L748">
            <v>-1713.9949999999999</v>
          </cell>
          <cell r="M748">
            <v>-1712.7059999999997</v>
          </cell>
          <cell r="N748">
            <v>730.94499999999971</v>
          </cell>
          <cell r="O748">
            <v>-719.53499999999985</v>
          </cell>
          <cell r="P748">
            <v>-1345.0050000000001</v>
          </cell>
        </row>
        <row r="749">
          <cell r="J749">
            <v>-175.767</v>
          </cell>
          <cell r="K749">
            <v>-163.04499999999996</v>
          </cell>
          <cell r="L749">
            <v>-1.1350000000000477</v>
          </cell>
          <cell r="M749">
            <v>-1087.854</v>
          </cell>
          <cell r="N749">
            <v>-651.76899999999978</v>
          </cell>
          <cell r="O749">
            <v>-1170.8790000000004</v>
          </cell>
          <cell r="P749">
            <v>1314.5660000000003</v>
          </cell>
        </row>
        <row r="750">
          <cell r="J750">
            <v>-414.49729999999994</v>
          </cell>
          <cell r="K750">
            <v>-629.05400000000031</v>
          </cell>
          <cell r="L750">
            <v>-138.34699999999961</v>
          </cell>
          <cell r="M750">
            <v>-636.12700000000041</v>
          </cell>
          <cell r="N750">
            <v>623.06500000000017</v>
          </cell>
          <cell r="O750">
            <v>-1849.9380000000001</v>
          </cell>
          <cell r="P750">
            <v>-313.89299999999952</v>
          </cell>
        </row>
        <row r="751">
          <cell r="J751">
            <v>514.33500000000026</v>
          </cell>
          <cell r="K751">
            <v>448.20799999999969</v>
          </cell>
          <cell r="L751">
            <v>165.61500000000083</v>
          </cell>
          <cell r="M751">
            <v>799.75499999999897</v>
          </cell>
          <cell r="N751">
            <v>-99.444000000000003</v>
          </cell>
          <cell r="O751">
            <v>2461.8939999999993</v>
          </cell>
          <cell r="P751">
            <v>1489.1890000000026</v>
          </cell>
        </row>
        <row r="752">
          <cell r="J752">
            <v>36.444999999999986</v>
          </cell>
          <cell r="K752">
            <v>47.812000000000005</v>
          </cell>
          <cell r="L752">
            <v>-9.6909999999999989</v>
          </cell>
          <cell r="M752">
            <v>-23.297000000000004</v>
          </cell>
          <cell r="N752">
            <v>-133.11600000000001</v>
          </cell>
          <cell r="O752">
            <v>-6.8909999999999911</v>
          </cell>
          <cell r="P752">
            <v>69.88900000000001</v>
          </cell>
        </row>
        <row r="753">
          <cell r="J753">
            <v>550.23469999999986</v>
          </cell>
          <cell r="K753">
            <v>-179.35120000000006</v>
          </cell>
          <cell r="L753">
            <v>225.24000000000024</v>
          </cell>
          <cell r="M753">
            <v>-773.11500000000012</v>
          </cell>
          <cell r="N753">
            <v>389.54499999999996</v>
          </cell>
          <cell r="O753">
            <v>559.97400000000016</v>
          </cell>
          <cell r="P753">
            <v>946.89900000000011</v>
          </cell>
        </row>
        <row r="754">
          <cell r="J754">
            <v>1490.2361000000003</v>
          </cell>
          <cell r="K754">
            <v>258.78909999999928</v>
          </cell>
          <cell r="L754">
            <v>180.40700000000174</v>
          </cell>
          <cell r="M754">
            <v>-1833.2399999999996</v>
          </cell>
          <cell r="N754">
            <v>2903.5830000000014</v>
          </cell>
          <cell r="O754">
            <v>1414.4179999999997</v>
          </cell>
          <cell r="P754">
            <v>4507.1850000000068</v>
          </cell>
        </row>
        <row r="755">
          <cell r="J755">
            <v>24.314800000000002</v>
          </cell>
          <cell r="K755">
            <v>33.405999999999999</v>
          </cell>
          <cell r="L755">
            <v>64.50200000000001</v>
          </cell>
          <cell r="M755">
            <v>397.19099999999997</v>
          </cell>
          <cell r="N755">
            <v>580.85799999999995</v>
          </cell>
          <cell r="O755">
            <v>795.42899999999997</v>
          </cell>
          <cell r="P755">
            <v>730.72</v>
          </cell>
        </row>
        <row r="756">
          <cell r="J756">
            <v>-68.418800000000005</v>
          </cell>
          <cell r="K756">
            <v>-111.042</v>
          </cell>
          <cell r="L756">
            <v>-705.76100000000008</v>
          </cell>
          <cell r="M756">
            <v>-1128.7339999999999</v>
          </cell>
          <cell r="N756">
            <v>-1205.8969999999999</v>
          </cell>
          <cell r="O756">
            <v>-1146.3659999999998</v>
          </cell>
          <cell r="P756">
            <v>-942.42</v>
          </cell>
        </row>
        <row r="757">
          <cell r="J757">
            <v>-588.52099999999996</v>
          </cell>
          <cell r="K757">
            <v>-167.178</v>
          </cell>
          <cell r="L757">
            <v>-0.13</v>
          </cell>
          <cell r="M757">
            <v>-187.613</v>
          </cell>
          <cell r="N757">
            <v>-357.24299999999999</v>
          </cell>
          <cell r="O757">
            <v>-809.74399999999991</v>
          </cell>
          <cell r="P757">
            <v>-946.49799999999993</v>
          </cell>
        </row>
        <row r="758">
          <cell r="J758">
            <v>0</v>
          </cell>
          <cell r="K758">
            <v>-33.113999999999997</v>
          </cell>
          <cell r="L758">
            <v>-4.1000000000000002E-2</v>
          </cell>
          <cell r="M758">
            <v>0.58799999999999997</v>
          </cell>
          <cell r="N758">
            <v>55.9</v>
          </cell>
          <cell r="O758">
            <v>-2.56</v>
          </cell>
          <cell r="P758">
            <v>-6.2370000000000019</v>
          </cell>
        </row>
        <row r="759">
          <cell r="J759">
            <v>2171.4907000000003</v>
          </cell>
          <cell r="K759">
            <v>603.52909999999929</v>
          </cell>
          <cell r="L759">
            <v>950.84100000000194</v>
          </cell>
          <cell r="M759">
            <v>-120.28999999999959</v>
          </cell>
          <cell r="N759">
            <v>4991.6810000000023</v>
          </cell>
          <cell r="O759">
            <v>4168.5169999999998</v>
          </cell>
          <cell r="P759">
            <v>7133.0600000000068</v>
          </cell>
        </row>
        <row r="760">
          <cell r="J760">
            <v>138.73400000000001</v>
          </cell>
          <cell r="K760">
            <v>128.79900000000001</v>
          </cell>
          <cell r="L760">
            <v>340.71</v>
          </cell>
          <cell r="M760">
            <v>512.19200000000001</v>
          </cell>
          <cell r="N760">
            <v>550.71600000000001</v>
          </cell>
          <cell r="O760">
            <v>620.529</v>
          </cell>
          <cell r="P760">
            <v>613.65099999999995</v>
          </cell>
        </row>
        <row r="761">
          <cell r="J761">
            <v>4789.8150000000005</v>
          </cell>
          <cell r="K761">
            <v>4668.1710000000003</v>
          </cell>
          <cell r="L761">
            <v>1557.1630000000002</v>
          </cell>
          <cell r="M761">
            <v>-249.32500000000323</v>
          </cell>
          <cell r="N761">
            <v>-970.71499999999855</v>
          </cell>
          <cell r="O761">
            <v>-1398.4950000000013</v>
          </cell>
          <cell r="P761">
            <v>-1494.406999999997</v>
          </cell>
        </row>
        <row r="762">
          <cell r="J762">
            <v>-8.2533999999999423</v>
          </cell>
          <cell r="K762">
            <v>3461.8969999999999</v>
          </cell>
          <cell r="L762">
            <v>4672.6180000000013</v>
          </cell>
          <cell r="M762">
            <v>194.34000000000015</v>
          </cell>
          <cell r="N762">
            <v>193.3730000000005</v>
          </cell>
          <cell r="O762">
            <v>501.61999999999898</v>
          </cell>
          <cell r="P762">
            <v>-91.880000000000109</v>
          </cell>
        </row>
        <row r="763">
          <cell r="J763">
            <v>45.43199999999996</v>
          </cell>
          <cell r="K763">
            <v>53.840000000000032</v>
          </cell>
          <cell r="L763">
            <v>58.036999999999978</v>
          </cell>
          <cell r="M763">
            <v>88.239000000000033</v>
          </cell>
          <cell r="N763">
            <v>80.914999999999964</v>
          </cell>
          <cell r="O763">
            <v>65.080000000000041</v>
          </cell>
          <cell r="P763">
            <v>53.499000000000024</v>
          </cell>
        </row>
        <row r="764">
          <cell r="K764">
            <v>0</v>
          </cell>
          <cell r="L764">
            <v>0</v>
          </cell>
          <cell r="M764">
            <v>33.366</v>
          </cell>
          <cell r="N764">
            <v>60.466000000000001</v>
          </cell>
          <cell r="O764">
            <v>64.945999999999998</v>
          </cell>
          <cell r="P764">
            <v>64.945999999999998</v>
          </cell>
        </row>
        <row r="765">
          <cell r="J765">
            <v>219.81439999999986</v>
          </cell>
          <cell r="K765">
            <v>123.74100000000021</v>
          </cell>
          <cell r="L765">
            <v>228.61099999999988</v>
          </cell>
          <cell r="M765">
            <v>99.663000000000011</v>
          </cell>
          <cell r="N765">
            <v>98.274000000000115</v>
          </cell>
          <cell r="O765">
            <v>121.67399999999998</v>
          </cell>
          <cell r="P765">
            <v>-1600.5040000000001</v>
          </cell>
        </row>
        <row r="766">
          <cell r="J766">
            <v>28.6</v>
          </cell>
          <cell r="K766">
            <v>-5.0999999999999996</v>
          </cell>
          <cell r="L766">
            <v>17.7</v>
          </cell>
          <cell r="M766">
            <v>-82.7</v>
          </cell>
          <cell r="N766">
            <v>-191.1</v>
          </cell>
          <cell r="O766">
            <v>401.05270327283688</v>
          </cell>
          <cell r="P766">
            <v>114.88476496367184</v>
          </cell>
        </row>
        <row r="767">
          <cell r="J767">
            <v>55.861999999999966</v>
          </cell>
          <cell r="K767">
            <v>-429.65100000000001</v>
          </cell>
          <cell r="L767">
            <v>116.89400000000006</v>
          </cell>
          <cell r="M767">
            <v>608.96199999999999</v>
          </cell>
          <cell r="N767">
            <v>1514.07</v>
          </cell>
          <cell r="O767">
            <v>543.28099999999995</v>
          </cell>
          <cell r="P767">
            <v>2053.7730000000001</v>
          </cell>
        </row>
        <row r="768">
          <cell r="J768">
            <v>-2584.5273000000007</v>
          </cell>
          <cell r="K768">
            <v>-119.21190000000124</v>
          </cell>
          <cell r="L768">
            <v>3877.6400000000026</v>
          </cell>
          <cell r="M768">
            <v>-560.54299999999614</v>
          </cell>
          <cell r="N768">
            <v>4400.8060000000014</v>
          </cell>
          <cell r="O768">
            <v>4625.5772967271632</v>
          </cell>
          <cell r="P768">
            <v>4141.3272350363322</v>
          </cell>
        </row>
        <row r="769">
          <cell r="J769">
            <v>2608.8022000000001</v>
          </cell>
          <cell r="K769">
            <v>6507.2276999999995</v>
          </cell>
          <cell r="L769">
            <v>7315.3549999999996</v>
          </cell>
          <cell r="M769">
            <v>4849.4639999999999</v>
          </cell>
          <cell r="N769">
            <v>8042.7029999999977</v>
          </cell>
          <cell r="O769">
            <v>6768.1989999999969</v>
          </cell>
          <cell r="P769">
            <v>5591.9490000000014</v>
          </cell>
        </row>
        <row r="770">
          <cell r="J770">
            <v>5193.3295000000007</v>
          </cell>
          <cell r="K770">
            <v>6626.4396000000006</v>
          </cell>
          <cell r="L770">
            <v>3437.714999999997</v>
          </cell>
          <cell r="M770">
            <v>5410.006999999996</v>
          </cell>
          <cell r="N770">
            <v>3641.8969999999963</v>
          </cell>
          <cell r="O770">
            <v>2142.6217032728337</v>
          </cell>
          <cell r="P770">
            <v>1450.6217649636692</v>
          </cell>
        </row>
        <row r="771">
          <cell r="J771">
            <v>6507.2276999999995</v>
          </cell>
          <cell r="K771">
            <v>7315.3549999999996</v>
          </cell>
          <cell r="L771">
            <v>4849.4639999999999</v>
          </cell>
          <cell r="M771">
            <v>8042.7029999999977</v>
          </cell>
          <cell r="N771">
            <v>6768.1989999999969</v>
          </cell>
          <cell r="O771">
            <v>5591.9490000000014</v>
          </cell>
          <cell r="P771">
            <v>5184.692</v>
          </cell>
        </row>
        <row r="772">
          <cell r="J772">
            <v>1313.8981999999987</v>
          </cell>
          <cell r="K772">
            <v>688.91539999999895</v>
          </cell>
          <cell r="L772">
            <v>1411.749000000003</v>
          </cell>
          <cell r="M772">
            <v>2632.6960000000017</v>
          </cell>
          <cell r="N772">
            <v>3126.3020000000006</v>
          </cell>
          <cell r="O772">
            <v>3449.3272967271678</v>
          </cell>
          <cell r="P772">
            <v>3734.0702350363308</v>
          </cell>
        </row>
        <row r="773">
          <cell r="J773">
            <v>37.565252065103003</v>
          </cell>
          <cell r="K773">
            <v>9.6914741867546041</v>
          </cell>
          <cell r="L773">
            <v>8.3769792774481164</v>
          </cell>
          <cell r="M773">
            <v>-0.8731789113029057</v>
          </cell>
          <cell r="N773">
            <v>36.254224301033901</v>
          </cell>
          <cell r="O773">
            <v>30.243506941068752</v>
          </cell>
          <cell r="P773">
            <v>51.752068106396706</v>
          </cell>
        </row>
        <row r="779">
          <cell r="I779">
            <v>2322.511</v>
          </cell>
          <cell r="J779">
            <v>2829.1270000000004</v>
          </cell>
          <cell r="K779">
            <v>9201.8889999999992</v>
          </cell>
          <cell r="L779">
            <v>15791.972000000002</v>
          </cell>
          <cell r="M779">
            <v>18263.230999999996</v>
          </cell>
          <cell r="N779">
            <v>19444.677</v>
          </cell>
          <cell r="O779">
            <v>19811.851999999999</v>
          </cell>
          <cell r="P779">
            <v>20009.813000000002</v>
          </cell>
        </row>
        <row r="780">
          <cell r="I780">
            <v>4347.7550000000001</v>
          </cell>
          <cell r="J780">
            <v>8762.3719999999994</v>
          </cell>
          <cell r="K780">
            <v>7290.433</v>
          </cell>
          <cell r="L780">
            <v>2980.8870000000002</v>
          </cell>
          <cell r="M780">
            <v>1574.88</v>
          </cell>
          <cell r="N780">
            <v>976.22699999999998</v>
          </cell>
          <cell r="O780">
            <v>924.45699999999999</v>
          </cell>
          <cell r="P780">
            <v>1066.797</v>
          </cell>
        </row>
        <row r="781">
          <cell r="I781">
            <v>96.5</v>
          </cell>
          <cell r="J781">
            <v>26</v>
          </cell>
          <cell r="L781">
            <v>574</v>
          </cell>
          <cell r="M781">
            <v>600</v>
          </cell>
          <cell r="N781">
            <v>660</v>
          </cell>
          <cell r="O781">
            <v>726.00000000000011</v>
          </cell>
          <cell r="P781">
            <v>798.60000000000014</v>
          </cell>
        </row>
        <row r="782">
          <cell r="I782">
            <v>67.325000000000003</v>
          </cell>
          <cell r="J782">
            <v>252.012</v>
          </cell>
          <cell r="K782">
            <v>409.98099999999999</v>
          </cell>
          <cell r="L782">
            <v>391.15100000000001</v>
          </cell>
          <cell r="M782">
            <v>733.31500000000005</v>
          </cell>
          <cell r="N782">
            <v>1708.4670000000001</v>
          </cell>
          <cell r="O782">
            <v>2145.2020000000002</v>
          </cell>
          <cell r="P782">
            <v>1464.183</v>
          </cell>
        </row>
        <row r="783">
          <cell r="I783">
            <v>101.5975</v>
          </cell>
          <cell r="J783">
            <v>119.20699999999999</v>
          </cell>
          <cell r="K783">
            <v>169.84</v>
          </cell>
          <cell r="L783">
            <v>257.00799999999998</v>
          </cell>
          <cell r="M783">
            <v>360.93200000000002</v>
          </cell>
          <cell r="N783">
            <v>475.12299999999999</v>
          </cell>
          <cell r="O783">
            <v>597.9</v>
          </cell>
          <cell r="P783">
            <v>728.96399999999994</v>
          </cell>
        </row>
        <row r="785">
          <cell r="J785">
            <v>87.683416666666659</v>
          </cell>
          <cell r="K785">
            <v>75.777499999999989</v>
          </cell>
          <cell r="L785">
            <v>407.06358333333333</v>
          </cell>
          <cell r="M785">
            <v>352.30775</v>
          </cell>
          <cell r="N785">
            <v>445.12324999999993</v>
          </cell>
          <cell r="O785">
            <v>582.47416666666663</v>
          </cell>
          <cell r="P785">
            <v>394.56091666666663</v>
          </cell>
        </row>
        <row r="787">
          <cell r="I787">
            <v>2830.1061</v>
          </cell>
          <cell r="J787">
            <v>6999.4511999999995</v>
          </cell>
          <cell r="K787">
            <v>7520.0539999999992</v>
          </cell>
          <cell r="L787">
            <v>8686.027</v>
          </cell>
          <cell r="M787">
            <v>9000</v>
          </cell>
          <cell r="N787">
            <v>8817.1580000000013</v>
          </cell>
          <cell r="O787">
            <v>8729.4210000000003</v>
          </cell>
          <cell r="P787">
            <v>6893.8829999999998</v>
          </cell>
        </row>
        <row r="788">
          <cell r="I788">
            <v>373.27300000000002</v>
          </cell>
          <cell r="J788">
            <v>418.70499999999998</v>
          </cell>
          <cell r="K788">
            <v>472.54500000000002</v>
          </cell>
          <cell r="L788">
            <v>530.58199999999999</v>
          </cell>
          <cell r="M788">
            <v>618.82100000000003</v>
          </cell>
          <cell r="N788">
            <v>699.73599999999999</v>
          </cell>
          <cell r="O788">
            <v>764.81600000000003</v>
          </cell>
          <cell r="P788">
            <v>818.31500000000005</v>
          </cell>
        </row>
        <row r="789">
          <cell r="I789">
            <v>8.4920000000000009</v>
          </cell>
          <cell r="J789">
            <v>8.4920000000000009</v>
          </cell>
          <cell r="K789">
            <v>8.4920000000000009</v>
          </cell>
          <cell r="L789">
            <v>41.857999999999997</v>
          </cell>
          <cell r="M789">
            <v>68.957999999999998</v>
          </cell>
          <cell r="N789">
            <v>133.63399999999999</v>
          </cell>
          <cell r="O789">
            <v>17.301999999999992</v>
          </cell>
          <cell r="P789">
            <v>0</v>
          </cell>
        </row>
        <row r="790">
          <cell r="I790">
            <v>2.3490000000000002</v>
          </cell>
          <cell r="J790">
            <v>1.371</v>
          </cell>
          <cell r="K790">
            <v>0.998</v>
          </cell>
          <cell r="L790">
            <v>0.65</v>
          </cell>
          <cell r="M790">
            <v>0.55000000000000004</v>
          </cell>
          <cell r="N790">
            <v>0.55000000000000004</v>
          </cell>
          <cell r="O790">
            <v>0.45</v>
          </cell>
          <cell r="P790">
            <v>0</v>
          </cell>
        </row>
        <row r="791">
          <cell r="I791">
            <v>375.416</v>
          </cell>
          <cell r="J791">
            <v>466.51599999999996</v>
          </cell>
          <cell r="K791">
            <v>588.79300000000001</v>
          </cell>
          <cell r="L791">
            <v>701.00199999999995</v>
          </cell>
          <cell r="M791">
            <v>955.32100000000003</v>
          </cell>
          <cell r="N791">
            <v>1228.5429999999999</v>
          </cell>
          <cell r="O791">
            <v>1598.5429999999999</v>
          </cell>
          <cell r="P791">
            <v>1598.5429999999999</v>
          </cell>
        </row>
        <row r="793">
          <cell r="I793">
            <v>0</v>
          </cell>
          <cell r="J793">
            <v>0</v>
          </cell>
          <cell r="K793">
            <v>0</v>
          </cell>
          <cell r="L793">
            <v>33.366</v>
          </cell>
          <cell r="M793">
            <v>60.466000000000001</v>
          </cell>
          <cell r="N793">
            <v>64.945999999999998</v>
          </cell>
          <cell r="O793">
            <v>64.945999999999998</v>
          </cell>
          <cell r="P793">
            <v>2.6840000000000002</v>
          </cell>
        </row>
        <row r="794">
          <cell r="I794">
            <v>594.17600000000004</v>
          </cell>
          <cell r="J794">
            <v>742.49300000000005</v>
          </cell>
          <cell r="K794">
            <v>1000</v>
          </cell>
          <cell r="L794">
            <v>1000</v>
          </cell>
          <cell r="M794">
            <v>1070</v>
          </cell>
          <cell r="N794">
            <v>1370</v>
          </cell>
          <cell r="O794">
            <v>1000</v>
          </cell>
          <cell r="P794">
            <v>1000</v>
          </cell>
        </row>
        <row r="795">
          <cell r="I795">
            <v>871.75760000000002</v>
          </cell>
          <cell r="J795">
            <v>1091.5719999999999</v>
          </cell>
          <cell r="K795">
            <v>1215.3130000000001</v>
          </cell>
          <cell r="L795">
            <v>1443.924</v>
          </cell>
          <cell r="M795">
            <v>1543.587</v>
          </cell>
          <cell r="N795">
            <v>1641.8610000000001</v>
          </cell>
          <cell r="O795">
            <v>1763.5350000000001</v>
          </cell>
          <cell r="P795">
            <v>163.03100000000001</v>
          </cell>
        </row>
        <row r="796">
          <cell r="M796">
            <v>8000</v>
          </cell>
          <cell r="N796">
            <v>8750</v>
          </cell>
        </row>
        <row r="797">
          <cell r="I797">
            <v>1880.1187999999984</v>
          </cell>
          <cell r="J797">
            <v>2347.8012166666686</v>
          </cell>
          <cell r="K797">
            <v>6341.7255000000005</v>
          </cell>
          <cell r="L797">
            <v>7964.6725833333367</v>
          </cell>
          <cell r="M797">
            <v>8566.962749999997</v>
          </cell>
          <cell r="N797">
            <v>9753.1892499999976</v>
          </cell>
          <cell r="O797">
            <v>10848.872166666666</v>
          </cell>
          <cell r="P797">
            <v>13986.461916666665</v>
          </cell>
        </row>
        <row r="798">
          <cell r="J798">
            <v>24.875152392852542</v>
          </cell>
          <cell r="K798">
            <v>170.11339184003725</v>
          </cell>
          <cell r="L798">
            <v>25.591569413298252</v>
          </cell>
          <cell r="M798">
            <v>7.562020414084536</v>
          </cell>
          <cell r="N798">
            <v>13.846523378428376</v>
          </cell>
          <cell r="O798">
            <v>11.234098801750081</v>
          </cell>
          <cell r="P798">
            <v>28.920884141674129</v>
          </cell>
        </row>
        <row r="799">
          <cell r="L799">
            <v>10.839395698591293</v>
          </cell>
        </row>
        <row r="800">
          <cell r="I800">
            <v>58.7</v>
          </cell>
          <cell r="J800">
            <v>58.7</v>
          </cell>
          <cell r="K800">
            <v>58.7</v>
          </cell>
          <cell r="L800">
            <v>58.7</v>
          </cell>
          <cell r="M800">
            <v>58.7</v>
          </cell>
          <cell r="N800">
            <v>58.7</v>
          </cell>
          <cell r="O800">
            <v>58.7</v>
          </cell>
          <cell r="P800">
            <v>58.7</v>
          </cell>
        </row>
        <row r="801">
          <cell r="I801">
            <v>723.4</v>
          </cell>
          <cell r="J801">
            <v>723.4</v>
          </cell>
          <cell r="K801">
            <v>723.4</v>
          </cell>
          <cell r="L801">
            <v>723.4</v>
          </cell>
          <cell r="M801">
            <v>723.4</v>
          </cell>
          <cell r="N801">
            <v>723.4</v>
          </cell>
          <cell r="O801">
            <v>723.4</v>
          </cell>
          <cell r="P801">
            <v>723.4</v>
          </cell>
        </row>
        <row r="802">
          <cell r="I802">
            <v>1098.0187999999985</v>
          </cell>
          <cell r="J802">
            <v>1565.7012166666686</v>
          </cell>
          <cell r="K802">
            <v>5559.625500000001</v>
          </cell>
          <cell r="L802">
            <v>7182.5725833333372</v>
          </cell>
          <cell r="M802">
            <v>7784.8627499999966</v>
          </cell>
          <cell r="N802">
            <v>8971.0892499999973</v>
          </cell>
          <cell r="O802">
            <v>10066.772166666666</v>
          </cell>
          <cell r="P802">
            <v>13204.361916666665</v>
          </cell>
        </row>
        <row r="805">
          <cell r="I805">
            <v>8.2426410000005035</v>
          </cell>
          <cell r="J805">
            <v>168.94441866666767</v>
          </cell>
          <cell r="K805">
            <v>397.3402800000008</v>
          </cell>
          <cell r="L805">
            <v>-61.30709416666582</v>
          </cell>
          <cell r="M805">
            <v>-270.19897249999758</v>
          </cell>
          <cell r="N805">
            <v>104.46479250000084</v>
          </cell>
          <cell r="O805">
            <v>-432.86137583333357</v>
          </cell>
          <cell r="P805">
            <v>-154.98329916666535</v>
          </cell>
        </row>
        <row r="806">
          <cell r="I806">
            <v>46.885999999999967</v>
          </cell>
          <cell r="J806">
            <v>26.360000000000014</v>
          </cell>
          <cell r="K806">
            <v>21.459000000000117</v>
          </cell>
          <cell r="L806">
            <v>53.251999999999839</v>
          </cell>
          <cell r="M806">
            <v>47.197000000000116</v>
          </cell>
          <cell r="N806">
            <v>67.107999999999834</v>
          </cell>
          <cell r="O806">
            <v>148.5300000000002</v>
          </cell>
          <cell r="P806">
            <v>-38.142800000000079</v>
          </cell>
        </row>
        <row r="807">
          <cell r="I807">
            <v>21.057000000000002</v>
          </cell>
          <cell r="J807">
            <v>24.314800000000002</v>
          </cell>
          <cell r="K807">
            <v>33.405999999999999</v>
          </cell>
          <cell r="L807">
            <v>64.50200000000001</v>
          </cell>
          <cell r="M807">
            <v>397.19099999999997</v>
          </cell>
          <cell r="N807">
            <v>580.85799999999995</v>
          </cell>
          <cell r="O807">
            <v>795.42899999999997</v>
          </cell>
          <cell r="P807">
            <v>730.72</v>
          </cell>
        </row>
        <row r="808">
          <cell r="I808">
            <v>0</v>
          </cell>
          <cell r="J808">
            <v>0</v>
          </cell>
          <cell r="K808">
            <v>52.776000000000003</v>
          </cell>
          <cell r="L808">
            <v>13.955999999999996</v>
          </cell>
          <cell r="M808">
            <v>54.2</v>
          </cell>
          <cell r="N808">
            <v>129.352</v>
          </cell>
          <cell r="O808">
            <v>-116.33199999999999</v>
          </cell>
          <cell r="P808">
            <v>-15.360999999999999</v>
          </cell>
        </row>
        <row r="809">
          <cell r="I809">
            <v>-14.856400000000001</v>
          </cell>
          <cell r="J809">
            <v>-14.765000000000001</v>
          </cell>
          <cell r="K809">
            <v>-16.988</v>
          </cell>
          <cell r="L809">
            <v>-12.922000000000001</v>
          </cell>
          <cell r="M809">
            <v>-21.341000000000001</v>
          </cell>
          <cell r="N809">
            <v>-35.454999999999998</v>
          </cell>
          <cell r="O809">
            <v>-36.728000000000002</v>
          </cell>
          <cell r="P809">
            <v>-23.445</v>
          </cell>
        </row>
        <row r="811">
          <cell r="I811">
            <v>416.19610000000023</v>
          </cell>
          <cell r="J811">
            <v>658.34060000000125</v>
          </cell>
          <cell r="K811">
            <v>1526.8220000000008</v>
          </cell>
          <cell r="L811">
            <v>1464.5130000000015</v>
          </cell>
          <cell r="M811">
            <v>1652.7160000000017</v>
          </cell>
          <cell r="N811">
            <v>2398.66</v>
          </cell>
          <cell r="O811">
            <v>2436.9189999999999</v>
          </cell>
          <cell r="P811">
            <v>2544.050200000001</v>
          </cell>
        </row>
        <row r="812">
          <cell r="I812">
            <v>300.34030000000052</v>
          </cell>
          <cell r="J812">
            <v>445.25860000000046</v>
          </cell>
          <cell r="K812">
            <v>1031.1570000000004</v>
          </cell>
          <cell r="L812">
            <v>1465.7249999999999</v>
          </cell>
          <cell r="M812">
            <v>1609.4460000000013</v>
          </cell>
          <cell r="N812">
            <v>1762.6680000000019</v>
          </cell>
          <cell r="O812">
            <v>2613.8600000000006</v>
          </cell>
          <cell r="P812">
            <v>2537.4060000000036</v>
          </cell>
        </row>
        <row r="813">
          <cell r="L813">
            <v>-117</v>
          </cell>
          <cell r="M813">
            <v>-293.5</v>
          </cell>
          <cell r="N813">
            <v>-89.5</v>
          </cell>
          <cell r="O813">
            <v>-153</v>
          </cell>
          <cell r="P813">
            <v>-211</v>
          </cell>
        </row>
        <row r="814">
          <cell r="I814">
            <v>416.19610000000023</v>
          </cell>
          <cell r="J814">
            <v>658.34060000000125</v>
          </cell>
          <cell r="K814">
            <v>1526.8220000000008</v>
          </cell>
          <cell r="L814">
            <v>1581.5130000000015</v>
          </cell>
          <cell r="M814">
            <v>1946.2160000000017</v>
          </cell>
          <cell r="N814">
            <v>2488.16</v>
          </cell>
          <cell r="O814">
            <v>2589.9189999999999</v>
          </cell>
          <cell r="P814">
            <v>2755.050200000001</v>
          </cell>
        </row>
        <row r="820">
          <cell r="I820">
            <v>5.0823999999999998</v>
          </cell>
          <cell r="J820">
            <v>0</v>
          </cell>
          <cell r="K820">
            <v>0</v>
          </cell>
          <cell r="L820">
            <v>165</v>
          </cell>
          <cell r="M820">
            <v>385</v>
          </cell>
          <cell r="N820">
            <v>275</v>
          </cell>
          <cell r="O820">
            <v>370</v>
          </cell>
          <cell r="P820">
            <v>630</v>
          </cell>
        </row>
        <row r="821">
          <cell r="I821">
            <v>0.13500000000000001</v>
          </cell>
          <cell r="J821">
            <v>0.13500000000000001</v>
          </cell>
          <cell r="K821">
            <v>0.13500000000000001</v>
          </cell>
          <cell r="L821">
            <v>0.13500000000000001</v>
          </cell>
          <cell r="M821">
            <v>0.13500000000000001</v>
          </cell>
          <cell r="N821">
            <v>0.13500000000000001</v>
          </cell>
          <cell r="O821">
            <v>0.13500000000000001</v>
          </cell>
          <cell r="P821">
            <v>0.13500000000000001</v>
          </cell>
        </row>
        <row r="823">
          <cell r="I823">
            <v>871.75760000000002</v>
          </cell>
          <cell r="J823">
            <v>981.66480000000001</v>
          </cell>
          <cell r="K823">
            <v>1153.4425000000001</v>
          </cell>
          <cell r="L823">
            <v>1329.6185</v>
          </cell>
          <cell r="M823">
            <v>1493.7555</v>
          </cell>
          <cell r="N823">
            <v>1592.7240000000002</v>
          </cell>
          <cell r="O823">
            <v>1702.6980000000001</v>
          </cell>
          <cell r="P823">
            <v>963.28300000000002</v>
          </cell>
        </row>
        <row r="824">
          <cell r="I824">
            <v>5.5E-2</v>
          </cell>
          <cell r="J824">
            <v>5.5E-2</v>
          </cell>
          <cell r="K824">
            <v>5.5E-2</v>
          </cell>
          <cell r="L824">
            <v>5.5E-2</v>
          </cell>
          <cell r="M824">
            <v>5.5E-2</v>
          </cell>
          <cell r="N824">
            <v>5.5E-2</v>
          </cell>
          <cell r="O824">
            <v>5.5E-2</v>
          </cell>
          <cell r="P824">
            <v>5.5E-2</v>
          </cell>
        </row>
        <row r="825">
          <cell r="I825">
            <v>0.51749999999999996</v>
          </cell>
          <cell r="J825">
            <v>0.51749999999999996</v>
          </cell>
          <cell r="K825">
            <v>0.46</v>
          </cell>
          <cell r="L825">
            <v>0.46</v>
          </cell>
          <cell r="M825">
            <v>0.43</v>
          </cell>
          <cell r="N825">
            <v>0.35</v>
          </cell>
          <cell r="O825">
            <v>0.35</v>
          </cell>
          <cell r="P825">
            <v>0.35</v>
          </cell>
        </row>
        <row r="826">
          <cell r="I826">
            <v>2.8462499999999998E-2</v>
          </cell>
          <cell r="J826">
            <v>2.8462499999999998E-2</v>
          </cell>
          <cell r="K826">
            <v>2.53E-2</v>
          </cell>
          <cell r="L826">
            <v>2.53E-2</v>
          </cell>
          <cell r="M826">
            <v>2.3650000000000001E-2</v>
          </cell>
          <cell r="N826">
            <v>1.925E-2</v>
          </cell>
          <cell r="O826">
            <v>1.925E-2</v>
          </cell>
          <cell r="P826">
            <v>1.925E-2</v>
          </cell>
        </row>
        <row r="829">
          <cell r="I829">
            <v>1570.7640999999999</v>
          </cell>
          <cell r="J829">
            <v>1724.4258499999999</v>
          </cell>
          <cell r="K829">
            <v>2123.7507999999998</v>
          </cell>
          <cell r="L829">
            <v>2577.1114999999995</v>
          </cell>
          <cell r="M829">
            <v>3222.6185000000005</v>
          </cell>
          <cell r="N829">
            <v>4152.2855</v>
          </cell>
          <cell r="O829">
            <v>4800.1100000000006</v>
          </cell>
          <cell r="P829">
            <v>5356.5519999999997</v>
          </cell>
        </row>
        <row r="832">
          <cell r="I832">
            <v>3146.9088000000002</v>
          </cell>
          <cell r="J832">
            <v>5209.9477499999994</v>
          </cell>
          <cell r="K832">
            <v>7524.092349999999</v>
          </cell>
          <cell r="L832">
            <v>8529.4014999999999</v>
          </cell>
          <cell r="M832">
            <v>10007.762499999999</v>
          </cell>
          <cell r="N832">
            <v>10325.676499999998</v>
          </cell>
          <cell r="O832">
            <v>9569.9739999999983</v>
          </cell>
          <cell r="P832">
            <v>8546.69</v>
          </cell>
        </row>
        <row r="833">
          <cell r="I833">
            <v>0.184</v>
          </cell>
          <cell r="J833">
            <v>0.156</v>
          </cell>
          <cell r="K833">
            <v>0.14799999999999999</v>
          </cell>
          <cell r="L833">
            <v>0.16</v>
          </cell>
          <cell r="M833">
            <v>0.153</v>
          </cell>
          <cell r="N833">
            <v>0.13500000000000001</v>
          </cell>
          <cell r="O833">
            <v>0.14249999999999999</v>
          </cell>
          <cell r="P833">
            <v>0.14249999999999999</v>
          </cell>
        </row>
        <row r="834">
          <cell r="I834">
            <v>0</v>
          </cell>
          <cell r="J834">
            <v>0</v>
          </cell>
          <cell r="K834">
            <v>0</v>
          </cell>
          <cell r="L834">
            <v>0</v>
          </cell>
          <cell r="M834">
            <v>0</v>
          </cell>
          <cell r="N834">
            <v>0</v>
          </cell>
          <cell r="O834">
            <v>0</v>
          </cell>
          <cell r="P834">
            <v>0</v>
          </cell>
        </row>
        <row r="835">
          <cell r="I835">
            <v>0.51749999999999996</v>
          </cell>
          <cell r="J835">
            <v>0.51749999999999996</v>
          </cell>
          <cell r="K835">
            <v>0.46</v>
          </cell>
          <cell r="L835">
            <v>0.46</v>
          </cell>
          <cell r="M835">
            <v>0.43</v>
          </cell>
          <cell r="N835">
            <v>0.35</v>
          </cell>
          <cell r="O835">
            <v>0.35</v>
          </cell>
          <cell r="P835">
            <v>0.35</v>
          </cell>
        </row>
        <row r="836">
          <cell r="I836">
            <v>9.5219999999999985E-2</v>
          </cell>
          <cell r="J836">
            <v>8.0729999999999996E-2</v>
          </cell>
          <cell r="K836">
            <v>6.8080000000000002E-2</v>
          </cell>
          <cell r="L836">
            <v>7.3599999999999999E-2</v>
          </cell>
          <cell r="M836">
            <v>6.5790000000000001E-2</v>
          </cell>
          <cell r="N836">
            <v>4.725E-2</v>
          </cell>
          <cell r="O836">
            <v>4.9874999999999996E-2</v>
          </cell>
          <cell r="P836">
            <v>4.9874999999999996E-2</v>
          </cell>
        </row>
        <row r="839">
          <cell r="I839">
            <v>1871.9689230000001</v>
          </cell>
          <cell r="J839">
            <v>1981.4046039999998</v>
          </cell>
          <cell r="K839">
            <v>4157.5041425000009</v>
          </cell>
          <cell r="L839">
            <v>8869.6584999999995</v>
          </cell>
          <cell r="M839">
            <v>11893.381500000001</v>
          </cell>
          <cell r="N839">
            <v>12925.986000000001</v>
          </cell>
          <cell r="O839">
            <v>14511.572349999999</v>
          </cell>
          <cell r="P839">
            <v>16246.654349999999</v>
          </cell>
        </row>
        <row r="840">
          <cell r="I840">
            <v>1.24</v>
          </cell>
          <cell r="J840">
            <v>1.24</v>
          </cell>
          <cell r="K840">
            <v>1.24</v>
          </cell>
          <cell r="L840">
            <v>1.24</v>
          </cell>
          <cell r="M840">
            <v>1.24</v>
          </cell>
          <cell r="N840">
            <v>1.24</v>
          </cell>
          <cell r="O840">
            <v>1.24</v>
          </cell>
          <cell r="P840">
            <v>1.24</v>
          </cell>
        </row>
        <row r="841">
          <cell r="I841">
            <v>12.75</v>
          </cell>
          <cell r="J841">
            <v>13.25</v>
          </cell>
          <cell r="K841">
            <v>12.35</v>
          </cell>
          <cell r="L841">
            <v>13.95</v>
          </cell>
          <cell r="M841">
            <v>13.75</v>
          </cell>
          <cell r="N841">
            <v>12</v>
          </cell>
          <cell r="O841">
            <v>12.5</v>
          </cell>
          <cell r="P841">
            <v>12.5</v>
          </cell>
        </row>
        <row r="842">
          <cell r="I842">
            <v>10</v>
          </cell>
          <cell r="J842">
            <v>10</v>
          </cell>
          <cell r="K842">
            <v>10</v>
          </cell>
          <cell r="L842">
            <v>10</v>
          </cell>
          <cell r="M842">
            <v>10</v>
          </cell>
          <cell r="N842">
            <v>10</v>
          </cell>
          <cell r="O842">
            <v>10</v>
          </cell>
          <cell r="P842">
            <v>10</v>
          </cell>
        </row>
        <row r="843">
          <cell r="I843">
            <v>25.15</v>
          </cell>
          <cell r="J843">
            <v>25.65</v>
          </cell>
          <cell r="K843">
            <v>24.75</v>
          </cell>
          <cell r="L843">
            <v>26.35</v>
          </cell>
          <cell r="M843">
            <v>26.15</v>
          </cell>
          <cell r="N843">
            <v>24.4</v>
          </cell>
          <cell r="O843">
            <v>24.9</v>
          </cell>
          <cell r="P843">
            <v>24.9</v>
          </cell>
        </row>
        <row r="845">
          <cell r="I845">
            <v>7466.4818230000001</v>
          </cell>
          <cell r="J845">
            <v>9897.4430039999988</v>
          </cell>
          <cell r="K845">
            <v>14958.7897925</v>
          </cell>
          <cell r="L845">
            <v>21470.79</v>
          </cell>
          <cell r="M845">
            <v>27002.518000000004</v>
          </cell>
          <cell r="N845">
            <v>29271.671999999999</v>
          </cell>
          <cell r="O845">
            <v>30954.354349999998</v>
          </cell>
          <cell r="P845">
            <v>31743.179349999999</v>
          </cell>
        </row>
        <row r="846">
          <cell r="I846">
            <v>3733.2409115</v>
          </cell>
          <cell r="J846">
            <v>8681.9624134999995</v>
          </cell>
          <cell r="K846">
            <v>12428.11639825</v>
          </cell>
          <cell r="L846">
            <v>18214.78989625</v>
          </cell>
          <cell r="M846">
            <v>24236.654000000002</v>
          </cell>
          <cell r="N846">
            <v>28137.095000000001</v>
          </cell>
          <cell r="O846">
            <v>30113.013175</v>
          </cell>
          <cell r="P846">
            <v>31348.76685</v>
          </cell>
        </row>
        <row r="848">
          <cell r="I848">
            <v>10.660273253577571</v>
          </cell>
          <cell r="J848">
            <v>9.6668401805074939</v>
          </cell>
          <cell r="K848">
            <v>10.498206068074543</v>
          </cell>
          <cell r="L848">
            <v>14.069502394648731</v>
          </cell>
          <cell r="M848">
            <v>14.27952857840887</v>
          </cell>
          <cell r="N848">
            <v>12.673050366323455</v>
          </cell>
          <cell r="O848">
            <v>13.482467951718071</v>
          </cell>
          <cell r="P848">
            <v>14.413415380365796</v>
          </cell>
        </row>
        <row r="849">
          <cell r="I849">
            <v>15.112120095494141</v>
          </cell>
          <cell r="J849">
            <v>12.860760092132583</v>
          </cell>
          <cell r="K849">
            <v>10.547136645980784</v>
          </cell>
          <cell r="L849">
            <v>11.367052632902656</v>
          </cell>
          <cell r="M849">
            <v>12.265048763230158</v>
          </cell>
          <cell r="N849">
            <v>14.275655316170536</v>
          </cell>
          <cell r="O849">
            <v>15.019282739457301</v>
          </cell>
          <cell r="P849">
            <v>15.470939271242228</v>
          </cell>
        </row>
        <row r="850">
          <cell r="I850">
            <v>4.45184684191657</v>
          </cell>
          <cell r="J850">
            <v>3.1939199116250894</v>
          </cell>
          <cell r="K850">
            <v>4.8930577906240558E-2</v>
          </cell>
          <cell r="L850">
            <v>-2.7024497617460757</v>
          </cell>
          <cell r="M850">
            <v>-2.0144798151787118</v>
          </cell>
          <cell r="N850">
            <v>1.6026049498470805</v>
          </cell>
          <cell r="O850">
            <v>1.53681478773923</v>
          </cell>
          <cell r="P850">
            <v>1.0575238908764319</v>
          </cell>
        </row>
        <row r="852">
          <cell r="I852">
            <v>42.637963628241465</v>
          </cell>
          <cell r="J852">
            <v>20.782894961562025</v>
          </cell>
          <cell r="K852">
            <v>13.106622659483349</v>
          </cell>
          <cell r="L852">
            <v>15.182036552446462</v>
          </cell>
          <cell r="M852">
            <v>15.874223479858237</v>
          </cell>
          <cell r="N852">
            <v>17.595807065370472</v>
          </cell>
          <cell r="O852">
            <v>19.42884979991711</v>
          </cell>
          <cell r="P852">
            <v>19.589654130207048</v>
          </cell>
        </row>
        <row r="853">
          <cell r="I853">
            <v>31.977690374663894</v>
          </cell>
          <cell r="J853">
            <v>11.116054781054531</v>
          </cell>
          <cell r="K853">
            <v>2.6084165914088064</v>
          </cell>
          <cell r="L853">
            <v>1.1125341577977306</v>
          </cell>
          <cell r="M853">
            <v>1.5946949014493672</v>
          </cell>
          <cell r="N853">
            <v>4.9227566990470173</v>
          </cell>
          <cell r="O853">
            <v>5.9463818481990387</v>
          </cell>
          <cell r="P853">
            <v>5.1762387498412519</v>
          </cell>
        </row>
        <row r="855">
          <cell r="I855">
            <v>0.51749999999999996</v>
          </cell>
          <cell r="J855">
            <v>0.51749999999999996</v>
          </cell>
          <cell r="K855">
            <v>0.46</v>
          </cell>
          <cell r="L855">
            <v>0.46</v>
          </cell>
          <cell r="M855">
            <v>0.43</v>
          </cell>
          <cell r="N855">
            <v>0.35</v>
          </cell>
          <cell r="O855">
            <v>0.35</v>
          </cell>
          <cell r="P855">
            <v>0.35</v>
          </cell>
        </row>
        <row r="856">
          <cell r="I856">
            <v>795.94736476050002</v>
          </cell>
          <cell r="J856">
            <v>956.76999715349984</v>
          </cell>
          <cell r="K856">
            <v>1570.4045777067504</v>
          </cell>
          <cell r="L856">
            <v>3020.8333132000007</v>
          </cell>
          <cell r="M856">
            <v>3855.8322746999997</v>
          </cell>
          <cell r="N856">
            <v>3709.6137356250001</v>
          </cell>
          <cell r="O856">
            <v>4173.410904899999</v>
          </cell>
          <cell r="P856">
            <v>4575.2762946499997</v>
          </cell>
        </row>
        <row r="857">
          <cell r="I857">
            <v>1128.3437000000004</v>
          </cell>
          <cell r="J857">
            <v>1272.8864000000003</v>
          </cell>
          <cell r="K857">
            <v>1577.7240000000004</v>
          </cell>
          <cell r="L857">
            <v>2440.596</v>
          </cell>
          <cell r="M857">
            <v>3311.8720000000012</v>
          </cell>
          <cell r="N857">
            <v>4178.7230000000018</v>
          </cell>
          <cell r="O857">
            <v>4649.1220000000003</v>
          </cell>
          <cell r="P857">
            <v>4910.9680000000035</v>
          </cell>
        </row>
        <row r="858">
          <cell r="I858">
            <v>-463.43420199999997</v>
          </cell>
          <cell r="J858">
            <v>-531.47672899999998</v>
          </cell>
          <cell r="K858">
            <v>-51.182320000000004</v>
          </cell>
          <cell r="L858">
            <v>-324.78006000000005</v>
          </cell>
          <cell r="M858">
            <v>-535.50861999999995</v>
          </cell>
          <cell r="N858">
            <v>-772.22595000000001</v>
          </cell>
          <cell r="O858">
            <v>-1201.4900999999998</v>
          </cell>
          <cell r="P858">
            <v>-1230.1469999999999</v>
          </cell>
        </row>
        <row r="859">
          <cell r="I859">
            <v>795.83053723950025</v>
          </cell>
          <cell r="J859">
            <v>847.59313184650046</v>
          </cell>
          <cell r="K859">
            <v>58.501742293250118</v>
          </cell>
          <cell r="L859">
            <v>-255.45725320000065</v>
          </cell>
          <cell r="M859">
            <v>-8.4516546999984712</v>
          </cell>
          <cell r="N859">
            <v>1241.3352143750017</v>
          </cell>
          <cell r="O859">
            <v>1677.2011951000013</v>
          </cell>
          <cell r="P859">
            <v>1565.8387053500037</v>
          </cell>
        </row>
        <row r="860">
          <cell r="I860">
            <v>42.51302078050044</v>
          </cell>
          <cell r="J860">
            <v>42.777387825555927</v>
          </cell>
          <cell r="K860">
            <v>1.4071361155174149</v>
          </cell>
          <cell r="L860">
            <v>-2.8801250149597153</v>
          </cell>
          <cell r="M860">
            <v>-7.1061831321886634E-2</v>
          </cell>
          <cell r="N860">
            <v>9.6034083154275542</v>
          </cell>
          <cell r="O860">
            <v>11.55768068854373</v>
          </cell>
          <cell r="P860">
            <v>9.637914807672411</v>
          </cell>
        </row>
        <row r="861">
          <cell r="I861">
            <v>10.658708560543163</v>
          </cell>
          <cell r="J861">
            <v>8.5637586546742437</v>
          </cell>
          <cell r="K861">
            <v>0.39108606447950467</v>
          </cell>
          <cell r="L861">
            <v>-1.1897897245513587</v>
          </cell>
          <cell r="M861">
            <v>-3.1299505846078761E-2</v>
          </cell>
          <cell r="N861">
            <v>4.2407390133881036</v>
          </cell>
          <cell r="O861">
            <v>5.4183045659293532</v>
          </cell>
          <cell r="P861">
            <v>4.9328351394328864</v>
          </cell>
        </row>
        <row r="866">
          <cell r="I866">
            <v>3733.2409115</v>
          </cell>
          <cell r="J866">
            <v>8681.9624134999995</v>
          </cell>
          <cell r="K866">
            <v>12428.11639825</v>
          </cell>
          <cell r="L866">
            <v>18214.78989625</v>
          </cell>
          <cell r="M866">
            <v>24236.654000000002</v>
          </cell>
          <cell r="N866">
            <v>28137.095000000001</v>
          </cell>
          <cell r="O866">
            <v>30113.013175</v>
          </cell>
          <cell r="P866">
            <v>31348.76685</v>
          </cell>
        </row>
        <row r="867">
          <cell r="J867">
            <v>68.357803533815087</v>
          </cell>
          <cell r="K867">
            <v>62.8475708261779</v>
          </cell>
          <cell r="L867">
            <v>26.961553903298434</v>
          </cell>
          <cell r="M867">
            <v>39.832459959200641</v>
          </cell>
          <cell r="N867">
            <v>42.86112336756868</v>
          </cell>
          <cell r="O867">
            <v>39.759803362819746</v>
          </cell>
          <cell r="P867">
            <v>39.599450783500281</v>
          </cell>
        </row>
        <row r="868">
          <cell r="I868">
            <v>15.112120095494141</v>
          </cell>
          <cell r="J868">
            <v>12.860760092132583</v>
          </cell>
          <cell r="K868">
            <v>10.547136645980784</v>
          </cell>
          <cell r="L868">
            <v>11.367052632902656</v>
          </cell>
          <cell r="M868">
            <v>12.265048763230158</v>
          </cell>
          <cell r="N868">
            <v>14.275655316170536</v>
          </cell>
          <cell r="O868">
            <v>15.019282739457301</v>
          </cell>
          <cell r="P868">
            <v>15.470939271242228</v>
          </cell>
        </row>
        <row r="869">
          <cell r="I869">
            <v>0</v>
          </cell>
          <cell r="J869">
            <v>19.090517784926501</v>
          </cell>
          <cell r="K869">
            <v>23.348503020899322</v>
          </cell>
          <cell r="L869">
            <v>14.901050269847282</v>
          </cell>
          <cell r="M869">
            <v>13.703470213996539</v>
          </cell>
          <cell r="N869">
            <v>15.0065095990809</v>
          </cell>
          <cell r="O869">
            <v>13.493773946091384</v>
          </cell>
          <cell r="P869">
            <v>13.6502989504423</v>
          </cell>
        </row>
        <row r="870">
          <cell r="I870">
            <v>25.15</v>
          </cell>
          <cell r="J870">
            <v>25.65</v>
          </cell>
          <cell r="K870">
            <v>24.75</v>
          </cell>
          <cell r="L870">
            <v>26.35</v>
          </cell>
          <cell r="M870">
            <v>26.15</v>
          </cell>
          <cell r="N870">
            <v>24.4</v>
          </cell>
          <cell r="O870">
            <v>24.9</v>
          </cell>
          <cell r="P870">
            <v>24.9</v>
          </cell>
        </row>
        <row r="871">
          <cell r="I871">
            <v>5.8049036771456411E-2</v>
          </cell>
          <cell r="J871">
            <v>5.6662145073411968E-2</v>
          </cell>
          <cell r="K871">
            <v>5.0125727620026428E-2</v>
          </cell>
          <cell r="L871">
            <v>5.3184006493498401E-2</v>
          </cell>
          <cell r="M871">
            <v>4.7115700975062277E-2</v>
          </cell>
          <cell r="N871">
            <v>3.2266709188705445E-2</v>
          </cell>
          <cell r="O871">
            <v>3.1735600579289876E-2</v>
          </cell>
          <cell r="P871">
            <v>2.9920197322508117E-2</v>
          </cell>
        </row>
        <row r="872">
          <cell r="I872">
            <v>10.660273253577571</v>
          </cell>
          <cell r="J872">
            <v>9.6668401805074939</v>
          </cell>
          <cell r="K872">
            <v>10.498206068074543</v>
          </cell>
          <cell r="L872">
            <v>14.069502394648731</v>
          </cell>
          <cell r="M872">
            <v>14.27952857840887</v>
          </cell>
          <cell r="N872">
            <v>12.673050366323455</v>
          </cell>
          <cell r="O872">
            <v>13.482467951718071</v>
          </cell>
          <cell r="P872">
            <v>14.413415380365796</v>
          </cell>
        </row>
        <row r="873">
          <cell r="J873">
            <v>847.59313184650046</v>
          </cell>
          <cell r="K873">
            <v>58.501742293250118</v>
          </cell>
          <cell r="L873">
            <v>-255.45725320000065</v>
          </cell>
          <cell r="M873">
            <v>-8.4516546999984712</v>
          </cell>
          <cell r="N873">
            <v>1241.3352143750017</v>
          </cell>
          <cell r="O873">
            <v>1677.2011951000013</v>
          </cell>
        </row>
        <row r="874">
          <cell r="I874">
            <v>42.51302078050044</v>
          </cell>
          <cell r="J874">
            <v>42.777387825555927</v>
          </cell>
          <cell r="K874">
            <v>1.4071361155174149</v>
          </cell>
          <cell r="L874">
            <v>-2.8801250149597153</v>
          </cell>
          <cell r="M874">
            <v>-7.1061831321886634E-2</v>
          </cell>
          <cell r="N874">
            <v>9.6034083154275542</v>
          </cell>
          <cell r="O874">
            <v>11.55768068854373</v>
          </cell>
          <cell r="P874">
            <v>9.637914807672411</v>
          </cell>
        </row>
        <row r="875">
          <cell r="I875">
            <v>10.658708560543163</v>
          </cell>
          <cell r="J875">
            <v>8.5637586546742437</v>
          </cell>
          <cell r="K875">
            <v>0.39108606447950467</v>
          </cell>
          <cell r="L875">
            <v>-1.1897897245513587</v>
          </cell>
          <cell r="M875">
            <v>-3.1299505846078761E-2</v>
          </cell>
          <cell r="N875">
            <v>4.2407390133881036</v>
          </cell>
          <cell r="O875">
            <v>5.4183045659293532</v>
          </cell>
          <cell r="P875">
            <v>4.9328351394328864</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es (2)"/>
      <sheetName val="org rank"/>
      <sheetName val="Profile"/>
      <sheetName val="Capital"/>
      <sheetName val="Form."/>
      <sheetName val="DCF"/>
      <sheetName val="RMC"/>
      <sheetName val="Top Brands"/>
      <sheetName val="US -data"/>
      <sheetName val="Caraco"/>
      <sheetName val="merged fin."/>
      <sheetName val="Debt"/>
      <sheetName val="Tax"/>
      <sheetName val="Sales"/>
      <sheetName val="CapEx"/>
      <sheetName val="Input"/>
      <sheetName val="Sheet1"/>
      <sheetName val="Formats"/>
      <sheetName val="WICarrDataV2"/>
      <sheetName val="4QFY01"/>
      <sheetName val="result"/>
      <sheetName val="MJ"/>
      <sheetName val="reptable"/>
      <sheetName val="Calc"/>
      <sheetName val="VarName"/>
      <sheetName val="I-tax"/>
      <sheetName val="CoSheet"/>
      <sheetName val="Half Yearly"/>
      <sheetName val="MJ3Q"/>
      <sheetName val="Financials "/>
      <sheetName val="Introduction"/>
      <sheetName val="Operating Statistics"/>
      <sheetName val="Market Info"/>
      <sheetName val="FS1"/>
      <sheetName val="FS2"/>
      <sheetName val="Capex &amp; Depreciation"/>
      <sheetName val="Reporting"/>
      <sheetName val="Cover"/>
      <sheetName val="System_Defaults"/>
      <sheetName val="demand"/>
      <sheetName val="Front"/>
      <sheetName val="RBS"/>
      <sheetName val="bonny"/>
    </sheetNames>
    <sheetDataSet>
      <sheetData sheetId="0" refreshError="1"/>
      <sheetData sheetId="1" refreshError="1"/>
      <sheetData sheetId="2" refreshError="1">
        <row r="4">
          <cell r="D4" t="str">
            <v>Sun Pharmaceuticals</v>
          </cell>
        </row>
        <row r="5">
          <cell r="L5">
            <v>1993</v>
          </cell>
          <cell r="M5">
            <v>1994</v>
          </cell>
          <cell r="N5">
            <v>1995</v>
          </cell>
          <cell r="O5">
            <v>1996</v>
          </cell>
          <cell r="P5">
            <v>1997</v>
          </cell>
          <cell r="Q5" t="str">
            <v>1998E</v>
          </cell>
          <cell r="R5">
            <v>1998</v>
          </cell>
          <cell r="S5" t="str">
            <v>1999E</v>
          </cell>
          <cell r="T5">
            <v>1999</v>
          </cell>
          <cell r="U5" t="str">
            <v>2000E</v>
          </cell>
          <cell r="V5">
            <v>2000</v>
          </cell>
          <cell r="W5" t="str">
            <v>2001E</v>
          </cell>
          <cell r="X5">
            <v>2001</v>
          </cell>
          <cell r="Y5" t="str">
            <v>2002E</v>
          </cell>
          <cell r="Z5">
            <v>2002</v>
          </cell>
        </row>
        <row r="8">
          <cell r="K8" t="str">
            <v>Estimate</v>
          </cell>
        </row>
        <row r="13">
          <cell r="K13" t="str">
            <v>Estimate Basis</v>
          </cell>
          <cell r="Q13" t="str">
            <v>A</v>
          </cell>
          <cell r="S13" t="str">
            <v>A</v>
          </cell>
        </row>
        <row r="14">
          <cell r="H14">
            <v>499</v>
          </cell>
        </row>
        <row r="17">
          <cell r="K17" t="str">
            <v>Corporate Tax %</v>
          </cell>
          <cell r="L17">
            <v>43.5</v>
          </cell>
          <cell r="M17">
            <v>43.5</v>
          </cell>
          <cell r="N17">
            <v>43.5</v>
          </cell>
          <cell r="O17">
            <v>43.5</v>
          </cell>
          <cell r="P17">
            <v>43.5</v>
          </cell>
          <cell r="Q17">
            <v>35</v>
          </cell>
          <cell r="S17">
            <v>35</v>
          </cell>
          <cell r="U17">
            <v>35</v>
          </cell>
          <cell r="W17">
            <v>35</v>
          </cell>
          <cell r="Y17">
            <v>35</v>
          </cell>
        </row>
      </sheetData>
      <sheetData sheetId="3" refreshError="1">
        <row r="7">
          <cell r="L7">
            <v>0.9</v>
          </cell>
          <cell r="M7">
            <v>7.1849999999999996</v>
          </cell>
          <cell r="N7">
            <v>14.76</v>
          </cell>
          <cell r="O7">
            <v>14.7956</v>
          </cell>
          <cell r="P7">
            <v>14.7982</v>
          </cell>
          <cell r="Q7">
            <v>15.213199999999999</v>
          </cell>
          <cell r="R7">
            <v>15.213199999999999</v>
          </cell>
          <cell r="S7">
            <v>15.213199999999999</v>
          </cell>
          <cell r="T7">
            <v>15.213199999999999</v>
          </cell>
          <cell r="U7">
            <v>15.213199999999999</v>
          </cell>
          <cell r="V7">
            <v>15.213199999999999</v>
          </cell>
          <cell r="W7">
            <v>15.213199999999999</v>
          </cell>
          <cell r="X7">
            <v>15.213199999999999</v>
          </cell>
          <cell r="Y7">
            <v>15.213199999999999</v>
          </cell>
          <cell r="Z7">
            <v>15.213199999999999</v>
          </cell>
        </row>
        <row r="10">
          <cell r="L10">
            <v>0.9</v>
          </cell>
          <cell r="M10">
            <v>7.1849999999999996</v>
          </cell>
          <cell r="N10">
            <v>14.76</v>
          </cell>
          <cell r="O10">
            <v>14.7956</v>
          </cell>
          <cell r="P10">
            <v>14.7982</v>
          </cell>
          <cell r="Q10">
            <v>15.213199999999999</v>
          </cell>
          <cell r="R10">
            <v>15.213199999999999</v>
          </cell>
          <cell r="S10">
            <v>15.213199999999999</v>
          </cell>
          <cell r="T10">
            <v>15.213199999999999</v>
          </cell>
          <cell r="U10">
            <v>15.213199999999999</v>
          </cell>
          <cell r="V10">
            <v>15.213199999999999</v>
          </cell>
          <cell r="W10">
            <v>15.213199999999999</v>
          </cell>
          <cell r="X10">
            <v>15.213199999999999</v>
          </cell>
          <cell r="Y10">
            <v>15.213199999999999</v>
          </cell>
          <cell r="Z10">
            <v>15.213199999999999</v>
          </cell>
        </row>
        <row r="19">
          <cell r="L19">
            <v>0.9</v>
          </cell>
          <cell r="M19">
            <v>0.9</v>
          </cell>
          <cell r="N19">
            <v>7.1849999999999996</v>
          </cell>
          <cell r="O19">
            <v>14.76</v>
          </cell>
          <cell r="P19">
            <v>14.7956</v>
          </cell>
          <cell r="Q19">
            <v>15.213199999999999</v>
          </cell>
          <cell r="R19">
            <v>15.213199999999999</v>
          </cell>
          <cell r="S19">
            <v>15.213199999999999</v>
          </cell>
          <cell r="T19">
            <v>15.213199999999999</v>
          </cell>
          <cell r="U19">
            <v>15.213199999999999</v>
          </cell>
          <cell r="V19">
            <v>15.213199999999999</v>
          </cell>
          <cell r="W19">
            <v>15.213199999999999</v>
          </cell>
          <cell r="X19">
            <v>15.213199999999999</v>
          </cell>
          <cell r="Y19">
            <v>15.213199999999999</v>
          </cell>
          <cell r="Z19">
            <v>15.213199999999999</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row r="139">
          <cell r="L139">
            <v>85.16</v>
          </cell>
          <cell r="M139">
            <v>170.13</v>
          </cell>
          <cell r="N139">
            <v>95.274000000000001</v>
          </cell>
          <cell r="O139">
            <v>173.06200000000001</v>
          </cell>
          <cell r="P139">
            <v>92.155000000000001</v>
          </cell>
          <cell r="Q139">
            <v>92.155000000000001</v>
          </cell>
          <cell r="R139">
            <v>360.06</v>
          </cell>
          <cell r="S139">
            <v>360.06</v>
          </cell>
          <cell r="T139">
            <v>281.495</v>
          </cell>
          <cell r="U139">
            <v>98.294999999999987</v>
          </cell>
          <cell r="V139">
            <v>87.120999999999995</v>
          </cell>
          <cell r="W139">
            <v>87.120999999999995</v>
          </cell>
          <cell r="X139">
            <v>360.06</v>
          </cell>
          <cell r="Y139">
            <v>87.120999999999995</v>
          </cell>
          <cell r="Z139">
            <v>360.06</v>
          </cell>
        </row>
        <row r="150">
          <cell r="L150">
            <v>0</v>
          </cell>
          <cell r="M150">
            <v>0</v>
          </cell>
          <cell r="N150">
            <v>57.691000000000003</v>
          </cell>
          <cell r="O150">
            <v>7.87</v>
          </cell>
          <cell r="P150">
            <v>100.19999999999999</v>
          </cell>
          <cell r="Q150">
            <v>100.19999999999999</v>
          </cell>
          <cell r="R150">
            <v>47.930000000000007</v>
          </cell>
          <cell r="S150">
            <v>47.930000000000007</v>
          </cell>
          <cell r="T150">
            <v>388.827</v>
          </cell>
          <cell r="U150">
            <v>188.827</v>
          </cell>
          <cell r="V150">
            <v>399.05099999999999</v>
          </cell>
          <cell r="W150">
            <v>559.05099999999993</v>
          </cell>
          <cell r="X150">
            <v>47.930000000000007</v>
          </cell>
          <cell r="Y150">
            <v>759.05100000000004</v>
          </cell>
          <cell r="Z150">
            <v>47.930000000000007</v>
          </cell>
        </row>
        <row r="152">
          <cell r="L152">
            <v>85.156000000000006</v>
          </cell>
          <cell r="M152">
            <v>170.13399999999999</v>
          </cell>
          <cell r="N152">
            <v>152.965</v>
          </cell>
          <cell r="O152">
            <v>180.93200000000002</v>
          </cell>
          <cell r="P152">
            <v>192.35499999999999</v>
          </cell>
          <cell r="Q152">
            <v>192.35499999999999</v>
          </cell>
          <cell r="R152">
            <v>407.99</v>
          </cell>
          <cell r="S152">
            <v>407.99</v>
          </cell>
          <cell r="T152">
            <v>670.322</v>
          </cell>
          <cell r="U152">
            <v>287.12199999999996</v>
          </cell>
          <cell r="V152">
            <v>486.17199999999997</v>
          </cell>
          <cell r="W152">
            <v>646.17199999999991</v>
          </cell>
          <cell r="X152">
            <v>407.99</v>
          </cell>
          <cell r="Y152">
            <v>846.17200000000003</v>
          </cell>
          <cell r="Z152">
            <v>407.99</v>
          </cell>
        </row>
        <row r="247">
          <cell r="L247" t="e">
            <v>#NAME?</v>
          </cell>
          <cell r="M247" t="e">
            <v>#NAME?</v>
          </cell>
          <cell r="N247" t="e">
            <v>#NAME?</v>
          </cell>
          <cell r="O247" t="e">
            <v>#NAME?</v>
          </cell>
          <cell r="P247" t="e">
            <v>#NAME?</v>
          </cell>
          <cell r="Q247" t="e">
            <v>#NAME?</v>
          </cell>
          <cell r="R247">
            <v>94.961100000000002</v>
          </cell>
          <cell r="S247" t="e">
            <v>#NAME?</v>
          </cell>
          <cell r="T247">
            <v>119.43010000000001</v>
          </cell>
          <cell r="U247">
            <v>-8.3025500000000036</v>
          </cell>
          <cell r="V247" t="e">
            <v>#NAME?</v>
          </cell>
          <cell r="W247">
            <v>65.175849999999983</v>
          </cell>
          <cell r="X247" t="e">
            <v>#NAME?</v>
          </cell>
          <cell r="Y247">
            <v>99.109189999999998</v>
          </cell>
          <cell r="Z247" t="e">
            <v>#NAME?</v>
          </cell>
        </row>
        <row r="257">
          <cell r="L257">
            <v>0</v>
          </cell>
          <cell r="M257">
            <v>84.97</v>
          </cell>
          <cell r="N257">
            <v>-74.855999999999995</v>
          </cell>
          <cell r="O257">
            <v>77.788000000000011</v>
          </cell>
          <cell r="P257">
            <v>-80.907000000000011</v>
          </cell>
          <cell r="Q257">
            <v>0</v>
          </cell>
          <cell r="R257">
            <v>267.90499999999997</v>
          </cell>
          <cell r="S257">
            <v>0</v>
          </cell>
          <cell r="T257">
            <v>-78.564999999999998</v>
          </cell>
          <cell r="U257">
            <v>-261.76499999999999</v>
          </cell>
          <cell r="V257">
            <v>-194.37400000000002</v>
          </cell>
          <cell r="W257">
            <v>-11.173999999999992</v>
          </cell>
          <cell r="X257">
            <v>272.93900000000002</v>
          </cell>
          <cell r="Y257">
            <v>0</v>
          </cell>
          <cell r="Z257">
            <v>0</v>
          </cell>
        </row>
        <row r="258">
          <cell r="L258">
            <v>0</v>
          </cell>
          <cell r="M258">
            <v>0</v>
          </cell>
          <cell r="N258">
            <v>57.691000000000003</v>
          </cell>
          <cell r="O258">
            <v>-49.821000000000005</v>
          </cell>
          <cell r="P258">
            <v>92.329999999999984</v>
          </cell>
          <cell r="Q258">
            <v>0</v>
          </cell>
          <cell r="R258">
            <v>-52.269999999999982</v>
          </cell>
          <cell r="S258">
            <v>0</v>
          </cell>
          <cell r="T258">
            <v>340.89699999999999</v>
          </cell>
          <cell r="U258">
            <v>140.89699999999999</v>
          </cell>
          <cell r="V258">
            <v>10.22399999999999</v>
          </cell>
          <cell r="W258">
            <v>159.99999999999994</v>
          </cell>
          <cell r="X258">
            <v>-511.12099999999992</v>
          </cell>
          <cell r="Y258">
            <v>200.00000000000011</v>
          </cell>
          <cell r="Z258">
            <v>0</v>
          </cell>
        </row>
      </sheetData>
      <sheetData sheetId="12" refreshError="1"/>
      <sheetData sheetId="13" refreshError="1"/>
      <sheetData sheetId="14" refreshError="1">
        <row r="81">
          <cell r="L81">
            <v>0</v>
          </cell>
          <cell r="M81">
            <v>20.535999999999998</v>
          </cell>
          <cell r="N81">
            <v>0</v>
          </cell>
          <cell r="O81">
            <v>27.745000000000005</v>
          </cell>
          <cell r="P81">
            <v>38.754999999999995</v>
          </cell>
          <cell r="Q81" t="e">
            <v>#NAME?</v>
          </cell>
          <cell r="R81">
            <v>131.83800000000002</v>
          </cell>
          <cell r="S81" t="e">
            <v>#NAME?</v>
          </cell>
          <cell r="T81">
            <v>88.147999999999996</v>
          </cell>
          <cell r="U81">
            <v>122.52566500000002</v>
          </cell>
          <cell r="V81">
            <v>0</v>
          </cell>
          <cell r="W81">
            <v>184.05384549159592</v>
          </cell>
          <cell r="X81">
            <v>0</v>
          </cell>
          <cell r="Y81">
            <v>208.90384549159592</v>
          </cell>
          <cell r="Z81" t="e">
            <v>#NAME?</v>
          </cell>
        </row>
        <row r="106">
          <cell r="L106">
            <v>62.290999999999997</v>
          </cell>
          <cell r="M106">
            <v>177.29599999999999</v>
          </cell>
          <cell r="N106">
            <v>348.67399999999998</v>
          </cell>
          <cell r="O106">
            <v>526.05400000000009</v>
          </cell>
          <cell r="P106">
            <v>665.51599999999996</v>
          </cell>
          <cell r="Q106" t="e">
            <v>#NAME?</v>
          </cell>
          <cell r="R106">
            <v>1006.282</v>
          </cell>
          <cell r="S106" t="e">
            <v>#NAME?</v>
          </cell>
          <cell r="T106">
            <v>1517.4269999999999</v>
          </cell>
          <cell r="U106">
            <v>1698.5360000000003</v>
          </cell>
          <cell r="V106">
            <v>1595.06</v>
          </cell>
          <cell r="W106">
            <v>2094.7486829802242</v>
          </cell>
          <cell r="X106" t="e">
            <v>#NAME?</v>
          </cell>
          <cell r="Y106">
            <v>2444.7486829802247</v>
          </cell>
          <cell r="Z106" t="e">
            <v>#NAME?</v>
          </cell>
        </row>
        <row r="112">
          <cell r="L112">
            <v>1.1499999999999999</v>
          </cell>
          <cell r="M112">
            <v>26.483000000000001</v>
          </cell>
          <cell r="N112">
            <v>2.9409999999999998</v>
          </cell>
          <cell r="O112">
            <v>11.936999999999999</v>
          </cell>
          <cell r="P112">
            <v>191.03299999999999</v>
          </cell>
          <cell r="Q112">
            <v>1.032999999999987</v>
          </cell>
          <cell r="R112">
            <v>98.570999999999998</v>
          </cell>
          <cell r="S112">
            <v>48.571000000000026</v>
          </cell>
          <cell r="T112">
            <v>129.876</v>
          </cell>
          <cell r="U112">
            <v>130.61199999999999</v>
          </cell>
          <cell r="W112">
            <v>30.611999999999966</v>
          </cell>
          <cell r="X112">
            <v>98.570999999999998</v>
          </cell>
          <cell r="Y112">
            <v>80.611999999999966</v>
          </cell>
          <cell r="Z112">
            <v>98.570999999999998</v>
          </cell>
        </row>
        <row r="117">
          <cell r="M117">
            <v>115.005</v>
          </cell>
          <cell r="N117">
            <v>171.37799999999999</v>
          </cell>
          <cell r="O117">
            <v>177.38000000000011</v>
          </cell>
          <cell r="P117">
            <v>139.46199999999988</v>
          </cell>
          <cell r="Q117" t="e">
            <v>#NAME?</v>
          </cell>
          <cell r="R117">
            <v>340.76600000000008</v>
          </cell>
          <cell r="S117" t="e">
            <v>#NAME?</v>
          </cell>
          <cell r="T117">
            <v>511.14499999999987</v>
          </cell>
          <cell r="U117">
            <v>181.10900000000038</v>
          </cell>
          <cell r="V117">
            <v>-103.47600000000034</v>
          </cell>
          <cell r="W117">
            <v>396.21268298022392</v>
          </cell>
          <cell r="X117" t="e">
            <v>#NAME?</v>
          </cell>
          <cell r="Y117">
            <v>350.00000000000045</v>
          </cell>
          <cell r="Z117" t="e">
            <v>#NAME?</v>
          </cell>
        </row>
        <row r="118">
          <cell r="M118">
            <v>25.333000000000002</v>
          </cell>
          <cell r="N118">
            <v>-23.542000000000002</v>
          </cell>
          <cell r="O118">
            <v>8.9959999999999987</v>
          </cell>
          <cell r="P118">
            <v>179.09599999999998</v>
          </cell>
          <cell r="Q118">
            <v>-190</v>
          </cell>
          <cell r="R118">
            <v>-92.461999999999989</v>
          </cell>
          <cell r="S118">
            <v>-49.999999999999972</v>
          </cell>
          <cell r="T118">
            <v>31.305000000000007</v>
          </cell>
          <cell r="U118">
            <v>82.040999999999968</v>
          </cell>
          <cell r="V118">
            <v>-129.876</v>
          </cell>
          <cell r="W118">
            <v>-100.00000000000003</v>
          </cell>
          <cell r="X118">
            <v>98.570999999999998</v>
          </cell>
          <cell r="Y118">
            <v>50</v>
          </cell>
          <cell r="Z118">
            <v>0</v>
          </cell>
        </row>
      </sheetData>
      <sheetData sheetId="15" refreshError="1">
        <row r="30">
          <cell r="L30">
            <v>9</v>
          </cell>
          <cell r="M30">
            <v>71.849999999999994</v>
          </cell>
          <cell r="N30">
            <v>147.6</v>
          </cell>
          <cell r="O30">
            <v>147.95600000000002</v>
          </cell>
          <cell r="P30">
            <v>147.982</v>
          </cell>
          <cell r="Q30">
            <v>152.13199999999998</v>
          </cell>
          <cell r="R30">
            <v>152.13199999999998</v>
          </cell>
          <cell r="S30">
            <v>152.13199999999998</v>
          </cell>
          <cell r="T30">
            <v>655.96299999999997</v>
          </cell>
          <cell r="U30">
            <v>649.75</v>
          </cell>
          <cell r="V30">
            <v>953.34999999999991</v>
          </cell>
          <cell r="W30">
            <v>794.56666666666661</v>
          </cell>
          <cell r="X30">
            <v>958.15</v>
          </cell>
          <cell r="Y30">
            <v>467.4</v>
          </cell>
          <cell r="Z30">
            <v>152.13199999999998</v>
          </cell>
        </row>
        <row r="36">
          <cell r="L36">
            <v>0</v>
          </cell>
          <cell r="M36">
            <v>18.324999999999999</v>
          </cell>
          <cell r="N36">
            <v>538.99099999999999</v>
          </cell>
          <cell r="O36">
            <v>544.40299999999991</v>
          </cell>
          <cell r="P36">
            <v>544.76699999999994</v>
          </cell>
          <cell r="Q36">
            <v>544.76699999999994</v>
          </cell>
          <cell r="R36">
            <v>547.10799999999995</v>
          </cell>
          <cell r="S36">
            <v>547.10799999999995</v>
          </cell>
          <cell r="T36">
            <v>547.12299999999993</v>
          </cell>
          <cell r="U36">
            <v>565.1819999999999</v>
          </cell>
          <cell r="V36">
            <v>565.1819999999999</v>
          </cell>
          <cell r="W36">
            <v>565.1819999999999</v>
          </cell>
          <cell r="X36">
            <v>567.52299999999991</v>
          </cell>
          <cell r="Y36">
            <v>565.1819999999999</v>
          </cell>
          <cell r="Z36">
            <v>567.52299999999991</v>
          </cell>
        </row>
        <row r="42">
          <cell r="L42">
            <v>0</v>
          </cell>
          <cell r="M42">
            <v>77.289000000000001</v>
          </cell>
          <cell r="N42">
            <v>242.56100000000001</v>
          </cell>
          <cell r="O42">
            <v>578.1</v>
          </cell>
          <cell r="P42">
            <v>1002.263</v>
          </cell>
          <cell r="Q42" t="e">
            <v>#NAME?</v>
          </cell>
          <cell r="R42">
            <v>1477.9639999999999</v>
          </cell>
          <cell r="S42" t="e">
            <v>#NAME?</v>
          </cell>
          <cell r="T42">
            <v>1890.3340000000001</v>
          </cell>
          <cell r="U42">
            <v>2432.2529999999997</v>
          </cell>
          <cell r="V42">
            <v>1442.0155454545454</v>
          </cell>
          <cell r="W42">
            <v>3411.1987984374996</v>
          </cell>
          <cell r="X42" t="e">
            <v>#NAME?</v>
          </cell>
          <cell r="Y42">
            <v>4685.6889522964493</v>
          </cell>
          <cell r="Z42" t="e">
            <v>#NAME?</v>
          </cell>
        </row>
        <row r="46">
          <cell r="L46">
            <v>0</v>
          </cell>
          <cell r="M46">
            <v>62.849999999999994</v>
          </cell>
          <cell r="N46">
            <v>75.75</v>
          </cell>
          <cell r="O46">
            <v>0.35600000000002296</v>
          </cell>
          <cell r="P46">
            <v>2.5999999999982037E-2</v>
          </cell>
          <cell r="Q46">
            <v>4.1499999999999773</v>
          </cell>
          <cell r="R46">
            <v>0</v>
          </cell>
          <cell r="S46">
            <v>0</v>
          </cell>
          <cell r="T46">
            <v>503.83100000000002</v>
          </cell>
          <cell r="U46">
            <v>497.61800000000005</v>
          </cell>
          <cell r="V46">
            <v>297.38699999999994</v>
          </cell>
          <cell r="W46">
            <v>144.81666666666661</v>
          </cell>
          <cell r="X46">
            <v>4.8000000000000682</v>
          </cell>
          <cell r="Y46">
            <v>-327.16666666666663</v>
          </cell>
          <cell r="Z46">
            <v>-315.26800000000003</v>
          </cell>
        </row>
        <row r="47">
          <cell r="L47">
            <v>0</v>
          </cell>
          <cell r="M47">
            <v>18.324999999999999</v>
          </cell>
          <cell r="N47">
            <v>520.66599999999994</v>
          </cell>
          <cell r="O47">
            <v>5.4119999999999209</v>
          </cell>
          <cell r="P47">
            <v>0.36400000000003274</v>
          </cell>
          <cell r="Q47">
            <v>0</v>
          </cell>
          <cell r="R47">
            <v>2.3410000000000082</v>
          </cell>
          <cell r="S47">
            <v>0</v>
          </cell>
          <cell r="T47">
            <v>1.4999999999986358E-2</v>
          </cell>
          <cell r="U47">
            <v>18.073999999999955</v>
          </cell>
          <cell r="V47">
            <v>18.058999999999969</v>
          </cell>
          <cell r="W47">
            <v>0</v>
          </cell>
          <cell r="X47">
            <v>2.3410000000000082</v>
          </cell>
          <cell r="Y47">
            <v>0</v>
          </cell>
          <cell r="Z47">
            <v>0</v>
          </cell>
        </row>
        <row r="58">
          <cell r="L58">
            <v>0.16</v>
          </cell>
          <cell r="M58">
            <v>0.161</v>
          </cell>
          <cell r="N58">
            <v>31.954000000000001</v>
          </cell>
          <cell r="O58">
            <v>72.790000000000006</v>
          </cell>
          <cell r="P58">
            <v>169.08600000000001</v>
          </cell>
          <cell r="Q58">
            <v>395.08600000000001</v>
          </cell>
          <cell r="R58">
            <v>457.32600000000002</v>
          </cell>
          <cell r="S58">
            <v>617.32600000000002</v>
          </cell>
          <cell r="T58">
            <v>560.18700000000001</v>
          </cell>
          <cell r="U58">
            <v>501.142</v>
          </cell>
          <cell r="W58">
            <v>501.142</v>
          </cell>
          <cell r="X58">
            <v>180.52599999999998</v>
          </cell>
          <cell r="Y58">
            <v>501.142</v>
          </cell>
          <cell r="Z58">
            <v>180.52599999999998</v>
          </cell>
        </row>
        <row r="59">
          <cell r="L59">
            <v>0.161</v>
          </cell>
          <cell r="M59">
            <v>0.161</v>
          </cell>
          <cell r="N59">
            <v>31.954000000000001</v>
          </cell>
          <cell r="O59">
            <v>72.790000000000006</v>
          </cell>
          <cell r="P59">
            <v>169.08600000000001</v>
          </cell>
          <cell r="Q59">
            <v>491.786</v>
          </cell>
          <cell r="R59">
            <v>457.32600000000002</v>
          </cell>
          <cell r="S59">
            <v>697.226</v>
          </cell>
          <cell r="T59">
            <v>560.18700000000001</v>
          </cell>
          <cell r="U59">
            <v>501.142</v>
          </cell>
          <cell r="V59">
            <v>105.07</v>
          </cell>
          <cell r="W59">
            <v>837.14200000000005</v>
          </cell>
          <cell r="X59">
            <v>793.322</v>
          </cell>
          <cell r="Y59">
            <v>1037.1420000000001</v>
          </cell>
          <cell r="Z59">
            <v>743.322</v>
          </cell>
        </row>
        <row r="64">
          <cell r="L64">
            <v>52.384</v>
          </cell>
          <cell r="M64">
            <v>101.25599999999999</v>
          </cell>
          <cell r="N64">
            <v>133.27600000000001</v>
          </cell>
          <cell r="O64">
            <v>308.95699999999999</v>
          </cell>
          <cell r="P64">
            <v>330.40600000000001</v>
          </cell>
          <cell r="Q64" t="e">
            <v>#NAME?</v>
          </cell>
          <cell r="R64">
            <v>509.88</v>
          </cell>
          <cell r="S64" t="e">
            <v>#NAME?</v>
          </cell>
          <cell r="T64">
            <v>501.02900000000005</v>
          </cell>
          <cell r="U64">
            <v>723.75300000000004</v>
          </cell>
          <cell r="V64">
            <v>372.30200000000002</v>
          </cell>
          <cell r="W64">
            <v>1350.93</v>
          </cell>
          <cell r="X64">
            <v>0</v>
          </cell>
          <cell r="Y64">
            <v>1760</v>
          </cell>
          <cell r="Z64">
            <v>2003</v>
          </cell>
        </row>
        <row r="65">
          <cell r="L65" t="e">
            <v>#NAME?</v>
          </cell>
          <cell r="M65" t="e">
            <v>#NAME?</v>
          </cell>
          <cell r="N65" t="e">
            <v>#NAME?</v>
          </cell>
          <cell r="O65" t="e">
            <v>#NAME?</v>
          </cell>
          <cell r="P65" t="e">
            <v>#NAME?</v>
          </cell>
          <cell r="Q65" t="e">
            <v>#NAME?</v>
          </cell>
          <cell r="R65">
            <v>24.258510216348615</v>
          </cell>
          <cell r="S65" t="e">
            <v>#NAME?</v>
          </cell>
          <cell r="T65">
            <v>22.769979202801014</v>
          </cell>
          <cell r="U65" t="e">
            <v>#NAME?</v>
          </cell>
          <cell r="V65" t="e">
            <v>#DIV/0!</v>
          </cell>
          <cell r="W65">
            <v>29.728135580412093</v>
          </cell>
          <cell r="X65" t="e">
            <v>#DIV/0!</v>
          </cell>
          <cell r="Y65">
            <v>25.234022804468804</v>
          </cell>
          <cell r="Z65" t="e">
            <v>#NAME?</v>
          </cell>
        </row>
        <row r="81">
          <cell r="L81">
            <v>56.058</v>
          </cell>
          <cell r="M81">
            <v>74.213999999999999</v>
          </cell>
          <cell r="N81">
            <v>154.11600000000001</v>
          </cell>
          <cell r="O81">
            <v>203.65199999999999</v>
          </cell>
          <cell r="P81">
            <v>248.00899999999999</v>
          </cell>
          <cell r="Q81" t="e">
            <v>#NAME?</v>
          </cell>
          <cell r="R81">
            <v>403.33800000000002</v>
          </cell>
          <cell r="S81" t="e">
            <v>#NAME?</v>
          </cell>
          <cell r="T81">
            <v>823.67499999999995</v>
          </cell>
          <cell r="U81">
            <v>708.904</v>
          </cell>
          <cell r="V81">
            <v>0</v>
          </cell>
          <cell r="W81">
            <v>840</v>
          </cell>
          <cell r="X81">
            <v>0</v>
          </cell>
          <cell r="Y81">
            <v>1150</v>
          </cell>
          <cell r="Z81">
            <v>1400</v>
          </cell>
        </row>
        <row r="82">
          <cell r="L82" t="e">
            <v>#NAME?</v>
          </cell>
          <cell r="M82" t="e">
            <v>#NAME?</v>
          </cell>
          <cell r="N82" t="e">
            <v>#NAME?</v>
          </cell>
          <cell r="O82" t="e">
            <v>#NAME?</v>
          </cell>
          <cell r="P82" t="e">
            <v>#NAME?</v>
          </cell>
          <cell r="Q82" t="e">
            <v>#NAME?</v>
          </cell>
          <cell r="R82">
            <v>60.197486087201874</v>
          </cell>
          <cell r="S82" t="e">
            <v>#NAME?</v>
          </cell>
          <cell r="T82">
            <v>90.10662198520788</v>
          </cell>
          <cell r="U82" t="e">
            <v>#NAME?</v>
          </cell>
          <cell r="V82" t="e">
            <v>#DIV/0!</v>
          </cell>
          <cell r="W82">
            <v>54.286160625100344</v>
          </cell>
          <cell r="X82" t="e">
            <v>#DIV/0!</v>
          </cell>
          <cell r="Y82">
            <v>58.62449742452349</v>
          </cell>
          <cell r="Z82" t="e">
            <v>#NAME?</v>
          </cell>
        </row>
        <row r="86">
          <cell r="L86">
            <v>124.89999999999999</v>
          </cell>
          <cell r="M86">
            <v>229.45299999999997</v>
          </cell>
          <cell r="N86">
            <v>865.36</v>
          </cell>
          <cell r="O86">
            <v>1081.9739999999999</v>
          </cell>
          <cell r="P86">
            <v>1121.114</v>
          </cell>
          <cell r="Q86" t="e">
            <v>#NAME?</v>
          </cell>
          <cell r="R86">
            <v>1549.1370000000002</v>
          </cell>
          <cell r="S86" t="e">
            <v>#NAME?</v>
          </cell>
          <cell r="T86">
            <v>2252.6709999999998</v>
          </cell>
          <cell r="U86">
            <v>2481.8710000000001</v>
          </cell>
          <cell r="V86">
            <v>1377.9830000000002</v>
          </cell>
          <cell r="W86">
            <v>3333.8309999999997</v>
          </cell>
          <cell r="X86">
            <v>769.36</v>
          </cell>
          <cell r="Y86">
            <v>4000.2109999999998</v>
          </cell>
          <cell r="Z86">
            <v>4585.1400000000003</v>
          </cell>
        </row>
        <row r="89">
          <cell r="L89" t="e">
            <v>#NAME?</v>
          </cell>
          <cell r="M89" t="e">
            <v>#NAME?</v>
          </cell>
          <cell r="N89" t="e">
            <v>#NAME?</v>
          </cell>
          <cell r="O89" t="e">
            <v>#NAME?</v>
          </cell>
          <cell r="P89" t="e">
            <v>#NAME?</v>
          </cell>
          <cell r="Q89" t="e">
            <v>#NAME?</v>
          </cell>
          <cell r="R89">
            <v>14.90288437554946</v>
          </cell>
          <cell r="S89" t="e">
            <v>#NAME?</v>
          </cell>
          <cell r="T89">
            <v>16.418894070955044</v>
          </cell>
          <cell r="U89" t="e">
            <v>#NAME?</v>
          </cell>
          <cell r="V89" t="e">
            <v>#DIV/0!</v>
          </cell>
          <cell r="W89">
            <v>18.741650691998927</v>
          </cell>
          <cell r="X89" t="e">
            <v>#DIV/0!</v>
          </cell>
          <cell r="Y89">
            <v>15.293347154223518</v>
          </cell>
          <cell r="Z89" t="e">
            <v>#NAME?</v>
          </cell>
        </row>
        <row r="94">
          <cell r="L94">
            <v>39.415999999999997</v>
          </cell>
          <cell r="M94">
            <v>100.14599999999999</v>
          </cell>
          <cell r="N94">
            <v>166.80799999999999</v>
          </cell>
          <cell r="O94">
            <v>241.36099999999999</v>
          </cell>
          <cell r="P94">
            <v>259.37599999999998</v>
          </cell>
          <cell r="Q94" t="e">
            <v>#NAME?</v>
          </cell>
          <cell r="R94">
            <v>526.12400000000002</v>
          </cell>
          <cell r="S94" t="e">
            <v>#NAME?</v>
          </cell>
          <cell r="T94">
            <v>696.41599999999994</v>
          </cell>
          <cell r="U94">
            <v>678.79399999999998</v>
          </cell>
          <cell r="V94">
            <v>0</v>
          </cell>
          <cell r="W94">
            <v>879.21720156250001</v>
          </cell>
          <cell r="X94" t="e">
            <v>#NAME?</v>
          </cell>
          <cell r="Y94">
            <v>998.26862450207693</v>
          </cell>
          <cell r="Z94">
            <v>1039.1289999999999</v>
          </cell>
        </row>
        <row r="98">
          <cell r="L98">
            <v>0</v>
          </cell>
          <cell r="M98">
            <v>10.363999999999999</v>
          </cell>
          <cell r="N98">
            <v>39.816000000000003</v>
          </cell>
          <cell r="O98">
            <v>-26.248000000000001</v>
          </cell>
          <cell r="P98">
            <v>6.0479999999999983</v>
          </cell>
          <cell r="Q98">
            <v>22.636000000000003</v>
          </cell>
          <cell r="R98">
            <v>31.315000000000005</v>
          </cell>
          <cell r="S98">
            <v>1.320999999999998</v>
          </cell>
          <cell r="T98">
            <v>21.367999999999995</v>
          </cell>
          <cell r="U98">
            <v>-41.513999999999996</v>
          </cell>
          <cell r="V98">
            <v>-85.046999999999997</v>
          </cell>
          <cell r="W98">
            <v>93.686999999999998</v>
          </cell>
          <cell r="X98">
            <v>63.679000000000002</v>
          </cell>
          <cell r="Y98">
            <v>146.49999999999997</v>
          </cell>
          <cell r="Z98">
            <v>268.46100000000001</v>
          </cell>
        </row>
        <row r="99">
          <cell r="L99">
            <v>0</v>
          </cell>
          <cell r="M99">
            <v>1.0000000000000009E-3</v>
          </cell>
          <cell r="N99">
            <v>31.792999999999999</v>
          </cell>
          <cell r="O99">
            <v>40.836000000000006</v>
          </cell>
          <cell r="P99">
            <v>96.296000000000006</v>
          </cell>
          <cell r="Q99">
            <v>226</v>
          </cell>
          <cell r="R99">
            <v>288.24</v>
          </cell>
          <cell r="S99">
            <v>160</v>
          </cell>
          <cell r="T99">
            <v>102.86099999999999</v>
          </cell>
          <cell r="U99">
            <v>-59.045000000000016</v>
          </cell>
          <cell r="V99">
            <v>-560.18700000000001</v>
          </cell>
          <cell r="W99">
            <v>0</v>
          </cell>
          <cell r="X99">
            <v>180.52599999999998</v>
          </cell>
          <cell r="Y99">
            <v>0</v>
          </cell>
          <cell r="Z99">
            <v>0</v>
          </cell>
        </row>
        <row r="100">
          <cell r="L100">
            <v>0</v>
          </cell>
          <cell r="M100">
            <v>-1.0000000000000009E-3</v>
          </cell>
          <cell r="N100">
            <v>0</v>
          </cell>
          <cell r="O100">
            <v>0</v>
          </cell>
          <cell r="P100">
            <v>0</v>
          </cell>
          <cell r="Q100">
            <v>96.699999999999989</v>
          </cell>
          <cell r="R100">
            <v>0</v>
          </cell>
          <cell r="S100">
            <v>79.899999999999977</v>
          </cell>
          <cell r="T100">
            <v>0</v>
          </cell>
          <cell r="U100">
            <v>0</v>
          </cell>
          <cell r="V100">
            <v>105.07</v>
          </cell>
          <cell r="W100">
            <v>336.00000000000006</v>
          </cell>
          <cell r="X100">
            <v>507.726</v>
          </cell>
          <cell r="Y100">
            <v>200</v>
          </cell>
          <cell r="Z100">
            <v>-50</v>
          </cell>
        </row>
        <row r="101">
          <cell r="L101">
            <v>0</v>
          </cell>
          <cell r="M101">
            <v>43.822999999999993</v>
          </cell>
          <cell r="N101">
            <v>569.245</v>
          </cell>
          <cell r="O101">
            <v>142.06099999999992</v>
          </cell>
          <cell r="P101">
            <v>21.125000000000114</v>
          </cell>
          <cell r="Q101" t="e">
            <v>#NAME?</v>
          </cell>
          <cell r="R101">
            <v>161.27500000000009</v>
          </cell>
          <cell r="S101" t="e">
            <v>#NAME?</v>
          </cell>
          <cell r="T101">
            <v>533.24199999999973</v>
          </cell>
          <cell r="U101">
            <v>246.82200000000034</v>
          </cell>
          <cell r="V101">
            <v>-425.09400000000005</v>
          </cell>
          <cell r="W101">
            <v>651.53679843749933</v>
          </cell>
          <cell r="X101" t="e">
            <v>#NAME?</v>
          </cell>
          <cell r="Y101">
            <v>547.32857706042341</v>
          </cell>
          <cell r="Z101" t="e">
            <v>#NAME?</v>
          </cell>
        </row>
        <row r="116">
          <cell r="L116">
            <v>0</v>
          </cell>
          <cell r="M116">
            <v>0</v>
          </cell>
          <cell r="N116">
            <v>18.635000000000002</v>
          </cell>
          <cell r="O116">
            <v>102.32299999999999</v>
          </cell>
          <cell r="P116">
            <v>105.11199999999999</v>
          </cell>
          <cell r="Q116">
            <v>18.055555555555557</v>
          </cell>
          <cell r="R116">
            <v>5.6</v>
          </cell>
          <cell r="S116">
            <v>92.091999999999999</v>
          </cell>
          <cell r="T116">
            <v>27.567000000000007</v>
          </cell>
          <cell r="U116">
            <v>20.199999999999818</v>
          </cell>
          <cell r="V116">
            <v>58.102766798418941</v>
          </cell>
          <cell r="W116">
            <v>0</v>
          </cell>
          <cell r="X116">
            <v>108.39999999999999</v>
          </cell>
          <cell r="Y116">
            <v>0</v>
          </cell>
          <cell r="Z116">
            <v>108.39999999999999</v>
          </cell>
        </row>
        <row r="126">
          <cell r="M126">
            <v>11.5</v>
          </cell>
          <cell r="N126">
            <v>88.39500000000001</v>
          </cell>
          <cell r="O126">
            <v>135.53100000000001</v>
          </cell>
          <cell r="P126">
            <v>163.01400000000001</v>
          </cell>
          <cell r="Q126">
            <v>54</v>
          </cell>
          <cell r="R126">
            <v>149.19999999999999</v>
          </cell>
          <cell r="S126">
            <v>101</v>
          </cell>
          <cell r="T126">
            <v>81.302000000000007</v>
          </cell>
          <cell r="U126">
            <v>120.13500000000001</v>
          </cell>
          <cell r="V126">
            <v>0</v>
          </cell>
          <cell r="W126">
            <v>45</v>
          </cell>
          <cell r="X126">
            <v>149.19999999999999</v>
          </cell>
          <cell r="Y126">
            <v>70</v>
          </cell>
          <cell r="Z126">
            <v>149.19999999999999</v>
          </cell>
        </row>
        <row r="130">
          <cell r="M130">
            <v>3.5110000000000001</v>
          </cell>
          <cell r="N130">
            <v>11.737</v>
          </cell>
          <cell r="O130">
            <v>27.986999999999998</v>
          </cell>
          <cell r="P130">
            <v>38.860999999999997</v>
          </cell>
          <cell r="R130">
            <v>59.8</v>
          </cell>
          <cell r="T130">
            <v>86.69</v>
          </cell>
          <cell r="U130">
            <v>165.077</v>
          </cell>
          <cell r="X130">
            <v>59.8</v>
          </cell>
          <cell r="Z130">
            <v>59.8</v>
          </cell>
        </row>
        <row r="131">
          <cell r="M131">
            <v>12.8</v>
          </cell>
          <cell r="N131">
            <v>36.164999999999999</v>
          </cell>
          <cell r="O131">
            <v>46.62</v>
          </cell>
          <cell r="P131">
            <v>53.99</v>
          </cell>
          <cell r="Q131" t="e">
            <v>#NAME?</v>
          </cell>
          <cell r="R131">
            <v>110.6</v>
          </cell>
          <cell r="S131" t="e">
            <v>#NAME?</v>
          </cell>
          <cell r="T131">
            <v>119.453</v>
          </cell>
          <cell r="U131">
            <v>104.071</v>
          </cell>
          <cell r="W131">
            <v>11.511669598637864</v>
          </cell>
          <cell r="X131">
            <v>110.6</v>
          </cell>
          <cell r="Y131">
            <v>13.282351790203865</v>
          </cell>
          <cell r="Z131">
            <v>110.6</v>
          </cell>
        </row>
        <row r="137">
          <cell r="M137">
            <v>0</v>
          </cell>
          <cell r="N137">
            <v>22.9</v>
          </cell>
          <cell r="O137">
            <v>37.03</v>
          </cell>
          <cell r="P137">
            <v>51.804000000000002</v>
          </cell>
          <cell r="Q137">
            <v>68.445000000000007</v>
          </cell>
          <cell r="R137">
            <v>91.26</v>
          </cell>
          <cell r="S137">
            <v>129.285</v>
          </cell>
          <cell r="T137">
            <v>123.38300000000001</v>
          </cell>
          <cell r="U137">
            <v>154.22800000000001</v>
          </cell>
          <cell r="V137">
            <v>177.33</v>
          </cell>
          <cell r="W137">
            <v>280.5</v>
          </cell>
          <cell r="X137">
            <v>187</v>
          </cell>
          <cell r="Y137">
            <v>420.75</v>
          </cell>
          <cell r="Z137">
            <v>654.5</v>
          </cell>
        </row>
        <row r="138">
          <cell r="T138">
            <v>18.614999999999998</v>
          </cell>
          <cell r="U138">
            <v>52.683999999999997</v>
          </cell>
          <cell r="W138">
            <v>53.062343750000004</v>
          </cell>
          <cell r="X138">
            <v>51.528749999999995</v>
          </cell>
          <cell r="Y138">
            <v>11.917987500000002</v>
          </cell>
        </row>
        <row r="140">
          <cell r="L140">
            <v>0</v>
          </cell>
          <cell r="M140">
            <v>0</v>
          </cell>
          <cell r="N140">
            <v>0</v>
          </cell>
          <cell r="O140">
            <v>0</v>
          </cell>
          <cell r="P140">
            <v>0</v>
          </cell>
          <cell r="T140">
            <v>15.433999999999999</v>
          </cell>
          <cell r="U140">
            <v>22.76</v>
          </cell>
          <cell r="V140">
            <v>17.733000000000001</v>
          </cell>
          <cell r="W140">
            <v>30.855</v>
          </cell>
          <cell r="X140">
            <v>20.57</v>
          </cell>
          <cell r="Y140">
            <v>46.282499999999999</v>
          </cell>
          <cell r="Z140">
            <v>71.995000000000005</v>
          </cell>
        </row>
        <row r="141">
          <cell r="L141" t="e">
            <v>#NAME?</v>
          </cell>
          <cell r="N141">
            <v>0</v>
          </cell>
          <cell r="O141">
            <v>0</v>
          </cell>
          <cell r="P141">
            <v>0</v>
          </cell>
          <cell r="V141">
            <v>0</v>
          </cell>
          <cell r="W141">
            <v>5.8368578125000008</v>
          </cell>
          <cell r="X141">
            <v>5.6681624999999993</v>
          </cell>
          <cell r="Y141">
            <v>1.3109786250000002</v>
          </cell>
          <cell r="Z141">
            <v>0</v>
          </cell>
        </row>
        <row r="142">
          <cell r="L142" t="e">
            <v>#NAME?</v>
          </cell>
          <cell r="M142">
            <v>0</v>
          </cell>
          <cell r="N142">
            <v>22.9</v>
          </cell>
          <cell r="O142">
            <v>37.03</v>
          </cell>
          <cell r="P142">
            <v>51.804000000000002</v>
          </cell>
          <cell r="Q142">
            <v>68.445000000000007</v>
          </cell>
          <cell r="R142">
            <v>91.26</v>
          </cell>
          <cell r="S142">
            <v>129.285</v>
          </cell>
          <cell r="T142">
            <v>157.43200000000002</v>
          </cell>
          <cell r="U142">
            <v>229.672</v>
          </cell>
          <cell r="V142">
            <v>195.06300000000002</v>
          </cell>
          <cell r="W142">
            <v>370.25420156250004</v>
          </cell>
          <cell r="X142">
            <v>264.76691249999999</v>
          </cell>
          <cell r="Y142">
            <v>480.26146612500003</v>
          </cell>
          <cell r="Z142">
            <v>726.495</v>
          </cell>
          <cell r="AA142">
            <v>0</v>
          </cell>
        </row>
        <row r="300">
          <cell r="L300">
            <v>0</v>
          </cell>
          <cell r="M300">
            <v>538.38800000000003</v>
          </cell>
          <cell r="N300">
            <v>867.69500000000005</v>
          </cell>
          <cell r="O300">
            <v>1119.48</v>
          </cell>
          <cell r="P300">
            <v>1694.857</v>
          </cell>
          <cell r="Q300" t="e">
            <v>#NAME?</v>
          </cell>
          <cell r="R300">
            <v>2670.2</v>
          </cell>
          <cell r="S300">
            <v>3551.2000000000003</v>
          </cell>
          <cell r="T300">
            <v>3555.9160000000002</v>
          </cell>
          <cell r="U300" t="e">
            <v>#NAME?</v>
          </cell>
          <cell r="V300">
            <v>0</v>
          </cell>
          <cell r="W300">
            <v>6132.3000000000011</v>
          </cell>
          <cell r="X300">
            <v>0</v>
          </cell>
          <cell r="Y300">
            <v>7774.1325652500009</v>
          </cell>
          <cell r="Z300">
            <v>2670.2</v>
          </cell>
        </row>
        <row r="304">
          <cell r="M304">
            <v>28.2</v>
          </cell>
          <cell r="N304">
            <v>58.832000000000001</v>
          </cell>
          <cell r="O304">
            <v>90.724999999999994</v>
          </cell>
          <cell r="P304">
            <v>132.79499999999999</v>
          </cell>
          <cell r="Q304" t="e">
            <v>#NAME?</v>
          </cell>
          <cell r="R304">
            <v>224.61</v>
          </cell>
          <cell r="S304" t="e">
            <v>#NAME?</v>
          </cell>
          <cell r="T304">
            <v>219.40899999999999</v>
          </cell>
          <cell r="U304">
            <v>364.58100000000002</v>
          </cell>
          <cell r="V304">
            <v>0</v>
          </cell>
          <cell r="W304">
            <v>484.45170000000007</v>
          </cell>
          <cell r="X304">
            <v>0</v>
          </cell>
          <cell r="Y304">
            <v>614.15647265475013</v>
          </cell>
          <cell r="Z304">
            <v>224.61</v>
          </cell>
        </row>
        <row r="308">
          <cell r="L308">
            <v>0</v>
          </cell>
          <cell r="M308">
            <v>510.18800000000005</v>
          </cell>
          <cell r="N308">
            <v>808.86300000000006</v>
          </cell>
          <cell r="O308">
            <v>1028.7550000000001</v>
          </cell>
          <cell r="P308">
            <v>1562.0619999999999</v>
          </cell>
          <cell r="Q308" t="e">
            <v>#NAME?</v>
          </cell>
          <cell r="R308">
            <v>2445.5899999999997</v>
          </cell>
          <cell r="S308" t="e">
            <v>#NAME?</v>
          </cell>
          <cell r="T308">
            <v>3336.5070000000001</v>
          </cell>
          <cell r="U308" t="e">
            <v>#NAME?</v>
          </cell>
          <cell r="V308">
            <v>0</v>
          </cell>
          <cell r="W308">
            <v>5647.8483000000015</v>
          </cell>
          <cell r="X308">
            <v>0</v>
          </cell>
          <cell r="Y308">
            <v>7159.9760925952505</v>
          </cell>
          <cell r="Z308">
            <v>2445.5899999999997</v>
          </cell>
        </row>
        <row r="457">
          <cell r="L457">
            <v>0</v>
          </cell>
          <cell r="M457">
            <v>0</v>
          </cell>
          <cell r="N457">
            <v>425.98599999999999</v>
          </cell>
          <cell r="O457">
            <v>512.04</v>
          </cell>
          <cell r="P457">
            <v>827.25800000000004</v>
          </cell>
          <cell r="Q457" t="e">
            <v>#NAME?</v>
          </cell>
          <cell r="R457">
            <v>1175.7</v>
          </cell>
          <cell r="S457" t="e">
            <v>#NAME?</v>
          </cell>
          <cell r="T457">
            <v>1643.364</v>
          </cell>
          <cell r="U457">
            <v>2073.944</v>
          </cell>
          <cell r="V457">
            <v>0</v>
          </cell>
          <cell r="W457">
            <v>2682.7279425000006</v>
          </cell>
          <cell r="X457">
            <v>0</v>
          </cell>
          <cell r="Y457">
            <v>3400.9886439827437</v>
          </cell>
          <cell r="Z457">
            <v>1175.7</v>
          </cell>
        </row>
        <row r="501">
          <cell r="L501">
            <v>0</v>
          </cell>
          <cell r="M501">
            <v>4.3710000000000004</v>
          </cell>
          <cell r="N501">
            <v>13.962000000000002</v>
          </cell>
          <cell r="O501">
            <v>31.466000000000001</v>
          </cell>
          <cell r="P501">
            <v>54.862000000000002</v>
          </cell>
          <cell r="Q501" t="e">
            <v>#NAME?</v>
          </cell>
          <cell r="R501">
            <v>103.68</v>
          </cell>
          <cell r="S501" t="e">
            <v>#NAME?</v>
          </cell>
          <cell r="T501">
            <v>111.81400000000001</v>
          </cell>
          <cell r="U501">
            <v>255.50900000000001</v>
          </cell>
          <cell r="V501">
            <v>0</v>
          </cell>
          <cell r="W501">
            <v>288.04026330000005</v>
          </cell>
          <cell r="X501">
            <v>103.68</v>
          </cell>
          <cell r="Y501">
            <v>365.15878072235773</v>
          </cell>
          <cell r="Z501">
            <v>103.68</v>
          </cell>
        </row>
        <row r="517">
          <cell r="L517">
            <v>0</v>
          </cell>
          <cell r="M517">
            <v>73.433999999999997</v>
          </cell>
          <cell r="N517">
            <v>103.98500000000001</v>
          </cell>
          <cell r="O517">
            <v>129.608</v>
          </cell>
          <cell r="P517">
            <v>156.42600000000002</v>
          </cell>
          <cell r="Q517" t="e">
            <v>#NAME?</v>
          </cell>
          <cell r="R517">
            <v>308.13</v>
          </cell>
          <cell r="S517" t="e">
            <v>#NAME?</v>
          </cell>
          <cell r="T517">
            <v>333.036</v>
          </cell>
          <cell r="U517">
            <v>400.11299999999994</v>
          </cell>
          <cell r="V517">
            <v>0</v>
          </cell>
          <cell r="W517">
            <v>683.03749260000018</v>
          </cell>
          <cell r="X517">
            <v>308.13</v>
          </cell>
          <cell r="Y517">
            <v>867.51708329662051</v>
          </cell>
          <cell r="Z517">
            <v>308.13</v>
          </cell>
        </row>
        <row r="532">
          <cell r="L532">
            <v>0</v>
          </cell>
          <cell r="M532">
            <v>32.795000000000002</v>
          </cell>
          <cell r="N532">
            <v>55.732999999999997</v>
          </cell>
          <cell r="O532">
            <v>78.855000000000004</v>
          </cell>
          <cell r="P532">
            <v>104.038</v>
          </cell>
          <cell r="Q532" t="e">
            <v>#NAME?</v>
          </cell>
          <cell r="R532">
            <v>216.01000000000002</v>
          </cell>
          <cell r="S532" t="e">
            <v>#NAME?</v>
          </cell>
          <cell r="T532">
            <v>271.21499999999997</v>
          </cell>
          <cell r="U532">
            <v>291.44500000000005</v>
          </cell>
          <cell r="V532">
            <v>0</v>
          </cell>
          <cell r="W532">
            <v>370.65</v>
          </cell>
          <cell r="X532">
            <v>216.01000000000002</v>
          </cell>
          <cell r="Y532">
            <v>466.87</v>
          </cell>
          <cell r="Z532">
            <v>216.01000000000002</v>
          </cell>
        </row>
        <row r="548">
          <cell r="L548">
            <v>0</v>
          </cell>
          <cell r="M548">
            <v>42.231999999999999</v>
          </cell>
          <cell r="N548">
            <v>50.387</v>
          </cell>
          <cell r="O548">
            <v>70.234000000000009</v>
          </cell>
          <cell r="P548">
            <v>88.00800000000001</v>
          </cell>
          <cell r="Q548" t="e">
            <v>#NAME?</v>
          </cell>
          <cell r="R548">
            <v>158.07</v>
          </cell>
          <cell r="S548" t="e">
            <v>#NAME?</v>
          </cell>
          <cell r="T548">
            <v>269.84300000000002</v>
          </cell>
          <cell r="U548">
            <v>313.065</v>
          </cell>
          <cell r="V548">
            <v>0</v>
          </cell>
          <cell r="W548">
            <v>360.02474999999998</v>
          </cell>
          <cell r="X548">
            <v>158.07</v>
          </cell>
          <cell r="Y548">
            <v>414.02846249999993</v>
          </cell>
          <cell r="Z548">
            <v>158.07</v>
          </cell>
        </row>
        <row r="560">
          <cell r="U560">
            <v>-35.725000000000001</v>
          </cell>
        </row>
        <row r="567">
          <cell r="M567">
            <v>-56.41</v>
          </cell>
          <cell r="N567">
            <v>-17.579999999999998</v>
          </cell>
          <cell r="O567">
            <v>2.7399999999999993</v>
          </cell>
          <cell r="P567">
            <v>-14.77</v>
          </cell>
          <cell r="R567">
            <v>9.9000000000000057</v>
          </cell>
          <cell r="T567">
            <v>-32.35</v>
          </cell>
          <cell r="U567">
            <v>-147.12</v>
          </cell>
          <cell r="W567">
            <v>11.16</v>
          </cell>
          <cell r="X567">
            <v>9.9039999999999981</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MARY"/>
      <sheetName val="Template"/>
      <sheetName val="DCFNew"/>
      <sheetName val="To word"/>
      <sheetName val="Chartdata"/>
      <sheetName val="Inc"/>
      <sheetName val="Qtrly_new"/>
      <sheetName val="Segmentmix"/>
      <sheetName val="BS"/>
      <sheetName val="Charts"/>
      <sheetName val="multiplecharts"/>
      <sheetName val="CF"/>
      <sheetName val="Ratios"/>
      <sheetName val="Format"/>
      <sheetName val="DCF"/>
    </sheetNames>
    <sheetDataSet>
      <sheetData sheetId="0" refreshError="1"/>
      <sheetData sheetId="1" refreshError="1">
        <row r="2">
          <cell r="D2">
            <v>12</v>
          </cell>
          <cell r="E2">
            <v>12</v>
          </cell>
          <cell r="F2">
            <v>12</v>
          </cell>
          <cell r="G2">
            <v>12</v>
          </cell>
          <cell r="H2">
            <v>12</v>
          </cell>
          <cell r="I2">
            <v>12</v>
          </cell>
          <cell r="J2">
            <v>12</v>
          </cell>
          <cell r="K2">
            <v>12</v>
          </cell>
          <cell r="L2">
            <v>12</v>
          </cell>
          <cell r="M2">
            <v>12</v>
          </cell>
          <cell r="N2">
            <v>12</v>
          </cell>
          <cell r="O2">
            <v>12</v>
          </cell>
          <cell r="P2">
            <v>12</v>
          </cell>
          <cell r="Q2">
            <v>12</v>
          </cell>
          <cell r="R2">
            <v>12</v>
          </cell>
          <cell r="S2">
            <v>12</v>
          </cell>
          <cell r="T2">
            <v>12</v>
          </cell>
        </row>
        <row r="3">
          <cell r="D3">
            <v>3</v>
          </cell>
          <cell r="E3">
            <v>3</v>
          </cell>
          <cell r="F3">
            <v>3</v>
          </cell>
          <cell r="G3">
            <v>3</v>
          </cell>
          <cell r="H3">
            <v>3</v>
          </cell>
          <cell r="I3">
            <v>3</v>
          </cell>
          <cell r="J3">
            <v>3</v>
          </cell>
          <cell r="K3">
            <v>3</v>
          </cell>
          <cell r="L3">
            <v>3</v>
          </cell>
          <cell r="M3">
            <v>3</v>
          </cell>
          <cell r="N3">
            <v>3</v>
          </cell>
          <cell r="O3">
            <v>3</v>
          </cell>
          <cell r="P3">
            <v>3</v>
          </cell>
          <cell r="Q3">
            <v>3</v>
          </cell>
          <cell r="R3">
            <v>3</v>
          </cell>
          <cell r="S3">
            <v>3</v>
          </cell>
          <cell r="T3">
            <v>3</v>
          </cell>
        </row>
        <row r="6">
          <cell r="N6">
            <v>1608.2363800000001</v>
          </cell>
          <cell r="O6">
            <v>2777.23</v>
          </cell>
          <cell r="P6">
            <v>4424.808</v>
          </cell>
          <cell r="Q6">
            <v>7231.0609999999997</v>
          </cell>
          <cell r="R6">
            <v>8623.4125000000004</v>
          </cell>
          <cell r="S6">
            <v>11923.8441</v>
          </cell>
          <cell r="T6">
            <v>15863.003686500002</v>
          </cell>
        </row>
        <row r="8">
          <cell r="D8">
            <v>0</v>
          </cell>
          <cell r="E8">
            <v>0</v>
          </cell>
          <cell r="F8">
            <v>0</v>
          </cell>
          <cell r="G8">
            <v>0</v>
          </cell>
          <cell r="H8">
            <v>0</v>
          </cell>
          <cell r="I8">
            <v>0</v>
          </cell>
          <cell r="J8">
            <v>0</v>
          </cell>
          <cell r="K8">
            <v>0</v>
          </cell>
          <cell r="L8">
            <v>0</v>
          </cell>
          <cell r="M8">
            <v>0</v>
          </cell>
          <cell r="N8">
            <v>1608.2363800000001</v>
          </cell>
          <cell r="O8">
            <v>2777.23</v>
          </cell>
          <cell r="P8">
            <v>4424.808</v>
          </cell>
          <cell r="Q8">
            <v>7231.0609999999997</v>
          </cell>
          <cell r="R8">
            <v>8623.4125000000004</v>
          </cell>
          <cell r="S8">
            <v>11923.8441</v>
          </cell>
          <cell r="T8">
            <v>15863.003686500002</v>
          </cell>
        </row>
        <row r="10">
          <cell r="D10">
            <v>0</v>
          </cell>
          <cell r="E10">
            <v>0</v>
          </cell>
          <cell r="F10">
            <v>0</v>
          </cell>
          <cell r="G10">
            <v>0</v>
          </cell>
          <cell r="H10">
            <v>0</v>
          </cell>
          <cell r="I10">
            <v>0</v>
          </cell>
          <cell r="J10">
            <v>0</v>
          </cell>
          <cell r="K10">
            <v>0</v>
          </cell>
          <cell r="L10">
            <v>0</v>
          </cell>
          <cell r="M10">
            <v>0</v>
          </cell>
          <cell r="N10">
            <v>1608.2363800000001</v>
          </cell>
          <cell r="O10">
            <v>2777.23</v>
          </cell>
          <cell r="P10">
            <v>4424.808</v>
          </cell>
          <cell r="Q10">
            <v>7231.0609999999997</v>
          </cell>
          <cell r="R10">
            <v>8623.4125000000004</v>
          </cell>
          <cell r="S10">
            <v>11923.8441</v>
          </cell>
          <cell r="T10">
            <v>15863.003686500002</v>
          </cell>
        </row>
        <row r="11">
          <cell r="D11">
            <v>0</v>
          </cell>
          <cell r="E11">
            <v>0</v>
          </cell>
          <cell r="F11">
            <v>0</v>
          </cell>
          <cell r="G11">
            <v>0</v>
          </cell>
          <cell r="H11">
            <v>0</v>
          </cell>
          <cell r="I11">
            <v>0</v>
          </cell>
          <cell r="J11">
            <v>0</v>
          </cell>
          <cell r="K11">
            <v>0</v>
          </cell>
          <cell r="L11">
            <v>0</v>
          </cell>
          <cell r="M11">
            <v>0</v>
          </cell>
          <cell r="N11">
            <v>-1473.9333260000001</v>
          </cell>
          <cell r="O11">
            <v>-2398.2769849999995</v>
          </cell>
          <cell r="P11">
            <v>-3828.2870000000003</v>
          </cell>
          <cell r="Q11">
            <v>-6113.6709999999994</v>
          </cell>
          <cell r="R11">
            <v>-7174.6792000000005</v>
          </cell>
          <cell r="S11">
            <v>-9980.2575117000015</v>
          </cell>
          <cell r="T11">
            <v>-13277.334085600502</v>
          </cell>
        </row>
        <row r="12">
          <cell r="D12">
            <v>0</v>
          </cell>
          <cell r="E12">
            <v>0</v>
          </cell>
          <cell r="F12">
            <v>0</v>
          </cell>
          <cell r="G12">
            <v>0</v>
          </cell>
          <cell r="H12">
            <v>0</v>
          </cell>
          <cell r="I12">
            <v>0</v>
          </cell>
          <cell r="J12">
            <v>0</v>
          </cell>
          <cell r="K12">
            <v>0</v>
          </cell>
          <cell r="L12">
            <v>0</v>
          </cell>
          <cell r="M12">
            <v>0</v>
          </cell>
          <cell r="N12">
            <v>134.30305399999997</v>
          </cell>
          <cell r="O12">
            <v>378.95301500000051</v>
          </cell>
          <cell r="P12">
            <v>596.52099999999973</v>
          </cell>
          <cell r="Q12">
            <v>1117.3900000000003</v>
          </cell>
          <cell r="R12">
            <v>1448.7332999999999</v>
          </cell>
          <cell r="S12">
            <v>1943.5865882999988</v>
          </cell>
          <cell r="T12">
            <v>2585.6696008995004</v>
          </cell>
        </row>
        <row r="13">
          <cell r="D13">
            <v>0</v>
          </cell>
          <cell r="E13">
            <v>0</v>
          </cell>
          <cell r="F13">
            <v>0</v>
          </cell>
          <cell r="G13">
            <v>0</v>
          </cell>
          <cell r="H13">
            <v>0</v>
          </cell>
          <cell r="I13">
            <v>0</v>
          </cell>
          <cell r="J13">
            <v>0</v>
          </cell>
          <cell r="K13">
            <v>0</v>
          </cell>
          <cell r="L13">
            <v>0</v>
          </cell>
          <cell r="M13">
            <v>0</v>
          </cell>
          <cell r="N13">
            <v>-78.435406</v>
          </cell>
          <cell r="O13">
            <v>-82.319000000000003</v>
          </cell>
          <cell r="P13">
            <v>-94.301000000000002</v>
          </cell>
          <cell r="Q13">
            <v>-122.23</v>
          </cell>
          <cell r="R13">
            <v>-146</v>
          </cell>
          <cell r="S13">
            <v>-200</v>
          </cell>
          <cell r="T13">
            <v>-250</v>
          </cell>
        </row>
        <row r="14">
          <cell r="D14">
            <v>0</v>
          </cell>
          <cell r="E14">
            <v>0</v>
          </cell>
          <cell r="F14">
            <v>0</v>
          </cell>
          <cell r="G14">
            <v>0</v>
          </cell>
          <cell r="H14">
            <v>0</v>
          </cell>
          <cell r="I14">
            <v>0</v>
          </cell>
          <cell r="J14">
            <v>0</v>
          </cell>
          <cell r="K14">
            <v>0</v>
          </cell>
          <cell r="L14">
            <v>0</v>
          </cell>
          <cell r="M14">
            <v>0</v>
          </cell>
          <cell r="N14">
            <v>55.867647999999974</v>
          </cell>
          <cell r="O14">
            <v>296.63401500000049</v>
          </cell>
          <cell r="P14">
            <v>502.21999999999974</v>
          </cell>
          <cell r="Q14">
            <v>995.16000000000031</v>
          </cell>
          <cell r="R14">
            <v>1302.7332999999999</v>
          </cell>
          <cell r="S14">
            <v>1743.5865882999988</v>
          </cell>
          <cell r="T14">
            <v>2335.6696008995004</v>
          </cell>
        </row>
        <row r="16">
          <cell r="N16">
            <v>-69.210625999999991</v>
          </cell>
          <cell r="O16">
            <v>-92.575000000000003</v>
          </cell>
          <cell r="P16">
            <v>-139.80799999999999</v>
          </cell>
          <cell r="Q16">
            <v>-193.63499999999999</v>
          </cell>
          <cell r="R16">
            <v>-295.62103999999999</v>
          </cell>
          <cell r="S16">
            <v>-376.68430000000001</v>
          </cell>
          <cell r="T16">
            <v>-472.34528</v>
          </cell>
        </row>
        <row r="17">
          <cell r="D17">
            <v>0</v>
          </cell>
          <cell r="E17">
            <v>0</v>
          </cell>
          <cell r="F17">
            <v>0</v>
          </cell>
          <cell r="G17">
            <v>0</v>
          </cell>
          <cell r="H17">
            <v>0</v>
          </cell>
          <cell r="I17">
            <v>0</v>
          </cell>
          <cell r="J17">
            <v>0</v>
          </cell>
          <cell r="K17">
            <v>0</v>
          </cell>
          <cell r="L17">
            <v>0</v>
          </cell>
          <cell r="M17">
            <v>0</v>
          </cell>
          <cell r="N17">
            <v>-69.210625999999991</v>
          </cell>
          <cell r="O17">
            <v>-92.575000000000003</v>
          </cell>
          <cell r="P17">
            <v>-139.80799999999999</v>
          </cell>
          <cell r="Q17">
            <v>-193.63499999999999</v>
          </cell>
          <cell r="R17">
            <v>-295.62103999999999</v>
          </cell>
          <cell r="S17">
            <v>-376.68430000000001</v>
          </cell>
          <cell r="T17">
            <v>-472.34528</v>
          </cell>
        </row>
        <row r="19">
          <cell r="N19">
            <v>34.814408</v>
          </cell>
          <cell r="O19">
            <v>30.574999999999996</v>
          </cell>
          <cell r="P19">
            <v>82.93</v>
          </cell>
          <cell r="Q19">
            <v>65.527000000000001</v>
          </cell>
          <cell r="R19">
            <v>90</v>
          </cell>
          <cell r="S19">
            <v>100</v>
          </cell>
          <cell r="T19">
            <v>100</v>
          </cell>
        </row>
        <row r="23">
          <cell r="D23">
            <v>0</v>
          </cell>
          <cell r="E23">
            <v>0</v>
          </cell>
          <cell r="F23">
            <v>0</v>
          </cell>
          <cell r="G23">
            <v>0</v>
          </cell>
          <cell r="H23">
            <v>0</v>
          </cell>
          <cell r="I23">
            <v>0</v>
          </cell>
          <cell r="J23">
            <v>0</v>
          </cell>
          <cell r="K23">
            <v>0</v>
          </cell>
          <cell r="L23">
            <v>0</v>
          </cell>
          <cell r="M23">
            <v>0</v>
          </cell>
          <cell r="N23">
            <v>21.471429999999984</v>
          </cell>
          <cell r="O23">
            <v>234.63401500000049</v>
          </cell>
          <cell r="P23">
            <v>445.34199999999976</v>
          </cell>
          <cell r="Q23">
            <v>867.05200000000036</v>
          </cell>
          <cell r="R23">
            <v>1097.1122599999999</v>
          </cell>
          <cell r="S23">
            <v>1466.9022882999989</v>
          </cell>
          <cell r="T23">
            <v>1963.3243208995004</v>
          </cell>
        </row>
        <row r="24">
          <cell r="M24">
            <v>0</v>
          </cell>
          <cell r="N24">
            <v>0.22448500000000005</v>
          </cell>
          <cell r="O24">
            <v>-73.707999999999998</v>
          </cell>
          <cell r="P24">
            <v>-130.94199999999998</v>
          </cell>
          <cell r="Q24">
            <v>-295.04500000000002</v>
          </cell>
          <cell r="R24">
            <v>-355.2151611999999</v>
          </cell>
          <cell r="S24">
            <v>-475.13217742399905</v>
          </cell>
          <cell r="T24">
            <v>-635.8780244573602</v>
          </cell>
        </row>
        <row r="25">
          <cell r="D25">
            <v>0</v>
          </cell>
          <cell r="E25">
            <v>0</v>
          </cell>
          <cell r="F25">
            <v>0</v>
          </cell>
          <cell r="G25">
            <v>0</v>
          </cell>
          <cell r="H25">
            <v>0</v>
          </cell>
          <cell r="I25">
            <v>0</v>
          </cell>
          <cell r="J25">
            <v>0</v>
          </cell>
          <cell r="K25">
            <v>0</v>
          </cell>
          <cell r="L25">
            <v>0</v>
          </cell>
          <cell r="M25">
            <v>0</v>
          </cell>
          <cell r="N25">
            <v>21.695914999999985</v>
          </cell>
          <cell r="O25">
            <v>160.92601500000049</v>
          </cell>
          <cell r="P25">
            <v>314.39999999999975</v>
          </cell>
          <cell r="Q25">
            <v>572.00700000000029</v>
          </cell>
          <cell r="R25">
            <v>741.89709879999998</v>
          </cell>
          <cell r="S25">
            <v>991.77011087599976</v>
          </cell>
          <cell r="T25">
            <v>1327.4462964421402</v>
          </cell>
        </row>
        <row r="28">
          <cell r="D28">
            <v>0</v>
          </cell>
          <cell r="E28">
            <v>0</v>
          </cell>
          <cell r="F28">
            <v>0</v>
          </cell>
          <cell r="G28">
            <v>0</v>
          </cell>
          <cell r="H28">
            <v>0</v>
          </cell>
          <cell r="I28">
            <v>0</v>
          </cell>
          <cell r="J28">
            <v>0</v>
          </cell>
          <cell r="K28">
            <v>0</v>
          </cell>
          <cell r="L28">
            <v>0</v>
          </cell>
          <cell r="M28">
            <v>0</v>
          </cell>
          <cell r="N28">
            <v>21.695914999999985</v>
          </cell>
          <cell r="O28">
            <v>100.38301500000048</v>
          </cell>
          <cell r="P28">
            <v>278.83599999999973</v>
          </cell>
          <cell r="Q28">
            <v>549.03000000000031</v>
          </cell>
          <cell r="R28">
            <v>741.89709879999998</v>
          </cell>
          <cell r="S28">
            <v>991.77011087599976</v>
          </cell>
          <cell r="T28">
            <v>1327.4462964421402</v>
          </cell>
        </row>
        <row r="29">
          <cell r="D29">
            <v>0</v>
          </cell>
          <cell r="E29">
            <v>0</v>
          </cell>
          <cell r="F29">
            <v>0</v>
          </cell>
          <cell r="G29">
            <v>0</v>
          </cell>
          <cell r="H29">
            <v>0</v>
          </cell>
          <cell r="I29">
            <v>0</v>
          </cell>
          <cell r="J29">
            <v>0</v>
          </cell>
          <cell r="K29">
            <v>0</v>
          </cell>
          <cell r="L29">
            <v>0</v>
          </cell>
          <cell r="M29">
            <v>0</v>
          </cell>
          <cell r="N29">
            <v>21.695914999999985</v>
          </cell>
          <cell r="O29">
            <v>160.92601500000049</v>
          </cell>
          <cell r="P29">
            <v>314.39999999999975</v>
          </cell>
          <cell r="Q29">
            <v>572.00700000000029</v>
          </cell>
          <cell r="R29">
            <v>741.89709879999998</v>
          </cell>
          <cell r="S29">
            <v>991.77011087599976</v>
          </cell>
          <cell r="T29">
            <v>1327.4462964421402</v>
          </cell>
        </row>
        <row r="30">
          <cell r="M30">
            <v>0</v>
          </cell>
          <cell r="N30">
            <v>0</v>
          </cell>
          <cell r="O30">
            <v>-60.542999999999999</v>
          </cell>
          <cell r="P30">
            <v>-35.564</v>
          </cell>
          <cell r="Q30">
            <v>-22.977</v>
          </cell>
          <cell r="R30">
            <v>0</v>
          </cell>
          <cell r="S30">
            <v>0</v>
          </cell>
          <cell r="T30">
            <v>0</v>
          </cell>
        </row>
        <row r="32">
          <cell r="M32" t="e">
            <v>#REF!</v>
          </cell>
          <cell r="N32">
            <v>28.23705</v>
          </cell>
          <cell r="O32">
            <v>28.23705</v>
          </cell>
          <cell r="P32">
            <v>28.539000000000001</v>
          </cell>
          <cell r="Q32">
            <v>30.923500000000001</v>
          </cell>
          <cell r="R32">
            <v>92.830873333333329</v>
          </cell>
          <cell r="S32">
            <v>92.861059999999995</v>
          </cell>
          <cell r="T32">
            <v>93.572059999999993</v>
          </cell>
        </row>
        <row r="33">
          <cell r="M33" t="e">
            <v>#REF!</v>
          </cell>
          <cell r="N33">
            <v>28.23705</v>
          </cell>
          <cell r="O33">
            <v>28.23705</v>
          </cell>
          <cell r="P33">
            <v>28.539000000000001</v>
          </cell>
          <cell r="Q33">
            <v>30.923500000000001</v>
          </cell>
          <cell r="R33">
            <v>92.830873333333329</v>
          </cell>
          <cell r="S33">
            <v>92.861059999999995</v>
          </cell>
          <cell r="T33">
            <v>93.572059999999993</v>
          </cell>
        </row>
        <row r="34">
          <cell r="M34" t="e">
            <v>#REF!</v>
          </cell>
          <cell r="N34" t="e">
            <v>#REF!</v>
          </cell>
          <cell r="O34">
            <v>28.23705</v>
          </cell>
          <cell r="P34">
            <v>28.388024999999999</v>
          </cell>
          <cell r="Q34">
            <v>29.731250000000003</v>
          </cell>
          <cell r="R34">
            <v>61.877186666666667</v>
          </cell>
          <cell r="S34">
            <v>92.845966666666669</v>
          </cell>
          <cell r="T34">
            <v>93.216559999999987</v>
          </cell>
        </row>
        <row r="37">
          <cell r="M37">
            <v>0</v>
          </cell>
          <cell r="N37">
            <v>-1003.020663</v>
          </cell>
          <cell r="O37">
            <v>-1769.8499999999997</v>
          </cell>
          <cell r="P37">
            <v>-2935.5990000000002</v>
          </cell>
          <cell r="Q37">
            <v>-4872.32</v>
          </cell>
          <cell r="R37">
            <v>-5751.8161375000009</v>
          </cell>
          <cell r="S37">
            <v>-7988.9755470000009</v>
          </cell>
          <cell r="T37">
            <v>-10628.212469955002</v>
          </cell>
        </row>
        <row r="39">
          <cell r="N39">
            <v>-45.552397999999997</v>
          </cell>
          <cell r="O39">
            <v>-46.808985</v>
          </cell>
          <cell r="P39">
            <v>-50.253999999999998</v>
          </cell>
          <cell r="Q39">
            <v>-62.427999999999997</v>
          </cell>
          <cell r="R39">
            <v>-86.234125000000006</v>
          </cell>
          <cell r="S39">
            <v>-143.08612920000002</v>
          </cell>
          <cell r="T39">
            <v>-206.21904792450002</v>
          </cell>
        </row>
        <row r="40">
          <cell r="M40">
            <v>0</v>
          </cell>
          <cell r="N40">
            <v>-143.69130900000002</v>
          </cell>
          <cell r="O40">
            <v>-120.90300000000001</v>
          </cell>
          <cell r="P40">
            <v>-227.06499999999997</v>
          </cell>
          <cell r="Q40">
            <v>-270.86099999999999</v>
          </cell>
          <cell r="R40">
            <v>-344.93650000000002</v>
          </cell>
          <cell r="S40">
            <v>-476.95376400000004</v>
          </cell>
          <cell r="T40">
            <v>-634.52014746000009</v>
          </cell>
        </row>
        <row r="47">
          <cell r="M47">
            <v>0</v>
          </cell>
          <cell r="N47">
            <v>-281.66895599999998</v>
          </cell>
          <cell r="O47">
            <v>-460.71499999999997</v>
          </cell>
          <cell r="P47">
            <v>-615.36900000000003</v>
          </cell>
          <cell r="Q47">
            <v>-908.06200000000001</v>
          </cell>
          <cell r="R47">
            <v>-991.6924375000001</v>
          </cell>
          <cell r="S47">
            <v>-1371.2420715000001</v>
          </cell>
          <cell r="T47">
            <v>-1808.3824202610003</v>
          </cell>
        </row>
        <row r="48">
          <cell r="D48">
            <v>0</v>
          </cell>
          <cell r="E48">
            <v>0</v>
          </cell>
          <cell r="F48">
            <v>0</v>
          </cell>
          <cell r="G48">
            <v>0</v>
          </cell>
          <cell r="H48">
            <v>0</v>
          </cell>
          <cell r="I48">
            <v>0</v>
          </cell>
          <cell r="J48">
            <v>0</v>
          </cell>
          <cell r="K48">
            <v>0</v>
          </cell>
          <cell r="L48">
            <v>0</v>
          </cell>
          <cell r="M48">
            <v>0</v>
          </cell>
          <cell r="N48">
            <v>-1473.9333260000001</v>
          </cell>
          <cell r="O48">
            <v>-2398.2769849999995</v>
          </cell>
          <cell r="P48">
            <v>-3828.2870000000003</v>
          </cell>
          <cell r="Q48">
            <v>-6113.6709999999994</v>
          </cell>
          <cell r="R48">
            <v>-7174.6792000000005</v>
          </cell>
          <cell r="S48">
            <v>-9980.2575117000015</v>
          </cell>
          <cell r="T48">
            <v>-13277.334085600502</v>
          </cell>
        </row>
        <row r="50">
          <cell r="M50">
            <v>0</v>
          </cell>
          <cell r="N50">
            <v>-78.435406</v>
          </cell>
          <cell r="O50">
            <v>-82.319000000000003</v>
          </cell>
          <cell r="P50">
            <v>-94.301000000000002</v>
          </cell>
          <cell r="Q50">
            <v>-122.23</v>
          </cell>
          <cell r="R50">
            <v>-146</v>
          </cell>
          <cell r="S50">
            <v>-200</v>
          </cell>
          <cell r="T50">
            <v>-250</v>
          </cell>
        </row>
        <row r="52">
          <cell r="D52">
            <v>0</v>
          </cell>
          <cell r="E52">
            <v>0</v>
          </cell>
          <cell r="F52">
            <v>0</v>
          </cell>
          <cell r="G52">
            <v>0</v>
          </cell>
          <cell r="H52">
            <v>0</v>
          </cell>
          <cell r="I52">
            <v>0</v>
          </cell>
          <cell r="J52">
            <v>0</v>
          </cell>
          <cell r="K52">
            <v>0</v>
          </cell>
          <cell r="L52">
            <v>0</v>
          </cell>
          <cell r="M52">
            <v>0</v>
          </cell>
          <cell r="N52">
            <v>-78.435406</v>
          </cell>
          <cell r="O52">
            <v>-82.319000000000003</v>
          </cell>
          <cell r="P52">
            <v>-94.301000000000002</v>
          </cell>
          <cell r="Q52">
            <v>-122.23</v>
          </cell>
          <cell r="R52">
            <v>-146</v>
          </cell>
          <cell r="S52">
            <v>-200</v>
          </cell>
          <cell r="T52">
            <v>-250</v>
          </cell>
        </row>
        <row r="55">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row>
        <row r="57">
          <cell r="M57">
            <v>0</v>
          </cell>
          <cell r="N57">
            <v>5.6474099999999998</v>
          </cell>
          <cell r="O57">
            <v>14.119</v>
          </cell>
          <cell r="P57">
            <v>30.652000000000001</v>
          </cell>
          <cell r="Q57">
            <v>46.384999999999998</v>
          </cell>
          <cell r="R57">
            <v>139.24630999999999</v>
          </cell>
          <cell r="S57">
            <v>162.506855</v>
          </cell>
          <cell r="T57">
            <v>187.14411999999999</v>
          </cell>
        </row>
        <row r="58">
          <cell r="M58">
            <v>0</v>
          </cell>
          <cell r="N58">
            <v>0.72357400000000005</v>
          </cell>
          <cell r="O58">
            <v>1.98</v>
          </cell>
          <cell r="P58">
            <v>4.2990000000000004</v>
          </cell>
          <cell r="Q58">
            <v>7.883</v>
          </cell>
          <cell r="R58">
            <v>20.886946499999997</v>
          </cell>
          <cell r="S58">
            <v>24.376028250000001</v>
          </cell>
          <cell r="T58">
            <v>28.071617999999997</v>
          </cell>
        </row>
        <row r="66">
          <cell r="D66">
            <v>0</v>
          </cell>
          <cell r="E66">
            <v>0</v>
          </cell>
          <cell r="F66">
            <v>0</v>
          </cell>
          <cell r="G66">
            <v>0</v>
          </cell>
          <cell r="H66">
            <v>0</v>
          </cell>
          <cell r="I66">
            <v>0</v>
          </cell>
          <cell r="J66">
            <v>0</v>
          </cell>
          <cell r="K66">
            <v>0</v>
          </cell>
          <cell r="L66">
            <v>0</v>
          </cell>
          <cell r="M66">
            <v>0</v>
          </cell>
          <cell r="N66">
            <v>134.30305399999997</v>
          </cell>
          <cell r="O66">
            <v>378.95301500000051</v>
          </cell>
          <cell r="P66">
            <v>596.52099999999973</v>
          </cell>
          <cell r="Q66">
            <v>1117.3900000000003</v>
          </cell>
          <cell r="R66">
            <v>1448.7332999999999</v>
          </cell>
          <cell r="S66">
            <v>1943.5865882999988</v>
          </cell>
          <cell r="T66">
            <v>2585.6696008995004</v>
          </cell>
        </row>
        <row r="67">
          <cell r="D67">
            <v>0</v>
          </cell>
          <cell r="E67">
            <v>0</v>
          </cell>
          <cell r="F67">
            <v>0</v>
          </cell>
          <cell r="G67">
            <v>0</v>
          </cell>
          <cell r="H67">
            <v>0</v>
          </cell>
          <cell r="I67">
            <v>0</v>
          </cell>
          <cell r="J67">
            <v>0</v>
          </cell>
          <cell r="K67">
            <v>0</v>
          </cell>
          <cell r="L67">
            <v>0</v>
          </cell>
          <cell r="M67">
            <v>0</v>
          </cell>
          <cell r="N67">
            <v>55.867647999999974</v>
          </cell>
          <cell r="O67">
            <v>296.63401500000049</v>
          </cell>
          <cell r="P67">
            <v>502.21999999999974</v>
          </cell>
          <cell r="Q67">
            <v>995.16000000000031</v>
          </cell>
          <cell r="R67">
            <v>1302.7332999999999</v>
          </cell>
          <cell r="S67">
            <v>1743.5865882999988</v>
          </cell>
          <cell r="T67">
            <v>2335.6696008995004</v>
          </cell>
        </row>
        <row r="68">
          <cell r="D68">
            <v>0</v>
          </cell>
          <cell r="E68">
            <v>0</v>
          </cell>
          <cell r="F68">
            <v>0</v>
          </cell>
          <cell r="G68">
            <v>0</v>
          </cell>
          <cell r="H68">
            <v>0</v>
          </cell>
          <cell r="I68">
            <v>0</v>
          </cell>
          <cell r="J68">
            <v>0</v>
          </cell>
          <cell r="K68">
            <v>0</v>
          </cell>
          <cell r="L68">
            <v>0</v>
          </cell>
          <cell r="M68">
            <v>0</v>
          </cell>
          <cell r="N68">
            <v>134.52753899999996</v>
          </cell>
          <cell r="O68">
            <v>305.24501500000054</v>
          </cell>
          <cell r="P68">
            <v>465.57899999999972</v>
          </cell>
          <cell r="Q68">
            <v>822.34500000000025</v>
          </cell>
          <cell r="R68">
            <v>1093.5181388000001</v>
          </cell>
          <cell r="S68">
            <v>1468.4544108759997</v>
          </cell>
          <cell r="T68">
            <v>1949.7915764421402</v>
          </cell>
        </row>
        <row r="69">
          <cell r="D69">
            <v>0</v>
          </cell>
          <cell r="E69">
            <v>0</v>
          </cell>
          <cell r="F69">
            <v>0</v>
          </cell>
          <cell r="G69">
            <v>0</v>
          </cell>
          <cell r="H69">
            <v>0</v>
          </cell>
          <cell r="I69">
            <v>0</v>
          </cell>
          <cell r="J69">
            <v>0</v>
          </cell>
          <cell r="K69">
            <v>0</v>
          </cell>
          <cell r="L69">
            <v>0</v>
          </cell>
          <cell r="M69">
            <v>0</v>
          </cell>
          <cell r="N69">
            <v>134.52753899999996</v>
          </cell>
          <cell r="O69">
            <v>305.24501500000054</v>
          </cell>
          <cell r="P69">
            <v>465.57899999999972</v>
          </cell>
          <cell r="Q69">
            <v>822.34500000000025</v>
          </cell>
          <cell r="R69">
            <v>1093.5181388000001</v>
          </cell>
          <cell r="S69">
            <v>1468.4544108759997</v>
          </cell>
          <cell r="T69">
            <v>1949.7915764421402</v>
          </cell>
        </row>
        <row r="70">
          <cell r="D70" t="e">
            <v>#VALUE!</v>
          </cell>
          <cell r="E70" t="e">
            <v>#VALUE!</v>
          </cell>
          <cell r="F70" t="e">
            <v>#VALUE!</v>
          </cell>
          <cell r="G70" t="e">
            <v>#VALUE!</v>
          </cell>
          <cell r="H70" t="e">
            <v>#VALUE!</v>
          </cell>
          <cell r="I70" t="e">
            <v>#VALUE!</v>
          </cell>
          <cell r="J70" t="e">
            <v>#VALUE!</v>
          </cell>
          <cell r="K70" t="e">
            <v>#VALUE!</v>
          </cell>
          <cell r="L70" t="e">
            <v>#VALUE!</v>
          </cell>
          <cell r="M70" t="e">
            <v>#VALUE!</v>
          </cell>
          <cell r="N70">
            <v>56.451747380492094</v>
          </cell>
          <cell r="O70">
            <v>203.44931636361568</v>
          </cell>
          <cell r="P70">
            <v>354.55440537833812</v>
          </cell>
          <cell r="Q70">
            <v>656.52173816564675</v>
          </cell>
          <cell r="R70">
            <v>880.94362903222861</v>
          </cell>
          <cell r="S70">
            <v>1178.835889610765</v>
          </cell>
          <cell r="T70">
            <v>1579.1970427005383</v>
          </cell>
        </row>
        <row r="79">
          <cell r="D79">
            <v>0</v>
          </cell>
          <cell r="E79">
            <v>0</v>
          </cell>
          <cell r="F79">
            <v>0</v>
          </cell>
          <cell r="G79">
            <v>0</v>
          </cell>
          <cell r="H79">
            <v>0</v>
          </cell>
          <cell r="I79">
            <v>0</v>
          </cell>
          <cell r="J79">
            <v>0</v>
          </cell>
          <cell r="K79">
            <v>0</v>
          </cell>
          <cell r="L79">
            <v>0</v>
          </cell>
          <cell r="M79">
            <v>0</v>
          </cell>
          <cell r="N79">
            <v>-746.12402099999997</v>
          </cell>
          <cell r="O79">
            <v>-393.55097899999998</v>
          </cell>
          <cell r="P79">
            <v>-1002.0840000000001</v>
          </cell>
          <cell r="Q79">
            <v>-1738.1010000000001</v>
          </cell>
          <cell r="R79">
            <v>-671.38548611111082</v>
          </cell>
          <cell r="S79">
            <v>-1808.1380338888885</v>
          </cell>
          <cell r="T79">
            <v>-2189.0129110583348</v>
          </cell>
        </row>
        <row r="80">
          <cell r="D80">
            <v>0</v>
          </cell>
          <cell r="E80">
            <v>0</v>
          </cell>
          <cell r="F80">
            <v>0</v>
          </cell>
          <cell r="G80">
            <v>0</v>
          </cell>
          <cell r="H80">
            <v>0</v>
          </cell>
          <cell r="I80">
            <v>0</v>
          </cell>
          <cell r="J80">
            <v>0</v>
          </cell>
          <cell r="K80">
            <v>0</v>
          </cell>
          <cell r="L80">
            <v>0</v>
          </cell>
          <cell r="M80">
            <v>0</v>
          </cell>
          <cell r="N80">
            <v>-947.30837300000019</v>
          </cell>
          <cell r="O80">
            <v>-252.24662699999988</v>
          </cell>
          <cell r="P80">
            <v>-439.50500000000011</v>
          </cell>
          <cell r="Q80">
            <v>-50.514999999999873</v>
          </cell>
          <cell r="R80">
            <v>-226.73888888888882</v>
          </cell>
          <cell r="S80">
            <v>-832.79461194444457</v>
          </cell>
          <cell r="T80">
            <v>-996.32292514583332</v>
          </cell>
        </row>
        <row r="81">
          <cell r="D81">
            <v>0</v>
          </cell>
          <cell r="E81">
            <v>0</v>
          </cell>
          <cell r="F81">
            <v>0</v>
          </cell>
          <cell r="G81">
            <v>0</v>
          </cell>
          <cell r="H81">
            <v>0</v>
          </cell>
          <cell r="I81">
            <v>0</v>
          </cell>
          <cell r="J81">
            <v>0</v>
          </cell>
          <cell r="K81">
            <v>0</v>
          </cell>
          <cell r="L81">
            <v>0</v>
          </cell>
          <cell r="M81">
            <v>0</v>
          </cell>
          <cell r="N81">
            <v>-147.445998</v>
          </cell>
          <cell r="O81">
            <v>-106.61200199999999</v>
          </cell>
          <cell r="P81">
            <v>-52.180000000000007</v>
          </cell>
          <cell r="Q81">
            <v>-90.123999999999967</v>
          </cell>
          <cell r="R81">
            <v>13.099222222222181</v>
          </cell>
          <cell r="S81">
            <v>-113.56405972222228</v>
          </cell>
          <cell r="T81">
            <v>-120.06775030833336</v>
          </cell>
        </row>
        <row r="82">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row>
        <row r="85">
          <cell r="D85">
            <v>0</v>
          </cell>
          <cell r="E85">
            <v>0</v>
          </cell>
          <cell r="F85">
            <v>0</v>
          </cell>
          <cell r="G85">
            <v>0</v>
          </cell>
          <cell r="H85">
            <v>0</v>
          </cell>
          <cell r="I85">
            <v>0</v>
          </cell>
          <cell r="J85">
            <v>0</v>
          </cell>
          <cell r="K85">
            <v>0</v>
          </cell>
          <cell r="L85">
            <v>0</v>
          </cell>
          <cell r="M85">
            <v>0</v>
          </cell>
          <cell r="N85">
            <v>1023.286069</v>
          </cell>
          <cell r="O85">
            <v>560.75993100000005</v>
          </cell>
          <cell r="P85">
            <v>582.99699999999996</v>
          </cell>
          <cell r="Q85">
            <v>395.11600000000004</v>
          </cell>
          <cell r="R85">
            <v>599.42060788888887</v>
          </cell>
          <cell r="S85">
            <v>1240.0572845277777</v>
          </cell>
          <cell r="T85">
            <v>1507.3516359958344</v>
          </cell>
        </row>
        <row r="86">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row>
        <row r="89">
          <cell r="D89">
            <v>0</v>
          </cell>
          <cell r="E89">
            <v>0</v>
          </cell>
          <cell r="F89">
            <v>0</v>
          </cell>
          <cell r="G89">
            <v>0</v>
          </cell>
          <cell r="H89">
            <v>0</v>
          </cell>
          <cell r="I89">
            <v>0</v>
          </cell>
          <cell r="J89">
            <v>0</v>
          </cell>
          <cell r="K89">
            <v>0</v>
          </cell>
          <cell r="L89">
            <v>0</v>
          </cell>
          <cell r="M89">
            <v>0</v>
          </cell>
          <cell r="N89">
            <v>0.22448500000000005</v>
          </cell>
          <cell r="O89">
            <v>-73.707999999999998</v>
          </cell>
          <cell r="P89">
            <v>-130.94199999999998</v>
          </cell>
          <cell r="Q89">
            <v>-295.04500000000002</v>
          </cell>
          <cell r="R89">
            <v>-355.2151611999999</v>
          </cell>
          <cell r="S89">
            <v>-475.13217742399905</v>
          </cell>
          <cell r="T89">
            <v>-635.8780244573602</v>
          </cell>
        </row>
        <row r="91">
          <cell r="D91">
            <v>0</v>
          </cell>
          <cell r="E91">
            <v>0</v>
          </cell>
          <cell r="F91">
            <v>0</v>
          </cell>
          <cell r="G91">
            <v>0</v>
          </cell>
          <cell r="H91">
            <v>0</v>
          </cell>
          <cell r="I91">
            <v>0</v>
          </cell>
          <cell r="J91">
            <v>0</v>
          </cell>
          <cell r="K91">
            <v>0</v>
          </cell>
          <cell r="L91">
            <v>0</v>
          </cell>
          <cell r="M91">
            <v>0</v>
          </cell>
          <cell r="N91">
            <v>-1744.1323440000003</v>
          </cell>
          <cell r="O91">
            <v>-131.85272099999966</v>
          </cell>
          <cell r="P91">
            <v>-703.65500000000031</v>
          </cell>
          <cell r="Q91">
            <v>-950.13899999999956</v>
          </cell>
          <cell r="R91">
            <v>343.2059217111115</v>
          </cell>
          <cell r="S91">
            <v>-678.66224150277787</v>
          </cell>
          <cell r="T91">
            <v>-661.70592444754197</v>
          </cell>
        </row>
        <row r="92">
          <cell r="D92">
            <v>0</v>
          </cell>
          <cell r="E92">
            <v>0</v>
          </cell>
          <cell r="F92">
            <v>0</v>
          </cell>
          <cell r="G92">
            <v>0</v>
          </cell>
          <cell r="H92">
            <v>0</v>
          </cell>
          <cell r="I92">
            <v>0</v>
          </cell>
          <cell r="J92">
            <v>0</v>
          </cell>
          <cell r="K92">
            <v>0</v>
          </cell>
          <cell r="L92">
            <v>0</v>
          </cell>
          <cell r="M92">
            <v>0</v>
          </cell>
          <cell r="N92">
            <v>-1503.3251190000003</v>
          </cell>
          <cell r="O92">
            <v>-229.12288800000033</v>
          </cell>
          <cell r="P92">
            <v>-401.31499999999937</v>
          </cell>
          <cell r="Q92">
            <v>-377.39400000000001</v>
          </cell>
          <cell r="R92">
            <v>-1150</v>
          </cell>
          <cell r="S92">
            <v>-1100</v>
          </cell>
          <cell r="T92">
            <v>-1300</v>
          </cell>
        </row>
        <row r="93">
          <cell r="D93">
            <v>0</v>
          </cell>
          <cell r="E93">
            <v>0</v>
          </cell>
          <cell r="F93">
            <v>0</v>
          </cell>
          <cell r="G93">
            <v>0</v>
          </cell>
          <cell r="H93">
            <v>0</v>
          </cell>
          <cell r="I93">
            <v>0</v>
          </cell>
          <cell r="J93">
            <v>0</v>
          </cell>
          <cell r="K93">
            <v>0</v>
          </cell>
          <cell r="L93">
            <v>0</v>
          </cell>
          <cell r="M93">
            <v>0</v>
          </cell>
          <cell r="N93">
            <v>-57.607033999999999</v>
          </cell>
          <cell r="O93">
            <v>1.1550340000000077</v>
          </cell>
          <cell r="P93">
            <v>-6.4129999999999967</v>
          </cell>
          <cell r="Q93">
            <v>-17.532000000000018</v>
          </cell>
          <cell r="R93">
            <v>0</v>
          </cell>
          <cell r="S93">
            <v>0</v>
          </cell>
          <cell r="T93">
            <v>0</v>
          </cell>
        </row>
        <row r="95">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row>
        <row r="99">
          <cell r="D99">
            <v>0</v>
          </cell>
          <cell r="E99">
            <v>0</v>
          </cell>
          <cell r="F99">
            <v>0</v>
          </cell>
          <cell r="G99">
            <v>0</v>
          </cell>
          <cell r="H99">
            <v>0</v>
          </cell>
          <cell r="I99">
            <v>0</v>
          </cell>
          <cell r="J99">
            <v>0</v>
          </cell>
          <cell r="K99">
            <v>0</v>
          </cell>
          <cell r="L99">
            <v>0</v>
          </cell>
          <cell r="M99">
            <v>0</v>
          </cell>
          <cell r="N99">
            <v>-1560.9321530000002</v>
          </cell>
          <cell r="O99">
            <v>-227.96785400000033</v>
          </cell>
          <cell r="P99">
            <v>-407.72799999999938</v>
          </cell>
          <cell r="Q99">
            <v>-394.92600000000004</v>
          </cell>
          <cell r="R99">
            <v>-1150</v>
          </cell>
          <cell r="S99">
            <v>-1100</v>
          </cell>
          <cell r="T99">
            <v>-1300</v>
          </cell>
        </row>
        <row r="100">
          <cell r="D100">
            <v>0</v>
          </cell>
          <cell r="E100">
            <v>0</v>
          </cell>
          <cell r="F100">
            <v>0</v>
          </cell>
          <cell r="G100">
            <v>0</v>
          </cell>
          <cell r="H100">
            <v>0</v>
          </cell>
          <cell r="I100">
            <v>0</v>
          </cell>
          <cell r="J100">
            <v>0</v>
          </cell>
          <cell r="K100">
            <v>0</v>
          </cell>
          <cell r="L100">
            <v>0</v>
          </cell>
          <cell r="M100">
            <v>0</v>
          </cell>
          <cell r="N100">
            <v>-3305.0644970000003</v>
          </cell>
          <cell r="O100">
            <v>-359.82057499999996</v>
          </cell>
          <cell r="P100">
            <v>-1111.3829999999998</v>
          </cell>
          <cell r="Q100">
            <v>-1345.0649999999996</v>
          </cell>
          <cell r="R100">
            <v>-806.7940782888885</v>
          </cell>
          <cell r="S100">
            <v>-1778.6622415027778</v>
          </cell>
          <cell r="T100">
            <v>-1961.705924447542</v>
          </cell>
        </row>
        <row r="101">
          <cell r="D101">
            <v>0</v>
          </cell>
          <cell r="E101">
            <v>0</v>
          </cell>
          <cell r="F101">
            <v>0</v>
          </cell>
          <cell r="G101">
            <v>0</v>
          </cell>
          <cell r="H101">
            <v>0</v>
          </cell>
          <cell r="I101">
            <v>0</v>
          </cell>
          <cell r="J101">
            <v>0</v>
          </cell>
          <cell r="K101">
            <v>0</v>
          </cell>
          <cell r="L101">
            <v>0</v>
          </cell>
          <cell r="M101">
            <v>0</v>
          </cell>
          <cell r="N101">
            <v>705.19176699999991</v>
          </cell>
          <cell r="O101">
            <v>-69.963581000000417</v>
          </cell>
          <cell r="P101">
            <v>-43.949099999999476</v>
          </cell>
          <cell r="Q101">
            <v>230.45099999999945</v>
          </cell>
          <cell r="R101">
            <v>-324.47276633333297</v>
          </cell>
          <cell r="S101">
            <v>-373.82613983333545</v>
          </cell>
          <cell r="T101">
            <v>-74.93147599999952</v>
          </cell>
        </row>
        <row r="103">
          <cell r="D103">
            <v>0</v>
          </cell>
          <cell r="E103">
            <v>0</v>
          </cell>
          <cell r="F103">
            <v>0</v>
          </cell>
          <cell r="G103">
            <v>0</v>
          </cell>
          <cell r="H103">
            <v>0</v>
          </cell>
          <cell r="I103">
            <v>0</v>
          </cell>
          <cell r="J103">
            <v>0</v>
          </cell>
          <cell r="K103">
            <v>0</v>
          </cell>
          <cell r="L103">
            <v>0</v>
          </cell>
          <cell r="M103">
            <v>0</v>
          </cell>
          <cell r="N103">
            <v>688.57010600000001</v>
          </cell>
          <cell r="O103">
            <v>272.89689400000009</v>
          </cell>
          <cell r="P103">
            <v>1095.9389999999999</v>
          </cell>
          <cell r="Q103">
            <v>779.1880000000001</v>
          </cell>
          <cell r="R103">
            <v>1050</v>
          </cell>
          <cell r="S103">
            <v>1445.4719999999998</v>
          </cell>
          <cell r="T103">
            <v>1144.5</v>
          </cell>
        </row>
        <row r="104">
          <cell r="D104">
            <v>0</v>
          </cell>
          <cell r="E104">
            <v>0</v>
          </cell>
          <cell r="F104">
            <v>0</v>
          </cell>
          <cell r="G104">
            <v>0</v>
          </cell>
          <cell r="H104">
            <v>0</v>
          </cell>
          <cell r="I104">
            <v>0</v>
          </cell>
          <cell r="J104">
            <v>0</v>
          </cell>
          <cell r="K104">
            <v>0</v>
          </cell>
          <cell r="L104">
            <v>0</v>
          </cell>
          <cell r="M104">
            <v>0</v>
          </cell>
          <cell r="N104">
            <v>6.370984</v>
          </cell>
          <cell r="O104">
            <v>16.099</v>
          </cell>
          <cell r="P104">
            <v>34.951000000000001</v>
          </cell>
          <cell r="Q104">
            <v>54.268000000000001</v>
          </cell>
          <cell r="R104">
            <v>160.13325649999999</v>
          </cell>
          <cell r="S104">
            <v>186.88288324999999</v>
          </cell>
          <cell r="T104">
            <v>215.21573799999999</v>
          </cell>
        </row>
        <row r="106">
          <cell r="D106">
            <v>0</v>
          </cell>
          <cell r="E106">
            <v>0</v>
          </cell>
          <cell r="F106">
            <v>0</v>
          </cell>
          <cell r="G106">
            <v>0</v>
          </cell>
          <cell r="H106">
            <v>0</v>
          </cell>
          <cell r="I106">
            <v>0</v>
          </cell>
          <cell r="J106">
            <v>0</v>
          </cell>
          <cell r="K106">
            <v>0</v>
          </cell>
          <cell r="L106">
            <v>0</v>
          </cell>
          <cell r="M106">
            <v>0</v>
          </cell>
          <cell r="N106">
            <v>1400.1328569999998</v>
          </cell>
          <cell r="O106">
            <v>219.03231299999965</v>
          </cell>
          <cell r="P106">
            <v>1086.9409000000005</v>
          </cell>
          <cell r="Q106">
            <v>1063.9069999999995</v>
          </cell>
          <cell r="R106">
            <v>885.66049016666705</v>
          </cell>
          <cell r="S106">
            <v>1258.5287434166644</v>
          </cell>
          <cell r="T106">
            <v>1284.7842620000006</v>
          </cell>
        </row>
        <row r="107">
          <cell r="D107">
            <v>0</v>
          </cell>
          <cell r="E107">
            <v>0</v>
          </cell>
          <cell r="F107">
            <v>0</v>
          </cell>
          <cell r="G107">
            <v>0</v>
          </cell>
          <cell r="H107">
            <v>0</v>
          </cell>
          <cell r="I107">
            <v>0</v>
          </cell>
          <cell r="J107">
            <v>0</v>
          </cell>
          <cell r="K107">
            <v>0</v>
          </cell>
          <cell r="L107">
            <v>0</v>
          </cell>
          <cell r="M107">
            <v>0</v>
          </cell>
          <cell r="N107">
            <v>-1904.9316400000005</v>
          </cell>
          <cell r="O107">
            <v>-140.78826200000032</v>
          </cell>
          <cell r="P107">
            <v>-24.4420999999993</v>
          </cell>
          <cell r="Q107">
            <v>-281.15800000000013</v>
          </cell>
          <cell r="R107">
            <v>78.866411877778546</v>
          </cell>
          <cell r="S107">
            <v>-520.13349808611338</v>
          </cell>
          <cell r="T107">
            <v>-676.92166244754139</v>
          </cell>
        </row>
        <row r="114">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row>
        <row r="115">
          <cell r="D115">
            <v>0</v>
          </cell>
          <cell r="E115">
            <v>0</v>
          </cell>
          <cell r="F115">
            <v>0</v>
          </cell>
          <cell r="G115">
            <v>0</v>
          </cell>
          <cell r="H115">
            <v>0</v>
          </cell>
          <cell r="I115">
            <v>0</v>
          </cell>
          <cell r="J115">
            <v>0</v>
          </cell>
          <cell r="K115">
            <v>0</v>
          </cell>
          <cell r="L115">
            <v>0</v>
          </cell>
          <cell r="M115">
            <v>0</v>
          </cell>
          <cell r="N115">
            <v>688.57010600000001</v>
          </cell>
          <cell r="O115">
            <v>961.4670000000001</v>
          </cell>
          <cell r="P115">
            <v>2057.4059999999999</v>
          </cell>
          <cell r="Q115">
            <v>2836.5940000000001</v>
          </cell>
          <cell r="R115">
            <v>3886.5940000000001</v>
          </cell>
          <cell r="S115">
            <v>5332.0659999999998</v>
          </cell>
          <cell r="T115">
            <v>6476.5659999999998</v>
          </cell>
        </row>
        <row r="116">
          <cell r="D116">
            <v>0</v>
          </cell>
          <cell r="E116">
            <v>0</v>
          </cell>
          <cell r="F116">
            <v>0</v>
          </cell>
          <cell r="G116">
            <v>0</v>
          </cell>
          <cell r="H116">
            <v>0</v>
          </cell>
          <cell r="I116">
            <v>0</v>
          </cell>
          <cell r="J116">
            <v>0</v>
          </cell>
          <cell r="K116">
            <v>0</v>
          </cell>
          <cell r="L116">
            <v>0</v>
          </cell>
          <cell r="M116">
            <v>0</v>
          </cell>
          <cell r="N116">
            <v>688.57010600000001</v>
          </cell>
          <cell r="O116">
            <v>961.4670000000001</v>
          </cell>
          <cell r="P116">
            <v>2057.4059999999999</v>
          </cell>
          <cell r="Q116">
            <v>2836.5940000000001</v>
          </cell>
          <cell r="R116">
            <v>3886.5940000000001</v>
          </cell>
          <cell r="S116">
            <v>5332.0659999999998</v>
          </cell>
          <cell r="T116">
            <v>6476.5659999999998</v>
          </cell>
        </row>
        <row r="119">
          <cell r="D119">
            <v>0</v>
          </cell>
          <cell r="E119">
            <v>0</v>
          </cell>
          <cell r="F119">
            <v>0</v>
          </cell>
          <cell r="G119">
            <v>0</v>
          </cell>
          <cell r="H119">
            <v>0</v>
          </cell>
          <cell r="I119">
            <v>0</v>
          </cell>
          <cell r="J119">
            <v>0</v>
          </cell>
          <cell r="K119">
            <v>0</v>
          </cell>
          <cell r="L119">
            <v>0</v>
          </cell>
          <cell r="M119">
            <v>0</v>
          </cell>
          <cell r="N119">
            <v>661.95261300000004</v>
          </cell>
          <cell r="O119">
            <v>876.74900000000014</v>
          </cell>
          <cell r="P119">
            <v>1810.337</v>
          </cell>
          <cell r="Q119">
            <v>2709.0039999999999</v>
          </cell>
          <cell r="R119">
            <v>3379.4856001222224</v>
          </cell>
          <cell r="S119">
            <v>4945.0910982083351</v>
          </cell>
          <cell r="T119">
            <v>6266.5127606558744</v>
          </cell>
        </row>
        <row r="128">
          <cell r="D128">
            <v>0</v>
          </cell>
          <cell r="E128">
            <v>0</v>
          </cell>
          <cell r="F128">
            <v>0</v>
          </cell>
          <cell r="G128">
            <v>0</v>
          </cell>
          <cell r="H128">
            <v>0</v>
          </cell>
          <cell r="I128">
            <v>0</v>
          </cell>
          <cell r="J128">
            <v>0</v>
          </cell>
          <cell r="K128">
            <v>0</v>
          </cell>
          <cell r="L128">
            <v>0</v>
          </cell>
          <cell r="M128">
            <v>0</v>
          </cell>
          <cell r="N128">
            <v>-817.59232300000008</v>
          </cell>
          <cell r="O128">
            <v>-191.64967699999977</v>
          </cell>
          <cell r="P128">
            <v>-910.77200000000028</v>
          </cell>
          <cell r="Q128">
            <v>-1483.6240000000003</v>
          </cell>
          <cell r="R128">
            <v>-285.60454488888854</v>
          </cell>
          <cell r="S128">
            <v>-1514.4394210277787</v>
          </cell>
          <cell r="T128">
            <v>-1798.0519505166658</v>
          </cell>
        </row>
        <row r="129">
          <cell r="D129">
            <v>0</v>
          </cell>
          <cell r="E129">
            <v>0</v>
          </cell>
          <cell r="F129">
            <v>0</v>
          </cell>
          <cell r="G129">
            <v>0</v>
          </cell>
          <cell r="H129">
            <v>0</v>
          </cell>
          <cell r="I129">
            <v>0</v>
          </cell>
          <cell r="J129">
            <v>0</v>
          </cell>
          <cell r="K129">
            <v>0</v>
          </cell>
          <cell r="L129">
            <v>0</v>
          </cell>
          <cell r="M129">
            <v>0</v>
          </cell>
          <cell r="N129">
            <v>-683.2892690000001</v>
          </cell>
          <cell r="O129">
            <v>187.30333800000074</v>
          </cell>
          <cell r="P129">
            <v>-314.25100000000054</v>
          </cell>
          <cell r="Q129">
            <v>-366.23399999999992</v>
          </cell>
          <cell r="R129">
            <v>1163.1287551111113</v>
          </cell>
          <cell r="S129">
            <v>429.14716727222003</v>
          </cell>
          <cell r="T129">
            <v>787.61765038283465</v>
          </cell>
        </row>
        <row r="135">
          <cell r="D135">
            <v>0</v>
          </cell>
          <cell r="E135">
            <v>0</v>
          </cell>
          <cell r="F135">
            <v>0</v>
          </cell>
          <cell r="G135">
            <v>0</v>
          </cell>
          <cell r="H135">
            <v>0</v>
          </cell>
          <cell r="I135">
            <v>0</v>
          </cell>
          <cell r="J135">
            <v>0</v>
          </cell>
          <cell r="K135">
            <v>0</v>
          </cell>
          <cell r="L135">
            <v>0</v>
          </cell>
          <cell r="M135">
            <v>0</v>
          </cell>
          <cell r="N135">
            <v>-752.27541000000019</v>
          </cell>
          <cell r="O135">
            <v>21.020338000000734</v>
          </cell>
          <cell r="P135">
            <v>-585.00100000000054</v>
          </cell>
          <cell r="Q135">
            <v>-854.91399999999999</v>
          </cell>
          <cell r="R135">
            <v>512.29255391111144</v>
          </cell>
          <cell r="S135">
            <v>-422.66931015177903</v>
          </cell>
          <cell r="T135">
            <v>-320.60565407452555</v>
          </cell>
        </row>
        <row r="136">
          <cell r="D136">
            <v>0</v>
          </cell>
          <cell r="E136">
            <v>0</v>
          </cell>
          <cell r="F136">
            <v>0</v>
          </cell>
          <cell r="G136">
            <v>0</v>
          </cell>
          <cell r="H136">
            <v>0</v>
          </cell>
          <cell r="I136">
            <v>0</v>
          </cell>
          <cell r="J136">
            <v>0</v>
          </cell>
          <cell r="K136">
            <v>0</v>
          </cell>
          <cell r="L136">
            <v>0</v>
          </cell>
          <cell r="M136">
            <v>0</v>
          </cell>
          <cell r="N136">
            <v>-2629.5098110000004</v>
          </cell>
          <cell r="O136">
            <v>-375.63659700000068</v>
          </cell>
          <cell r="P136">
            <v>-565.26499999999908</v>
          </cell>
          <cell r="Q136">
            <v>-561.8119999999999</v>
          </cell>
          <cell r="R136">
            <v>-1442</v>
          </cell>
          <cell r="S136">
            <v>-1500</v>
          </cell>
          <cell r="T136">
            <v>-1800</v>
          </cell>
        </row>
        <row r="137">
          <cell r="D137">
            <v>0</v>
          </cell>
          <cell r="E137">
            <v>0</v>
          </cell>
          <cell r="F137">
            <v>0</v>
          </cell>
          <cell r="G137">
            <v>0</v>
          </cell>
          <cell r="H137">
            <v>0</v>
          </cell>
          <cell r="I137">
            <v>0</v>
          </cell>
          <cell r="J137">
            <v>0</v>
          </cell>
          <cell r="K137">
            <v>0</v>
          </cell>
          <cell r="L137">
            <v>0</v>
          </cell>
          <cell r="M137">
            <v>0</v>
          </cell>
          <cell r="N137">
            <v>-3312.5745950000005</v>
          </cell>
          <cell r="O137">
            <v>-262.04125899999997</v>
          </cell>
          <cell r="P137">
            <v>-1010.4579999999996</v>
          </cell>
          <cell r="Q137">
            <v>-1223.0909999999999</v>
          </cell>
          <cell r="R137">
            <v>-634.08640608888857</v>
          </cell>
          <cell r="S137">
            <v>-1545.9850101517791</v>
          </cell>
          <cell r="T137">
            <v>-1648.2603740745255</v>
          </cell>
        </row>
        <row r="144">
          <cell r="N144">
            <v>26.617493</v>
          </cell>
          <cell r="O144">
            <v>84.717999999999989</v>
          </cell>
          <cell r="P144">
            <v>247.06899999999999</v>
          </cell>
          <cell r="Q144">
            <v>127.59</v>
          </cell>
          <cell r="R144">
            <v>507.10839987777763</v>
          </cell>
          <cell r="S144">
            <v>386.97490179166425</v>
          </cell>
          <cell r="T144">
            <v>210.05323934412536</v>
          </cell>
        </row>
        <row r="146">
          <cell r="N146">
            <v>746.12402099999997</v>
          </cell>
          <cell r="O146">
            <v>1139.675</v>
          </cell>
          <cell r="P146">
            <v>2141.759</v>
          </cell>
          <cell r="Q146">
            <v>3879.86</v>
          </cell>
          <cell r="R146">
            <v>4551.2454861111109</v>
          </cell>
          <cell r="S146">
            <v>6359.3835199999994</v>
          </cell>
          <cell r="T146">
            <v>8548.3964310583342</v>
          </cell>
        </row>
        <row r="147">
          <cell r="N147">
            <v>947.30837300000019</v>
          </cell>
          <cell r="O147">
            <v>1199.5550000000001</v>
          </cell>
          <cell r="P147">
            <v>1639.0600000000002</v>
          </cell>
          <cell r="Q147">
            <v>1689.575</v>
          </cell>
          <cell r="R147">
            <v>1916.3138888888889</v>
          </cell>
          <cell r="S147">
            <v>2749.1085008333334</v>
          </cell>
          <cell r="T147">
            <v>3745.4314259791668</v>
          </cell>
        </row>
        <row r="148">
          <cell r="N148">
            <v>147.445998</v>
          </cell>
          <cell r="O148">
            <v>254.05799999999999</v>
          </cell>
          <cell r="P148">
            <v>306.238</v>
          </cell>
          <cell r="Q148">
            <v>396.36199999999997</v>
          </cell>
          <cell r="R148">
            <v>383.26277777777779</v>
          </cell>
          <cell r="S148">
            <v>496.82683750000007</v>
          </cell>
          <cell r="T148">
            <v>616.89458780833343</v>
          </cell>
        </row>
        <row r="149">
          <cell r="N149">
            <v>0</v>
          </cell>
          <cell r="O149">
            <v>0</v>
          </cell>
          <cell r="P149">
            <v>0</v>
          </cell>
          <cell r="Q149">
            <v>0</v>
          </cell>
          <cell r="R149">
            <v>0</v>
          </cell>
          <cell r="S149">
            <v>0</v>
          </cell>
          <cell r="T149">
            <v>0</v>
          </cell>
        </row>
        <row r="150">
          <cell r="D150">
            <v>0</v>
          </cell>
          <cell r="E150">
            <v>0</v>
          </cell>
          <cell r="F150">
            <v>0</v>
          </cell>
          <cell r="G150">
            <v>0</v>
          </cell>
          <cell r="H150">
            <v>0</v>
          </cell>
          <cell r="I150">
            <v>0</v>
          </cell>
          <cell r="J150">
            <v>0</v>
          </cell>
          <cell r="K150">
            <v>0</v>
          </cell>
          <cell r="L150">
            <v>0</v>
          </cell>
          <cell r="M150">
            <v>0</v>
          </cell>
          <cell r="N150">
            <v>1867.495885</v>
          </cell>
          <cell r="O150">
            <v>2678.0060000000003</v>
          </cell>
          <cell r="P150">
            <v>4334.1260000000002</v>
          </cell>
          <cell r="Q150">
            <v>6093.3870000000006</v>
          </cell>
          <cell r="R150">
            <v>7357.9305526555554</v>
          </cell>
          <cell r="S150">
            <v>9992.2937601249978</v>
          </cell>
          <cell r="T150">
            <v>13120.775684189961</v>
          </cell>
        </row>
        <row r="151">
          <cell r="N151">
            <v>57.607033999999999</v>
          </cell>
          <cell r="O151">
            <v>56.451999999999991</v>
          </cell>
          <cell r="P151">
            <v>62.864999999999988</v>
          </cell>
          <cell r="Q151">
            <v>80.397000000000006</v>
          </cell>
          <cell r="R151">
            <v>80.397000000000006</v>
          </cell>
          <cell r="S151">
            <v>80.397000000000006</v>
          </cell>
          <cell r="T151">
            <v>80.397000000000006</v>
          </cell>
        </row>
        <row r="153">
          <cell r="N153">
            <v>1503.3251190000001</v>
          </cell>
          <cell r="O153">
            <v>1725.1680070000002</v>
          </cell>
          <cell r="P153">
            <v>2027.1490069999998</v>
          </cell>
          <cell r="Q153">
            <v>2466.4960070000002</v>
          </cell>
          <cell r="R153">
            <v>3611.1570070000002</v>
          </cell>
          <cell r="S153">
            <v>4661.1570069999998</v>
          </cell>
          <cell r="T153">
            <v>5961.1570069999998</v>
          </cell>
        </row>
        <row r="154">
          <cell r="N154">
            <v>1047.749286</v>
          </cell>
          <cell r="O154">
            <v>1111.9439950000003</v>
          </cell>
          <cell r="P154">
            <v>1181.592995</v>
          </cell>
          <cell r="Q154">
            <v>1243.7809949999998</v>
          </cell>
          <cell r="R154">
            <v>1389.7809949999998</v>
          </cell>
          <cell r="S154">
            <v>1589.7809949999998</v>
          </cell>
          <cell r="T154">
            <v>1839.7809949999998</v>
          </cell>
        </row>
        <row r="155">
          <cell r="N155">
            <v>0</v>
          </cell>
          <cell r="O155">
            <v>7.28</v>
          </cell>
          <cell r="P155">
            <v>106.614</v>
          </cell>
          <cell r="Q155">
            <v>44.661000000000001</v>
          </cell>
          <cell r="R155">
            <v>50</v>
          </cell>
          <cell r="S155">
            <v>100</v>
          </cell>
          <cell r="T155">
            <v>100</v>
          </cell>
        </row>
        <row r="156">
          <cell r="D156">
            <v>0</v>
          </cell>
          <cell r="E156">
            <v>0</v>
          </cell>
          <cell r="F156">
            <v>0</v>
          </cell>
          <cell r="G156">
            <v>0</v>
          </cell>
          <cell r="H156">
            <v>0</v>
          </cell>
          <cell r="I156">
            <v>0</v>
          </cell>
          <cell r="J156">
            <v>0</v>
          </cell>
          <cell r="K156">
            <v>0</v>
          </cell>
          <cell r="L156">
            <v>0</v>
          </cell>
          <cell r="M156">
            <v>0</v>
          </cell>
          <cell r="N156">
            <v>2551.0744050000003</v>
          </cell>
          <cell r="O156">
            <v>2844.392002000001</v>
          </cell>
          <cell r="P156">
            <v>3315.356002</v>
          </cell>
          <cell r="Q156">
            <v>3754.9380019999999</v>
          </cell>
          <cell r="R156">
            <v>5050.9380019999999</v>
          </cell>
          <cell r="S156">
            <v>6350.9380019999999</v>
          </cell>
          <cell r="T156">
            <v>7900.9380019999999</v>
          </cell>
        </row>
        <row r="160">
          <cell r="D160">
            <v>0</v>
          </cell>
          <cell r="E160">
            <v>0</v>
          </cell>
          <cell r="F160">
            <v>0</v>
          </cell>
          <cell r="G160">
            <v>0</v>
          </cell>
          <cell r="H160">
            <v>0</v>
          </cell>
          <cell r="I160">
            <v>0</v>
          </cell>
          <cell r="J160">
            <v>0</v>
          </cell>
          <cell r="K160">
            <v>0</v>
          </cell>
          <cell r="L160">
            <v>0</v>
          </cell>
          <cell r="M160">
            <v>0</v>
          </cell>
          <cell r="N160">
            <v>2608.6814390000004</v>
          </cell>
          <cell r="O160">
            <v>2900.8440020000007</v>
          </cell>
          <cell r="P160">
            <v>3378.2210019999998</v>
          </cell>
          <cell r="Q160">
            <v>3835.3350019999998</v>
          </cell>
          <cell r="R160">
            <v>5131.3350019999998</v>
          </cell>
          <cell r="S160">
            <v>6431.3350019999998</v>
          </cell>
          <cell r="T160">
            <v>7981.3350019999998</v>
          </cell>
        </row>
        <row r="161">
          <cell r="D161">
            <v>0</v>
          </cell>
          <cell r="E161">
            <v>0</v>
          </cell>
          <cell r="F161">
            <v>0</v>
          </cell>
          <cell r="G161">
            <v>0</v>
          </cell>
          <cell r="H161">
            <v>0</v>
          </cell>
          <cell r="I161">
            <v>0</v>
          </cell>
          <cell r="J161">
            <v>0</v>
          </cell>
          <cell r="K161">
            <v>0</v>
          </cell>
          <cell r="L161">
            <v>0</v>
          </cell>
          <cell r="M161">
            <v>0</v>
          </cell>
          <cell r="N161">
            <v>4476.1773240000002</v>
          </cell>
          <cell r="O161">
            <v>5578.850002000001</v>
          </cell>
          <cell r="P161">
            <v>7712.3470020000004</v>
          </cell>
          <cell r="Q161">
            <v>9928.7220020000004</v>
          </cell>
          <cell r="R161">
            <v>12489.265554655554</v>
          </cell>
          <cell r="S161">
            <v>16423.628762124998</v>
          </cell>
          <cell r="T161">
            <v>21102.110686189961</v>
          </cell>
        </row>
        <row r="162">
          <cell r="N162">
            <v>1016.915085</v>
          </cell>
          <cell r="O162">
            <v>1539.1860000000001</v>
          </cell>
          <cell r="P162">
            <v>2122.2860000000001</v>
          </cell>
          <cell r="Q162">
            <v>2501.625</v>
          </cell>
          <cell r="R162">
            <v>2994.2404513888887</v>
          </cell>
          <cell r="S162">
            <v>4206.4672241666667</v>
          </cell>
          <cell r="T162">
            <v>5684.242987662501</v>
          </cell>
        </row>
        <row r="167">
          <cell r="N167">
            <v>6.370984</v>
          </cell>
          <cell r="O167">
            <v>44.86</v>
          </cell>
          <cell r="P167">
            <v>44.756999999999998</v>
          </cell>
          <cell r="Q167">
            <v>60.533999999999999</v>
          </cell>
          <cell r="R167">
            <v>167.33915649999997</v>
          </cell>
          <cell r="S167">
            <v>195.16966825</v>
          </cell>
          <cell r="T167">
            <v>224.74554074999998</v>
          </cell>
        </row>
        <row r="168">
          <cell r="D168">
            <v>0</v>
          </cell>
          <cell r="E168">
            <v>0</v>
          </cell>
          <cell r="F168">
            <v>0</v>
          </cell>
          <cell r="G168">
            <v>0</v>
          </cell>
          <cell r="H168">
            <v>0</v>
          </cell>
          <cell r="I168">
            <v>0</v>
          </cell>
          <cell r="J168">
            <v>0</v>
          </cell>
          <cell r="K168">
            <v>0</v>
          </cell>
          <cell r="L168">
            <v>0</v>
          </cell>
          <cell r="M168">
            <v>0</v>
          </cell>
          <cell r="N168">
            <v>1023.286069</v>
          </cell>
          <cell r="O168">
            <v>1584.046</v>
          </cell>
          <cell r="P168">
            <v>2167.0430000000001</v>
          </cell>
          <cell r="Q168">
            <v>2562.1590000000001</v>
          </cell>
          <cell r="R168">
            <v>3161.5796078888889</v>
          </cell>
          <cell r="S168">
            <v>4401.6368924166663</v>
          </cell>
          <cell r="T168">
            <v>5908.9885284125012</v>
          </cell>
        </row>
        <row r="169">
          <cell r="N169">
            <v>688.57010600000001</v>
          </cell>
          <cell r="O169">
            <v>961.4670000000001</v>
          </cell>
          <cell r="P169">
            <v>2057.4059999999999</v>
          </cell>
          <cell r="Q169">
            <v>2836.5940000000001</v>
          </cell>
          <cell r="R169">
            <v>3886.5940000000001</v>
          </cell>
          <cell r="S169">
            <v>5332.0659999999998</v>
          </cell>
          <cell r="T169">
            <v>6476.5659999999998</v>
          </cell>
        </row>
        <row r="176">
          <cell r="N176">
            <v>99.513350000000003</v>
          </cell>
          <cell r="O176">
            <v>123.122</v>
          </cell>
          <cell r="P176">
            <v>121.05200000000001</v>
          </cell>
          <cell r="Q176">
            <v>167.69499999999999</v>
          </cell>
          <cell r="R176">
            <v>200.6083678</v>
          </cell>
          <cell r="S176">
            <v>244.6154364489999</v>
          </cell>
          <cell r="T176">
            <v>303.51516607598489</v>
          </cell>
        </row>
        <row r="179">
          <cell r="D179">
            <v>0</v>
          </cell>
          <cell r="E179">
            <v>0</v>
          </cell>
          <cell r="F179">
            <v>0</v>
          </cell>
          <cell r="G179">
            <v>0</v>
          </cell>
          <cell r="H179">
            <v>0</v>
          </cell>
          <cell r="I179">
            <v>0</v>
          </cell>
          <cell r="J179">
            <v>0</v>
          </cell>
          <cell r="K179">
            <v>0</v>
          </cell>
          <cell r="L179">
            <v>0</v>
          </cell>
          <cell r="M179">
            <v>0</v>
          </cell>
          <cell r="N179">
            <v>788.08345600000007</v>
          </cell>
          <cell r="O179">
            <v>1084.5890000000002</v>
          </cell>
          <cell r="P179">
            <v>2178.4580000000001</v>
          </cell>
          <cell r="Q179">
            <v>3004.2890000000002</v>
          </cell>
          <cell r="R179">
            <v>4087.2023678</v>
          </cell>
          <cell r="S179">
            <v>5576.6814364490001</v>
          </cell>
          <cell r="T179">
            <v>6780.0811660759846</v>
          </cell>
        </row>
        <row r="180">
          <cell r="D180">
            <v>0</v>
          </cell>
          <cell r="E180">
            <v>0</v>
          </cell>
          <cell r="F180">
            <v>0</v>
          </cell>
          <cell r="G180">
            <v>0</v>
          </cell>
          <cell r="H180">
            <v>0</v>
          </cell>
          <cell r="I180">
            <v>0</v>
          </cell>
          <cell r="J180">
            <v>0</v>
          </cell>
          <cell r="K180">
            <v>0</v>
          </cell>
          <cell r="L180">
            <v>0</v>
          </cell>
          <cell r="M180">
            <v>0</v>
          </cell>
          <cell r="N180">
            <v>1811.3695250000001</v>
          </cell>
          <cell r="O180">
            <v>2668.6350000000002</v>
          </cell>
          <cell r="P180">
            <v>4345.5010000000002</v>
          </cell>
          <cell r="Q180">
            <v>5566.4480000000003</v>
          </cell>
          <cell r="R180">
            <v>7248.7819756888894</v>
          </cell>
          <cell r="S180">
            <v>9978.3183288656655</v>
          </cell>
          <cell r="T180">
            <v>12689.069694488486</v>
          </cell>
        </row>
        <row r="181">
          <cell r="N181">
            <v>56.4741</v>
          </cell>
          <cell r="O181">
            <v>56.4741</v>
          </cell>
          <cell r="P181">
            <v>57.078000000000003</v>
          </cell>
          <cell r="Q181">
            <v>61.847000000000001</v>
          </cell>
          <cell r="R181">
            <v>185.66174666666666</v>
          </cell>
          <cell r="S181">
            <v>185.72211999999999</v>
          </cell>
          <cell r="T181">
            <v>187.14411999999999</v>
          </cell>
        </row>
        <row r="183">
          <cell r="N183">
            <v>594.809665</v>
          </cell>
          <cell r="O183">
            <v>676.57799999999997</v>
          </cell>
          <cell r="P183">
            <v>969.56000000000006</v>
          </cell>
          <cell r="Q183">
            <v>1817.19</v>
          </cell>
          <cell r="R183">
            <v>2275.2598423000004</v>
          </cell>
          <cell r="S183">
            <v>3080.0263232593315</v>
          </cell>
          <cell r="T183">
            <v>4546.3348817014721</v>
          </cell>
        </row>
        <row r="186">
          <cell r="D186">
            <v>0</v>
          </cell>
          <cell r="E186">
            <v>0</v>
          </cell>
          <cell r="F186">
            <v>0</v>
          </cell>
          <cell r="G186">
            <v>0</v>
          </cell>
          <cell r="H186">
            <v>0</v>
          </cell>
          <cell r="I186">
            <v>0</v>
          </cell>
          <cell r="J186">
            <v>0</v>
          </cell>
          <cell r="K186">
            <v>0</v>
          </cell>
          <cell r="L186">
            <v>0</v>
          </cell>
          <cell r="M186">
            <v>0</v>
          </cell>
          <cell r="N186">
            <v>594.809665</v>
          </cell>
          <cell r="O186">
            <v>676.57799999999997</v>
          </cell>
          <cell r="P186">
            <v>969.56000000000006</v>
          </cell>
          <cell r="Q186">
            <v>1817.19</v>
          </cell>
          <cell r="R186">
            <v>2275.2598423000004</v>
          </cell>
          <cell r="S186">
            <v>3080.0263232593315</v>
          </cell>
          <cell r="T186">
            <v>4546.3348817014721</v>
          </cell>
        </row>
        <row r="187">
          <cell r="N187">
            <v>81.974900999999988</v>
          </cell>
          <cell r="O187">
            <v>46.724999999999994</v>
          </cell>
          <cell r="P187">
            <v>22.977000000000004</v>
          </cell>
          <cell r="Q187">
            <v>4.3270000000000017</v>
          </cell>
          <cell r="R187">
            <v>0</v>
          </cell>
          <cell r="S187">
            <v>0</v>
          </cell>
          <cell r="T187">
            <v>0</v>
          </cell>
        </row>
        <row r="188">
          <cell r="D188">
            <v>0</v>
          </cell>
          <cell r="E188">
            <v>0</v>
          </cell>
          <cell r="F188">
            <v>0</v>
          </cell>
          <cell r="G188">
            <v>0</v>
          </cell>
          <cell r="H188">
            <v>0</v>
          </cell>
          <cell r="I188">
            <v>0</v>
          </cell>
          <cell r="J188">
            <v>0</v>
          </cell>
          <cell r="K188">
            <v>0</v>
          </cell>
          <cell r="L188">
            <v>0</v>
          </cell>
          <cell r="M188">
            <v>0</v>
          </cell>
          <cell r="N188">
            <v>733.25866599999995</v>
          </cell>
          <cell r="O188">
            <v>779.77710000000002</v>
          </cell>
          <cell r="P188">
            <v>1049.6150000000002</v>
          </cell>
          <cell r="Q188">
            <v>1883.364</v>
          </cell>
          <cell r="R188">
            <v>2460.9215889666671</v>
          </cell>
          <cell r="S188">
            <v>3265.7484432593315</v>
          </cell>
          <cell r="T188">
            <v>4733.479001701472</v>
          </cell>
        </row>
        <row r="190">
          <cell r="D190">
            <v>0</v>
          </cell>
          <cell r="E190">
            <v>0</v>
          </cell>
          <cell r="F190">
            <v>0</v>
          </cell>
          <cell r="G190">
            <v>0</v>
          </cell>
          <cell r="H190">
            <v>0</v>
          </cell>
          <cell r="I190">
            <v>0</v>
          </cell>
          <cell r="J190">
            <v>0</v>
          </cell>
          <cell r="K190">
            <v>0</v>
          </cell>
          <cell r="L190">
            <v>0</v>
          </cell>
          <cell r="M190">
            <v>0</v>
          </cell>
          <cell r="N190">
            <v>733.25866599999995</v>
          </cell>
          <cell r="O190">
            <v>779.77710000000002</v>
          </cell>
          <cell r="P190">
            <v>1049.6150000000002</v>
          </cell>
          <cell r="Q190">
            <v>1883.364</v>
          </cell>
          <cell r="R190">
            <v>2460.9215889666671</v>
          </cell>
          <cell r="S190">
            <v>3265.7484432593315</v>
          </cell>
          <cell r="T190">
            <v>4733.479001701472</v>
          </cell>
        </row>
        <row r="191">
          <cell r="D191">
            <v>0</v>
          </cell>
          <cell r="E191">
            <v>0</v>
          </cell>
          <cell r="F191">
            <v>0</v>
          </cell>
          <cell r="G191">
            <v>0</v>
          </cell>
          <cell r="H191">
            <v>0</v>
          </cell>
          <cell r="I191">
            <v>0</v>
          </cell>
          <cell r="J191">
            <v>0</v>
          </cell>
          <cell r="K191">
            <v>0</v>
          </cell>
          <cell r="L191">
            <v>0</v>
          </cell>
          <cell r="M191">
            <v>0</v>
          </cell>
          <cell r="N191">
            <v>2544.6281909999998</v>
          </cell>
          <cell r="O191">
            <v>3448.4121000000005</v>
          </cell>
          <cell r="P191">
            <v>5395.116</v>
          </cell>
          <cell r="Q191">
            <v>7449.8119999999999</v>
          </cell>
          <cell r="R191">
            <v>9709.703564655556</v>
          </cell>
          <cell r="S191">
            <v>13244.066772124997</v>
          </cell>
          <cell r="T191">
            <v>17422.548696189959</v>
          </cell>
        </row>
        <row r="202">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row>
        <row r="206">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row>
        <row r="209">
          <cell r="D209">
            <v>0</v>
          </cell>
          <cell r="E209">
            <v>0</v>
          </cell>
          <cell r="F209">
            <v>0</v>
          </cell>
          <cell r="G209">
            <v>0</v>
          </cell>
          <cell r="H209">
            <v>0</v>
          </cell>
          <cell r="I209">
            <v>0</v>
          </cell>
          <cell r="J209">
            <v>0</v>
          </cell>
          <cell r="K209">
            <v>0</v>
          </cell>
          <cell r="L209">
            <v>0</v>
          </cell>
          <cell r="M209">
            <v>0</v>
          </cell>
          <cell r="N209">
            <v>817.59232300000008</v>
          </cell>
          <cell r="O209">
            <v>1009.2419999999998</v>
          </cell>
          <cell r="P209">
            <v>1920.0140000000001</v>
          </cell>
          <cell r="Q209">
            <v>3403.6380000000004</v>
          </cell>
          <cell r="R209">
            <v>3689.2425448888889</v>
          </cell>
          <cell r="S209">
            <v>5203.6819659166677</v>
          </cell>
          <cell r="T209">
            <v>7001.7339164333334</v>
          </cell>
        </row>
        <row r="210">
          <cell r="D210">
            <v>0</v>
          </cell>
          <cell r="E210">
            <v>0</v>
          </cell>
          <cell r="F210">
            <v>0</v>
          </cell>
          <cell r="G210">
            <v>0</v>
          </cell>
          <cell r="H210">
            <v>0</v>
          </cell>
          <cell r="I210">
            <v>0</v>
          </cell>
          <cell r="J210">
            <v>0</v>
          </cell>
          <cell r="K210">
            <v>0</v>
          </cell>
          <cell r="L210">
            <v>0</v>
          </cell>
          <cell r="M210">
            <v>0</v>
          </cell>
          <cell r="N210">
            <v>1275.5372025000001</v>
          </cell>
          <cell r="O210">
            <v>5395.4664070000017</v>
          </cell>
          <cell r="P210">
            <v>3079.8740020000005</v>
          </cell>
          <cell r="Q210">
            <v>3535.1470019999997</v>
          </cell>
          <cell r="R210">
            <v>4402.9380019999999</v>
          </cell>
          <cell r="S210">
            <v>5700.9380019999999</v>
          </cell>
          <cell r="T210">
            <v>7125.9380019999999</v>
          </cell>
        </row>
        <row r="211">
          <cell r="D211">
            <v>0</v>
          </cell>
          <cell r="E211">
            <v>0</v>
          </cell>
          <cell r="F211">
            <v>0</v>
          </cell>
          <cell r="G211">
            <v>0</v>
          </cell>
          <cell r="H211">
            <v>0</v>
          </cell>
          <cell r="I211">
            <v>0</v>
          </cell>
          <cell r="J211">
            <v>0</v>
          </cell>
          <cell r="K211">
            <v>0</v>
          </cell>
          <cell r="L211">
            <v>0</v>
          </cell>
          <cell r="M211">
            <v>0</v>
          </cell>
          <cell r="N211">
            <v>2238.0886620000001</v>
          </cell>
          <cell r="O211">
            <v>10055.027326000001</v>
          </cell>
          <cell r="P211">
            <v>6645.5985020000007</v>
          </cell>
          <cell r="Q211">
            <v>8820.5345020000004</v>
          </cell>
          <cell r="R211">
            <v>11208.993778327778</v>
          </cell>
          <cell r="S211">
            <v>14456.447158390276</v>
          </cell>
          <cell r="T211">
            <v>18762.869724157477</v>
          </cell>
        </row>
        <row r="212">
          <cell r="D212">
            <v>0</v>
          </cell>
          <cell r="E212">
            <v>0</v>
          </cell>
          <cell r="F212">
            <v>0</v>
          </cell>
          <cell r="G212">
            <v>0</v>
          </cell>
          <cell r="H212">
            <v>0</v>
          </cell>
          <cell r="I212">
            <v>0</v>
          </cell>
          <cell r="J212">
            <v>0</v>
          </cell>
          <cell r="K212">
            <v>0</v>
          </cell>
          <cell r="L212">
            <v>0</v>
          </cell>
          <cell r="M212">
            <v>0</v>
          </cell>
          <cell r="N212">
            <v>366.62933299999997</v>
          </cell>
          <cell r="O212">
            <v>1513.035766</v>
          </cell>
          <cell r="P212">
            <v>914.69605000000013</v>
          </cell>
          <cell r="Q212">
            <v>1466.4895000000001</v>
          </cell>
          <cell r="R212">
            <v>2172.1427944833335</v>
          </cell>
          <cell r="S212">
            <v>2863.3350161129993</v>
          </cell>
          <cell r="T212">
            <v>3999.6137224804015</v>
          </cell>
        </row>
        <row r="213">
          <cell r="D213">
            <v>0</v>
          </cell>
          <cell r="E213">
            <v>0</v>
          </cell>
          <cell r="F213">
            <v>0</v>
          </cell>
          <cell r="G213">
            <v>0</v>
          </cell>
          <cell r="H213">
            <v>0</v>
          </cell>
          <cell r="I213">
            <v>0</v>
          </cell>
          <cell r="J213">
            <v>0</v>
          </cell>
          <cell r="K213">
            <v>0</v>
          </cell>
          <cell r="L213">
            <v>0</v>
          </cell>
          <cell r="M213">
            <v>0</v>
          </cell>
          <cell r="N213">
            <v>1521.3421219999998</v>
          </cell>
          <cell r="O213">
            <v>1864.3661000000004</v>
          </cell>
          <cell r="P213">
            <v>3228.0729999999999</v>
          </cell>
          <cell r="Q213">
            <v>4887.6530000000002</v>
          </cell>
          <cell r="R213">
            <v>6548.1239567666671</v>
          </cell>
          <cell r="S213">
            <v>8842.429879708332</v>
          </cell>
          <cell r="T213">
            <v>11513.560167777458</v>
          </cell>
        </row>
        <row r="214">
          <cell r="D214">
            <v>0</v>
          </cell>
          <cell r="E214">
            <v>0</v>
          </cell>
          <cell r="F214">
            <v>0</v>
          </cell>
          <cell r="G214">
            <v>0</v>
          </cell>
          <cell r="H214">
            <v>0</v>
          </cell>
          <cell r="I214">
            <v>0</v>
          </cell>
          <cell r="J214">
            <v>0</v>
          </cell>
          <cell r="K214">
            <v>0</v>
          </cell>
          <cell r="L214">
            <v>0</v>
          </cell>
          <cell r="M214">
            <v>0</v>
          </cell>
          <cell r="N214">
            <v>760.6710609999999</v>
          </cell>
          <cell r="O214">
            <v>3385.7082220000002</v>
          </cell>
          <cell r="P214">
            <v>2546.2195500000003</v>
          </cell>
          <cell r="Q214">
            <v>4057.8630000000003</v>
          </cell>
          <cell r="R214">
            <v>5717.8884783833337</v>
          </cell>
          <cell r="S214">
            <v>7695.2769182374996</v>
          </cell>
          <cell r="T214">
            <v>10177.995023742895</v>
          </cell>
        </row>
        <row r="215">
          <cell r="D215">
            <v>0</v>
          </cell>
          <cell r="E215">
            <v>0</v>
          </cell>
          <cell r="F215">
            <v>0</v>
          </cell>
          <cell r="G215">
            <v>0</v>
          </cell>
          <cell r="H215">
            <v>0</v>
          </cell>
          <cell r="I215">
            <v>0</v>
          </cell>
          <cell r="J215">
            <v>0</v>
          </cell>
          <cell r="K215">
            <v>0</v>
          </cell>
          <cell r="L215">
            <v>0</v>
          </cell>
          <cell r="M215">
            <v>0</v>
          </cell>
          <cell r="N215">
            <v>3368.6667280000001</v>
          </cell>
          <cell r="O215">
            <v>3853.6340020000007</v>
          </cell>
          <cell r="P215">
            <v>5235.3700019999997</v>
          </cell>
          <cell r="Q215">
            <v>7158.5760019999998</v>
          </cell>
          <cell r="R215">
            <v>8740.1805468888888</v>
          </cell>
          <cell r="S215">
            <v>11554.619967916668</v>
          </cell>
          <cell r="T215">
            <v>14902.671918433334</v>
          </cell>
        </row>
        <row r="216">
          <cell r="D216">
            <v>0</v>
          </cell>
          <cell r="E216">
            <v>0</v>
          </cell>
          <cell r="F216">
            <v>0</v>
          </cell>
          <cell r="G216">
            <v>0</v>
          </cell>
          <cell r="H216">
            <v>0</v>
          </cell>
          <cell r="I216">
            <v>0</v>
          </cell>
          <cell r="J216">
            <v>0</v>
          </cell>
          <cell r="K216">
            <v>0</v>
          </cell>
          <cell r="L216">
            <v>0</v>
          </cell>
          <cell r="M216">
            <v>0</v>
          </cell>
          <cell r="N216">
            <v>1684.3333640000001</v>
          </cell>
          <cell r="O216">
            <v>7222.3007300000008</v>
          </cell>
          <cell r="P216">
            <v>4544.5020020000002</v>
          </cell>
          <cell r="Q216">
            <v>6196.9730019999997</v>
          </cell>
          <cell r="R216">
            <v>7949.3782744444443</v>
          </cell>
          <cell r="S216">
            <v>10147.400257402778</v>
          </cell>
          <cell r="T216">
            <v>13228.645943175001</v>
          </cell>
        </row>
        <row r="219">
          <cell r="D219">
            <v>6803.17</v>
          </cell>
          <cell r="E219">
            <v>6803.17</v>
          </cell>
          <cell r="F219">
            <v>6803.17</v>
          </cell>
          <cell r="G219">
            <v>6803.17</v>
          </cell>
          <cell r="H219">
            <v>6803.17</v>
          </cell>
          <cell r="I219">
            <v>6803.17</v>
          </cell>
          <cell r="J219">
            <v>6803.17</v>
          </cell>
          <cell r="K219">
            <v>6803.17</v>
          </cell>
          <cell r="L219">
            <v>6803.17</v>
          </cell>
          <cell r="M219">
            <v>6803.17</v>
          </cell>
          <cell r="N219">
            <v>6803.17</v>
          </cell>
          <cell r="O219">
            <v>6803.17</v>
          </cell>
          <cell r="P219">
            <v>6803.17</v>
          </cell>
          <cell r="Q219">
            <v>6803.17</v>
          </cell>
          <cell r="R219">
            <v>6803.17</v>
          </cell>
          <cell r="S219">
            <v>6803.17</v>
          </cell>
          <cell r="T219">
            <v>6803.17</v>
          </cell>
        </row>
        <row r="220">
          <cell r="D220">
            <v>0</v>
          </cell>
          <cell r="E220">
            <v>0</v>
          </cell>
          <cell r="F220">
            <v>0</v>
          </cell>
          <cell r="G220">
            <v>0</v>
          </cell>
          <cell r="H220">
            <v>0</v>
          </cell>
          <cell r="I220">
            <v>0</v>
          </cell>
          <cell r="J220">
            <v>0</v>
          </cell>
          <cell r="K220">
            <v>0</v>
          </cell>
          <cell r="L220">
            <v>0</v>
          </cell>
          <cell r="M220">
            <v>0</v>
          </cell>
          <cell r="N220">
            <v>688.57010600000001</v>
          </cell>
          <cell r="O220">
            <v>961.4670000000001</v>
          </cell>
          <cell r="P220">
            <v>2057.4059999999999</v>
          </cell>
          <cell r="Q220">
            <v>2836.5940000000001</v>
          </cell>
          <cell r="R220">
            <v>3886.5940000000001</v>
          </cell>
          <cell r="S220">
            <v>5332.0659999999998</v>
          </cell>
          <cell r="T220">
            <v>6476.5659999999998</v>
          </cell>
        </row>
        <row r="221">
          <cell r="O221">
            <v>0</v>
          </cell>
          <cell r="P221">
            <v>0</v>
          </cell>
          <cell r="Q221">
            <v>0</v>
          </cell>
          <cell r="R221">
            <v>0</v>
          </cell>
          <cell r="S221">
            <v>0</v>
          </cell>
          <cell r="T221">
            <v>0</v>
          </cell>
        </row>
        <row r="223">
          <cell r="D223">
            <v>6803.17</v>
          </cell>
          <cell r="E223">
            <v>6803.17</v>
          </cell>
          <cell r="F223">
            <v>6803.17</v>
          </cell>
          <cell r="G223">
            <v>6803.17</v>
          </cell>
          <cell r="H223">
            <v>6803.17</v>
          </cell>
          <cell r="I223">
            <v>6803.17</v>
          </cell>
          <cell r="J223">
            <v>6803.17</v>
          </cell>
          <cell r="K223">
            <v>6803.17</v>
          </cell>
          <cell r="L223">
            <v>6803.17</v>
          </cell>
          <cell r="M223">
            <v>6803.17</v>
          </cell>
          <cell r="N223">
            <v>7491.7401060000002</v>
          </cell>
          <cell r="O223">
            <v>7764.6370000000006</v>
          </cell>
          <cell r="P223">
            <v>8860.5760000000009</v>
          </cell>
          <cell r="Q223">
            <v>9639.7639999999992</v>
          </cell>
          <cell r="R223">
            <v>10689.763999999999</v>
          </cell>
          <cell r="S223">
            <v>12135.236000000001</v>
          </cell>
          <cell r="T223">
            <v>13279.736000000001</v>
          </cell>
        </row>
        <row r="224">
          <cell r="O224">
            <v>26.617493</v>
          </cell>
          <cell r="P224">
            <v>84.717999999999989</v>
          </cell>
          <cell r="Q224">
            <v>247.06899999999999</v>
          </cell>
          <cell r="R224">
            <v>127.59</v>
          </cell>
          <cell r="S224">
            <v>507.10839987777763</v>
          </cell>
          <cell r="T224">
            <v>386.97490179166425</v>
          </cell>
        </row>
        <row r="225">
          <cell r="D225">
            <v>6803.17</v>
          </cell>
          <cell r="E225">
            <v>6803.17</v>
          </cell>
          <cell r="F225">
            <v>6803.17</v>
          </cell>
          <cell r="G225">
            <v>6803.17</v>
          </cell>
          <cell r="H225">
            <v>6803.17</v>
          </cell>
          <cell r="I225">
            <v>6803.17</v>
          </cell>
          <cell r="J225">
            <v>6803.17</v>
          </cell>
          <cell r="K225">
            <v>6803.17</v>
          </cell>
          <cell r="L225">
            <v>6803.17</v>
          </cell>
          <cell r="M225">
            <v>6803.17</v>
          </cell>
          <cell r="N225">
            <v>7491.7401060000002</v>
          </cell>
          <cell r="O225">
            <v>7738.0195070000009</v>
          </cell>
          <cell r="P225">
            <v>8775.8580000000002</v>
          </cell>
          <cell r="Q225">
            <v>9392.6949999999997</v>
          </cell>
          <cell r="R225">
            <v>10562.173999999999</v>
          </cell>
          <cell r="S225">
            <v>11628.127600122223</v>
          </cell>
          <cell r="T225">
            <v>12892.761098208337</v>
          </cell>
        </row>
        <row r="265">
          <cell r="D265"/>
          <cell r="E265"/>
          <cell r="F265"/>
          <cell r="G265"/>
          <cell r="H265"/>
          <cell r="I265"/>
          <cell r="J265"/>
          <cell r="K265"/>
          <cell r="L265"/>
          <cell r="M265"/>
          <cell r="N265"/>
          <cell r="O265">
            <v>5.6991086179328398</v>
          </cell>
          <cell r="P265">
            <v>11.075092402518306</v>
          </cell>
          <cell r="Q265">
            <v>19.23925162917806</v>
          </cell>
          <cell r="R265">
            <v>11.989832420737079</v>
          </cell>
          <cell r="S265">
            <v>10.681886854995314</v>
          </cell>
          <cell r="T265">
            <v>14.240455734926718</v>
          </cell>
        </row>
        <row r="267">
          <cell r="D267"/>
          <cell r="E267"/>
          <cell r="F267"/>
          <cell r="G267"/>
          <cell r="H267"/>
          <cell r="I267"/>
          <cell r="J267"/>
          <cell r="K267"/>
          <cell r="L267"/>
          <cell r="M267"/>
          <cell r="N267"/>
          <cell r="O267">
            <v>8.6143919070866275</v>
          </cell>
          <cell r="P267">
            <v>14.396950826977211</v>
          </cell>
          <cell r="Q267">
            <v>23.350414126550351</v>
          </cell>
          <cell r="R267">
            <v>14.349344994999774</v>
          </cell>
          <cell r="S267">
            <v>12.835992274760452</v>
          </cell>
          <cell r="T267">
            <v>16.922382637185287</v>
          </cell>
        </row>
        <row r="268">
          <cell r="D268"/>
          <cell r="E268"/>
          <cell r="F268"/>
          <cell r="G268"/>
          <cell r="H268"/>
          <cell r="I268"/>
          <cell r="J268"/>
          <cell r="K268"/>
          <cell r="L268"/>
          <cell r="M268"/>
          <cell r="N268"/>
          <cell r="O268">
            <v>0.74442401029855221</v>
          </cell>
          <cell r="P268">
            <v>-20.607315936913562</v>
          </cell>
          <cell r="Q268">
            <v>-28.754727769602692</v>
          </cell>
          <cell r="R268">
            <v>8.2791830318795707</v>
          </cell>
          <cell r="S268">
            <v>-4.5523712588316956</v>
          </cell>
          <cell r="T268">
            <v>-3.4393637147146987</v>
          </cell>
        </row>
        <row r="269">
          <cell r="D269"/>
          <cell r="E269"/>
          <cell r="F269"/>
          <cell r="G269"/>
          <cell r="H269"/>
          <cell r="I269"/>
          <cell r="J269"/>
          <cell r="K269"/>
          <cell r="L269"/>
          <cell r="M269"/>
          <cell r="N269"/>
          <cell r="O269">
            <v>-0.50001682187055663</v>
          </cell>
          <cell r="P269">
            <v>-1.0797510570037896</v>
          </cell>
          <cell r="Q269">
            <v>-1.5601429472356525</v>
          </cell>
          <cell r="R269">
            <v>-2.2503658860594609</v>
          </cell>
          <cell r="S269">
            <v>-1.7502844855224369</v>
          </cell>
          <cell r="T269">
            <v>-2.0076274001100236</v>
          </cell>
        </row>
        <row r="270">
          <cell r="D270"/>
          <cell r="E270"/>
          <cell r="F270"/>
          <cell r="G270"/>
          <cell r="H270"/>
          <cell r="I270"/>
          <cell r="J270"/>
          <cell r="K270"/>
          <cell r="L270"/>
          <cell r="M270"/>
          <cell r="N270"/>
          <cell r="O270">
            <v>27.615388293040528</v>
          </cell>
          <cell r="P270">
            <v>36.973864860271199</v>
          </cell>
          <cell r="Q270">
            <v>63.346277065377336</v>
          </cell>
          <cell r="R270">
            <v>39.771064612612214</v>
          </cell>
          <cell r="S270">
            <v>35.173832106072439</v>
          </cell>
          <cell r="T270">
            <v>50.779378703756848</v>
          </cell>
        </row>
        <row r="272">
          <cell r="D272"/>
          <cell r="E272"/>
          <cell r="F272"/>
          <cell r="G272"/>
          <cell r="H272"/>
          <cell r="I272"/>
          <cell r="J272"/>
          <cell r="K272"/>
          <cell r="L272"/>
          <cell r="M272"/>
          <cell r="N272">
            <v>-1.0455055857947058</v>
          </cell>
          <cell r="O272">
            <v>31.41403005868516</v>
          </cell>
          <cell r="P272">
            <v>29.402571506841944</v>
          </cell>
          <cell r="Q272">
            <v>34.028524240760632</v>
          </cell>
          <cell r="R272">
            <v>32.377284818601879</v>
          </cell>
          <cell r="S272">
            <v>32.390172216217096</v>
          </cell>
          <cell r="T272">
            <v>32.387823941692503</v>
          </cell>
        </row>
        <row r="284">
          <cell r="D284"/>
          <cell r="E284"/>
          <cell r="F284"/>
          <cell r="G284"/>
          <cell r="H284"/>
          <cell r="I284"/>
          <cell r="J284"/>
          <cell r="K284"/>
          <cell r="L284"/>
          <cell r="M284"/>
          <cell r="N284"/>
          <cell r="O284"/>
          <cell r="P284">
            <v>94.330256624156505</v>
          </cell>
          <cell r="Q284">
            <v>73.716398292111293</v>
          </cell>
          <cell r="R284">
            <v>-37.680359653109285</v>
          </cell>
          <cell r="S284">
            <v>-10.908789379571315</v>
          </cell>
          <cell r="T284">
            <v>33.314047679387862</v>
          </cell>
        </row>
        <row r="295">
          <cell r="D295"/>
          <cell r="E295"/>
          <cell r="F295"/>
          <cell r="G295"/>
          <cell r="H295"/>
          <cell r="I295"/>
          <cell r="J295"/>
          <cell r="K295"/>
          <cell r="L295"/>
          <cell r="M295"/>
          <cell r="N295">
            <v>3.3515780537903122</v>
          </cell>
          <cell r="O295">
            <v>2.8169599130444358</v>
          </cell>
          <cell r="P295">
            <v>7.8018318667766344</v>
          </cell>
          <cell r="Q295">
            <v>10.594232667364571</v>
          </cell>
          <cell r="R295">
            <v>11.08191859310903</v>
          </cell>
          <cell r="S295">
            <v>11.617122215621437</v>
          </cell>
          <cell r="T295">
            <v>11.93770737749079</v>
          </cell>
        </row>
        <row r="296">
          <cell r="D296"/>
          <cell r="E296"/>
          <cell r="F296"/>
          <cell r="G296"/>
          <cell r="H296"/>
          <cell r="I296"/>
          <cell r="J296"/>
          <cell r="K296"/>
          <cell r="L296"/>
          <cell r="M296"/>
          <cell r="N296">
            <v>0.29010983737406804</v>
          </cell>
          <cell r="O296">
            <v>0.25747622706020812</v>
          </cell>
          <cell r="P296">
            <v>0.75444739819920625</v>
          </cell>
          <cell r="Q296">
            <v>0.99246499399366106</v>
          </cell>
          <cell r="R296">
            <v>1.0441877215483886</v>
          </cell>
          <cell r="S296">
            <v>1.0990551714155186</v>
          </cell>
          <cell r="T296">
            <v>0.99840536725455586</v>
          </cell>
        </row>
        <row r="299">
          <cell r="D299"/>
          <cell r="E299"/>
          <cell r="F299"/>
          <cell r="G299"/>
          <cell r="H299"/>
          <cell r="I299"/>
          <cell r="J299"/>
          <cell r="K299"/>
          <cell r="L299"/>
          <cell r="M299"/>
          <cell r="N299">
            <v>11.552790088495973</v>
          </cell>
          <cell r="O299">
            <v>10.940660212430872</v>
          </cell>
          <cell r="P299">
            <v>10.341121044885117</v>
          </cell>
          <cell r="Q299">
            <v>10.674666342369992</v>
          </cell>
          <cell r="R299">
            <v>10.612956238056553</v>
          </cell>
          <cell r="S299">
            <v>10.57009922500912</v>
          </cell>
          <cell r="T299">
            <v>11.956774040906296</v>
          </cell>
        </row>
        <row r="329">
          <cell r="D329" t="str">
            <v>n/a</v>
          </cell>
          <cell r="E329" t="str">
            <v>n/a</v>
          </cell>
          <cell r="F329" t="str">
            <v>n/a</v>
          </cell>
          <cell r="G329" t="str">
            <v>n/a</v>
          </cell>
          <cell r="H329" t="str">
            <v>n/a</v>
          </cell>
          <cell r="I329" t="str">
            <v>n/a</v>
          </cell>
          <cell r="J329" t="str">
            <v>n/a</v>
          </cell>
          <cell r="K329" t="str">
            <v>n/a</v>
          </cell>
          <cell r="L329" t="str">
            <v>n/a</v>
          </cell>
          <cell r="M329" t="str">
            <v>n/a</v>
          </cell>
          <cell r="N329" t="str">
            <v>n/a</v>
          </cell>
          <cell r="O329">
            <v>38.602528000211656</v>
          </cell>
          <cell r="P329">
            <v>19.864394083969483</v>
          </cell>
          <cell r="Q329">
            <v>11.434956215570784</v>
          </cell>
          <cell r="R329">
            <v>18.34888030790971</v>
          </cell>
          <cell r="S329">
            <v>20.595612272107005</v>
          </cell>
          <cell r="T329">
            <v>15.448943776456472</v>
          </cell>
        </row>
        <row r="342">
          <cell r="D342"/>
          <cell r="E342"/>
          <cell r="F342"/>
          <cell r="G342"/>
          <cell r="H342"/>
          <cell r="I342"/>
          <cell r="J342"/>
          <cell r="K342"/>
          <cell r="L342"/>
          <cell r="M342"/>
          <cell r="N342">
            <v>4.4478962811782194</v>
          </cell>
          <cell r="O342">
            <v>1.0714064390669593</v>
          </cell>
          <cell r="P342">
            <v>1.931093439091415</v>
          </cell>
          <cell r="Q342">
            <v>1.5156908053284432</v>
          </cell>
          <cell r="R342">
            <v>1.3286792545720381</v>
          </cell>
          <cell r="S342">
            <v>1.1459218425565916</v>
          </cell>
          <cell r="T342">
            <v>0.9746092800117645</v>
          </cell>
        </row>
        <row r="348">
          <cell r="E348">
            <v>0.14000000000000001</v>
          </cell>
          <cell r="F348">
            <v>0.15</v>
          </cell>
          <cell r="G348">
            <v>0.16500000000000001</v>
          </cell>
          <cell r="H348">
            <v>0.14499999999999999</v>
          </cell>
          <cell r="I348">
            <v>0.14000000000000001</v>
          </cell>
          <cell r="J348">
            <v>0.125</v>
          </cell>
          <cell r="K348">
            <v>0.12</v>
          </cell>
          <cell r="L348">
            <v>0.115</v>
          </cell>
          <cell r="M348">
            <v>0.115</v>
          </cell>
          <cell r="N348">
            <v>0.11</v>
          </cell>
          <cell r="O348">
            <v>0.105</v>
          </cell>
          <cell r="P348">
            <v>0.105</v>
          </cell>
          <cell r="Q348">
            <v>0.105</v>
          </cell>
          <cell r="R348">
            <v>0.105</v>
          </cell>
          <cell r="S348">
            <v>0.105</v>
          </cell>
          <cell r="T348">
            <v>0.105</v>
          </cell>
        </row>
        <row r="349">
          <cell r="E349">
            <v>0</v>
          </cell>
          <cell r="F349">
            <v>0</v>
          </cell>
          <cell r="G349">
            <v>0</v>
          </cell>
          <cell r="H349">
            <v>0.01</v>
          </cell>
          <cell r="I349">
            <v>0.01</v>
          </cell>
          <cell r="J349">
            <v>0.01</v>
          </cell>
          <cell r="K349">
            <v>0.01</v>
          </cell>
          <cell r="L349">
            <v>0.8</v>
          </cell>
          <cell r="M349">
            <v>-1.4999999999999999E-2</v>
          </cell>
          <cell r="N349">
            <v>-0.02</v>
          </cell>
          <cell r="O349">
            <v>-0.02</v>
          </cell>
          <cell r="P349">
            <v>-0.02</v>
          </cell>
          <cell r="Q349">
            <v>-0.02</v>
          </cell>
          <cell r="R349">
            <v>-0.02</v>
          </cell>
          <cell r="S349">
            <v>-0.02</v>
          </cell>
          <cell r="T349">
            <v>0</v>
          </cell>
        </row>
        <row r="350">
          <cell r="D350">
            <v>0</v>
          </cell>
          <cell r="E350">
            <v>0.14000000000000001</v>
          </cell>
          <cell r="F350">
            <v>0.15</v>
          </cell>
          <cell r="G350">
            <v>0.16500000000000001</v>
          </cell>
          <cell r="H350">
            <v>0.155</v>
          </cell>
          <cell r="I350">
            <v>0.15000000000000002</v>
          </cell>
          <cell r="J350">
            <v>0.13500000000000001</v>
          </cell>
          <cell r="K350">
            <v>0.13</v>
          </cell>
          <cell r="L350">
            <v>0.91500000000000004</v>
          </cell>
          <cell r="M350">
            <v>0.1</v>
          </cell>
          <cell r="N350">
            <v>0.09</v>
          </cell>
          <cell r="O350">
            <v>8.4999999999999992E-2</v>
          </cell>
          <cell r="P350">
            <v>8.4999999999999992E-2</v>
          </cell>
          <cell r="Q350">
            <v>8.4999999999999992E-2</v>
          </cell>
          <cell r="R350">
            <v>8.4999999999999992E-2</v>
          </cell>
          <cell r="S350">
            <v>8.4999999999999992E-2</v>
          </cell>
          <cell r="T350">
            <v>0.105</v>
          </cell>
        </row>
        <row r="354">
          <cell r="D354">
            <v>5.9500000000000004E-2</v>
          </cell>
          <cell r="E354">
            <v>0.13950000000000001</v>
          </cell>
          <cell r="F354">
            <v>0.13950000000000001</v>
          </cell>
          <cell r="G354">
            <v>0.13950000000000001</v>
          </cell>
          <cell r="H354">
            <v>0.13950000000000001</v>
          </cell>
          <cell r="I354">
            <v>0.13950000000000001</v>
          </cell>
          <cell r="J354">
            <v>0.13950000000000001</v>
          </cell>
          <cell r="K354">
            <v>0.13950000000000001</v>
          </cell>
          <cell r="L354">
            <v>0.13950000000000001</v>
          </cell>
          <cell r="M354">
            <v>0.13950000000000001</v>
          </cell>
          <cell r="N354">
            <v>0.13950000000000001</v>
          </cell>
          <cell r="O354">
            <v>0.13950000000000001</v>
          </cell>
          <cell r="P354">
            <v>0.13950000000000001</v>
          </cell>
          <cell r="Q354">
            <v>0.13950000000000001</v>
          </cell>
          <cell r="R354">
            <v>0.13950000000000001</v>
          </cell>
          <cell r="S354">
            <v>0.13950000000000001</v>
          </cell>
          <cell r="T354">
            <v>0.13950000000000001</v>
          </cell>
        </row>
        <row r="355">
          <cell r="D355">
            <v>51.75</v>
          </cell>
          <cell r="E355">
            <v>46</v>
          </cell>
          <cell r="F355">
            <v>46</v>
          </cell>
          <cell r="G355">
            <v>43</v>
          </cell>
          <cell r="H355">
            <v>35</v>
          </cell>
          <cell r="I355">
            <v>35</v>
          </cell>
          <cell r="J355">
            <v>38.5</v>
          </cell>
          <cell r="K355">
            <v>39.549999999999997</v>
          </cell>
          <cell r="L355">
            <v>35.700000000000003</v>
          </cell>
          <cell r="M355">
            <v>36.75</v>
          </cell>
          <cell r="N355">
            <v>36.049999999999997</v>
          </cell>
          <cell r="O355">
            <v>36.049999999999997</v>
          </cell>
          <cell r="P355">
            <v>36.049999999999997</v>
          </cell>
          <cell r="Q355">
            <v>36.049999999999997</v>
          </cell>
          <cell r="R355">
            <v>36.049999999999997</v>
          </cell>
          <cell r="S355">
            <v>36.049999999999997</v>
          </cell>
          <cell r="T355">
            <v>36.049999999999997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ual Temp"/>
      <sheetName val="Qtr table"/>
      <sheetName val="Qtr Temp"/>
      <sheetName val="VFF"/>
      <sheetName val="volume"/>
      <sheetName val="monthly volumes"/>
      <sheetName val="ET"/>
      <sheetName val="Co Fin"/>
      <sheetName val="Results"/>
      <sheetName val="Main"/>
      <sheetName val="Sales"/>
      <sheetName val="RR Sheet"/>
      <sheetName val="BS"/>
      <sheetName val="Raw Material"/>
      <sheetName val="Expenses"/>
      <sheetName val="Actuals"/>
      <sheetName val="Breakup"/>
      <sheetName val="Modelwise Sales"/>
      <sheetName val="Int exp &amp; Debt "/>
      <sheetName val="Other Inc &amp; Inv"/>
      <sheetName val="SIAM"/>
      <sheetName val="Pantnagar"/>
      <sheetName val="Bikes modelwises"/>
      <sheetName val="Price Hikes"/>
      <sheetName val="Template-Q"/>
      <sheetName val="launches"/>
      <sheetName val="Incremental Analysis"/>
      <sheetName val="DCF"/>
      <sheetName val="Charts"/>
      <sheetName val="Export analysis"/>
      <sheetName val="Exp mkt data"/>
      <sheetName val="Exp mkt shar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le"/>
      <sheetName val="Capital"/>
      <sheetName val="Topbrands"/>
      <sheetName val="Imp-facts"/>
      <sheetName val="Thermix"/>
      <sheetName val="Debt"/>
      <sheetName val="Tax"/>
      <sheetName val="CapEx"/>
      <sheetName val="Andrx"/>
      <sheetName val="QuanOP"/>
      <sheetName val="Sales"/>
      <sheetName val="result"/>
      <sheetName val="Sheet1"/>
      <sheetName val="Input"/>
      <sheetName val="Formats"/>
      <sheetName val="WICarrDatav2"/>
      <sheetName val="Calc"/>
      <sheetName val="NDDS"/>
      <sheetName val="VarName"/>
      <sheetName val="Top Brands"/>
      <sheetName val="NOPAT_VDF"/>
      <sheetName val="Invested capital_VDF"/>
      <sheetName val="DCF_VDF"/>
      <sheetName val="WACC_VDF"/>
      <sheetName val="Summary Page_VDF"/>
      <sheetName val="PV of Op Leases_VDF"/>
      <sheetName val="Income Statement_VDF"/>
      <sheetName val="Template"/>
      <sheetName val="Qtrly_Template"/>
      <sheetName val="Internet"/>
    </sheetNames>
    <sheetDataSet>
      <sheetData sheetId="0" refreshError="1">
        <row r="5">
          <cell r="AE5" t="str">
            <v>Chemicals (incl Malt)</v>
          </cell>
          <cell r="AF5" t="str">
            <v>Tonne</v>
          </cell>
          <cell r="AK5" t="str">
            <v>Purchased bulk drugs</v>
          </cell>
          <cell r="AL5" t="str">
            <v>Tonne</v>
          </cell>
          <cell r="AQ5" t="str">
            <v>Manufactuirng expenses</v>
          </cell>
          <cell r="AR5" t="str">
            <v>Selling expenses</v>
          </cell>
          <cell r="AS5" t="str">
            <v>Salaries, Wages, Bonus etc</v>
          </cell>
          <cell r="AT5" t="str">
            <v>Insurance &amp; Donations</v>
          </cell>
          <cell r="BE5" t="str">
            <v>Term  Loans</v>
          </cell>
          <cell r="BK5" t="str">
            <v>Fixed Deposits</v>
          </cell>
          <cell r="BP5" t="str">
            <v>Job Work</v>
          </cell>
          <cell r="BT5" t="str">
            <v>Freehold Land</v>
          </cell>
        </row>
        <row r="6">
          <cell r="AE6" t="str">
            <v>Tablets and capsules</v>
          </cell>
          <cell r="AF6" t="str">
            <v>Million</v>
          </cell>
          <cell r="AK6" t="str">
            <v>Solvents</v>
          </cell>
          <cell r="AL6" t="str">
            <v>Tonne</v>
          </cell>
          <cell r="AQ6" t="str">
            <v>Store and spares</v>
          </cell>
          <cell r="AR6" t="str">
            <v>Freight and forwarding</v>
          </cell>
          <cell r="AS6" t="str">
            <v>PF and other funds</v>
          </cell>
          <cell r="AT6" t="str">
            <v>Printing and stationery</v>
          </cell>
          <cell r="BK6" t="str">
            <v>Cash Credit</v>
          </cell>
          <cell r="BP6" t="str">
            <v>Misc. Receipts</v>
          </cell>
          <cell r="BT6" t="str">
            <v>Leasehold Land</v>
          </cell>
        </row>
        <row r="7">
          <cell r="AE7" t="str">
            <v>Liquids</v>
          </cell>
          <cell r="AF7" t="str">
            <v>Kilolitre</v>
          </cell>
          <cell r="AK7" t="str">
            <v>Farm Products</v>
          </cell>
          <cell r="AL7" t="str">
            <v>Tonne</v>
          </cell>
          <cell r="AQ7" t="str">
            <v>Power and fuel</v>
          </cell>
          <cell r="AR7" t="str">
            <v>Commission on sales</v>
          </cell>
          <cell r="AS7" t="str">
            <v>Staff gratuity</v>
          </cell>
          <cell r="AT7" t="str">
            <v>Conveyance / vehicle / travelling expenses</v>
          </cell>
          <cell r="BK7" t="str">
            <v>CP</v>
          </cell>
          <cell r="BT7" t="str">
            <v>Building and Flats</v>
          </cell>
        </row>
        <row r="8">
          <cell r="D8">
            <v>10</v>
          </cell>
          <cell r="AE8" t="str">
            <v>Creams</v>
          </cell>
          <cell r="AF8" t="str">
            <v>Tonne</v>
          </cell>
          <cell r="AK8" t="str">
            <v>Capsules</v>
          </cell>
          <cell r="AL8" t="str">
            <v>Million</v>
          </cell>
          <cell r="AQ8" t="str">
            <v>Rent, rates and taxex</v>
          </cell>
          <cell r="AR8" t="str">
            <v>Prov. For bad and doubtful expenses</v>
          </cell>
          <cell r="AS8" t="str">
            <v>Staff welfare</v>
          </cell>
          <cell r="AT8" t="str">
            <v>Auditors / professionals / Directors Fees</v>
          </cell>
          <cell r="BK8" t="str">
            <v>ICD</v>
          </cell>
          <cell r="BT8" t="str">
            <v>Plant and Machinery</v>
          </cell>
        </row>
        <row r="9">
          <cell r="K9" t="str">
            <v>E</v>
          </cell>
          <cell r="AE9" t="str">
            <v>Aerosols</v>
          </cell>
          <cell r="AF9" t="str">
            <v>Thousands</v>
          </cell>
          <cell r="AK9" t="str">
            <v>Packing Material</v>
          </cell>
          <cell r="AQ9" t="str">
            <v>Repairs and Maintenance</v>
          </cell>
          <cell r="AR9" t="str">
            <v>Stock Adjustment Account</v>
          </cell>
          <cell r="AS9" t="str">
            <v>Leave encashment</v>
          </cell>
          <cell r="AT9" t="str">
            <v>Telephone, postage and telegraphs</v>
          </cell>
          <cell r="BK9" t="str">
            <v>Loans</v>
          </cell>
          <cell r="BT9" t="str">
            <v>Furniture and fixtures</v>
          </cell>
        </row>
        <row r="10">
          <cell r="K10" t="str">
            <v>F</v>
          </cell>
          <cell r="L10" t="str">
            <v>F</v>
          </cell>
          <cell r="AA10" t="str">
            <v>L</v>
          </cell>
          <cell r="AE10" t="str">
            <v>Injections / Sterile solutions</v>
          </cell>
          <cell r="AF10" t="str">
            <v>Kilolitre</v>
          </cell>
          <cell r="AK10" t="str">
            <v>Others</v>
          </cell>
          <cell r="AQ10" t="str">
            <v>Lease rental</v>
          </cell>
          <cell r="AT10" t="str">
            <v>Bank and finance charges</v>
          </cell>
          <cell r="BT10" t="str">
            <v>Vehicles</v>
          </cell>
        </row>
        <row r="11">
          <cell r="L11" t="str">
            <v>N</v>
          </cell>
          <cell r="M11" t="str">
            <v>N</v>
          </cell>
          <cell r="N11" t="str">
            <v>N</v>
          </cell>
          <cell r="O11" t="str">
            <v>N</v>
          </cell>
          <cell r="P11" t="str">
            <v>N</v>
          </cell>
          <cell r="Q11" t="str">
            <v>N</v>
          </cell>
          <cell r="R11" t="str">
            <v>Y</v>
          </cell>
          <cell r="S11" t="str">
            <v>N</v>
          </cell>
          <cell r="T11" t="str">
            <v>Y</v>
          </cell>
          <cell r="U11" t="str">
            <v>Y</v>
          </cell>
          <cell r="V11" t="str">
            <v>N</v>
          </cell>
          <cell r="W11" t="str">
            <v>Y</v>
          </cell>
          <cell r="X11" t="str">
            <v>N</v>
          </cell>
          <cell r="Y11" t="str">
            <v>Y</v>
          </cell>
          <cell r="Z11" t="str">
            <v>N</v>
          </cell>
          <cell r="AA11" t="str">
            <v>N</v>
          </cell>
          <cell r="AT11" t="str">
            <v>Misc. admn expenses</v>
          </cell>
        </row>
        <row r="12">
          <cell r="L12" t="str">
            <v>N</v>
          </cell>
          <cell r="M12" t="str">
            <v>N</v>
          </cell>
          <cell r="N12" t="str">
            <v>N</v>
          </cell>
          <cell r="O12" t="str">
            <v>N</v>
          </cell>
          <cell r="P12" t="str">
            <v>N</v>
          </cell>
          <cell r="Q12" t="str">
            <v>N</v>
          </cell>
          <cell r="R12" t="str">
            <v>Y</v>
          </cell>
          <cell r="S12" t="str">
            <v>N</v>
          </cell>
          <cell r="T12" t="str">
            <v>Y</v>
          </cell>
          <cell r="U12" t="str">
            <v>Y</v>
          </cell>
          <cell r="V12" t="str">
            <v>N</v>
          </cell>
          <cell r="W12" t="str">
            <v>Y</v>
          </cell>
          <cell r="X12" t="str">
            <v>N</v>
          </cell>
          <cell r="Y12" t="str">
            <v>Y</v>
          </cell>
          <cell r="Z12" t="str">
            <v>N</v>
          </cell>
          <cell r="AA12" t="str">
            <v>N</v>
          </cell>
        </row>
        <row r="15">
          <cell r="K15" t="str">
            <v>Face Value</v>
          </cell>
          <cell r="L15">
            <v>10</v>
          </cell>
          <cell r="M15">
            <v>10</v>
          </cell>
          <cell r="N15">
            <v>10</v>
          </cell>
          <cell r="O15">
            <v>10</v>
          </cell>
          <cell r="P15">
            <v>10</v>
          </cell>
          <cell r="Q15">
            <v>10</v>
          </cell>
          <cell r="R15">
            <v>10</v>
          </cell>
          <cell r="S15">
            <v>10</v>
          </cell>
          <cell r="T15">
            <v>10</v>
          </cell>
          <cell r="U15">
            <v>10</v>
          </cell>
          <cell r="V15">
            <v>10</v>
          </cell>
          <cell r="W15">
            <v>10</v>
          </cell>
          <cell r="X15">
            <v>10</v>
          </cell>
          <cell r="Y15">
            <v>10</v>
          </cell>
          <cell r="Z15">
            <v>10</v>
          </cell>
        </row>
        <row r="16">
          <cell r="K16" t="str">
            <v>IT Depr Rate</v>
          </cell>
          <cell r="L16">
            <v>25</v>
          </cell>
          <cell r="M16">
            <v>25</v>
          </cell>
          <cell r="N16">
            <v>25</v>
          </cell>
          <cell r="O16">
            <v>25</v>
          </cell>
          <cell r="P16">
            <v>25</v>
          </cell>
          <cell r="Q16">
            <v>25</v>
          </cell>
          <cell r="R16">
            <v>25</v>
          </cell>
          <cell r="S16">
            <v>25</v>
          </cell>
          <cell r="T16">
            <v>25</v>
          </cell>
          <cell r="U16">
            <v>25</v>
          </cell>
          <cell r="V16">
            <v>25</v>
          </cell>
          <cell r="W16">
            <v>25</v>
          </cell>
          <cell r="X16">
            <v>25</v>
          </cell>
          <cell r="Y16">
            <v>25</v>
          </cell>
          <cell r="Z16">
            <v>25</v>
          </cell>
        </row>
        <row r="18">
          <cell r="K18" t="str">
            <v>Dividend Tax %</v>
          </cell>
          <cell r="P18">
            <v>10</v>
          </cell>
          <cell r="Q18">
            <v>10</v>
          </cell>
          <cell r="R18">
            <v>10</v>
          </cell>
          <cell r="S18">
            <v>10</v>
          </cell>
          <cell r="T18">
            <v>11</v>
          </cell>
          <cell r="U18">
            <v>10</v>
          </cell>
          <cell r="V18">
            <v>10</v>
          </cell>
          <cell r="W18">
            <v>10</v>
          </cell>
          <cell r="X18">
            <v>10</v>
          </cell>
          <cell r="Y18">
            <v>10</v>
          </cell>
          <cell r="Z18">
            <v>10</v>
          </cell>
        </row>
        <row r="19">
          <cell r="O19" t="str">
            <v>Y</v>
          </cell>
          <cell r="P19" t="str">
            <v>Y</v>
          </cell>
          <cell r="R19" t="str">
            <v>Y</v>
          </cell>
          <cell r="S19" t="str">
            <v>Y</v>
          </cell>
          <cell r="U19" t="str">
            <v>Y</v>
          </cell>
        </row>
      </sheetData>
      <sheetData sheetId="1" refreshError="1">
        <row r="8">
          <cell r="L8">
            <v>186.46999999999997</v>
          </cell>
          <cell r="M8">
            <v>31.099999999999998</v>
          </cell>
          <cell r="N8">
            <v>186.4</v>
          </cell>
          <cell r="O8">
            <v>199.90782999999999</v>
          </cell>
          <cell r="P8">
            <v>199.90782999999999</v>
          </cell>
          <cell r="Q8">
            <v>199.90782999999999</v>
          </cell>
          <cell r="R8">
            <v>199.90782999999999</v>
          </cell>
          <cell r="S8">
            <v>199.90782999999999</v>
          </cell>
          <cell r="T8">
            <v>199.90782999999999</v>
          </cell>
          <cell r="U8">
            <v>599.72383000000002</v>
          </cell>
          <cell r="V8">
            <v>599.72383000000002</v>
          </cell>
          <cell r="W8">
            <v>599.72383000000002</v>
          </cell>
          <cell r="X8">
            <v>599.72383000000002</v>
          </cell>
          <cell r="Y8">
            <v>599.72383000000002</v>
          </cell>
          <cell r="Z8">
            <v>599.72383000000002</v>
          </cell>
        </row>
        <row r="15">
          <cell r="L15">
            <v>18.646999999999998</v>
          </cell>
          <cell r="M15">
            <v>3.1078999999999999</v>
          </cell>
          <cell r="N15">
            <v>3.11</v>
          </cell>
          <cell r="O15">
            <v>18.64</v>
          </cell>
          <cell r="P15">
            <v>19.990783</v>
          </cell>
          <cell r="Q15">
            <v>19.990783</v>
          </cell>
          <cell r="R15">
            <v>19.990783</v>
          </cell>
          <cell r="S15">
            <v>19.990783</v>
          </cell>
          <cell r="T15">
            <v>19.990783</v>
          </cell>
          <cell r="U15">
            <v>19.990783</v>
          </cell>
          <cell r="V15">
            <v>59.972383000000001</v>
          </cell>
          <cell r="W15">
            <v>59.972383000000001</v>
          </cell>
          <cell r="X15">
            <v>59.972383000000001</v>
          </cell>
          <cell r="Y15">
            <v>59.972383000000001</v>
          </cell>
          <cell r="Z15">
            <v>59.972383000000001</v>
          </cell>
        </row>
        <row r="17">
          <cell r="L17">
            <v>18.646999999999998</v>
          </cell>
          <cell r="M17">
            <v>3.11</v>
          </cell>
          <cell r="N17">
            <v>18.64</v>
          </cell>
          <cell r="O17">
            <v>19.990783</v>
          </cell>
          <cell r="P17">
            <v>19.990783</v>
          </cell>
          <cell r="Q17">
            <v>19.990783</v>
          </cell>
          <cell r="R17">
            <v>19.990783</v>
          </cell>
          <cell r="S17">
            <v>19.990783</v>
          </cell>
          <cell r="T17">
            <v>19.990783</v>
          </cell>
          <cell r="U17">
            <v>59.972383000000001</v>
          </cell>
          <cell r="V17">
            <v>59.972383000000001</v>
          </cell>
          <cell r="W17">
            <v>59.972383000000001</v>
          </cell>
          <cell r="X17">
            <v>59.972383000000001</v>
          </cell>
          <cell r="Y17">
            <v>59.972383000000001</v>
          </cell>
          <cell r="Z17">
            <v>59.972383000000001</v>
          </cell>
        </row>
        <row r="18">
          <cell r="L18">
            <v>1</v>
          </cell>
          <cell r="M18">
            <v>1</v>
          </cell>
          <cell r="N18">
            <v>1</v>
          </cell>
          <cell r="O18">
            <v>1</v>
          </cell>
          <cell r="P18">
            <v>1</v>
          </cell>
          <cell r="Q18">
            <v>1</v>
          </cell>
          <cell r="R18">
            <v>1</v>
          </cell>
          <cell r="S18">
            <v>1</v>
          </cell>
          <cell r="T18">
            <v>1</v>
          </cell>
          <cell r="U18">
            <v>1</v>
          </cell>
          <cell r="V18">
            <v>1</v>
          </cell>
          <cell r="W18">
            <v>1</v>
          </cell>
          <cell r="X18">
            <v>1</v>
          </cell>
          <cell r="Y18">
            <v>1</v>
          </cell>
          <cell r="Z18">
            <v>1</v>
          </cell>
        </row>
        <row r="51">
          <cell r="L51">
            <v>0</v>
          </cell>
          <cell r="M51">
            <v>0</v>
          </cell>
          <cell r="N51">
            <v>0</v>
          </cell>
          <cell r="O51">
            <v>1.3507829999999998</v>
          </cell>
          <cell r="P51">
            <v>0</v>
          </cell>
          <cell r="Q51">
            <v>0</v>
          </cell>
          <cell r="R51">
            <v>0</v>
          </cell>
          <cell r="S51">
            <v>0</v>
          </cell>
          <cell r="T51">
            <v>0</v>
          </cell>
          <cell r="U51">
            <v>39.9816</v>
          </cell>
          <cell r="V51">
            <v>0</v>
          </cell>
          <cell r="W51">
            <v>0</v>
          </cell>
          <cell r="X51">
            <v>0</v>
          </cell>
          <cell r="Y51">
            <v>0</v>
          </cell>
          <cell r="Z51">
            <v>0</v>
          </cell>
        </row>
        <row r="52">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row>
        <row r="72">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row>
        <row r="77">
          <cell r="L77">
            <v>0</v>
          </cell>
          <cell r="M77">
            <v>112.54874336283217</v>
          </cell>
          <cell r="N77">
            <v>191.09357522123867</v>
          </cell>
          <cell r="O77">
            <v>222.94173451327381</v>
          </cell>
          <cell r="P77">
            <v>544.68467256637189</v>
          </cell>
          <cell r="Q77" t="e">
            <v>#NAME?</v>
          </cell>
          <cell r="R77">
            <v>549.07353846153865</v>
          </cell>
          <cell r="S77" t="e">
            <v>#NAME?</v>
          </cell>
          <cell r="T77">
            <v>618.96207692307701</v>
          </cell>
          <cell r="U77" t="e">
            <v>#NAME?</v>
          </cell>
          <cell r="V77">
            <v>192.54732075377638</v>
          </cell>
          <cell r="W77" t="e">
            <v>#NAME?</v>
          </cell>
          <cell r="X77">
            <v>301.85984608337293</v>
          </cell>
          <cell r="Y77">
            <v>1220.2022217107697</v>
          </cell>
          <cell r="Z77">
            <v>1529.0602653808587</v>
          </cell>
        </row>
      </sheetData>
      <sheetData sheetId="2" refreshError="1"/>
      <sheetData sheetId="3" refreshError="1"/>
      <sheetData sheetId="4" refreshError="1"/>
      <sheetData sheetId="5" refreshError="1">
        <row r="143">
          <cell r="N143">
            <v>11.53</v>
          </cell>
          <cell r="Q143">
            <v>0</v>
          </cell>
          <cell r="S143">
            <v>0</v>
          </cell>
          <cell r="U143">
            <v>0</v>
          </cell>
          <cell r="W143">
            <v>0</v>
          </cell>
          <cell r="Y143">
            <v>0</v>
          </cell>
        </row>
        <row r="144">
          <cell r="N144">
            <v>80</v>
          </cell>
          <cell r="P144">
            <v>20</v>
          </cell>
          <cell r="Q144">
            <v>0</v>
          </cell>
          <cell r="S144">
            <v>0</v>
          </cell>
          <cell r="U144">
            <v>0</v>
          </cell>
          <cell r="W144">
            <v>0</v>
          </cell>
          <cell r="Y144">
            <v>0</v>
          </cell>
        </row>
        <row r="145">
          <cell r="Q145">
            <v>0</v>
          </cell>
          <cell r="S145">
            <v>0</v>
          </cell>
          <cell r="U145">
            <v>0</v>
          </cell>
          <cell r="W145">
            <v>0</v>
          </cell>
          <cell r="Y145">
            <v>0</v>
          </cell>
        </row>
        <row r="146">
          <cell r="N146">
            <v>324.06100000000004</v>
          </cell>
          <cell r="O146">
            <v>357.10999999999996</v>
          </cell>
          <cell r="P146">
            <v>95.033000000000001</v>
          </cell>
          <cell r="Q146">
            <v>95.033000000000001</v>
          </cell>
          <cell r="R146">
            <v>87.466999999999999</v>
          </cell>
          <cell r="S146">
            <v>87.466999999999999</v>
          </cell>
          <cell r="T146">
            <v>277.16499999999996</v>
          </cell>
          <cell r="U146">
            <v>184.495</v>
          </cell>
          <cell r="W146">
            <v>237.19</v>
          </cell>
          <cell r="Y146">
            <v>237.19</v>
          </cell>
        </row>
        <row r="149">
          <cell r="Q149">
            <v>0</v>
          </cell>
          <cell r="S149">
            <v>0</v>
          </cell>
          <cell r="U149">
            <v>0</v>
          </cell>
          <cell r="W149">
            <v>0</v>
          </cell>
          <cell r="Y149">
            <v>0</v>
          </cell>
        </row>
        <row r="153">
          <cell r="L153">
            <v>0</v>
          </cell>
          <cell r="M153">
            <v>777.29750000000001</v>
          </cell>
          <cell r="N153">
            <v>1499.415</v>
          </cell>
          <cell r="O153">
            <v>1013.8225</v>
          </cell>
          <cell r="P153">
            <v>612.43049999999994</v>
          </cell>
          <cell r="Q153">
            <v>204.87</v>
          </cell>
          <cell r="R153">
            <v>201.47549999999998</v>
          </cell>
          <cell r="S153">
            <v>185.89499999999998</v>
          </cell>
          <cell r="T153">
            <v>258.20099999999996</v>
          </cell>
          <cell r="U153">
            <v>263.11299999999994</v>
          </cell>
          <cell r="V153">
            <v>165.25349999999997</v>
          </cell>
          <cell r="W153">
            <v>217.99450000000002</v>
          </cell>
          <cell r="X153">
            <v>0</v>
          </cell>
          <cell r="Y153">
            <v>240.27</v>
          </cell>
          <cell r="Z153">
            <v>0</v>
          </cell>
        </row>
        <row r="232">
          <cell r="L232" t="e">
            <v>#NAME?</v>
          </cell>
          <cell r="M232" t="e">
            <v>#NAME?</v>
          </cell>
          <cell r="N232" t="e">
            <v>#NAME?</v>
          </cell>
          <cell r="O232" t="e">
            <v>#NAME?</v>
          </cell>
          <cell r="P232" t="e">
            <v>#NAME?</v>
          </cell>
          <cell r="Q232" t="e">
            <v>#NAME?</v>
          </cell>
          <cell r="Z232" t="e">
            <v>#NAME?</v>
          </cell>
        </row>
        <row r="243">
          <cell r="M243">
            <v>0</v>
          </cell>
          <cell r="N243">
            <v>73.357889999999998</v>
          </cell>
          <cell r="O243">
            <v>71.310079999999999</v>
          </cell>
          <cell r="P243">
            <v>31.938494999999996</v>
          </cell>
          <cell r="Q243">
            <v>30.777080000000002</v>
          </cell>
          <cell r="R243">
            <v>29.523980000000002</v>
          </cell>
          <cell r="S243" t="e">
            <v>#NAME?</v>
          </cell>
          <cell r="T243">
            <v>57.357579999999992</v>
          </cell>
          <cell r="U243">
            <v>34.780459999999998</v>
          </cell>
          <cell r="V243">
            <v>0</v>
          </cell>
          <cell r="W243">
            <v>43.125399999999992</v>
          </cell>
          <cell r="X243">
            <v>0</v>
          </cell>
          <cell r="Y243">
            <v>43.125399999999992</v>
          </cell>
          <cell r="Z243">
            <v>0</v>
          </cell>
          <cell r="AA243">
            <v>0</v>
          </cell>
        </row>
        <row r="245">
          <cell r="L245" t="e">
            <v>#NAME?</v>
          </cell>
          <cell r="M245" t="e">
            <v>#NAME?</v>
          </cell>
          <cell r="N245" t="e">
            <v>#NAME?</v>
          </cell>
          <cell r="O245" t="e">
            <v>#NAME?</v>
          </cell>
          <cell r="P245" t="e">
            <v>#NAME?</v>
          </cell>
          <cell r="Q245" t="e">
            <v>#NAME?</v>
          </cell>
          <cell r="R245">
            <v>29.523980000000002</v>
          </cell>
          <cell r="S245" t="e">
            <v>#NAME?</v>
          </cell>
          <cell r="T245">
            <v>57.357579999999992</v>
          </cell>
          <cell r="U245">
            <v>34.780459999999998</v>
          </cell>
          <cell r="V245">
            <v>0</v>
          </cell>
          <cell r="W245">
            <v>43.125399999999992</v>
          </cell>
          <cell r="X245">
            <v>0</v>
          </cell>
          <cell r="Y245">
            <v>43.125399999999992</v>
          </cell>
          <cell r="Z245" t="e">
            <v>#NAME?</v>
          </cell>
        </row>
        <row r="250">
          <cell r="L250">
            <v>0</v>
          </cell>
          <cell r="M250">
            <v>12.095240239419271</v>
          </cell>
          <cell r="N250">
            <v>7.0636881717203046</v>
          </cell>
          <cell r="O250">
            <v>14.740844674486905</v>
          </cell>
          <cell r="P250">
            <v>17.146761959112098</v>
          </cell>
          <cell r="Q250" t="e">
            <v>#NAME?</v>
          </cell>
          <cell r="R250">
            <v>0.12085836739454675</v>
          </cell>
          <cell r="S250" t="e">
            <v>#NAME?</v>
          </cell>
          <cell r="T250">
            <v>0.11121568080681332</v>
          </cell>
          <cell r="U250">
            <v>0.1140194517184632</v>
          </cell>
          <cell r="V250">
            <v>0</v>
          </cell>
          <cell r="W250">
            <v>0.19782792685136547</v>
          </cell>
          <cell r="X250" t="e">
            <v>#DIV/0!</v>
          </cell>
          <cell r="Y250">
            <v>0.1794872435177092</v>
          </cell>
          <cell r="Z250">
            <v>0</v>
          </cell>
        </row>
      </sheetData>
      <sheetData sheetId="6" refreshError="1">
        <row r="22">
          <cell r="L22">
            <v>0</v>
          </cell>
          <cell r="M22">
            <v>0</v>
          </cell>
          <cell r="N22">
            <v>307.59999999999997</v>
          </cell>
          <cell r="O22">
            <v>268.52724999999998</v>
          </cell>
          <cell r="P22">
            <v>253.15068749999998</v>
          </cell>
          <cell r="Q22">
            <v>239.863015625</v>
          </cell>
          <cell r="R22">
            <v>239.55276562500001</v>
          </cell>
          <cell r="S22">
            <v>217.16457421875</v>
          </cell>
          <cell r="T22">
            <v>267.49957421875001</v>
          </cell>
          <cell r="U22">
            <v>234.17918066406247</v>
          </cell>
          <cell r="V22">
            <v>200.62468066406248</v>
          </cell>
          <cell r="W22">
            <v>228.04757299804686</v>
          </cell>
          <cell r="X22">
            <v>150.46851049804687</v>
          </cell>
          <cell r="Y22">
            <v>186.61630474853513</v>
          </cell>
          <cell r="Z22">
            <v>112.85138287353514</v>
          </cell>
        </row>
        <row r="33">
          <cell r="L33">
            <v>0</v>
          </cell>
          <cell r="M33">
            <v>506.17100000000045</v>
          </cell>
          <cell r="N33">
            <v>374.44899999999967</v>
          </cell>
          <cell r="O33">
            <v>179.17274999999933</v>
          </cell>
          <cell r="P33">
            <v>854.3063125000001</v>
          </cell>
          <cell r="Q33" t="e">
            <v>#NAME?</v>
          </cell>
          <cell r="R33">
            <v>1193.3382343750004</v>
          </cell>
          <cell r="S33" t="e">
            <v>#NAME?</v>
          </cell>
          <cell r="T33">
            <v>1369.2444257812501</v>
          </cell>
          <cell r="U33" t="e">
            <v>#NAME?</v>
          </cell>
          <cell r="V33">
            <v>156.96320073580793</v>
          </cell>
          <cell r="W33" t="e">
            <v>#NAME?</v>
          </cell>
          <cell r="X33">
            <v>410.12834651393155</v>
          </cell>
          <cell r="Y33">
            <v>3069.8861832514654</v>
          </cell>
          <cell r="Z33">
            <v>3831.1532698945534</v>
          </cell>
        </row>
      </sheetData>
      <sheetData sheetId="7" refreshError="1">
        <row r="32">
          <cell r="L32">
            <v>0</v>
          </cell>
          <cell r="M32">
            <v>0</v>
          </cell>
          <cell r="N32">
            <v>1230.3999999999999</v>
          </cell>
          <cell r="O32">
            <v>153.107</v>
          </cell>
          <cell r="P32">
            <v>210.529</v>
          </cell>
          <cell r="Q32">
            <v>199.99999999999997</v>
          </cell>
          <cell r="R32">
            <v>227.34399999999999</v>
          </cell>
          <cell r="S32">
            <v>150</v>
          </cell>
          <cell r="T32">
            <v>388.5</v>
          </cell>
          <cell r="U32">
            <v>323.67500000000001</v>
          </cell>
          <cell r="V32">
            <v>0</v>
          </cell>
          <cell r="W32">
            <v>434.08</v>
          </cell>
          <cell r="X32">
            <v>0</v>
          </cell>
          <cell r="Y32">
            <v>380</v>
          </cell>
          <cell r="Z32">
            <v>0</v>
          </cell>
        </row>
        <row r="43">
          <cell r="L43">
            <v>0</v>
          </cell>
          <cell r="M43">
            <v>0</v>
          </cell>
          <cell r="N43">
            <v>0</v>
          </cell>
          <cell r="O43">
            <v>1.798</v>
          </cell>
          <cell r="P43">
            <v>3.508</v>
          </cell>
          <cell r="Q43">
            <v>0</v>
          </cell>
          <cell r="R43">
            <v>28.585000000000001</v>
          </cell>
          <cell r="S43">
            <v>0</v>
          </cell>
          <cell r="T43">
            <v>37.160000000000004</v>
          </cell>
          <cell r="U43">
            <v>38.451999999999998</v>
          </cell>
          <cell r="V43">
            <v>0</v>
          </cell>
          <cell r="W43">
            <v>10.51</v>
          </cell>
          <cell r="X43">
            <v>0</v>
          </cell>
          <cell r="Y43">
            <v>0</v>
          </cell>
          <cell r="Z43">
            <v>0</v>
          </cell>
        </row>
      </sheetData>
      <sheetData sheetId="8" refreshError="1"/>
      <sheetData sheetId="9" refreshError="1"/>
      <sheetData sheetId="10" refreshError="1"/>
      <sheetData sheetId="11" refreshError="1"/>
      <sheetData sheetId="12" refreshError="1"/>
      <sheetData sheetId="13" refreshError="1">
        <row r="27">
          <cell r="C27">
            <v>8</v>
          </cell>
          <cell r="D27">
            <v>0</v>
          </cell>
          <cell r="E27">
            <v>0</v>
          </cell>
          <cell r="N27">
            <v>0</v>
          </cell>
          <cell r="O27">
            <v>0</v>
          </cell>
          <cell r="AF27" t="str">
            <v>D</v>
          </cell>
        </row>
        <row r="44">
          <cell r="M44">
            <v>124.607</v>
          </cell>
          <cell r="N44">
            <v>121.11</v>
          </cell>
          <cell r="O44">
            <v>117.96599999999999</v>
          </cell>
          <cell r="P44">
            <v>115.134</v>
          </cell>
          <cell r="R44">
            <v>112.586</v>
          </cell>
          <cell r="T44">
            <v>110.29300000000001</v>
          </cell>
          <cell r="U44">
            <v>108.224</v>
          </cell>
        </row>
        <row r="88">
          <cell r="M88">
            <v>191.7</v>
          </cell>
          <cell r="N88">
            <v>214.172</v>
          </cell>
          <cell r="O88">
            <v>132.09899999999999</v>
          </cell>
          <cell r="P88">
            <v>165.64599999999999</v>
          </cell>
          <cell r="Q88" t="e">
            <v>#NAME?</v>
          </cell>
          <cell r="R88">
            <v>359.03800000000001</v>
          </cell>
          <cell r="S88" t="e">
            <v>#NAME?</v>
          </cell>
          <cell r="T88">
            <v>398.49</v>
          </cell>
          <cell r="U88">
            <v>797.06899999999996</v>
          </cell>
          <cell r="V88">
            <v>0</v>
          </cell>
          <cell r="W88">
            <v>545.09</v>
          </cell>
          <cell r="X88">
            <v>0</v>
          </cell>
          <cell r="Y88">
            <v>385</v>
          </cell>
        </row>
        <row r="96">
          <cell r="L96">
            <v>0</v>
          </cell>
          <cell r="M96">
            <v>788.64199999999994</v>
          </cell>
          <cell r="N96">
            <v>1078.8619999999999</v>
          </cell>
          <cell r="O96">
            <v>2145.0780000000004</v>
          </cell>
          <cell r="P96">
            <v>1587.0940000000001</v>
          </cell>
          <cell r="Q96" t="e">
            <v>#NAME?</v>
          </cell>
          <cell r="R96">
            <v>1871.768</v>
          </cell>
          <cell r="S96" t="e">
            <v>#NAME?</v>
          </cell>
          <cell r="T96">
            <v>2086.6739999999995</v>
          </cell>
          <cell r="U96">
            <v>2380.4630000000002</v>
          </cell>
          <cell r="V96">
            <v>0</v>
          </cell>
          <cell r="W96">
            <v>3006.49</v>
          </cell>
          <cell r="X96">
            <v>0</v>
          </cell>
          <cell r="Y96">
            <v>3385.1907723200002</v>
          </cell>
          <cell r="Z96">
            <v>0</v>
          </cell>
        </row>
        <row r="115">
          <cell r="C115">
            <v>8</v>
          </cell>
          <cell r="D115">
            <v>0</v>
          </cell>
          <cell r="AF115" t="str">
            <v>D</v>
          </cell>
        </row>
        <row r="274">
          <cell r="C274">
            <v>8</v>
          </cell>
          <cell r="D274">
            <v>0</v>
          </cell>
          <cell r="J274">
            <v>0</v>
          </cell>
        </row>
        <row r="275">
          <cell r="E275" t="str">
            <v>Installed capacity</v>
          </cell>
          <cell r="J275" t="str">
            <v>u</v>
          </cell>
        </row>
        <row r="276">
          <cell r="E276" t="str">
            <v>Opening Stock</v>
          </cell>
          <cell r="J276" t="str">
            <v>u</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row>
        <row r="277">
          <cell r="E277" t="str">
            <v>Opening Stock Value</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row>
        <row r="278">
          <cell r="E278" t="str">
            <v>Unit Production</v>
          </cell>
          <cell r="J278" t="str">
            <v>u</v>
          </cell>
          <cell r="Q278">
            <v>0</v>
          </cell>
          <cell r="S278" t="e">
            <v>#NAME?</v>
          </cell>
          <cell r="U278" t="e">
            <v>#NAME?</v>
          </cell>
          <cell r="W278" t="e">
            <v>#NAME?</v>
          </cell>
          <cell r="Y278" t="e">
            <v>#NAME?</v>
          </cell>
        </row>
        <row r="279">
          <cell r="F279" t="str">
            <v>% Capacity</v>
          </cell>
          <cell r="L279">
            <v>0</v>
          </cell>
          <cell r="M279">
            <v>0</v>
          </cell>
          <cell r="N279">
            <v>0</v>
          </cell>
          <cell r="O279">
            <v>0</v>
          </cell>
          <cell r="P279">
            <v>0</v>
          </cell>
          <cell r="Q279">
            <v>0</v>
          </cell>
          <cell r="R279">
            <v>0</v>
          </cell>
          <cell r="S279" t="e">
            <v>#NAME?</v>
          </cell>
          <cell r="T279" t="e">
            <v>#NAME?</v>
          </cell>
          <cell r="U279" t="e">
            <v>#NAME?</v>
          </cell>
          <cell r="V279" t="e">
            <v>#NAME?</v>
          </cell>
          <cell r="W279" t="e">
            <v>#NAME?</v>
          </cell>
          <cell r="X279" t="e">
            <v>#NAME?</v>
          </cell>
          <cell r="Y279" t="e">
            <v>#NAME?</v>
          </cell>
          <cell r="Z279">
            <v>0</v>
          </cell>
          <cell r="AA279" t="e">
            <v>#NAME?</v>
          </cell>
        </row>
        <row r="280">
          <cell r="F280" t="str">
            <v>% Growth</v>
          </cell>
          <cell r="I280" t="str">
            <v>g</v>
          </cell>
          <cell r="M280">
            <v>0</v>
          </cell>
          <cell r="N280">
            <v>0</v>
          </cell>
          <cell r="O280">
            <v>0</v>
          </cell>
          <cell r="P280">
            <v>0</v>
          </cell>
          <cell r="Q280">
            <v>0</v>
          </cell>
          <cell r="R280">
            <v>0</v>
          </cell>
          <cell r="S280" t="e">
            <v>#NAME?</v>
          </cell>
          <cell r="T280" t="e">
            <v>#NAME?</v>
          </cell>
          <cell r="U280" t="e">
            <v>#NAME?</v>
          </cell>
          <cell r="V280" t="e">
            <v>#NAME?</v>
          </cell>
          <cell r="W280" t="e">
            <v>#NAME?</v>
          </cell>
          <cell r="X280" t="e">
            <v>#NAME?</v>
          </cell>
          <cell r="Y280" t="e">
            <v>#NAME?</v>
          </cell>
          <cell r="Z280">
            <v>0</v>
          </cell>
        </row>
        <row r="281">
          <cell r="F281" t="str">
            <v>Estimate</v>
          </cell>
        </row>
        <row r="282">
          <cell r="E282" t="str">
            <v>Sale Units</v>
          </cell>
          <cell r="J282" t="str">
            <v>u</v>
          </cell>
          <cell r="Q282">
            <v>0</v>
          </cell>
          <cell r="S282" t="e">
            <v>#NAME?</v>
          </cell>
          <cell r="U282" t="e">
            <v>#NAME?</v>
          </cell>
          <cell r="W282" t="e">
            <v>#NAME?</v>
          </cell>
          <cell r="Y282" t="e">
            <v>#NAME?</v>
          </cell>
        </row>
        <row r="283">
          <cell r="F283" t="str">
            <v>% Growth</v>
          </cell>
          <cell r="I283" t="str">
            <v>g</v>
          </cell>
          <cell r="M283">
            <v>0</v>
          </cell>
          <cell r="N283">
            <v>0</v>
          </cell>
          <cell r="O283">
            <v>0</v>
          </cell>
          <cell r="P283">
            <v>0</v>
          </cell>
          <cell r="Q283">
            <v>0</v>
          </cell>
          <cell r="R283">
            <v>0</v>
          </cell>
          <cell r="S283" t="e">
            <v>#NAME?</v>
          </cell>
          <cell r="T283" t="e">
            <v>#NAME?</v>
          </cell>
          <cell r="U283" t="e">
            <v>#NAME?</v>
          </cell>
          <cell r="V283" t="e">
            <v>#NAME?</v>
          </cell>
          <cell r="W283" t="e">
            <v>#NAME?</v>
          </cell>
          <cell r="X283" t="e">
            <v>#NAME?</v>
          </cell>
          <cell r="Y283" t="e">
            <v>#NAME?</v>
          </cell>
          <cell r="Z283">
            <v>0</v>
          </cell>
        </row>
        <row r="284">
          <cell r="F284" t="str">
            <v>Estimate</v>
          </cell>
        </row>
        <row r="285">
          <cell r="A285" t="str">
            <v>PS</v>
          </cell>
          <cell r="E285" t="str">
            <v>Sale Value</v>
          </cell>
          <cell r="Q285">
            <v>0</v>
          </cell>
          <cell r="S285" t="e">
            <v>#NAME?</v>
          </cell>
          <cell r="U285" t="e">
            <v>#NAME?</v>
          </cell>
          <cell r="W285" t="e">
            <v>#NAME?</v>
          </cell>
          <cell r="Y285" t="e">
            <v>#NAME?</v>
          </cell>
        </row>
        <row r="286">
          <cell r="F286" t="str">
            <v>% Growth</v>
          </cell>
          <cell r="I286" t="str">
            <v>g</v>
          </cell>
          <cell r="M286">
            <v>0</v>
          </cell>
          <cell r="N286">
            <v>0</v>
          </cell>
          <cell r="O286">
            <v>0</v>
          </cell>
          <cell r="P286">
            <v>0</v>
          </cell>
          <cell r="Q286">
            <v>0</v>
          </cell>
          <cell r="R286">
            <v>0</v>
          </cell>
          <cell r="S286" t="e">
            <v>#NAME?</v>
          </cell>
          <cell r="T286" t="e">
            <v>#NAME?</v>
          </cell>
          <cell r="U286" t="e">
            <v>#NAME?</v>
          </cell>
          <cell r="V286" t="e">
            <v>#NAME?</v>
          </cell>
          <cell r="W286" t="e">
            <v>#NAME?</v>
          </cell>
          <cell r="X286" t="e">
            <v>#NAME?</v>
          </cell>
          <cell r="Y286" t="e">
            <v>#NAME?</v>
          </cell>
          <cell r="Z286">
            <v>0</v>
          </cell>
        </row>
        <row r="287">
          <cell r="F287" t="str">
            <v>Estimate</v>
          </cell>
        </row>
        <row r="288">
          <cell r="E288" t="str">
            <v>Selling Price</v>
          </cell>
          <cell r="J288" t="str">
            <v>Rs.</v>
          </cell>
          <cell r="L288">
            <v>0</v>
          </cell>
          <cell r="M288">
            <v>0</v>
          </cell>
          <cell r="N288">
            <v>0</v>
          </cell>
          <cell r="O288">
            <v>0</v>
          </cell>
          <cell r="P288">
            <v>0</v>
          </cell>
          <cell r="Q288">
            <v>0</v>
          </cell>
          <cell r="R288">
            <v>0</v>
          </cell>
          <cell r="S288" t="e">
            <v>#NAME?</v>
          </cell>
          <cell r="T288">
            <v>0</v>
          </cell>
          <cell r="U288" t="e">
            <v>#NAME?</v>
          </cell>
          <cell r="V288">
            <v>0</v>
          </cell>
          <cell r="W288" t="e">
            <v>#NAME?</v>
          </cell>
          <cell r="X288">
            <v>0</v>
          </cell>
          <cell r="Y288" t="e">
            <v>#NAME?</v>
          </cell>
          <cell r="Z288">
            <v>0</v>
          </cell>
        </row>
        <row r="289">
          <cell r="E289" t="str">
            <v>Closing stock units</v>
          </cell>
          <cell r="J289" t="str">
            <v>u</v>
          </cell>
        </row>
        <row r="290">
          <cell r="E290" t="str">
            <v>Closing Stock Value</v>
          </cell>
        </row>
        <row r="311">
          <cell r="L311" t="e">
            <v>#NAME?</v>
          </cell>
          <cell r="M311" t="e">
            <v>#NAME?</v>
          </cell>
          <cell r="N311" t="e">
            <v>#NAME?</v>
          </cell>
          <cell r="O311" t="e">
            <v>#NAME?</v>
          </cell>
          <cell r="P311" t="e">
            <v>#NAME?</v>
          </cell>
          <cell r="Q311" t="e">
            <v>#NAME?</v>
          </cell>
          <cell r="R311">
            <v>0.15077566751887864</v>
          </cell>
          <cell r="S311" t="e">
            <v>#NAME?</v>
          </cell>
          <cell r="T311">
            <v>0.19845096302146173</v>
          </cell>
          <cell r="U311" t="e">
            <v>#NAME?</v>
          </cell>
          <cell r="V311">
            <v>0</v>
          </cell>
          <cell r="W311">
            <v>0</v>
          </cell>
          <cell r="X311">
            <v>0</v>
          </cell>
          <cell r="Y311">
            <v>0</v>
          </cell>
          <cell r="Z311" t="e">
            <v>#NAME?</v>
          </cell>
        </row>
        <row r="424">
          <cell r="C424">
            <v>8</v>
          </cell>
          <cell r="D424">
            <v>0</v>
          </cell>
          <cell r="J424">
            <v>0</v>
          </cell>
          <cell r="AF424" t="str">
            <v>D</v>
          </cell>
        </row>
        <row r="425">
          <cell r="E425" t="str">
            <v>Input Units</v>
          </cell>
          <cell r="Q425" t="e">
            <v>#NAME?</v>
          </cell>
          <cell r="S425" t="e">
            <v>#NAME?</v>
          </cell>
          <cell r="U425" t="e">
            <v>#NAME?</v>
          </cell>
          <cell r="W425" t="e">
            <v>#NAME?</v>
          </cell>
          <cell r="Y425" t="e">
            <v>#NAME?</v>
          </cell>
          <cell r="AF425" t="str">
            <v>D</v>
          </cell>
        </row>
        <row r="426">
          <cell r="F426" t="str">
            <v>% Growth</v>
          </cell>
          <cell r="I426" t="str">
            <v>g</v>
          </cell>
          <cell r="M426">
            <v>0</v>
          </cell>
          <cell r="N426">
            <v>0</v>
          </cell>
          <cell r="O426">
            <v>0</v>
          </cell>
          <cell r="P426">
            <v>0</v>
          </cell>
          <cell r="Q426" t="e">
            <v>#NAME?</v>
          </cell>
          <cell r="R426">
            <v>0</v>
          </cell>
          <cell r="S426" t="e">
            <v>#NAME?</v>
          </cell>
          <cell r="T426" t="e">
            <v>#NAME?</v>
          </cell>
          <cell r="U426" t="e">
            <v>#NAME?</v>
          </cell>
          <cell r="V426" t="e">
            <v>#NAME?</v>
          </cell>
          <cell r="W426" t="e">
            <v>#NAME?</v>
          </cell>
          <cell r="X426" t="e">
            <v>#NAME?</v>
          </cell>
          <cell r="Y426" t="e">
            <v>#NAME?</v>
          </cell>
          <cell r="Z426">
            <v>0</v>
          </cell>
          <cell r="AF426" t="str">
            <v>D</v>
          </cell>
        </row>
        <row r="427">
          <cell r="F427" t="str">
            <v>% Net Sales</v>
          </cell>
          <cell r="I427" t="str">
            <v>s</v>
          </cell>
          <cell r="L427" t="e">
            <v>#NAME?</v>
          </cell>
          <cell r="M427" t="e">
            <v>#NAME?</v>
          </cell>
          <cell r="N427" t="e">
            <v>#NAME?</v>
          </cell>
          <cell r="O427" t="e">
            <v>#NAME?</v>
          </cell>
          <cell r="P427" t="e">
            <v>#NAME?</v>
          </cell>
          <cell r="Q427" t="e">
            <v>#NAME?</v>
          </cell>
          <cell r="R427" t="e">
            <v>#NAME?</v>
          </cell>
          <cell r="S427" t="e">
            <v>#NAME?</v>
          </cell>
          <cell r="T427" t="e">
            <v>#NAME?</v>
          </cell>
          <cell r="U427" t="e">
            <v>#NAME?</v>
          </cell>
          <cell r="V427" t="e">
            <v>#NAME?</v>
          </cell>
          <cell r="W427" t="e">
            <v>#NAME?</v>
          </cell>
          <cell r="X427" t="e">
            <v>#NAME?</v>
          </cell>
          <cell r="Y427" t="e">
            <v>#NAME?</v>
          </cell>
          <cell r="Z427" t="e">
            <v>#NAME?</v>
          </cell>
          <cell r="AF427" t="str">
            <v>D</v>
          </cell>
        </row>
        <row r="428">
          <cell r="F428" t="str">
            <v>% Input / Output</v>
          </cell>
          <cell r="AF428" t="str">
            <v>D</v>
          </cell>
        </row>
        <row r="429">
          <cell r="F429" t="str">
            <v>Estimate</v>
          </cell>
          <cell r="AF429" t="str">
            <v>D</v>
          </cell>
        </row>
        <row r="430">
          <cell r="A430" t="str">
            <v>RC</v>
          </cell>
          <cell r="E430" t="str">
            <v>Input Cost</v>
          </cell>
          <cell r="Q430" t="e">
            <v>#NAME?</v>
          </cell>
          <cell r="S430" t="e">
            <v>#NAME?</v>
          </cell>
          <cell r="U430" t="e">
            <v>#NAME?</v>
          </cell>
          <cell r="W430" t="e">
            <v>#NAME?</v>
          </cell>
          <cell r="Y430" t="e">
            <v>#NAME?</v>
          </cell>
          <cell r="AF430" t="str">
            <v>D</v>
          </cell>
        </row>
        <row r="431">
          <cell r="F431" t="str">
            <v>% Growth</v>
          </cell>
          <cell r="I431" t="str">
            <v>g</v>
          </cell>
          <cell r="M431">
            <v>0</v>
          </cell>
          <cell r="N431">
            <v>0</v>
          </cell>
          <cell r="O431">
            <v>0</v>
          </cell>
          <cell r="P431">
            <v>0</v>
          </cell>
          <cell r="Q431" t="e">
            <v>#NAME?</v>
          </cell>
          <cell r="R431">
            <v>0</v>
          </cell>
          <cell r="S431" t="e">
            <v>#NAME?</v>
          </cell>
          <cell r="T431" t="e">
            <v>#NAME?</v>
          </cell>
          <cell r="U431" t="e">
            <v>#NAME?</v>
          </cell>
          <cell r="V431" t="e">
            <v>#NAME?</v>
          </cell>
          <cell r="W431" t="e">
            <v>#NAME?</v>
          </cell>
          <cell r="X431" t="e">
            <v>#NAME?</v>
          </cell>
          <cell r="Y431" t="e">
            <v>#NAME?</v>
          </cell>
          <cell r="Z431">
            <v>0</v>
          </cell>
          <cell r="AF431" t="str">
            <v>D</v>
          </cell>
        </row>
        <row r="432">
          <cell r="F432" t="str">
            <v>% Net Sales</v>
          </cell>
          <cell r="L432" t="e">
            <v>#NAME?</v>
          </cell>
          <cell r="M432" t="e">
            <v>#NAME?</v>
          </cell>
          <cell r="N432" t="e">
            <v>#NAME?</v>
          </cell>
          <cell r="O432" t="e">
            <v>#NAME?</v>
          </cell>
          <cell r="P432" t="e">
            <v>#NAME?</v>
          </cell>
          <cell r="Q432" t="e">
            <v>#NAME?</v>
          </cell>
          <cell r="R432" t="e">
            <v>#NAME?</v>
          </cell>
          <cell r="S432" t="e">
            <v>#NAME?</v>
          </cell>
          <cell r="T432" t="e">
            <v>#NAME?</v>
          </cell>
          <cell r="U432" t="e">
            <v>#NAME?</v>
          </cell>
          <cell r="V432" t="e">
            <v>#NAME?</v>
          </cell>
          <cell r="W432" t="e">
            <v>#NAME?</v>
          </cell>
          <cell r="X432" t="e">
            <v>#NAME?</v>
          </cell>
          <cell r="Y432" t="e">
            <v>#NAME?</v>
          </cell>
          <cell r="Z432" t="e">
            <v>#NAME?</v>
          </cell>
          <cell r="AF432" t="str">
            <v>D</v>
          </cell>
        </row>
        <row r="433">
          <cell r="F433" t="str">
            <v>% Input / Output</v>
          </cell>
          <cell r="AF433" t="str">
            <v>D</v>
          </cell>
        </row>
        <row r="434">
          <cell r="F434" t="str">
            <v>Estimate</v>
          </cell>
          <cell r="AF434" t="str">
            <v>D</v>
          </cell>
        </row>
        <row r="435">
          <cell r="E435" t="str">
            <v>Import / Local</v>
          </cell>
          <cell r="J435" t="str">
            <v>L</v>
          </cell>
          <cell r="AF435" t="str">
            <v>D</v>
          </cell>
        </row>
        <row r="436">
          <cell r="E436" t="str">
            <v xml:space="preserve">Import Duty </v>
          </cell>
          <cell r="J436" t="str">
            <v>%</v>
          </cell>
          <cell r="AF436" t="str">
            <v>D</v>
          </cell>
        </row>
        <row r="437">
          <cell r="E437" t="str">
            <v>Excise</v>
          </cell>
          <cell r="J437" t="str">
            <v>%</v>
          </cell>
          <cell r="AF437" t="str">
            <v>D</v>
          </cell>
        </row>
        <row r="438">
          <cell r="AF438" t="str">
            <v>D</v>
          </cell>
        </row>
        <row r="497">
          <cell r="A497" t="str">
            <v>ME</v>
          </cell>
          <cell r="C497">
            <v>8</v>
          </cell>
          <cell r="D497">
            <v>0</v>
          </cell>
          <cell r="Q497" t="e">
            <v>#NAME?</v>
          </cell>
          <cell r="S497" t="e">
            <v>#NAME?</v>
          </cell>
          <cell r="U497" t="e">
            <v>#NAME?</v>
          </cell>
          <cell r="W497" t="e">
            <v>#NAME?</v>
          </cell>
          <cell r="Y497" t="e">
            <v>#NAME?</v>
          </cell>
          <cell r="AF497" t="str">
            <v>D</v>
          </cell>
        </row>
        <row r="498">
          <cell r="E498" t="str">
            <v>% Growth</v>
          </cell>
          <cell r="I498" t="str">
            <v>g</v>
          </cell>
          <cell r="K498" t="str">
            <v>*</v>
          </cell>
          <cell r="M498">
            <v>0</v>
          </cell>
          <cell r="N498">
            <v>0</v>
          </cell>
          <cell r="O498">
            <v>0</v>
          </cell>
          <cell r="P498">
            <v>0</v>
          </cell>
          <cell r="R498">
            <v>0</v>
          </cell>
          <cell r="T498">
            <v>0</v>
          </cell>
          <cell r="V498">
            <v>0</v>
          </cell>
          <cell r="X498">
            <v>0</v>
          </cell>
          <cell r="Z498">
            <v>0</v>
          </cell>
          <cell r="AE498" t="str">
            <v>X</v>
          </cell>
          <cell r="AF498" t="str">
            <v>D</v>
          </cell>
        </row>
        <row r="499">
          <cell r="E499" t="str">
            <v>% to Net Sales</v>
          </cell>
          <cell r="I499" t="str">
            <v>p</v>
          </cell>
          <cell r="M499" t="e">
            <v>#NAME?</v>
          </cell>
          <cell r="N499" t="e">
            <v>#NAME?</v>
          </cell>
          <cell r="O499" t="e">
            <v>#NAME?</v>
          </cell>
          <cell r="P499" t="e">
            <v>#NAME?</v>
          </cell>
          <cell r="Q499" t="e">
            <v>#NAME?</v>
          </cell>
          <cell r="R499" t="e">
            <v>#NAME?</v>
          </cell>
          <cell r="S499" t="e">
            <v>#NAME?</v>
          </cell>
          <cell r="T499" t="e">
            <v>#NAME?</v>
          </cell>
          <cell r="U499" t="e">
            <v>#NAME?</v>
          </cell>
          <cell r="V499" t="e">
            <v>#NAME?</v>
          </cell>
          <cell r="W499" t="e">
            <v>#NAME?</v>
          </cell>
          <cell r="X499" t="e">
            <v>#NAME?</v>
          </cell>
          <cell r="Y499" t="e">
            <v>#NAME?</v>
          </cell>
          <cell r="Z499" t="e">
            <v>#NAME?</v>
          </cell>
          <cell r="AF499" t="str">
            <v>D</v>
          </cell>
        </row>
        <row r="500">
          <cell r="E500" t="str">
            <v>Estimate</v>
          </cell>
          <cell r="AF500" t="str">
            <v>D</v>
          </cell>
        </row>
        <row r="515">
          <cell r="C515">
            <v>8</v>
          </cell>
          <cell r="D515">
            <v>0</v>
          </cell>
          <cell r="AF515" t="str">
            <v>D</v>
          </cell>
        </row>
        <row r="531">
          <cell r="C531">
            <v>8</v>
          </cell>
          <cell r="D531">
            <v>0</v>
          </cell>
          <cell r="AF531" t="str">
            <v>D</v>
          </cell>
        </row>
        <row r="547">
          <cell r="C547">
            <v>8</v>
          </cell>
          <cell r="D547">
            <v>0</v>
          </cell>
          <cell r="AF547" t="str">
            <v>D</v>
          </cell>
        </row>
        <row r="565">
          <cell r="L565">
            <v>-31.079000000000001</v>
          </cell>
          <cell r="M565">
            <v>-2.9999999999290594E-3</v>
          </cell>
          <cell r="N565">
            <v>0</v>
          </cell>
          <cell r="O565">
            <v>1.7000000070765964E-4</v>
          </cell>
          <cell r="P565">
            <v>2.1700000002056186E-3</v>
          </cell>
          <cell r="Q565" t="e">
            <v>#NAME?</v>
          </cell>
          <cell r="R565">
            <v>-1.8300000001545413E-3</v>
          </cell>
          <cell r="S565" t="e">
            <v>#NAME?</v>
          </cell>
          <cell r="T565">
            <v>2.1699999997508712E-3</v>
          </cell>
          <cell r="U565">
            <v>0.27016999999977998</v>
          </cell>
          <cell r="V565">
            <v>-3565.7677113998707</v>
          </cell>
          <cell r="W565">
            <v>8.1169999999474385E-2</v>
          </cell>
          <cell r="X565" t="e">
            <v>#NAME?</v>
          </cell>
          <cell r="Y565" t="e">
            <v>#NAME?</v>
          </cell>
          <cell r="Z565" t="e">
            <v>#NAME?</v>
          </cell>
          <cell r="AA565" t="e">
            <v>#NAME?</v>
          </cell>
        </row>
        <row r="566">
          <cell r="L566">
            <v>0</v>
          </cell>
          <cell r="M566">
            <v>4.0000000004383196E-3</v>
          </cell>
          <cell r="N566">
            <v>-2.0000000005211405E-3</v>
          </cell>
          <cell r="O566">
            <v>-1.7000000116240699E-4</v>
          </cell>
          <cell r="P566">
            <v>2.2000000004425146E-3</v>
          </cell>
          <cell r="Q566" t="e">
            <v>#NAME?</v>
          </cell>
          <cell r="R566">
            <v>4.1000000005055881E-3</v>
          </cell>
          <cell r="S566" t="e">
            <v>#NAME?</v>
          </cell>
          <cell r="T566">
            <v>-5.0999999991745426E-3</v>
          </cell>
          <cell r="U566" t="e">
            <v>#NAME?</v>
          </cell>
          <cell r="V566">
            <v>2821.7058813998706</v>
          </cell>
          <cell r="W566" t="e">
            <v>#NAME?</v>
          </cell>
          <cell r="X566">
            <v>4133.6488570119782</v>
          </cell>
          <cell r="Y566">
            <v>-595.062592</v>
          </cell>
          <cell r="Z566">
            <v>105.80412231302353</v>
          </cell>
          <cell r="AA566">
            <v>105.80412231302353</v>
          </cell>
        </row>
      </sheetData>
      <sheetData sheetId="14" refreshError="1">
        <row r="5">
          <cell r="L5">
            <v>0</v>
          </cell>
          <cell r="M5">
            <v>2442.13</v>
          </cell>
          <cell r="N5">
            <v>2958.2539999999999</v>
          </cell>
          <cell r="O5">
            <v>3611.1779999999994</v>
          </cell>
          <cell r="P5">
            <v>4518.8599999999997</v>
          </cell>
          <cell r="Q5">
            <v>5000</v>
          </cell>
          <cell r="R5">
            <v>5144.2800000000007</v>
          </cell>
          <cell r="S5" t="e">
            <v>#NAME?</v>
          </cell>
          <cell r="T5">
            <v>6171.5969999999998</v>
          </cell>
          <cell r="U5" t="e">
            <v>#NAME?</v>
          </cell>
          <cell r="V5">
            <v>0.23088139987038236</v>
          </cell>
          <cell r="W5">
            <v>10475.09</v>
          </cell>
          <cell r="X5">
            <v>0.37909701197841256</v>
          </cell>
          <cell r="Y5">
            <v>12781.56</v>
          </cell>
          <cell r="Z5">
            <v>15884.706799999998</v>
          </cell>
          <cell r="AA5">
            <v>18967.124649999998</v>
          </cell>
        </row>
        <row r="9">
          <cell r="L9">
            <v>0</v>
          </cell>
          <cell r="M9">
            <v>2290.1620000000003</v>
          </cell>
          <cell r="N9">
            <v>2767.4169999999999</v>
          </cell>
          <cell r="O9">
            <v>3358.6779999999994</v>
          </cell>
          <cell r="P9">
            <v>4243.902</v>
          </cell>
          <cell r="Q9">
            <v>4697.5</v>
          </cell>
          <cell r="R9">
            <v>4829.0020000000004</v>
          </cell>
          <cell r="S9" t="e">
            <v>#NAME?</v>
          </cell>
          <cell r="T9">
            <v>5895.6629999999996</v>
          </cell>
          <cell r="U9" t="e">
            <v>#NAME?</v>
          </cell>
          <cell r="V9">
            <v>0.23088139987038236</v>
          </cell>
          <cell r="W9">
            <v>9666.81</v>
          </cell>
          <cell r="X9">
            <v>0.37909701197841256</v>
          </cell>
          <cell r="Y9">
            <v>11737.59</v>
          </cell>
          <cell r="Z9">
            <v>14675.143699999999</v>
          </cell>
          <cell r="AA9">
            <v>17575.911793499999</v>
          </cell>
        </row>
        <row r="25">
          <cell r="L25">
            <v>0</v>
          </cell>
          <cell r="M25">
            <v>164.02200000000045</v>
          </cell>
          <cell r="N25">
            <v>298.58199999999965</v>
          </cell>
          <cell r="O25">
            <v>366.57099999999934</v>
          </cell>
          <cell r="P25">
            <v>848.10900000000015</v>
          </cell>
          <cell r="Q25" t="e">
            <v>#NAME?</v>
          </cell>
          <cell r="R25">
            <v>1271.4980000000005</v>
          </cell>
          <cell r="S25" t="e">
            <v>#NAME?</v>
          </cell>
          <cell r="T25">
            <v>1410.913</v>
          </cell>
          <cell r="U25" t="e">
            <v>#NAME?</v>
          </cell>
          <cell r="V25">
            <v>0.23088139987038236</v>
          </cell>
          <cell r="W25" t="e">
            <v>#NAME?</v>
          </cell>
          <cell r="X25">
            <v>0.37909701197841256</v>
          </cell>
          <cell r="Y25">
            <v>2696.2847280000005</v>
          </cell>
          <cell r="Z25">
            <v>3519.2619187680884</v>
          </cell>
          <cell r="AA25">
            <v>4444.6144792082596</v>
          </cell>
        </row>
        <row r="30">
          <cell r="L30">
            <v>0</v>
          </cell>
          <cell r="M30">
            <v>194.18400000000042</v>
          </cell>
          <cell r="N30">
            <v>305.70199999999966</v>
          </cell>
          <cell r="O30">
            <v>374.5679999999993</v>
          </cell>
          <cell r="P30">
            <v>1027.4640000000002</v>
          </cell>
          <cell r="Q30" t="e">
            <v>#NAME?</v>
          </cell>
          <cell r="R30">
            <v>1349.7080000000005</v>
          </cell>
          <cell r="S30" t="e">
            <v>#NAME?</v>
          </cell>
          <cell r="T30">
            <v>1544.5010000000002</v>
          </cell>
          <cell r="U30" t="e">
            <v>#NAME?</v>
          </cell>
          <cell r="V30">
            <v>357.58788139987041</v>
          </cell>
          <cell r="W30" t="e">
            <v>#NAME?</v>
          </cell>
          <cell r="X30">
            <v>560.59685701197839</v>
          </cell>
          <cell r="Y30">
            <v>3062.2835680000007</v>
          </cell>
          <cell r="Z30">
            <v>3944.0046527680884</v>
          </cell>
          <cell r="AA30">
            <v>4963.3916480082598</v>
          </cell>
        </row>
        <row r="32">
          <cell r="L32">
            <v>0</v>
          </cell>
          <cell r="M32">
            <v>146.18400000000042</v>
          </cell>
          <cell r="N32">
            <v>248.20199999999966</v>
          </cell>
          <cell r="O32">
            <v>289.5679999999993</v>
          </cell>
          <cell r="P32">
            <v>707.46400000000017</v>
          </cell>
          <cell r="Q32" t="e">
            <v>#NAME?</v>
          </cell>
          <cell r="R32">
            <v>1019.7080000000005</v>
          </cell>
          <cell r="S32" t="e">
            <v>#NAME?</v>
          </cell>
          <cell r="T32">
            <v>1149.5010000000002</v>
          </cell>
          <cell r="U32" t="e">
            <v>#NAME?</v>
          </cell>
          <cell r="V32">
            <v>357.58788139987041</v>
          </cell>
          <cell r="W32" t="e">
            <v>#NAME?</v>
          </cell>
          <cell r="X32">
            <v>560.59685701197839</v>
          </cell>
          <cell r="Y32">
            <v>2266.0898403200008</v>
          </cell>
          <cell r="Z32">
            <v>2839.6833499930235</v>
          </cell>
          <cell r="AA32">
            <v>3474.3741536057819</v>
          </cell>
        </row>
        <row r="34">
          <cell r="L34">
            <v>0</v>
          </cell>
          <cell r="M34">
            <v>192.20400000000043</v>
          </cell>
          <cell r="N34">
            <v>311.75199999999967</v>
          </cell>
          <cell r="O34">
            <v>360.69499999999931</v>
          </cell>
          <cell r="P34">
            <v>787.44000000000017</v>
          </cell>
          <cell r="Q34" t="e">
            <v>#NAME?</v>
          </cell>
          <cell r="R34">
            <v>1106.6060000000004</v>
          </cell>
          <cell r="S34" t="e">
            <v>#NAME?</v>
          </cell>
          <cell r="T34">
            <v>1284.4940000000001</v>
          </cell>
          <cell r="U34" t="e">
            <v>#NAME?</v>
          </cell>
          <cell r="V34">
            <v>357.58788139987041</v>
          </cell>
          <cell r="W34" t="e">
            <v>#NAME?</v>
          </cell>
          <cell r="X34">
            <v>560.59685701197839</v>
          </cell>
          <cell r="Y34">
            <v>2460.3087603200006</v>
          </cell>
          <cell r="Z34">
            <v>3159.6833499930235</v>
          </cell>
          <cell r="AA34">
            <v>3864.3741536057819</v>
          </cell>
        </row>
        <row r="37">
          <cell r="L37">
            <v>0</v>
          </cell>
          <cell r="M37">
            <v>136.23900000000043</v>
          </cell>
          <cell r="N37">
            <v>229.55499999999967</v>
          </cell>
          <cell r="O37">
            <v>265.17599999999931</v>
          </cell>
          <cell r="P37">
            <v>630.4992000000002</v>
          </cell>
          <cell r="Q37" t="e">
            <v>#NAME?</v>
          </cell>
          <cell r="R37">
            <v>898.76410000000055</v>
          </cell>
          <cell r="S37" t="e">
            <v>#NAME?</v>
          </cell>
          <cell r="T37">
            <v>984.57690000000014</v>
          </cell>
          <cell r="U37" t="e">
            <v>#NAME?</v>
          </cell>
          <cell r="V37">
            <v>357.58788139987041</v>
          </cell>
          <cell r="W37" t="e">
            <v>#NAME?</v>
          </cell>
          <cell r="X37">
            <v>560.59685701197839</v>
          </cell>
          <cell r="Y37">
            <v>1837.3043403200011</v>
          </cell>
          <cell r="Z37">
            <v>2180.0133499930239</v>
          </cell>
          <cell r="AA37">
            <v>2550.8361536057819</v>
          </cell>
        </row>
        <row r="61">
          <cell r="L61">
            <v>31.079000000000001</v>
          </cell>
          <cell r="M61">
            <v>569.48400000000004</v>
          </cell>
          <cell r="N61">
            <v>834.79300000000001</v>
          </cell>
          <cell r="O61">
            <v>1995.7298300000002</v>
          </cell>
          <cell r="P61">
            <v>2626.9938300000003</v>
          </cell>
          <cell r="Q61" t="e">
            <v>#NAME?</v>
          </cell>
          <cell r="R61">
            <v>3526.4178300000003</v>
          </cell>
          <cell r="S61" t="e">
            <v>#NAME?</v>
          </cell>
          <cell r="T61">
            <v>4510.1558299999997</v>
          </cell>
          <cell r="U61">
            <v>5752.1998300000005</v>
          </cell>
          <cell r="V61">
            <v>6403.5717113998708</v>
          </cell>
          <cell r="W61">
            <v>7244.3008300000001</v>
          </cell>
          <cell r="X61" t="e">
            <v>#NAME?</v>
          </cell>
          <cell r="Y61" t="e">
            <v>#NAME?</v>
          </cell>
          <cell r="Z61" t="e">
            <v>#NAME?</v>
          </cell>
          <cell r="AA61" t="e">
            <v>#NAME?</v>
          </cell>
        </row>
        <row r="62">
          <cell r="L62">
            <v>0</v>
          </cell>
          <cell r="M62">
            <v>300.28149999999999</v>
          </cell>
          <cell r="N62">
            <v>702.13850000000002</v>
          </cell>
          <cell r="O62">
            <v>1415.2614150000002</v>
          </cell>
          <cell r="P62">
            <v>2311.3618300000003</v>
          </cell>
          <cell r="Q62" t="e">
            <v>#NAME?</v>
          </cell>
          <cell r="R62" t="e">
            <v>#NAME?</v>
          </cell>
          <cell r="S62" t="e">
            <v>#NAME?</v>
          </cell>
          <cell r="T62" t="e">
            <v>#NAME?</v>
          </cell>
          <cell r="U62" t="e">
            <v>#NAME?</v>
          </cell>
          <cell r="V62">
            <v>6077.8857706999352</v>
          </cell>
          <cell r="W62">
            <v>6498.2503300000008</v>
          </cell>
          <cell r="X62" t="e">
            <v>#NAME?</v>
          </cell>
          <cell r="Y62" t="e">
            <v>#NAME?</v>
          </cell>
          <cell r="Z62" t="e">
            <v>#NAME?</v>
          </cell>
        </row>
        <row r="67">
          <cell r="L67">
            <v>31.079000000000001</v>
          </cell>
          <cell r="M67">
            <v>1429.9880000000001</v>
          </cell>
          <cell r="N67">
            <v>1854.6329999999998</v>
          </cell>
          <cell r="O67">
            <v>3003.5348300000001</v>
          </cell>
          <cell r="P67">
            <v>2844.0498300000004</v>
          </cell>
          <cell r="Q67" t="e">
            <v>#NAME?</v>
          </cell>
          <cell r="R67">
            <v>3712.3128300000003</v>
          </cell>
          <cell r="S67" t="e">
            <v>#NAME?</v>
          </cell>
          <cell r="T67">
            <v>4840.6628299999993</v>
          </cell>
          <cell r="U67">
            <v>5947.9188300000005</v>
          </cell>
          <cell r="V67">
            <v>6403.5717113998708</v>
          </cell>
          <cell r="W67">
            <v>7484.5708300000006</v>
          </cell>
          <cell r="X67" t="e">
            <v>#NAME?</v>
          </cell>
          <cell r="Y67" t="e">
            <v>#NAME?</v>
          </cell>
          <cell r="Z67" t="e">
            <v>#NAME?</v>
          </cell>
          <cell r="AA67" t="e">
            <v>#NAME?</v>
          </cell>
        </row>
        <row r="80">
          <cell r="L80">
            <v>0</v>
          </cell>
          <cell r="M80">
            <v>1429.9850000000001</v>
          </cell>
          <cell r="N80">
            <v>1854.633</v>
          </cell>
          <cell r="O80">
            <v>3003.5350000000008</v>
          </cell>
          <cell r="P80">
            <v>2844.0520000000006</v>
          </cell>
          <cell r="Q80" t="e">
            <v>#NAME?</v>
          </cell>
          <cell r="R80">
            <v>3712.3110000000001</v>
          </cell>
          <cell r="S80" t="e">
            <v>#NAME?</v>
          </cell>
          <cell r="T80">
            <v>4840.6649999999991</v>
          </cell>
          <cell r="U80">
            <v>5948.1890000000003</v>
          </cell>
          <cell r="V80">
            <v>2837.8040000000001</v>
          </cell>
          <cell r="W80">
            <v>7484.652</v>
          </cell>
          <cell r="X80">
            <v>2837.63</v>
          </cell>
          <cell r="Y80">
            <v>9216.8867723200001</v>
          </cell>
          <cell r="Z80">
            <v>11487.296</v>
          </cell>
          <cell r="AA80">
            <v>14038.126</v>
          </cell>
        </row>
        <row r="107">
          <cell r="L107">
            <v>0</v>
          </cell>
          <cell r="M107">
            <v>44.472000000000435</v>
          </cell>
          <cell r="N107">
            <v>-1004.8980000000005</v>
          </cell>
          <cell r="O107">
            <v>958.09682999999882</v>
          </cell>
          <cell r="P107">
            <v>123.9072000000005</v>
          </cell>
          <cell r="Q107" t="e">
            <v>#NAME?</v>
          </cell>
          <cell r="R107">
            <v>450.91310000000061</v>
          </cell>
          <cell r="S107" t="e">
            <v>#NAME?</v>
          </cell>
          <cell r="T107">
            <v>536.47690000000091</v>
          </cell>
          <cell r="U107" t="e">
            <v>#NAME?</v>
          </cell>
          <cell r="V107">
            <v>2974.7048813998704</v>
          </cell>
          <cell r="W107" t="e">
            <v>#NAME?</v>
          </cell>
          <cell r="X107">
            <v>4192.4388570119781</v>
          </cell>
          <cell r="Y107">
            <v>893.73140799999987</v>
          </cell>
          <cell r="Z107">
            <v>1127.5141223130236</v>
          </cell>
          <cell r="AA107">
            <v>1040.8361536057819</v>
          </cell>
        </row>
        <row r="129">
          <cell r="L129">
            <v>0</v>
          </cell>
          <cell r="M129">
            <v>435.79700000000003</v>
          </cell>
          <cell r="N129">
            <v>2040.0450000000003</v>
          </cell>
          <cell r="O129">
            <v>2460.4260000000004</v>
          </cell>
          <cell r="P129">
            <v>2824.4839999999999</v>
          </cell>
          <cell r="Q129" t="e">
            <v>#NAME?</v>
          </cell>
          <cell r="R129">
            <v>3049.489</v>
          </cell>
          <cell r="S129" t="e">
            <v>#NAME?</v>
          </cell>
          <cell r="T129">
            <v>3876.0810000000001</v>
          </cell>
          <cell r="U129">
            <v>4703.6630000000005</v>
          </cell>
          <cell r="V129">
            <v>0</v>
          </cell>
          <cell r="W129" t="e">
            <v>#NAME?</v>
          </cell>
          <cell r="X129">
            <v>0</v>
          </cell>
          <cell r="Y129">
            <v>7688.1214500000006</v>
          </cell>
          <cell r="Z129">
            <v>0</v>
          </cell>
        </row>
        <row r="131">
          <cell r="L131">
            <v>0</v>
          </cell>
          <cell r="M131">
            <v>-435.79700000000003</v>
          </cell>
          <cell r="N131">
            <v>918.20899999999961</v>
          </cell>
          <cell r="O131">
            <v>1150.751999999999</v>
          </cell>
          <cell r="P131">
            <v>1694.3759999999997</v>
          </cell>
          <cell r="Q131" t="e">
            <v>#NAME?</v>
          </cell>
          <cell r="R131">
            <v>2094.7910000000006</v>
          </cell>
          <cell r="S131" t="e">
            <v>#NAME?</v>
          </cell>
          <cell r="T131">
            <v>2295.5159999999996</v>
          </cell>
          <cell r="U131" t="e">
            <v>#NAME?</v>
          </cell>
          <cell r="V131">
            <v>0.23088139987038236</v>
          </cell>
          <cell r="W131" t="e">
            <v>#NAME?</v>
          </cell>
          <cell r="X131">
            <v>0.37909701197841256</v>
          </cell>
          <cell r="Y131">
            <v>5093.4385499999989</v>
          </cell>
          <cell r="Z131">
            <v>0.21996373007540321</v>
          </cell>
        </row>
        <row r="132">
          <cell r="L132"/>
          <cell r="M132"/>
          <cell r="N132"/>
          <cell r="O132"/>
          <cell r="P132"/>
          <cell r="Q132"/>
          <cell r="R132"/>
          <cell r="S132"/>
          <cell r="T132"/>
          <cell r="U132"/>
          <cell r="V132"/>
          <cell r="W132"/>
          <cell r="X132"/>
          <cell r="Y132"/>
          <cell r="Z132"/>
        </row>
        <row r="139">
          <cell r="L139">
            <v>0</v>
          </cell>
          <cell r="M139">
            <v>293.69299999999998</v>
          </cell>
          <cell r="N139">
            <v>492.34</v>
          </cell>
          <cell r="O139">
            <v>602.80799999999999</v>
          </cell>
          <cell r="P139">
            <v>651.28499999999997</v>
          </cell>
          <cell r="Q139" t="e">
            <v>#NAME?</v>
          </cell>
          <cell r="R139">
            <v>594.91300000000012</v>
          </cell>
          <cell r="S139" t="e">
            <v>#NAME?</v>
          </cell>
          <cell r="T139">
            <v>743.66200000000003</v>
          </cell>
          <cell r="U139">
            <v>843.35099999999977</v>
          </cell>
          <cell r="V139">
            <v>0</v>
          </cell>
          <cell r="W139">
            <v>550.5630000000001</v>
          </cell>
          <cell r="X139">
            <v>0</v>
          </cell>
          <cell r="Y139">
            <v>237.34431999999998</v>
          </cell>
          <cell r="Z139">
            <v>0</v>
          </cell>
        </row>
        <row r="141">
          <cell r="L141">
            <v>0</v>
          </cell>
          <cell r="M141">
            <v>-67.392157357668822</v>
          </cell>
          <cell r="N141">
            <v>53.619600766274367</v>
          </cell>
          <cell r="O141">
            <v>52.383832485192336</v>
          </cell>
          <cell r="P141">
            <v>38.438044448221653</v>
          </cell>
          <cell r="Q141" t="e">
            <v>#NAME?</v>
          </cell>
          <cell r="R141">
            <v>28.399635094861488</v>
          </cell>
          <cell r="S141" t="e">
            <v>#NAME?</v>
          </cell>
          <cell r="T141">
            <v>32.39628911321028</v>
          </cell>
          <cell r="U141" t="e">
            <v>#NAME?</v>
          </cell>
          <cell r="V141">
            <v>0</v>
          </cell>
          <cell r="W141" t="e">
            <v>#NAME?</v>
          </cell>
          <cell r="X141">
            <v>0</v>
          </cell>
          <cell r="Y141">
            <v>4.6598053097155754</v>
          </cell>
          <cell r="Z141">
            <v>0</v>
          </cell>
        </row>
        <row r="142">
          <cell r="L142">
            <v>0</v>
          </cell>
          <cell r="M142">
            <v>-0.67392157357668814</v>
          </cell>
          <cell r="N142">
            <v>0.53619600766274367</v>
          </cell>
          <cell r="O142">
            <v>0.52383832485192339</v>
          </cell>
          <cell r="P142">
            <v>0.38438044448221648</v>
          </cell>
          <cell r="Q142" t="e">
            <v>#NAME?</v>
          </cell>
          <cell r="R142">
            <v>0.28399635094861492</v>
          </cell>
          <cell r="S142" t="e">
            <v>#NAME?</v>
          </cell>
          <cell r="T142">
            <v>0.3239628911321028</v>
          </cell>
          <cell r="U142" t="e">
            <v>#NAME?</v>
          </cell>
          <cell r="V142">
            <v>0</v>
          </cell>
          <cell r="W142" t="e">
            <v>#NAME?</v>
          </cell>
          <cell r="X142">
            <v>0</v>
          </cell>
          <cell r="Y142">
            <v>4.6598053097155756E-2</v>
          </cell>
          <cell r="Z142">
            <v>0</v>
          </cell>
        </row>
        <row r="163">
          <cell r="L163" t="e">
            <v>#NAME?</v>
          </cell>
          <cell r="M163" t="e">
            <v>#NAME?</v>
          </cell>
          <cell r="N163" t="e">
            <v>#NAME?</v>
          </cell>
          <cell r="O163" t="e">
            <v>#NAME?</v>
          </cell>
          <cell r="P163" t="e">
            <v>#NAME?</v>
          </cell>
          <cell r="Q163" t="e">
            <v>#NAME?</v>
          </cell>
          <cell r="R163" t="e">
            <v>#NAME?</v>
          </cell>
          <cell r="S163" t="e">
            <v>#NAME?</v>
          </cell>
          <cell r="T163" t="e">
            <v>#NAME?</v>
          </cell>
          <cell r="U163" t="e">
            <v>#NAME?</v>
          </cell>
          <cell r="V163" t="e">
            <v>#NAME?</v>
          </cell>
          <cell r="W163" t="e">
            <v>#NAME?</v>
          </cell>
          <cell r="X163" t="e">
            <v>#NAME?</v>
          </cell>
          <cell r="Y163" t="e">
            <v>#NAME?</v>
          </cell>
          <cell r="Z163" t="e">
            <v>#NAME?</v>
          </cell>
        </row>
        <row r="171">
          <cell r="L171" t="e">
            <v>#NAME?</v>
          </cell>
          <cell r="M171" t="e">
            <v>#NAME?</v>
          </cell>
          <cell r="N171" t="e">
            <v>#NAME?</v>
          </cell>
          <cell r="O171" t="e">
            <v>#NAME?</v>
          </cell>
          <cell r="P171" t="e">
            <v>#NAME?</v>
          </cell>
          <cell r="Q171" t="e">
            <v>#NAME?</v>
          </cell>
          <cell r="R171" t="e">
            <v>#NAME?</v>
          </cell>
          <cell r="S171" t="e">
            <v>#NAME?</v>
          </cell>
          <cell r="T171" t="e">
            <v>#NAME?</v>
          </cell>
          <cell r="U171" t="e">
            <v>#NAME?</v>
          </cell>
          <cell r="V171" t="e">
            <v>#NAME?</v>
          </cell>
          <cell r="W171" t="e">
            <v>#NAME?</v>
          </cell>
          <cell r="X171" t="e">
            <v>#NAME?</v>
          </cell>
          <cell r="Y171" t="e">
            <v>#NAME?</v>
          </cell>
          <cell r="Z171" t="e">
            <v>#NAME?</v>
          </cell>
        </row>
        <row r="173">
          <cell r="L173" t="e">
            <v>#NAME?</v>
          </cell>
          <cell r="M173" t="e">
            <v>#NAME?</v>
          </cell>
          <cell r="N173" t="e">
            <v>#NAME?</v>
          </cell>
          <cell r="O173" t="e">
            <v>#NAME?</v>
          </cell>
          <cell r="P173" t="e">
            <v>#NAME?</v>
          </cell>
          <cell r="Q173" t="e">
            <v>#NAME?</v>
          </cell>
          <cell r="R173" t="e">
            <v>#NAME?</v>
          </cell>
          <cell r="S173" t="e">
            <v>#NAME?</v>
          </cell>
          <cell r="T173" t="e">
            <v>#NAME?</v>
          </cell>
          <cell r="U173" t="e">
            <v>#NAME?</v>
          </cell>
          <cell r="V173" t="e">
            <v>#NAME?</v>
          </cell>
          <cell r="W173" t="e">
            <v>#NAME?</v>
          </cell>
          <cell r="X173" t="e">
            <v>#NAME?</v>
          </cell>
          <cell r="Y173" t="e">
            <v>#NAME?</v>
          </cell>
          <cell r="Z173" t="e">
            <v>#NAME?</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1"/>
      <sheetName val="Page2"/>
      <sheetName val="Page3"/>
      <sheetName val="Page4"/>
      <sheetName val="ChartGallery"/>
      <sheetName val="ChartData"/>
      <sheetName val="ForeignOwnership"/>
      <sheetName val="Profile"/>
      <sheetName val="Debt"/>
      <sheetName val="Formats"/>
      <sheetName val="Input"/>
      <sheetName val="Capital"/>
      <sheetName val="CapEx"/>
      <sheetName val="Tax"/>
    </sheetNames>
    <sheetDataSet>
      <sheetData sheetId="0"/>
      <sheetData sheetId="1"/>
      <sheetData sheetId="2"/>
      <sheetData sheetId="3"/>
      <sheetData sheetId="4"/>
      <sheetData sheetId="5" refreshError="1">
        <row r="30">
          <cell r="E30">
            <v>700</v>
          </cell>
        </row>
        <row r="31">
          <cell r="E31">
            <v>182.5</v>
          </cell>
        </row>
        <row r="36">
          <cell r="E36">
            <v>164.441014</v>
          </cell>
        </row>
        <row r="37">
          <cell r="E37" t="str">
            <v>Promoters</v>
          </cell>
        </row>
        <row r="38">
          <cell r="E38">
            <v>0.61399999999999999</v>
          </cell>
        </row>
        <row r="44">
          <cell r="E44" t="str">
            <v>B</v>
          </cell>
        </row>
        <row r="73">
          <cell r="E73">
            <v>2.1000000000000001E-2</v>
          </cell>
        </row>
        <row r="74">
          <cell r="E74" t="str">
            <v>m</v>
          </cell>
        </row>
        <row r="75">
          <cell r="E75">
            <v>15189521.539999999</v>
          </cell>
        </row>
        <row r="76">
          <cell r="E76">
            <v>340063.43</v>
          </cell>
        </row>
        <row r="77">
          <cell r="E77">
            <v>7458220556.5</v>
          </cell>
        </row>
      </sheetData>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Capital History"/>
      <sheetName val="Operating Statistics"/>
      <sheetName val="Debt"/>
      <sheetName val="Debt (2)"/>
      <sheetName val="assets buildup"/>
      <sheetName val="Capex &amp; Depreciation"/>
      <sheetName val="Market Info"/>
      <sheetName val="FS1"/>
      <sheetName val="FS2"/>
      <sheetName val="Financials "/>
      <sheetName val="One Pager "/>
      <sheetName val="First Page "/>
      <sheetName val="Cover"/>
      <sheetName val="Reporting"/>
      <sheetName val="System_Defaults"/>
      <sheetName val="VbCode"/>
      <sheetName val="Model"/>
      <sheetName val="Input"/>
    </sheetNames>
    <sheetDataSet>
      <sheetData sheetId="0" refreshError="1">
        <row r="7">
          <cell r="E7" t="str">
            <v>Reliance Industries Ltd.</v>
          </cell>
        </row>
        <row r="8">
          <cell r="E8" t="str">
            <v>S. Ramesh</v>
          </cell>
        </row>
        <row r="9">
          <cell r="E9" t="str">
            <v>STOCKWATCH</v>
          </cell>
        </row>
        <row r="10">
          <cell r="E10">
            <v>35450</v>
          </cell>
        </row>
        <row r="11">
          <cell r="E11" t="str">
            <v>Reliance Industries Ltd.</v>
          </cell>
        </row>
        <row r="12">
          <cell r="E12" t="str">
            <v>Diversified</v>
          </cell>
        </row>
        <row r="13">
          <cell r="E13" t="str">
            <v>INDIA</v>
          </cell>
        </row>
        <row r="15">
          <cell r="E15" t="str">
            <v>m</v>
          </cell>
        </row>
        <row r="16">
          <cell r="E16">
            <v>1995</v>
          </cell>
        </row>
        <row r="19">
          <cell r="E19">
            <v>3389</v>
          </cell>
        </row>
        <row r="21">
          <cell r="E21">
            <v>460.37296500000002</v>
          </cell>
        </row>
        <row r="22">
          <cell r="E22">
            <v>10</v>
          </cell>
        </row>
        <row r="23">
          <cell r="E23" t="str">
            <v>Rs300-Rs150</v>
          </cell>
        </row>
        <row r="24">
          <cell r="E24" t="str">
            <v>RELI.BO</v>
          </cell>
        </row>
        <row r="25">
          <cell r="E25">
            <v>325</v>
          </cell>
        </row>
        <row r="26">
          <cell r="E26" t="str">
            <v>BUY</v>
          </cell>
        </row>
        <row r="27">
          <cell r="E27">
            <v>108532.92649875001</v>
          </cell>
        </row>
        <row r="35">
          <cell r="E35">
            <v>0.10421545667447307</v>
          </cell>
        </row>
        <row r="36">
          <cell r="E36">
            <v>2.4999999999999911E-2</v>
          </cell>
        </row>
        <row r="39">
          <cell r="E39">
            <v>0.45</v>
          </cell>
        </row>
      </sheetData>
      <sheetData sheetId="1" refreshError="1"/>
      <sheetData sheetId="2" refreshError="1">
        <row r="1">
          <cell r="A1" t="str">
            <v>Reliance Industries Ltd.</v>
          </cell>
          <cell r="T1" t="str">
            <v>Operating Statistics</v>
          </cell>
        </row>
        <row r="2">
          <cell r="A2" t="str">
            <v>Rs. m</v>
          </cell>
          <cell r="T2" t="str">
            <v>STOCKWATCH  20-Jan-97</v>
          </cell>
        </row>
        <row r="3">
          <cell r="B3" t="str">
            <v>Avg. Exchange rate</v>
          </cell>
          <cell r="P3">
            <v>36.15</v>
          </cell>
          <cell r="Q3">
            <v>39.799999999999997</v>
          </cell>
          <cell r="R3">
            <v>41.79</v>
          </cell>
          <cell r="S3">
            <v>41.79</v>
          </cell>
          <cell r="T3">
            <v>41.79</v>
          </cell>
        </row>
        <row r="4">
          <cell r="B4" t="str">
            <v>(Rs/US$)</v>
          </cell>
        </row>
        <row r="5">
          <cell r="A5" t="str">
            <v>SOURCE:</v>
          </cell>
          <cell r="C5" t="str">
            <v>STRATEGIST-AUG 96</v>
          </cell>
          <cell r="J5" t="str">
            <v>Historical</v>
          </cell>
          <cell r="P5" t="str">
            <v>Projected</v>
          </cell>
        </row>
        <row r="6">
          <cell r="A6" t="str">
            <v>Fiscal Year Ended  31 March</v>
          </cell>
          <cell r="J6">
            <v>1991</v>
          </cell>
          <cell r="K6">
            <v>1992</v>
          </cell>
          <cell r="L6">
            <v>1993</v>
          </cell>
          <cell r="M6">
            <v>1994</v>
          </cell>
          <cell r="N6">
            <v>1995</v>
          </cell>
          <cell r="O6">
            <v>1996</v>
          </cell>
          <cell r="P6">
            <v>1997</v>
          </cell>
          <cell r="Q6">
            <v>1998</v>
          </cell>
          <cell r="R6">
            <v>1999</v>
          </cell>
          <cell r="S6">
            <v>2000</v>
          </cell>
          <cell r="T6">
            <v>2001</v>
          </cell>
        </row>
        <row r="8">
          <cell r="A8" t="str">
            <v>Sales (tonnes)</v>
          </cell>
          <cell r="L8">
            <v>101525.09999999999</v>
          </cell>
        </row>
        <row r="9">
          <cell r="B9" t="str">
            <v>Fabric (m mtrs)</v>
          </cell>
          <cell r="J9">
            <v>50.66</v>
          </cell>
          <cell r="K9">
            <v>52.566000000000003</v>
          </cell>
          <cell r="L9">
            <v>51.134</v>
          </cell>
          <cell r="M9">
            <v>44.875999999999998</v>
          </cell>
          <cell r="N9">
            <v>47.494999999999997</v>
          </cell>
          <cell r="O9">
            <v>49.244</v>
          </cell>
          <cell r="P9">
            <v>54.168400000000005</v>
          </cell>
          <cell r="Q9">
            <v>58.772714000000001</v>
          </cell>
          <cell r="R9">
            <v>61.711349700000007</v>
          </cell>
          <cell r="S9">
            <v>64.796917185000012</v>
          </cell>
          <cell r="T9">
            <v>68.036763044250023</v>
          </cell>
        </row>
        <row r="10">
          <cell r="B10" t="str">
            <v>Polyester Filament Yarn</v>
          </cell>
          <cell r="J10">
            <v>66692</v>
          </cell>
          <cell r="K10">
            <v>69372</v>
          </cell>
          <cell r="L10">
            <v>74656</v>
          </cell>
          <cell r="M10">
            <v>88727</v>
          </cell>
          <cell r="N10">
            <v>89661</v>
          </cell>
          <cell r="O10">
            <v>104500</v>
          </cell>
          <cell r="P10">
            <v>155999.66666666666</v>
          </cell>
          <cell r="Q10">
            <v>202500</v>
          </cell>
          <cell r="R10">
            <v>224500</v>
          </cell>
          <cell r="S10">
            <v>224500</v>
          </cell>
          <cell r="T10">
            <v>224500</v>
          </cell>
        </row>
        <row r="11">
          <cell r="B11" t="str">
            <v>Polyester Staple Fibre</v>
          </cell>
          <cell r="J11">
            <v>52813</v>
          </cell>
          <cell r="K11">
            <v>61009</v>
          </cell>
          <cell r="L11">
            <v>63340</v>
          </cell>
          <cell r="M11">
            <v>72660</v>
          </cell>
          <cell r="N11">
            <v>87928</v>
          </cell>
          <cell r="O11">
            <v>92324.400000000009</v>
          </cell>
          <cell r="P11">
            <v>116000</v>
          </cell>
          <cell r="Q11">
            <v>208000</v>
          </cell>
          <cell r="R11">
            <v>260000</v>
          </cell>
          <cell r="S11">
            <v>260000</v>
          </cell>
          <cell r="T11">
            <v>260000</v>
          </cell>
        </row>
        <row r="12">
          <cell r="B12" t="str">
            <v>PTA(Purified terephthalic acid)</v>
          </cell>
          <cell r="J12">
            <v>48908</v>
          </cell>
          <cell r="K12">
            <v>59669</v>
          </cell>
          <cell r="L12">
            <v>106432</v>
          </cell>
          <cell r="M12">
            <v>95742</v>
          </cell>
          <cell r="N12">
            <v>75000</v>
          </cell>
          <cell r="O12">
            <v>74750</v>
          </cell>
          <cell r="P12">
            <v>24056.000000000007</v>
          </cell>
          <cell r="Q12">
            <v>984.375</v>
          </cell>
          <cell r="R12">
            <v>109085</v>
          </cell>
          <cell r="S12">
            <v>122171.875</v>
          </cell>
          <cell r="T12">
            <v>122171.875</v>
          </cell>
        </row>
        <row r="13">
          <cell r="B13" t="str">
            <v>LAB (Linear Alkyl Benzene)</v>
          </cell>
          <cell r="J13">
            <v>64142</v>
          </cell>
          <cell r="K13">
            <v>67364</v>
          </cell>
          <cell r="L13">
            <v>75765</v>
          </cell>
          <cell r="M13">
            <v>77004</v>
          </cell>
          <cell r="N13">
            <v>80508</v>
          </cell>
          <cell r="O13">
            <v>80508</v>
          </cell>
          <cell r="P13">
            <v>90000</v>
          </cell>
          <cell r="Q13">
            <v>90000</v>
          </cell>
          <cell r="R13">
            <v>105000</v>
          </cell>
          <cell r="S13">
            <v>108000</v>
          </cell>
          <cell r="T13">
            <v>114000</v>
          </cell>
        </row>
        <row r="14">
          <cell r="B14" t="str">
            <v>MEG (Mono Ethylene Glycol)</v>
          </cell>
          <cell r="J14">
            <v>0</v>
          </cell>
          <cell r="K14">
            <v>3985</v>
          </cell>
          <cell r="L14">
            <v>42129</v>
          </cell>
          <cell r="M14">
            <v>59823</v>
          </cell>
          <cell r="N14">
            <v>52070</v>
          </cell>
          <cell r="O14">
            <v>38011.1</v>
          </cell>
          <cell r="P14">
            <v>0</v>
          </cell>
          <cell r="Q14">
            <v>0</v>
          </cell>
          <cell r="R14">
            <v>0</v>
          </cell>
          <cell r="S14">
            <v>0</v>
          </cell>
          <cell r="T14">
            <v>0</v>
          </cell>
        </row>
        <row r="15">
          <cell r="B15" t="str">
            <v>PVC (Poly Vinyl Chloride)</v>
          </cell>
          <cell r="J15">
            <v>0</v>
          </cell>
          <cell r="K15">
            <v>3185</v>
          </cell>
          <cell r="L15">
            <v>108756</v>
          </cell>
          <cell r="M15">
            <v>170000</v>
          </cell>
          <cell r="N15">
            <v>186597</v>
          </cell>
          <cell r="O15">
            <v>186500</v>
          </cell>
          <cell r="P15">
            <v>250250</v>
          </cell>
          <cell r="Q15">
            <v>270000</v>
          </cell>
          <cell r="R15">
            <v>300000</v>
          </cell>
          <cell r="S15">
            <v>300000</v>
          </cell>
          <cell r="T15">
            <v>300000</v>
          </cell>
        </row>
        <row r="16">
          <cell r="B16" t="str">
            <v xml:space="preserve">PE (Polyethylene) </v>
          </cell>
          <cell r="J16">
            <v>0</v>
          </cell>
          <cell r="K16">
            <v>0</v>
          </cell>
          <cell r="L16">
            <v>35980</v>
          </cell>
          <cell r="M16">
            <v>132000</v>
          </cell>
          <cell r="N16">
            <v>166000</v>
          </cell>
          <cell r="O16">
            <v>190000</v>
          </cell>
          <cell r="P16">
            <v>200000</v>
          </cell>
          <cell r="Q16">
            <v>340000</v>
          </cell>
          <cell r="R16">
            <v>390000</v>
          </cell>
          <cell r="S16">
            <v>390000</v>
          </cell>
          <cell r="T16">
            <v>390000</v>
          </cell>
        </row>
        <row r="17">
          <cell r="B17" t="str">
            <v>PP (Polypropylene)</v>
          </cell>
          <cell r="P17">
            <v>78750</v>
          </cell>
          <cell r="Q17">
            <v>262500</v>
          </cell>
          <cell r="R17">
            <v>297500</v>
          </cell>
          <cell r="S17">
            <v>417500</v>
          </cell>
          <cell r="T17">
            <v>617500</v>
          </cell>
        </row>
        <row r="18">
          <cell r="B18" t="str">
            <v>Oil (barrels)</v>
          </cell>
          <cell r="N18">
            <v>319148.7</v>
          </cell>
          <cell r="O18">
            <v>1322051.8999999999</v>
          </cell>
          <cell r="P18">
            <v>1449999.9999999998</v>
          </cell>
          <cell r="Q18">
            <v>1449999.9999999998</v>
          </cell>
          <cell r="R18">
            <v>5220000</v>
          </cell>
          <cell r="S18">
            <v>5220000</v>
          </cell>
          <cell r="T18">
            <v>5220000</v>
          </cell>
        </row>
        <row r="19">
          <cell r="B19" t="str">
            <v>Gas(b cu.mtr)</v>
          </cell>
          <cell r="P19">
            <v>0.3</v>
          </cell>
          <cell r="Q19">
            <v>1.2</v>
          </cell>
          <cell r="R19">
            <v>1.2</v>
          </cell>
          <cell r="S19">
            <v>1.2</v>
          </cell>
          <cell r="T19">
            <v>1.2</v>
          </cell>
        </row>
        <row r="20">
          <cell r="B20" t="str">
            <v>PET Chips</v>
          </cell>
          <cell r="J20">
            <v>0</v>
          </cell>
          <cell r="K20">
            <v>0</v>
          </cell>
          <cell r="L20">
            <v>0</v>
          </cell>
          <cell r="M20">
            <v>0</v>
          </cell>
          <cell r="N20">
            <v>0</v>
          </cell>
          <cell r="Q20">
            <v>48000</v>
          </cell>
          <cell r="R20">
            <v>72000</v>
          </cell>
          <cell r="S20">
            <v>72000</v>
          </cell>
          <cell r="T20">
            <v>72000</v>
          </cell>
        </row>
        <row r="21">
          <cell r="B21" t="str">
            <v>Total excl oiland gas</v>
          </cell>
          <cell r="J21">
            <v>232605.66</v>
          </cell>
          <cell r="K21">
            <v>264584</v>
          </cell>
          <cell r="L21">
            <v>507058</v>
          </cell>
          <cell r="M21">
            <v>695956</v>
          </cell>
          <cell r="N21">
            <v>737764</v>
          </cell>
          <cell r="O21">
            <v>766593.5</v>
          </cell>
          <cell r="P21">
            <v>915055.66666666663</v>
          </cell>
          <cell r="Q21">
            <v>1421984.375</v>
          </cell>
          <cell r="R21">
            <v>1758085</v>
          </cell>
          <cell r="S21">
            <v>1894171.875</v>
          </cell>
          <cell r="T21">
            <v>2100171.875</v>
          </cell>
        </row>
        <row r="22">
          <cell r="O22">
            <v>18724.055820904003</v>
          </cell>
        </row>
        <row r="23">
          <cell r="O23">
            <v>245987.22800000003</v>
          </cell>
        </row>
        <row r="24">
          <cell r="O24">
            <v>171237.22800000003</v>
          </cell>
        </row>
        <row r="25">
          <cell r="L25">
            <v>137996</v>
          </cell>
          <cell r="M25">
            <v>161387</v>
          </cell>
          <cell r="N25">
            <v>177589</v>
          </cell>
          <cell r="O25">
            <v>196824.40000000002</v>
          </cell>
          <cell r="P25">
            <v>51479.89</v>
          </cell>
          <cell r="Q25">
            <v>4916.3505159550832</v>
          </cell>
        </row>
        <row r="26">
          <cell r="M26">
            <v>56485.45</v>
          </cell>
          <cell r="N26">
            <v>62156.149999999994</v>
          </cell>
          <cell r="O26">
            <v>68888.540000000008</v>
          </cell>
          <cell r="P26">
            <v>38280</v>
          </cell>
          <cell r="Q26">
            <v>2685.3420000000001</v>
          </cell>
        </row>
        <row r="27">
          <cell r="O27">
            <v>106899.64000000001</v>
          </cell>
        </row>
        <row r="28">
          <cell r="B28" t="str">
            <v>vol growth</v>
          </cell>
          <cell r="P28">
            <v>0.19366478670464415</v>
          </cell>
          <cell r="Q28">
            <v>0.55398674288303784</v>
          </cell>
          <cell r="R28">
            <v>0.23636027997846321</v>
          </cell>
          <cell r="S28">
            <v>7.7406311412701934E-2</v>
          </cell>
          <cell r="T28">
            <v>0.10875465036666743</v>
          </cell>
        </row>
        <row r="29">
          <cell r="A29" t="str">
            <v>Per Unit Realisation (Rs.)</v>
          </cell>
        </row>
        <row r="30">
          <cell r="B30" t="str">
            <v>Fabric (per meter)</v>
          </cell>
          <cell r="J30">
            <v>48.94196604816424</v>
          </cell>
          <cell r="K30">
            <v>49.136323859528972</v>
          </cell>
          <cell r="L30">
            <v>56.213087182696448</v>
          </cell>
          <cell r="M30">
            <v>64.448703092967293</v>
          </cell>
          <cell r="N30">
            <v>77.338443711560743</v>
          </cell>
          <cell r="O30">
            <v>79</v>
          </cell>
          <cell r="P30">
            <v>76.037500000000009</v>
          </cell>
          <cell r="Q30">
            <v>76.037500000000009</v>
          </cell>
          <cell r="R30">
            <v>79.839375000000018</v>
          </cell>
          <cell r="S30">
            <v>83.831343750000016</v>
          </cell>
          <cell r="T30">
            <v>88.022910937500015</v>
          </cell>
        </row>
        <row r="31">
          <cell r="B31" t="str">
            <v>Polyester Filament Yarn</v>
          </cell>
          <cell r="J31">
            <v>170708.63072032627</v>
          </cell>
          <cell r="K31">
            <v>164268.00438217149</v>
          </cell>
          <cell r="L31">
            <v>140371.83883411915</v>
          </cell>
          <cell r="M31">
            <v>157678</v>
          </cell>
          <cell r="N31">
            <v>150188</v>
          </cell>
          <cell r="O31">
            <v>149625</v>
          </cell>
          <cell r="P31">
            <v>95500.408333333326</v>
          </cell>
          <cell r="Q31">
            <v>101499.99999999997</v>
          </cell>
          <cell r="R31">
            <v>107000.45</v>
          </cell>
          <cell r="S31">
            <v>107000.45</v>
          </cell>
          <cell r="T31">
            <v>107000.45</v>
          </cell>
        </row>
        <row r="32">
          <cell r="B32" t="str">
            <v>Polyester Staple Fibre</v>
          </cell>
          <cell r="J32">
            <v>51983.41317478651</v>
          </cell>
          <cell r="K32">
            <v>69804.45508039798</v>
          </cell>
          <cell r="L32">
            <v>62745.500473634354</v>
          </cell>
          <cell r="M32">
            <v>75900</v>
          </cell>
          <cell r="N32">
            <v>101790</v>
          </cell>
          <cell r="O32">
            <v>102807.9</v>
          </cell>
          <cell r="P32">
            <v>70150</v>
          </cell>
          <cell r="Q32">
            <v>69500</v>
          </cell>
          <cell r="R32">
            <v>75000</v>
          </cell>
          <cell r="S32">
            <v>75000</v>
          </cell>
          <cell r="T32">
            <v>75000</v>
          </cell>
        </row>
        <row r="33">
          <cell r="B33" t="str">
            <v>PTA(Purified terephthalic acid)</v>
          </cell>
          <cell r="J33">
            <v>35840.762247485072</v>
          </cell>
          <cell r="K33">
            <v>35668.437547135036</v>
          </cell>
          <cell r="L33">
            <v>37672.880336740833</v>
          </cell>
          <cell r="M33">
            <v>32000</v>
          </cell>
          <cell r="N33">
            <v>59400</v>
          </cell>
          <cell r="O33">
            <v>49432</v>
          </cell>
          <cell r="P33">
            <v>32600</v>
          </cell>
          <cell r="Q33">
            <v>37499.999999999993</v>
          </cell>
          <cell r="R33">
            <v>40750.25</v>
          </cell>
          <cell r="S33">
            <v>40750.25</v>
          </cell>
          <cell r="T33">
            <v>40750.25</v>
          </cell>
        </row>
        <row r="34">
          <cell r="B34" t="str">
            <v>LAB (Linear Alkyl Benzene)</v>
          </cell>
          <cell r="J34">
            <v>25933.085965514016</v>
          </cell>
          <cell r="K34">
            <v>27421.17451457752</v>
          </cell>
          <cell r="L34">
            <v>31255.85692602125</v>
          </cell>
          <cell r="M34">
            <v>32000</v>
          </cell>
          <cell r="N34">
            <v>35200</v>
          </cell>
          <cell r="O34">
            <v>36960</v>
          </cell>
          <cell r="P34">
            <v>34999.64</v>
          </cell>
          <cell r="Q34">
            <v>36500</v>
          </cell>
          <cell r="R34">
            <v>39879.5</v>
          </cell>
          <cell r="S34">
            <v>39879.5</v>
          </cell>
          <cell r="T34">
            <v>42279.5</v>
          </cell>
        </row>
        <row r="35">
          <cell r="B35" t="str">
            <v>MEG (Mono Ethylene Glycol)</v>
          </cell>
          <cell r="J35" t="str">
            <v>N.A.</v>
          </cell>
          <cell r="K35">
            <v>31317.440401505646</v>
          </cell>
          <cell r="L35">
            <v>31011.892045859146</v>
          </cell>
          <cell r="M35">
            <v>21000</v>
          </cell>
          <cell r="N35">
            <v>36750</v>
          </cell>
          <cell r="O35">
            <v>39889.599999999999</v>
          </cell>
          <cell r="P35">
            <v>32600</v>
          </cell>
          <cell r="Q35">
            <v>35800</v>
          </cell>
          <cell r="R35">
            <v>43879.5</v>
          </cell>
          <cell r="S35">
            <v>43879.5</v>
          </cell>
          <cell r="T35">
            <v>43879.5</v>
          </cell>
        </row>
        <row r="36">
          <cell r="B36" t="str">
            <v>PVC (Poly Vinyl Chloride)</v>
          </cell>
          <cell r="J36" t="str">
            <v>N.A.</v>
          </cell>
          <cell r="K36">
            <v>31742.543171114601</v>
          </cell>
          <cell r="L36">
            <v>32170.179116554489</v>
          </cell>
          <cell r="M36">
            <v>39000</v>
          </cell>
          <cell r="N36">
            <v>47900</v>
          </cell>
          <cell r="O36">
            <v>49980</v>
          </cell>
          <cell r="P36">
            <v>36499.734375</v>
          </cell>
          <cell r="Q36">
            <v>33499.499999999993</v>
          </cell>
          <cell r="R36">
            <v>34000.300000000003</v>
          </cell>
          <cell r="S36">
            <v>34000.300000000003</v>
          </cell>
          <cell r="T36">
            <v>34000.300000000003</v>
          </cell>
        </row>
        <row r="37">
          <cell r="B37" t="str">
            <v xml:space="preserve">PE (Polyethylene) </v>
          </cell>
          <cell r="J37" t="str">
            <v>N.A.</v>
          </cell>
          <cell r="K37" t="str">
            <v>N.A.</v>
          </cell>
          <cell r="L37">
            <v>40850.472484713733</v>
          </cell>
          <cell r="M37">
            <v>40000</v>
          </cell>
          <cell r="N37">
            <v>46000</v>
          </cell>
          <cell r="O37">
            <v>49215</v>
          </cell>
          <cell r="P37">
            <v>47150.33203125</v>
          </cell>
          <cell r="Q37">
            <v>48299.75</v>
          </cell>
          <cell r="R37">
            <v>46230.1875</v>
          </cell>
          <cell r="S37">
            <v>46230.1875</v>
          </cell>
          <cell r="T37">
            <v>46230.1875</v>
          </cell>
        </row>
        <row r="38">
          <cell r="B38" t="str">
            <v>PP (Polypropylene)</v>
          </cell>
          <cell r="P38">
            <v>47000</v>
          </cell>
          <cell r="Q38">
            <v>43899.999999999993</v>
          </cell>
          <cell r="R38">
            <v>48099.500000000007</v>
          </cell>
          <cell r="S38">
            <v>48099.500000000007</v>
          </cell>
          <cell r="T38">
            <v>48099.500000000007</v>
          </cell>
        </row>
        <row r="39">
          <cell r="B39" t="str">
            <v>Oil (barrels)</v>
          </cell>
          <cell r="C39" t="str">
            <v>$per barrel</v>
          </cell>
          <cell r="J39" t="str">
            <v xml:space="preserve">brent </v>
          </cell>
          <cell r="N39">
            <v>15.342465753424658</v>
          </cell>
          <cell r="O39">
            <v>14.383561643835616</v>
          </cell>
          <cell r="P39">
            <v>22.75</v>
          </cell>
          <cell r="Q39">
            <v>21</v>
          </cell>
          <cell r="R39">
            <v>20</v>
          </cell>
          <cell r="S39">
            <v>19</v>
          </cell>
          <cell r="T39">
            <v>18</v>
          </cell>
        </row>
        <row r="40">
          <cell r="B40" t="str">
            <v>Gas</v>
          </cell>
          <cell r="C40" t="str">
            <v>per cu. mtr</v>
          </cell>
          <cell r="P40">
            <v>2</v>
          </cell>
          <cell r="Q40">
            <v>2.2000000000000002</v>
          </cell>
          <cell r="R40">
            <v>2.4200000000000004</v>
          </cell>
          <cell r="S40">
            <v>2.6620000000000008</v>
          </cell>
          <cell r="T40">
            <v>2.9282000000000012</v>
          </cell>
        </row>
        <row r="41">
          <cell r="B41" t="str">
            <v>PET Chips</v>
          </cell>
          <cell r="J41">
            <v>0</v>
          </cell>
          <cell r="K41">
            <v>0</v>
          </cell>
          <cell r="L41">
            <v>0</v>
          </cell>
          <cell r="M41">
            <v>0</v>
          </cell>
          <cell r="N41">
            <v>0</v>
          </cell>
          <cell r="P41">
            <v>45115.199999999997</v>
          </cell>
          <cell r="Q41">
            <v>57200</v>
          </cell>
          <cell r="R41">
            <v>63999.5</v>
          </cell>
          <cell r="S41">
            <v>63999.5</v>
          </cell>
          <cell r="T41">
            <v>63999.5</v>
          </cell>
        </row>
        <row r="42">
          <cell r="B42">
            <v>0</v>
          </cell>
          <cell r="N42" t="str">
            <v>Sales</v>
          </cell>
          <cell r="O42" t="str">
            <v>IST HALF</v>
          </cell>
          <cell r="P42">
            <v>23259.96961657405</v>
          </cell>
        </row>
        <row r="43">
          <cell r="A43" t="str">
            <v>Revenue</v>
          </cell>
          <cell r="L43">
            <v>0.27831895352073477</v>
          </cell>
          <cell r="M43">
            <v>0</v>
          </cell>
          <cell r="O43" t="str">
            <v>e0 Rs920m</v>
          </cell>
        </row>
        <row r="44">
          <cell r="B44" t="str">
            <v>Fabric</v>
          </cell>
          <cell r="J44">
            <v>2479.4</v>
          </cell>
          <cell r="K44">
            <v>2582.9</v>
          </cell>
          <cell r="L44">
            <v>2874.4</v>
          </cell>
          <cell r="M44">
            <v>2892.2</v>
          </cell>
          <cell r="N44">
            <v>3673.1893840805774</v>
          </cell>
          <cell r="O44">
            <v>3890.2759999999998</v>
          </cell>
          <cell r="P44">
            <v>4118.8297150000008</v>
          </cell>
          <cell r="Q44">
            <v>4468.9302407750001</v>
          </cell>
          <cell r="R44">
            <v>4926.9955904544395</v>
          </cell>
          <cell r="S44">
            <v>5432.0126384760197</v>
          </cell>
          <cell r="T44">
            <v>5988.7939339198119</v>
          </cell>
        </row>
        <row r="45">
          <cell r="B45" t="str">
            <v>Polyester Filament Yarn</v>
          </cell>
          <cell r="J45">
            <v>11384.9</v>
          </cell>
          <cell r="K45">
            <v>11395.6</v>
          </cell>
          <cell r="L45">
            <v>10479.6</v>
          </cell>
          <cell r="M45">
            <v>13990.295905999999</v>
          </cell>
          <cell r="N45">
            <v>13466.006267999999</v>
          </cell>
          <cell r="O45">
            <v>15635.8125</v>
          </cell>
          <cell r="P45">
            <v>14898.031866530553</v>
          </cell>
          <cell r="Q45">
            <v>20553.749999999993</v>
          </cell>
          <cell r="R45">
            <v>24021.601025</v>
          </cell>
          <cell r="S45">
            <v>24021.601025</v>
          </cell>
          <cell r="T45">
            <v>24021.601025</v>
          </cell>
        </row>
        <row r="46">
          <cell r="B46" t="str">
            <v>Polyester Staple Fibre</v>
          </cell>
          <cell r="J46">
            <v>2745.4</v>
          </cell>
          <cell r="K46">
            <v>4258.7</v>
          </cell>
          <cell r="L46">
            <v>3974.3</v>
          </cell>
          <cell r="M46">
            <v>5514.8940000000002</v>
          </cell>
          <cell r="N46">
            <v>8950.1911199999995</v>
          </cell>
          <cell r="O46">
            <v>9491.6776827600006</v>
          </cell>
          <cell r="P46">
            <v>8137.4</v>
          </cell>
          <cell r="Q46">
            <v>14456</v>
          </cell>
          <cell r="R46">
            <v>19500</v>
          </cell>
          <cell r="S46">
            <v>19500</v>
          </cell>
          <cell r="T46">
            <v>19500</v>
          </cell>
        </row>
        <row r="47">
          <cell r="B47" t="str">
            <v>PTA(Purified terephthalic acid)</v>
          </cell>
          <cell r="J47">
            <v>1752.9</v>
          </cell>
          <cell r="K47">
            <v>2128.3000000000002</v>
          </cell>
          <cell r="L47">
            <v>4009.6</v>
          </cell>
          <cell r="M47">
            <v>3063.7440000000001</v>
          </cell>
          <cell r="N47">
            <v>4455</v>
          </cell>
          <cell r="O47">
            <v>3695.0419999999999</v>
          </cell>
          <cell r="P47">
            <v>784.22560000000021</v>
          </cell>
          <cell r="Q47">
            <v>29.914062499999993</v>
          </cell>
          <cell r="R47">
            <v>4445.2410212499999</v>
          </cell>
          <cell r="S47">
            <v>4978.5344492187496</v>
          </cell>
          <cell r="T47">
            <v>4978.5344492187496</v>
          </cell>
        </row>
        <row r="48">
          <cell r="B48" t="str">
            <v>LAB (Linear Alkyl Benzene)</v>
          </cell>
          <cell r="J48">
            <v>1663.4</v>
          </cell>
          <cell r="K48">
            <v>1847.2</v>
          </cell>
          <cell r="L48">
            <v>2368.1</v>
          </cell>
          <cell r="M48">
            <v>2464.1280000000002</v>
          </cell>
          <cell r="N48">
            <v>2833.8816000000002</v>
          </cell>
          <cell r="O48">
            <v>2975.5756799999999</v>
          </cell>
          <cell r="P48">
            <v>3149.9675999999999</v>
          </cell>
          <cell r="Q48">
            <v>3285</v>
          </cell>
          <cell r="R48">
            <v>4187.3474999999999</v>
          </cell>
          <cell r="S48">
            <v>4306.9859999999999</v>
          </cell>
          <cell r="T48">
            <v>4819.8630000000003</v>
          </cell>
        </row>
        <row r="49">
          <cell r="B49" t="str">
            <v>MEG (Mono Ethylene Glycol)</v>
          </cell>
          <cell r="J49">
            <v>0</v>
          </cell>
          <cell r="K49">
            <v>124.8</v>
          </cell>
          <cell r="L49">
            <v>1306.5</v>
          </cell>
          <cell r="M49">
            <v>1256.2829999999999</v>
          </cell>
          <cell r="N49">
            <v>1913.5725</v>
          </cell>
          <cell r="O49">
            <v>1516.24757456</v>
          </cell>
          <cell r="P49">
            <v>0</v>
          </cell>
          <cell r="Q49">
            <v>0</v>
          </cell>
          <cell r="R49">
            <v>0</v>
          </cell>
          <cell r="S49">
            <v>0</v>
          </cell>
          <cell r="T49">
            <v>0</v>
          </cell>
        </row>
        <row r="50">
          <cell r="B50" t="str">
            <v>PVC (Poly Vinyl Chloride)</v>
          </cell>
          <cell r="J50">
            <v>0</v>
          </cell>
          <cell r="K50">
            <v>101.1</v>
          </cell>
          <cell r="L50">
            <v>3498.7</v>
          </cell>
          <cell r="M50">
            <v>6630</v>
          </cell>
          <cell r="N50">
            <v>8937.9963000000007</v>
          </cell>
          <cell r="O50">
            <v>9321.27</v>
          </cell>
          <cell r="P50">
            <v>9134.05852734375</v>
          </cell>
          <cell r="Q50">
            <v>9044.864999999998</v>
          </cell>
          <cell r="R50">
            <v>10200.09</v>
          </cell>
          <cell r="S50">
            <v>10200.09</v>
          </cell>
          <cell r="T50">
            <v>10200.09</v>
          </cell>
        </row>
        <row r="51">
          <cell r="B51" t="str">
            <v xml:space="preserve">PE (Polyethylene) </v>
          </cell>
          <cell r="J51">
            <v>0</v>
          </cell>
          <cell r="K51">
            <v>0</v>
          </cell>
          <cell r="L51">
            <v>1469.8</v>
          </cell>
          <cell r="M51">
            <v>5280</v>
          </cell>
          <cell r="N51">
            <v>7636</v>
          </cell>
          <cell r="O51">
            <v>9350.85</v>
          </cell>
          <cell r="P51">
            <v>9430.06640625</v>
          </cell>
          <cell r="Q51">
            <v>16421.915000000001</v>
          </cell>
          <cell r="R51">
            <v>18029.773125</v>
          </cell>
          <cell r="S51">
            <v>18029.773125</v>
          </cell>
          <cell r="T51">
            <v>18029.773125</v>
          </cell>
        </row>
        <row r="52">
          <cell r="B52" t="str">
            <v>PP (Polypropylene)</v>
          </cell>
          <cell r="J52">
            <v>0</v>
          </cell>
          <cell r="K52">
            <v>0</v>
          </cell>
          <cell r="L52">
            <v>0</v>
          </cell>
          <cell r="M52">
            <v>0</v>
          </cell>
          <cell r="N52">
            <v>0</v>
          </cell>
          <cell r="O52">
            <v>0</v>
          </cell>
          <cell r="P52">
            <v>3701.25</v>
          </cell>
          <cell r="Q52">
            <v>11523.749999999998</v>
          </cell>
          <cell r="R52">
            <v>14309.601250000002</v>
          </cell>
          <cell r="S52">
            <v>20081.541250000002</v>
          </cell>
          <cell r="T52">
            <v>29701.441250000003</v>
          </cell>
        </row>
        <row r="53">
          <cell r="B53" t="str">
            <v>Oil (barrels)</v>
          </cell>
          <cell r="J53">
            <v>0</v>
          </cell>
          <cell r="K53">
            <v>0</v>
          </cell>
          <cell r="L53">
            <v>0</v>
          </cell>
          <cell r="M53">
            <v>0</v>
          </cell>
          <cell r="N53">
            <v>154.24063200000003</v>
          </cell>
          <cell r="O53">
            <v>638.93138399999998</v>
          </cell>
          <cell r="P53">
            <v>1490.6226562499999</v>
          </cell>
          <cell r="Q53">
            <v>1514.8874999999998</v>
          </cell>
          <cell r="R53">
            <v>5017.3073999999997</v>
          </cell>
          <cell r="S53">
            <v>4766.4420300000002</v>
          </cell>
          <cell r="T53">
            <v>4515.5766599999997</v>
          </cell>
        </row>
        <row r="54">
          <cell r="B54" t="str">
            <v>Gas</v>
          </cell>
          <cell r="P54">
            <v>600</v>
          </cell>
          <cell r="Q54">
            <v>2640</v>
          </cell>
          <cell r="R54">
            <v>2904.0000000000005</v>
          </cell>
          <cell r="S54">
            <v>3194.400000000001</v>
          </cell>
          <cell r="T54">
            <v>3513.8400000000015</v>
          </cell>
        </row>
        <row r="55">
          <cell r="B55" t="str">
            <v>PET Chips</v>
          </cell>
          <cell r="J55">
            <v>0</v>
          </cell>
          <cell r="K55">
            <v>0</v>
          </cell>
          <cell r="L55">
            <v>0</v>
          </cell>
          <cell r="M55">
            <v>0</v>
          </cell>
          <cell r="N55">
            <v>0</v>
          </cell>
          <cell r="O55">
            <v>0</v>
          </cell>
          <cell r="P55">
            <v>0</v>
          </cell>
          <cell r="Q55">
            <v>2745.6</v>
          </cell>
          <cell r="R55">
            <v>4607.9639999999999</v>
          </cell>
          <cell r="S55">
            <v>4607.9639999999999</v>
          </cell>
          <cell r="T55">
            <v>4607.9639999999999</v>
          </cell>
        </row>
        <row r="56">
          <cell r="B56" t="str">
            <v xml:space="preserve">Ethylene </v>
          </cell>
          <cell r="P56">
            <v>0</v>
          </cell>
          <cell r="Q56">
            <v>60.101184000000018</v>
          </cell>
          <cell r="R56">
            <v>2533.5538536000004</v>
          </cell>
          <cell r="S56">
            <v>2378.2154088000002</v>
          </cell>
          <cell r="T56">
            <v>2300.5461864000004</v>
          </cell>
        </row>
        <row r="57">
          <cell r="B57" t="str">
            <v>Propylene</v>
          </cell>
          <cell r="P57">
            <v>0</v>
          </cell>
          <cell r="Q57">
            <v>0</v>
          </cell>
          <cell r="R57">
            <v>125.04874050000004</v>
          </cell>
          <cell r="S57">
            <v>0</v>
          </cell>
          <cell r="T57">
            <v>0</v>
          </cell>
        </row>
        <row r="58">
          <cell r="B58" t="str">
            <v>Ethylene oxide</v>
          </cell>
          <cell r="P58">
            <v>400</v>
          </cell>
          <cell r="Q58">
            <v>459.69</v>
          </cell>
          <cell r="R58">
            <v>482.67450000000014</v>
          </cell>
          <cell r="S58">
            <v>482.67450000000014</v>
          </cell>
          <cell r="T58">
            <v>482.67450000000014</v>
          </cell>
        </row>
        <row r="59">
          <cell r="B59" t="str">
            <v>Butadiene</v>
          </cell>
          <cell r="P59">
            <v>55.322000000000003</v>
          </cell>
          <cell r="Q59">
            <v>3294.0072000000005</v>
          </cell>
          <cell r="R59">
            <v>4641.9496200000012</v>
          </cell>
          <cell r="S59">
            <v>4641.9496200000012</v>
          </cell>
          <cell r="T59">
            <v>4641.9496200000012</v>
          </cell>
        </row>
        <row r="61">
          <cell r="B61" t="str">
            <v>Others</v>
          </cell>
          <cell r="J61">
            <v>957.4</v>
          </cell>
          <cell r="K61">
            <v>541.6</v>
          </cell>
          <cell r="L61">
            <v>1097.8</v>
          </cell>
          <cell r="M61">
            <v>688.25509399999999</v>
          </cell>
          <cell r="N61">
            <v>1861.4221959199999</v>
          </cell>
          <cell r="O61">
            <v>756</v>
          </cell>
          <cell r="P61">
            <v>3000</v>
          </cell>
          <cell r="Q61">
            <v>2000</v>
          </cell>
          <cell r="R61">
            <v>2500</v>
          </cell>
          <cell r="S61">
            <v>2500</v>
          </cell>
          <cell r="T61">
            <v>2500</v>
          </cell>
        </row>
        <row r="62">
          <cell r="C62" t="str">
            <v>Total Revenue</v>
          </cell>
          <cell r="J62">
            <v>20983.400000000005</v>
          </cell>
          <cell r="K62">
            <v>22980.199999999997</v>
          </cell>
          <cell r="L62">
            <v>31078.799999999996</v>
          </cell>
          <cell r="M62">
            <v>41779.799999999996</v>
          </cell>
          <cell r="N62">
            <v>53881.500000000575</v>
          </cell>
          <cell r="O62">
            <v>57271.682821320006</v>
          </cell>
          <cell r="P62">
            <v>58899.774371374304</v>
          </cell>
          <cell r="Q62">
            <v>92498.410187275003</v>
          </cell>
          <cell r="R62">
            <v>122433.14762580444</v>
          </cell>
          <cell r="S62">
            <v>129122.18404649477</v>
          </cell>
          <cell r="T62">
            <v>139802.64774953856</v>
          </cell>
        </row>
        <row r="63">
          <cell r="B63" t="str">
            <v>Excise Duty</v>
          </cell>
          <cell r="J63">
            <v>6285.1</v>
          </cell>
          <cell r="K63">
            <v>7511.7</v>
          </cell>
          <cell r="L63">
            <v>8614.2999999999993</v>
          </cell>
          <cell r="M63">
            <v>11089.7</v>
          </cell>
          <cell r="N63">
            <v>15171.3</v>
          </cell>
          <cell r="O63">
            <v>15078.3</v>
          </cell>
          <cell r="P63">
            <v>11662.4668846356</v>
          </cell>
          <cell r="Q63">
            <v>17123.579167704218</v>
          </cell>
          <cell r="R63">
            <v>22276.898929780011</v>
          </cell>
          <cell r="S63">
            <v>23346.890360954036</v>
          </cell>
          <cell r="T63">
            <v>25073.358138624681</v>
          </cell>
        </row>
        <row r="64">
          <cell r="C64" t="str">
            <v>Net Revenue</v>
          </cell>
          <cell r="J64">
            <v>14698.300000000005</v>
          </cell>
          <cell r="K64">
            <v>15468.499999999996</v>
          </cell>
          <cell r="L64">
            <v>22464.499999999996</v>
          </cell>
          <cell r="M64">
            <v>30690.099999999995</v>
          </cell>
          <cell r="N64">
            <v>38710.200000000579</v>
          </cell>
          <cell r="O64">
            <v>42193.382821320003</v>
          </cell>
          <cell r="P64">
            <v>47237.307486738704</v>
          </cell>
          <cell r="Q64">
            <v>75374.831019570789</v>
          </cell>
          <cell r="R64">
            <v>100156.24869602443</v>
          </cell>
          <cell r="S64">
            <v>105775.29368554073</v>
          </cell>
          <cell r="T64">
            <v>114729.28961091388</v>
          </cell>
        </row>
        <row r="65">
          <cell r="C65" t="str">
            <v>INC IN GROSS REV FROM EXCH RATE FALL</v>
          </cell>
          <cell r="O65">
            <v>-6819.317178679994</v>
          </cell>
          <cell r="Q65">
            <v>-21280.589812724997</v>
          </cell>
        </row>
        <row r="66">
          <cell r="A66" t="str">
            <v>Raw Materials Consumed (Units)</v>
          </cell>
          <cell r="P66">
            <v>24500</v>
          </cell>
        </row>
        <row r="67">
          <cell r="B67" t="str">
            <v>Naptha (Aromatic)</v>
          </cell>
          <cell r="J67">
            <v>168091</v>
          </cell>
          <cell r="K67">
            <v>199640</v>
          </cell>
          <cell r="L67">
            <v>234298</v>
          </cell>
          <cell r="M67">
            <v>0</v>
          </cell>
          <cell r="N67">
            <v>0</v>
          </cell>
          <cell r="O67">
            <v>225000</v>
          </cell>
          <cell r="P67">
            <v>250000</v>
          </cell>
          <cell r="Q67">
            <v>460000</v>
          </cell>
          <cell r="R67">
            <v>635000</v>
          </cell>
          <cell r="S67">
            <v>670000</v>
          </cell>
          <cell r="T67">
            <v>670000</v>
          </cell>
        </row>
        <row r="68">
          <cell r="B68" t="str">
            <v>Naphtha for cracker</v>
          </cell>
          <cell r="Q68">
            <v>1350000</v>
          </cell>
          <cell r="R68">
            <v>1912500</v>
          </cell>
          <cell r="S68">
            <v>1912500</v>
          </cell>
          <cell r="T68">
            <v>1912500</v>
          </cell>
        </row>
        <row r="69">
          <cell r="B69" t="str">
            <v>Fibre Intermediates-bought out</v>
          </cell>
          <cell r="J69">
            <v>66687</v>
          </cell>
          <cell r="K69">
            <v>53127</v>
          </cell>
          <cell r="L69">
            <v>52999</v>
          </cell>
          <cell r="M69">
            <v>0</v>
          </cell>
          <cell r="N69">
            <v>0</v>
          </cell>
          <cell r="O69">
            <v>0</v>
          </cell>
          <cell r="P69">
            <v>0</v>
          </cell>
          <cell r="Q69">
            <v>0</v>
          </cell>
          <cell r="R69">
            <v>0</v>
          </cell>
          <cell r="S69">
            <v>0</v>
          </cell>
          <cell r="T69">
            <v>0</v>
          </cell>
        </row>
        <row r="70">
          <cell r="B70" t="str">
            <v>Paraxylene</v>
          </cell>
          <cell r="P70">
            <v>0</v>
          </cell>
          <cell r="Q70">
            <v>133200</v>
          </cell>
          <cell r="R70">
            <v>250450</v>
          </cell>
          <cell r="S70">
            <v>33900</v>
          </cell>
          <cell r="T70">
            <v>0</v>
          </cell>
        </row>
        <row r="71">
          <cell r="B71" t="str">
            <v>PTA</v>
          </cell>
          <cell r="P71">
            <v>5779.7099999999627</v>
          </cell>
          <cell r="Q71">
            <v>0</v>
          </cell>
          <cell r="R71">
            <v>0</v>
          </cell>
          <cell r="S71">
            <v>0</v>
          </cell>
          <cell r="T71">
            <v>0</v>
          </cell>
        </row>
        <row r="72">
          <cell r="B72" t="str">
            <v>MEG</v>
          </cell>
          <cell r="P72">
            <v>7899.8833333333168</v>
          </cell>
          <cell r="Q72">
            <v>10275</v>
          </cell>
          <cell r="R72">
            <v>20575</v>
          </cell>
          <cell r="S72">
            <v>8575</v>
          </cell>
          <cell r="T72">
            <v>2575</v>
          </cell>
        </row>
        <row r="73">
          <cell r="B73" t="str">
            <v>Fibre/Yarn</v>
          </cell>
          <cell r="J73">
            <v>4321</v>
          </cell>
          <cell r="K73">
            <v>4252</v>
          </cell>
          <cell r="L73">
            <v>4482</v>
          </cell>
          <cell r="M73">
            <v>0</v>
          </cell>
          <cell r="N73">
            <v>0</v>
          </cell>
          <cell r="O73">
            <v>0</v>
          </cell>
          <cell r="P73">
            <v>0</v>
          </cell>
          <cell r="Q73">
            <v>0</v>
          </cell>
          <cell r="R73">
            <v>0</v>
          </cell>
          <cell r="S73">
            <v>0</v>
          </cell>
          <cell r="T73">
            <v>0</v>
          </cell>
        </row>
        <row r="74">
          <cell r="B74" t="str">
            <v>Grey fabrics</v>
          </cell>
          <cell r="J74">
            <v>15156000</v>
          </cell>
          <cell r="K74">
            <v>14503000</v>
          </cell>
          <cell r="L74">
            <v>6180000</v>
          </cell>
          <cell r="M74">
            <v>0</v>
          </cell>
          <cell r="N74">
            <v>0</v>
          </cell>
          <cell r="O74">
            <v>0</v>
          </cell>
          <cell r="P74">
            <v>0</v>
          </cell>
          <cell r="Q74">
            <v>0</v>
          </cell>
          <cell r="R74">
            <v>0</v>
          </cell>
          <cell r="S74">
            <v>0</v>
          </cell>
          <cell r="T74">
            <v>0</v>
          </cell>
        </row>
        <row r="75">
          <cell r="B75" t="str">
            <v>Detergent Intermediates</v>
          </cell>
          <cell r="J75">
            <v>86891</v>
          </cell>
          <cell r="K75">
            <v>79764</v>
          </cell>
          <cell r="L75">
            <v>136993</v>
          </cell>
          <cell r="M75">
            <v>0</v>
          </cell>
          <cell r="N75">
            <v>0</v>
          </cell>
          <cell r="O75">
            <v>0</v>
          </cell>
          <cell r="P75">
            <v>0</v>
          </cell>
          <cell r="Q75">
            <v>0</v>
          </cell>
          <cell r="R75">
            <v>0</v>
          </cell>
          <cell r="S75">
            <v>0</v>
          </cell>
          <cell r="T75">
            <v>0</v>
          </cell>
        </row>
        <row r="76">
          <cell r="B76" t="str">
            <v>(Ethylene for PE, meg and oxychlorination of PVC</v>
          </cell>
          <cell r="J76">
            <v>0</v>
          </cell>
          <cell r="K76">
            <v>5539</v>
          </cell>
          <cell r="L76">
            <v>134279</v>
          </cell>
          <cell r="M76">
            <v>0</v>
          </cell>
          <cell r="N76">
            <v>0</v>
          </cell>
          <cell r="O76">
            <v>284475</v>
          </cell>
          <cell r="P76">
            <v>304337.5</v>
          </cell>
          <cell r="Q76">
            <v>0</v>
          </cell>
          <cell r="R76">
            <v>0</v>
          </cell>
          <cell r="S76">
            <v>0</v>
          </cell>
          <cell r="T76">
            <v>0</v>
          </cell>
        </row>
        <row r="77">
          <cell r="B77" t="str">
            <v>Propylene</v>
          </cell>
          <cell r="P77">
            <v>81112.5</v>
          </cell>
          <cell r="Q77">
            <v>51375</v>
          </cell>
          <cell r="R77">
            <v>0</v>
          </cell>
          <cell r="S77">
            <v>119775</v>
          </cell>
          <cell r="T77">
            <v>325775</v>
          </cell>
        </row>
        <row r="78">
          <cell r="B78" t="str">
            <v>Chloro Olefins</v>
          </cell>
          <cell r="K78">
            <v>6654</v>
          </cell>
          <cell r="L78">
            <v>94344</v>
          </cell>
          <cell r="O78">
            <v>167850</v>
          </cell>
          <cell r="P78">
            <v>225225</v>
          </cell>
          <cell r="Q78">
            <v>243000</v>
          </cell>
          <cell r="R78">
            <v>270000</v>
          </cell>
          <cell r="S78">
            <v>270000</v>
          </cell>
          <cell r="T78">
            <v>270000</v>
          </cell>
        </row>
        <row r="79">
          <cell r="M79">
            <v>45062.5</v>
          </cell>
          <cell r="O79">
            <v>77863</v>
          </cell>
          <cell r="P79">
            <v>112500</v>
          </cell>
        </row>
        <row r="80">
          <cell r="A80" t="str">
            <v>Per Unit Cost (Rs.)</v>
          </cell>
          <cell r="N80">
            <v>42656</v>
          </cell>
          <cell r="O80">
            <v>57723</v>
          </cell>
          <cell r="P80">
            <v>7591.5</v>
          </cell>
          <cell r="Q80">
            <v>7959.9999999999991</v>
          </cell>
          <cell r="R80">
            <v>8358</v>
          </cell>
          <cell r="S80">
            <v>8358</v>
          </cell>
          <cell r="T80">
            <v>8358</v>
          </cell>
        </row>
        <row r="81">
          <cell r="B81" t="str">
            <v>Naptha (Aromatic)</v>
          </cell>
          <cell r="J81">
            <v>4144.7787210499073</v>
          </cell>
          <cell r="K81">
            <v>5366.1590863554402</v>
          </cell>
          <cell r="L81">
            <v>5945.8467421830319</v>
          </cell>
          <cell r="N81">
            <v>0</v>
          </cell>
          <cell r="O81">
            <v>7600.2</v>
          </cell>
          <cell r="P81">
            <v>7600.2</v>
          </cell>
          <cell r="Q81">
            <v>7600.2</v>
          </cell>
          <cell r="R81">
            <v>7600.2</v>
          </cell>
          <cell r="S81">
            <v>7600.2</v>
          </cell>
          <cell r="T81">
            <v>7600.2</v>
          </cell>
        </row>
        <row r="82">
          <cell r="B82" t="str">
            <v>Naphtha for cracker</v>
          </cell>
          <cell r="P82">
            <v>7591.5</v>
          </cell>
          <cell r="Q82">
            <v>7959.9999999999991</v>
          </cell>
          <cell r="R82">
            <v>8358</v>
          </cell>
          <cell r="S82">
            <v>8358</v>
          </cell>
          <cell r="T82">
            <v>8358</v>
          </cell>
        </row>
        <row r="83">
          <cell r="B83" t="str">
            <v>Fibre Intermediates-bought out</v>
          </cell>
          <cell r="J83">
            <v>21023.587805719257</v>
          </cell>
          <cell r="K83">
            <v>14169.819489148644</v>
          </cell>
          <cell r="L83">
            <v>12653.068925828789</v>
          </cell>
          <cell r="N83">
            <v>0</v>
          </cell>
          <cell r="O83">
            <v>0</v>
          </cell>
          <cell r="P83">
            <v>0</v>
          </cell>
          <cell r="Q83">
            <v>0</v>
          </cell>
          <cell r="R83">
            <v>0</v>
          </cell>
          <cell r="S83">
            <v>0</v>
          </cell>
          <cell r="T83">
            <v>0</v>
          </cell>
        </row>
        <row r="84">
          <cell r="B84" t="str">
            <v>Paraxylene</v>
          </cell>
          <cell r="P84">
            <v>21473.1</v>
          </cell>
          <cell r="Q84">
            <v>26268</v>
          </cell>
          <cell r="R84">
            <v>30339.54</v>
          </cell>
          <cell r="S84">
            <v>33097.68</v>
          </cell>
          <cell r="T84">
            <v>33097.68</v>
          </cell>
        </row>
        <row r="85">
          <cell r="B85" t="str">
            <v>PTA</v>
          </cell>
          <cell r="P85">
            <v>33185.700000000004</v>
          </cell>
          <cell r="Q85">
            <v>38804.999999999993</v>
          </cell>
          <cell r="R85">
            <v>48894.299999999996</v>
          </cell>
          <cell r="S85">
            <v>48894.299999999996</v>
          </cell>
          <cell r="T85">
            <v>48894.299999999996</v>
          </cell>
        </row>
        <row r="86">
          <cell r="B86" t="str">
            <v>MEG</v>
          </cell>
          <cell r="P86">
            <v>27654.750000000004</v>
          </cell>
          <cell r="Q86">
            <v>35820</v>
          </cell>
          <cell r="R86">
            <v>43879.5</v>
          </cell>
          <cell r="S86">
            <v>43879.5</v>
          </cell>
          <cell r="T86">
            <v>43879.5</v>
          </cell>
        </row>
        <row r="87">
          <cell r="B87" t="str">
            <v>Fibre/Yarn</v>
          </cell>
          <cell r="J87">
            <v>102591.99259430687</v>
          </cell>
          <cell r="K87">
            <v>122977.42238946378</v>
          </cell>
          <cell r="L87">
            <v>143708.16599732262</v>
          </cell>
          <cell r="N87">
            <v>0</v>
          </cell>
          <cell r="O87">
            <v>0</v>
          </cell>
          <cell r="P87">
            <v>0</v>
          </cell>
          <cell r="Q87">
            <v>0</v>
          </cell>
          <cell r="R87">
            <v>0</v>
          </cell>
          <cell r="S87">
            <v>0</v>
          </cell>
          <cell r="T87">
            <v>0</v>
          </cell>
        </row>
        <row r="88">
          <cell r="B88" t="str">
            <v>Grey fabrics</v>
          </cell>
          <cell r="J88">
            <v>16.5083135391924</v>
          </cell>
          <cell r="K88">
            <v>18.396193890919122</v>
          </cell>
          <cell r="L88">
            <v>18.608414239482201</v>
          </cell>
          <cell r="N88">
            <v>0</v>
          </cell>
          <cell r="O88">
            <v>0</v>
          </cell>
          <cell r="P88">
            <v>0</v>
          </cell>
          <cell r="Q88">
            <v>0</v>
          </cell>
          <cell r="R88">
            <v>0</v>
          </cell>
          <cell r="S88">
            <v>0</v>
          </cell>
          <cell r="T88">
            <v>0</v>
          </cell>
        </row>
        <row r="89">
          <cell r="B89" t="str">
            <v>Detergent Intermediates</v>
          </cell>
          <cell r="J89">
            <v>14396.197534842504</v>
          </cell>
          <cell r="K89">
            <v>16175.216889824984</v>
          </cell>
          <cell r="L89">
            <v>8085.8146036658809</v>
          </cell>
          <cell r="N89">
            <v>0</v>
          </cell>
          <cell r="O89">
            <v>0</v>
          </cell>
          <cell r="P89">
            <v>0</v>
          </cell>
          <cell r="Q89">
            <v>0</v>
          </cell>
          <cell r="R89">
            <v>0</v>
          </cell>
          <cell r="S89">
            <v>0</v>
          </cell>
          <cell r="T89">
            <v>0</v>
          </cell>
        </row>
        <row r="90">
          <cell r="B90" t="str">
            <v>(Ethylene for PE, meg and oxychlorination of PVC</v>
          </cell>
          <cell r="J90" t="e">
            <v>#DIV/0!</v>
          </cell>
          <cell r="K90">
            <v>16031.774688571944</v>
          </cell>
          <cell r="L90">
            <v>11228.114597219223</v>
          </cell>
          <cell r="N90">
            <v>0</v>
          </cell>
          <cell r="O90">
            <v>20295</v>
          </cell>
          <cell r="P90">
            <v>20598.5</v>
          </cell>
          <cell r="Q90">
            <v>18263.2</v>
          </cell>
          <cell r="R90">
            <v>20226.360000000004</v>
          </cell>
          <cell r="S90">
            <v>22754.655000000006</v>
          </cell>
          <cell r="T90">
            <v>22754.655000000006</v>
          </cell>
        </row>
        <row r="91">
          <cell r="B91" t="str">
            <v>Propylene</v>
          </cell>
          <cell r="P91">
            <v>23057.825000000001</v>
          </cell>
          <cell r="Q91">
            <v>27894.800000000007</v>
          </cell>
          <cell r="R91">
            <v>31867.835000000006</v>
          </cell>
          <cell r="S91">
            <v>32867.835000000006</v>
          </cell>
          <cell r="T91">
            <v>32867.835000000006</v>
          </cell>
        </row>
        <row r="92">
          <cell r="B92" t="str">
            <v>Chloro Olefins</v>
          </cell>
          <cell r="J92" t="e">
            <v>#DIV/0!</v>
          </cell>
          <cell r="K92">
            <v>11737.300871656147</v>
          </cell>
          <cell r="L92">
            <v>8865.4286441109125</v>
          </cell>
          <cell r="O92">
            <v>12040.875</v>
          </cell>
          <cell r="P92">
            <v>13039.025000000005</v>
          </cell>
          <cell r="Q92">
            <v>14651.35</v>
          </cell>
          <cell r="R92">
            <v>13905.622500000001</v>
          </cell>
          <cell r="S92">
            <v>16433.917500000003</v>
          </cell>
          <cell r="T92">
            <v>16433.917500000003</v>
          </cell>
        </row>
        <row r="93">
          <cell r="J93">
            <v>1991</v>
          </cell>
          <cell r="K93">
            <v>1992</v>
          </cell>
          <cell r="L93">
            <v>1993</v>
          </cell>
          <cell r="M93">
            <v>1994</v>
          </cell>
          <cell r="N93">
            <v>1995</v>
          </cell>
          <cell r="O93">
            <v>1996</v>
          </cell>
          <cell r="P93">
            <v>1997</v>
          </cell>
          <cell r="Q93">
            <v>1998</v>
          </cell>
          <cell r="R93">
            <v>1999</v>
          </cell>
        </row>
        <row r="94">
          <cell r="A94" t="str">
            <v>Material Costs (Rs. m)</v>
          </cell>
        </row>
        <row r="95">
          <cell r="B95" t="str">
            <v>Naptha (Aromatic)</v>
          </cell>
          <cell r="J95">
            <v>696.7</v>
          </cell>
          <cell r="K95">
            <v>1071.3</v>
          </cell>
          <cell r="L95">
            <v>1393.1</v>
          </cell>
          <cell r="M95">
            <v>0</v>
          </cell>
          <cell r="N95">
            <v>0</v>
          </cell>
          <cell r="O95">
            <v>1710.0450000000001</v>
          </cell>
          <cell r="P95">
            <v>1900.05</v>
          </cell>
          <cell r="Q95">
            <v>3496.0920000000001</v>
          </cell>
          <cell r="R95">
            <v>4826.1270000000004</v>
          </cell>
          <cell r="S95">
            <v>5092.134</v>
          </cell>
          <cell r="T95">
            <v>5092.134</v>
          </cell>
        </row>
        <row r="96">
          <cell r="B96" t="str">
            <v>Naphtha for cracker</v>
          </cell>
          <cell r="P96">
            <v>0</v>
          </cell>
          <cell r="Q96">
            <v>10745.999999999998</v>
          </cell>
          <cell r="R96">
            <v>15984.674999999999</v>
          </cell>
          <cell r="S96">
            <v>15984.674999999999</v>
          </cell>
          <cell r="T96">
            <v>15984.674999999999</v>
          </cell>
        </row>
        <row r="97">
          <cell r="B97" t="str">
            <v>Fibre Intermediates-bought out</v>
          </cell>
          <cell r="J97">
            <v>1402</v>
          </cell>
          <cell r="K97">
            <v>752.8</v>
          </cell>
          <cell r="L97">
            <v>670.6</v>
          </cell>
          <cell r="M97">
            <v>0</v>
          </cell>
          <cell r="N97">
            <v>0</v>
          </cell>
          <cell r="O97">
            <v>0</v>
          </cell>
        </row>
        <row r="98">
          <cell r="B98" t="str">
            <v>Paraxylene</v>
          </cell>
          <cell r="P98">
            <v>0</v>
          </cell>
          <cell r="Q98">
            <v>3498.8975999999998</v>
          </cell>
          <cell r="R98">
            <v>7598.5377930000004</v>
          </cell>
          <cell r="S98">
            <v>1122.011352</v>
          </cell>
          <cell r="T98">
            <v>0</v>
          </cell>
        </row>
        <row r="99">
          <cell r="B99" t="str">
            <v>PTA</v>
          </cell>
          <cell r="P99">
            <v>191.80372214699878</v>
          </cell>
          <cell r="Q99">
            <v>0</v>
          </cell>
          <cell r="R99">
            <v>0</v>
          </cell>
          <cell r="S99">
            <v>0</v>
          </cell>
          <cell r="T99">
            <v>0</v>
          </cell>
        </row>
        <row r="100">
          <cell r="B100" t="str">
            <v>MEG</v>
          </cell>
          <cell r="P100">
            <v>218.46929861249956</v>
          </cell>
          <cell r="Q100">
            <v>368.0505</v>
          </cell>
          <cell r="R100">
            <v>902.82071250000001</v>
          </cell>
          <cell r="S100">
            <v>376.26671249999998</v>
          </cell>
          <cell r="T100">
            <v>112.9897125</v>
          </cell>
        </row>
        <row r="101">
          <cell r="B101" t="str">
            <v>Fibre/Yarn</v>
          </cell>
          <cell r="J101">
            <v>443.3</v>
          </cell>
          <cell r="K101">
            <v>522.9</v>
          </cell>
          <cell r="L101">
            <v>644.1</v>
          </cell>
          <cell r="M101">
            <v>0</v>
          </cell>
          <cell r="N101">
            <v>0</v>
          </cell>
          <cell r="O101">
            <v>972.56899999999996</v>
          </cell>
          <cell r="P101">
            <v>1029.7074287500002</v>
          </cell>
          <cell r="Q101">
            <v>1117.23256019375</v>
          </cell>
          <cell r="R101">
            <v>1231.7488976136099</v>
          </cell>
          <cell r="S101">
            <v>1358.0031596190049</v>
          </cell>
          <cell r="T101">
            <v>1497.198483479953</v>
          </cell>
        </row>
        <row r="102">
          <cell r="B102" t="str">
            <v>Grey fabrics</v>
          </cell>
          <cell r="J102">
            <v>250.2</v>
          </cell>
          <cell r="K102">
            <v>266.8</v>
          </cell>
          <cell r="L102">
            <v>115</v>
          </cell>
          <cell r="M102">
            <v>0</v>
          </cell>
          <cell r="N102">
            <v>0</v>
          </cell>
          <cell r="O102">
            <v>194.5138</v>
          </cell>
          <cell r="P102">
            <v>205.94148575000006</v>
          </cell>
          <cell r="Q102">
            <v>223.44651203875003</v>
          </cell>
          <cell r="R102">
            <v>246.34977952272197</v>
          </cell>
          <cell r="S102">
            <v>271.60063192380102</v>
          </cell>
          <cell r="T102">
            <v>299.43969669599062</v>
          </cell>
        </row>
        <row r="103">
          <cell r="B103" t="str">
            <v>Detergent Intermediates</v>
          </cell>
          <cell r="J103">
            <v>1250.9000000000001</v>
          </cell>
          <cell r="K103">
            <v>1290.2</v>
          </cell>
          <cell r="L103">
            <v>1107.7</v>
          </cell>
          <cell r="M103">
            <v>0</v>
          </cell>
          <cell r="N103">
            <v>0</v>
          </cell>
          <cell r="O103">
            <v>1219.1399999999999</v>
          </cell>
          <cell r="P103">
            <v>1042.2</v>
          </cell>
          <cell r="Q103">
            <v>1042.2</v>
          </cell>
          <cell r="R103">
            <v>1215.9000000000001</v>
          </cell>
          <cell r="S103">
            <v>1250.6399999999999</v>
          </cell>
          <cell r="T103">
            <v>1320.12</v>
          </cell>
        </row>
        <row r="104">
          <cell r="B104" t="str">
            <v>(Ethylene for PE, meg and oxychlorination of PVC</v>
          </cell>
          <cell r="J104">
            <v>0</v>
          </cell>
          <cell r="K104">
            <v>88.8</v>
          </cell>
          <cell r="L104">
            <v>1507.7</v>
          </cell>
          <cell r="M104">
            <v>0</v>
          </cell>
          <cell r="N104">
            <v>0</v>
          </cell>
          <cell r="O104">
            <v>5773.4201249999996</v>
          </cell>
          <cell r="P104">
            <v>6268.8959937500003</v>
          </cell>
          <cell r="Q104">
            <v>0</v>
          </cell>
          <cell r="R104">
            <v>0</v>
          </cell>
          <cell r="S104">
            <v>0</v>
          </cell>
          <cell r="T104">
            <v>0</v>
          </cell>
        </row>
        <row r="105">
          <cell r="B105" t="str">
            <v>Propylene</v>
          </cell>
          <cell r="P105">
            <v>1870.2778303125001</v>
          </cell>
          <cell r="Q105">
            <v>1433.0953500000003</v>
          </cell>
          <cell r="R105">
            <v>0</v>
          </cell>
          <cell r="S105">
            <v>3936.7449371250009</v>
          </cell>
          <cell r="T105">
            <v>10707.518947125001</v>
          </cell>
        </row>
        <row r="106">
          <cell r="B106" t="str">
            <v>Chloro Olefins</v>
          </cell>
          <cell r="K106">
            <v>78.099999999999994</v>
          </cell>
          <cell r="L106">
            <v>836.4</v>
          </cell>
          <cell r="O106">
            <v>2021.0608687500001</v>
          </cell>
          <cell r="P106">
            <v>2936.7144056250008</v>
          </cell>
          <cell r="Q106">
            <v>3560.2780499999999</v>
          </cell>
          <cell r="R106">
            <v>3754.5180750000004</v>
          </cell>
          <cell r="S106">
            <v>4437.1577250000009</v>
          </cell>
          <cell r="T106">
            <v>4437.1577250000009</v>
          </cell>
        </row>
        <row r="107">
          <cell r="B107" t="str">
            <v>others</v>
          </cell>
          <cell r="J107">
            <v>721</v>
          </cell>
          <cell r="K107">
            <v>301.39999999999998</v>
          </cell>
          <cell r="L107">
            <v>339.6</v>
          </cell>
          <cell r="O107">
            <v>1005.6</v>
          </cell>
          <cell r="P107">
            <v>265</v>
          </cell>
          <cell r="Q107">
            <v>987.6</v>
          </cell>
          <cell r="R107">
            <v>1173.0999999999999</v>
          </cell>
          <cell r="S107">
            <v>1210.2</v>
          </cell>
          <cell r="T107">
            <v>1210.2</v>
          </cell>
        </row>
        <row r="109">
          <cell r="B109" t="str">
            <v>Total Material Costs</v>
          </cell>
          <cell r="J109">
            <v>4764.1000000000004</v>
          </cell>
          <cell r="K109">
            <v>4372.3</v>
          </cell>
          <cell r="L109">
            <v>6614.2</v>
          </cell>
          <cell r="M109">
            <v>10987.4</v>
          </cell>
          <cell r="N109">
            <v>12212.199999999999</v>
          </cell>
          <cell r="O109">
            <v>12896.348793749999</v>
          </cell>
          <cell r="P109">
            <v>15929.060164947001</v>
          </cell>
          <cell r="Q109">
            <v>26472.892572232497</v>
          </cell>
          <cell r="R109">
            <v>36933.777257636335</v>
          </cell>
          <cell r="S109">
            <v>35039.433518167803</v>
          </cell>
          <cell r="T109">
            <v>40661.433564800944</v>
          </cell>
        </row>
        <row r="110">
          <cell r="O110" t="str">
            <v>1ST HLF</v>
          </cell>
          <cell r="P110">
            <v>7869.0706558958336</v>
          </cell>
        </row>
        <row r="111">
          <cell r="A111" t="str">
            <v>Other Manufacturing Costs (Rs. m)</v>
          </cell>
        </row>
        <row r="112">
          <cell r="B112" t="str">
            <v>Stores &amp; Spares</v>
          </cell>
          <cell r="J112">
            <v>835.8</v>
          </cell>
          <cell r="K112">
            <v>414.6</v>
          </cell>
          <cell r="L112">
            <v>929.6</v>
          </cell>
          <cell r="M112">
            <v>1050.4000000000001</v>
          </cell>
          <cell r="N112">
            <v>1077.2</v>
          </cell>
          <cell r="O112">
            <v>1070.8900000000001</v>
          </cell>
          <cell r="P112">
            <v>1177.9790000000003</v>
          </cell>
          <cell r="Q112">
            <v>1295.7769000000003</v>
          </cell>
          <cell r="R112">
            <v>1425.3545900000004</v>
          </cell>
          <cell r="S112">
            <v>1567.8900490000005</v>
          </cell>
          <cell r="T112">
            <v>1724.6790539000008</v>
          </cell>
        </row>
        <row r="113">
          <cell r="B113" t="str">
            <v>Dyes &amp; Chemicals</v>
          </cell>
          <cell r="J113">
            <v>559.4</v>
          </cell>
          <cell r="K113">
            <v>557.6</v>
          </cell>
          <cell r="L113">
            <v>1188.5</v>
          </cell>
          <cell r="M113">
            <v>1267.3</v>
          </cell>
          <cell r="N113">
            <v>1370.1</v>
          </cell>
          <cell r="O113">
            <v>1662.3</v>
          </cell>
          <cell r="P113">
            <v>2160.9900000000002</v>
          </cell>
          <cell r="Q113">
            <v>2809.2870000000003</v>
          </cell>
          <cell r="R113">
            <v>3090.2157000000007</v>
          </cell>
          <cell r="S113">
            <v>3399.237270000001</v>
          </cell>
          <cell r="T113">
            <v>3739.1609970000013</v>
          </cell>
        </row>
        <row r="114">
          <cell r="B114" t="str">
            <v>Power</v>
          </cell>
          <cell r="J114">
            <v>1151.8</v>
          </cell>
          <cell r="K114">
            <v>1405.6</v>
          </cell>
          <cell r="L114">
            <v>1598.6</v>
          </cell>
          <cell r="M114">
            <v>2362.3000000000002</v>
          </cell>
          <cell r="N114">
            <v>2895.9</v>
          </cell>
          <cell r="O114">
            <v>3158.9</v>
          </cell>
          <cell r="P114">
            <v>3560.5941189441337</v>
          </cell>
          <cell r="Q114">
            <v>5521.4832490593872</v>
          </cell>
          <cell r="R114">
            <v>6998.2717736855411</v>
          </cell>
          <cell r="S114">
            <v>8163.8032473861213</v>
          </cell>
          <cell r="T114">
            <v>9502.4082381787503</v>
          </cell>
        </row>
        <row r="115">
          <cell r="B115" t="str">
            <v>Salaries</v>
          </cell>
          <cell r="J115">
            <v>567</v>
          </cell>
          <cell r="K115">
            <v>657.8</v>
          </cell>
          <cell r="L115">
            <v>874.2</v>
          </cell>
          <cell r="M115">
            <v>1063.5999999999999</v>
          </cell>
          <cell r="N115">
            <v>1368.1</v>
          </cell>
          <cell r="O115">
            <v>1904.3</v>
          </cell>
          <cell r="P115">
            <v>2094.73</v>
          </cell>
          <cell r="Q115">
            <v>2723.1490000000003</v>
          </cell>
          <cell r="R115">
            <v>3259.7788000000005</v>
          </cell>
          <cell r="S115">
            <v>3911.7345600000003</v>
          </cell>
          <cell r="T115">
            <v>4694.0814719999998</v>
          </cell>
        </row>
        <row r="116">
          <cell r="B116" t="str">
            <v>Repairs and Maintenance</v>
          </cell>
          <cell r="J116">
            <v>253.4</v>
          </cell>
          <cell r="K116">
            <v>297.5</v>
          </cell>
          <cell r="L116">
            <v>370.79999999999995</v>
          </cell>
          <cell r="M116">
            <v>412.6</v>
          </cell>
          <cell r="N116">
            <v>376.70000000000005</v>
          </cell>
          <cell r="O116">
            <v>866.90000000000009</v>
          </cell>
          <cell r="P116">
            <v>933.45100359687513</v>
          </cell>
          <cell r="Q116">
            <v>1543.5090017053126</v>
          </cell>
          <cell r="R116">
            <v>1792.3481338809377</v>
          </cell>
          <cell r="S116">
            <v>2041.1872660565625</v>
          </cell>
          <cell r="T116">
            <v>2185.0788982321874</v>
          </cell>
        </row>
        <row r="117">
          <cell r="B117" t="str">
            <v>Stock Adjustment</v>
          </cell>
          <cell r="J117">
            <v>-326.89999999999998</v>
          </cell>
          <cell r="K117">
            <v>517.5</v>
          </cell>
          <cell r="L117">
            <v>-341.2</v>
          </cell>
          <cell r="M117">
            <v>-84.9</v>
          </cell>
          <cell r="N117">
            <v>-41.8</v>
          </cell>
          <cell r="O117">
            <v>-1525.2</v>
          </cell>
          <cell r="Q117">
            <v>0</v>
          </cell>
          <cell r="R117">
            <v>0</v>
          </cell>
          <cell r="S117">
            <v>0</v>
          </cell>
          <cell r="T117">
            <v>0</v>
          </cell>
        </row>
        <row r="118">
          <cell r="B118" t="str">
            <v>less preoperative expenses capitalised</v>
          </cell>
          <cell r="O118">
            <v>-209.9</v>
          </cell>
        </row>
        <row r="119">
          <cell r="C119" t="str">
            <v>Total Other Costs</v>
          </cell>
          <cell r="J119">
            <v>3040.5</v>
          </cell>
          <cell r="K119">
            <v>3850.6000000000004</v>
          </cell>
          <cell r="L119">
            <v>4620.5</v>
          </cell>
          <cell r="M119">
            <v>6071.3000000000011</v>
          </cell>
          <cell r="N119">
            <v>7046.2000000000007</v>
          </cell>
          <cell r="O119">
            <v>6928.1900000000014</v>
          </cell>
          <cell r="P119">
            <v>9927.7441225410075</v>
          </cell>
          <cell r="Q119">
            <v>13893.205150764701</v>
          </cell>
          <cell r="R119">
            <v>16565.968997566481</v>
          </cell>
          <cell r="S119">
            <v>19083.852392442688</v>
          </cell>
          <cell r="T119">
            <v>21845.408659310939</v>
          </cell>
        </row>
        <row r="120">
          <cell r="O120" t="str">
            <v>IST</v>
          </cell>
          <cell r="P120">
            <v>4391.7136493760918</v>
          </cell>
        </row>
        <row r="121">
          <cell r="A121" t="str">
            <v>Cost of Goods Sold</v>
          </cell>
          <cell r="J121">
            <v>7804.6</v>
          </cell>
          <cell r="K121">
            <v>8222.9000000000015</v>
          </cell>
          <cell r="L121">
            <v>11234.7</v>
          </cell>
          <cell r="M121">
            <v>17058.7</v>
          </cell>
          <cell r="N121">
            <v>19258.400000000001</v>
          </cell>
          <cell r="O121">
            <v>19824.538793750002</v>
          </cell>
          <cell r="P121">
            <v>25856.804287488008</v>
          </cell>
          <cell r="Q121">
            <v>40366.097722997198</v>
          </cell>
          <cell r="R121">
            <v>53499.746255202816</v>
          </cell>
          <cell r="S121">
            <v>54123.285910610488</v>
          </cell>
          <cell r="T121">
            <v>62506.842224111882</v>
          </cell>
        </row>
        <row r="123">
          <cell r="A123" t="str">
            <v>Sales, General and Administrative Expenses</v>
          </cell>
          <cell r="Q123">
            <v>0</v>
          </cell>
        </row>
        <row r="124">
          <cell r="B124" t="str">
            <v>Sales Promotion</v>
          </cell>
          <cell r="J124">
            <v>91.9</v>
          </cell>
          <cell r="K124">
            <v>129</v>
          </cell>
          <cell r="L124">
            <v>137.19999999999999</v>
          </cell>
          <cell r="M124">
            <v>215.5</v>
          </cell>
          <cell r="N124">
            <v>273.89999999999998</v>
          </cell>
          <cell r="O124">
            <v>407.6</v>
          </cell>
          <cell r="P124">
            <v>529.88</v>
          </cell>
          <cell r="Q124">
            <v>688.84400000000005</v>
          </cell>
          <cell r="R124">
            <v>826.61279999999999</v>
          </cell>
          <cell r="S124">
            <v>991.93535999999995</v>
          </cell>
          <cell r="T124">
            <v>1190.3224319999999</v>
          </cell>
        </row>
        <row r="125">
          <cell r="B125" t="str">
            <v>Brokerage</v>
          </cell>
          <cell r="J125">
            <v>272.60000000000002</v>
          </cell>
          <cell r="K125">
            <v>252</v>
          </cell>
          <cell r="L125">
            <v>323.2</v>
          </cell>
          <cell r="M125">
            <v>379</v>
          </cell>
          <cell r="N125">
            <v>575.6</v>
          </cell>
          <cell r="O125">
            <v>514.6</v>
          </cell>
          <cell r="P125">
            <v>668.98</v>
          </cell>
          <cell r="Q125">
            <v>869.67400000000009</v>
          </cell>
          <cell r="R125">
            <v>913.15770000000009</v>
          </cell>
          <cell r="S125">
            <v>958.81558500000017</v>
          </cell>
          <cell r="T125">
            <v>1006.7563642500003</v>
          </cell>
        </row>
        <row r="126">
          <cell r="B126" t="str">
            <v>Packing</v>
          </cell>
          <cell r="J126">
            <v>295.39999999999998</v>
          </cell>
          <cell r="K126">
            <v>350.3</v>
          </cell>
          <cell r="L126">
            <v>497.9</v>
          </cell>
          <cell r="M126">
            <v>582.1</v>
          </cell>
          <cell r="N126">
            <v>672.6</v>
          </cell>
          <cell r="O126">
            <v>790.8</v>
          </cell>
          <cell r="P126">
            <v>1028.04</v>
          </cell>
          <cell r="Q126">
            <v>1470.0972000000002</v>
          </cell>
          <cell r="R126">
            <v>1617.1069200000004</v>
          </cell>
          <cell r="S126">
            <v>1778.8176120000005</v>
          </cell>
          <cell r="T126">
            <v>1956.6993732000008</v>
          </cell>
        </row>
        <row r="127">
          <cell r="B127" t="str">
            <v>Freight</v>
          </cell>
          <cell r="J127">
            <v>151.9</v>
          </cell>
          <cell r="K127">
            <v>169</v>
          </cell>
          <cell r="L127">
            <v>209.6</v>
          </cell>
          <cell r="M127">
            <v>130.4</v>
          </cell>
          <cell r="N127">
            <v>485.2</v>
          </cell>
          <cell r="O127">
            <v>388</v>
          </cell>
          <cell r="P127">
            <v>183.83358891203909</v>
          </cell>
          <cell r="Q127">
            <v>288.69914859383397</v>
          </cell>
          <cell r="R127">
            <v>382.1292215473722</v>
          </cell>
          <cell r="S127">
            <v>403.00654382411881</v>
          </cell>
          <cell r="T127">
            <v>436.34161165299582</v>
          </cell>
        </row>
        <row r="128">
          <cell r="B128" t="str">
            <v>Sales Tax &amp; Octroi</v>
          </cell>
          <cell r="J128">
            <v>353.20000000000005</v>
          </cell>
          <cell r="K128">
            <v>451.7</v>
          </cell>
          <cell r="L128">
            <v>530.29999999999995</v>
          </cell>
          <cell r="M128">
            <v>437</v>
          </cell>
          <cell r="N128">
            <v>117.1</v>
          </cell>
          <cell r="O128">
            <v>194.6</v>
          </cell>
          <cell r="P128">
            <v>200.1319941729148</v>
          </cell>
          <cell r="Q128">
            <v>314.29477423601998</v>
          </cell>
          <cell r="R128">
            <v>416.0082147806603</v>
          </cell>
          <cell r="S128">
            <v>438.73648856872802</v>
          </cell>
          <cell r="T128">
            <v>475.02699260536878</v>
          </cell>
        </row>
        <row r="129">
          <cell r="B129" t="str">
            <v>Insurance, Rent &amp; Rates</v>
          </cell>
          <cell r="J129">
            <v>167.1</v>
          </cell>
          <cell r="K129">
            <v>203.50000000000003</v>
          </cell>
          <cell r="L129">
            <v>331.29999999999995</v>
          </cell>
          <cell r="M129">
            <v>442.4</v>
          </cell>
          <cell r="N129">
            <v>724.2</v>
          </cell>
          <cell r="O129">
            <v>797.19999999999993</v>
          </cell>
          <cell r="P129">
            <v>711.0927508992188</v>
          </cell>
          <cell r="Q129">
            <v>1554.5090011368752</v>
          </cell>
          <cell r="R129">
            <v>1772.9520559206253</v>
          </cell>
          <cell r="S129">
            <v>1996.6501407043754</v>
          </cell>
          <cell r="T129">
            <v>2092.5778954881253</v>
          </cell>
        </row>
        <row r="130">
          <cell r="B130" t="str">
            <v>Exchange loss</v>
          </cell>
          <cell r="Q130">
            <v>1836.4699861687388</v>
          </cell>
          <cell r="R130">
            <v>954.90150000000074</v>
          </cell>
          <cell r="S130">
            <v>0</v>
          </cell>
          <cell r="T130">
            <v>0</v>
          </cell>
        </row>
        <row r="131">
          <cell r="B131" t="str">
            <v>General Expenses</v>
          </cell>
          <cell r="J131">
            <v>427</v>
          </cell>
          <cell r="K131">
            <v>477.6</v>
          </cell>
          <cell r="L131">
            <v>635.4</v>
          </cell>
          <cell r="M131">
            <v>953.7</v>
          </cell>
          <cell r="N131">
            <v>1208.0999999999999</v>
          </cell>
          <cell r="O131">
            <v>1614.1</v>
          </cell>
          <cell r="P131">
            <v>1775.51</v>
          </cell>
          <cell r="Q131">
            <v>2308.163</v>
          </cell>
          <cell r="R131">
            <v>2538.9793000000004</v>
          </cell>
          <cell r="S131">
            <v>2792.8772300000005</v>
          </cell>
          <cell r="T131">
            <v>3072.1649530000009</v>
          </cell>
        </row>
        <row r="132">
          <cell r="B132" t="str">
            <v>Others</v>
          </cell>
          <cell r="J132">
            <v>329.9</v>
          </cell>
          <cell r="K132">
            <v>-112.1</v>
          </cell>
          <cell r="L132">
            <v>440.40000000000003</v>
          </cell>
          <cell r="M132">
            <v>1008.6999999999999</v>
          </cell>
          <cell r="N132">
            <v>2294.9999999999995</v>
          </cell>
          <cell r="O132">
            <v>2862.2000000000003</v>
          </cell>
          <cell r="P132">
            <v>3001.4</v>
          </cell>
          <cell r="Q132">
            <v>3004.2</v>
          </cell>
          <cell r="R132">
            <v>2643.5</v>
          </cell>
          <cell r="S132">
            <v>2707.85</v>
          </cell>
          <cell r="T132">
            <v>2778.6350000000002</v>
          </cell>
        </row>
        <row r="133">
          <cell r="C133" t="str">
            <v>Total S,G&amp;A</v>
          </cell>
          <cell r="J133">
            <v>2089</v>
          </cell>
          <cell r="K133">
            <v>1921</v>
          </cell>
          <cell r="L133">
            <v>3105.2999999999997</v>
          </cell>
          <cell r="M133">
            <v>4148.8</v>
          </cell>
          <cell r="N133">
            <v>6351.7</v>
          </cell>
          <cell r="O133">
            <v>7569.1</v>
          </cell>
          <cell r="P133">
            <v>8098.8683339841737</v>
          </cell>
          <cell r="Q133">
            <v>12334.951110135469</v>
          </cell>
          <cell r="R133">
            <v>12065.34771224866</v>
          </cell>
          <cell r="S133">
            <v>12068.688960097224</v>
          </cell>
          <cell r="T133">
            <v>13008.524622196492</v>
          </cell>
        </row>
        <row r="135">
          <cell r="A135" t="str">
            <v>Total Expenditure</v>
          </cell>
          <cell r="J135">
            <v>9893.6</v>
          </cell>
          <cell r="K135">
            <v>10143.900000000001</v>
          </cell>
          <cell r="L135">
            <v>14340</v>
          </cell>
          <cell r="M135">
            <v>21207.5</v>
          </cell>
          <cell r="N135">
            <v>25610.100000000002</v>
          </cell>
          <cell r="O135">
            <v>27393.638793750004</v>
          </cell>
          <cell r="P135">
            <v>33955.672621472186</v>
          </cell>
          <cell r="Q135">
            <v>52701.048833132663</v>
          </cell>
          <cell r="R135">
            <v>65565.093967451481</v>
          </cell>
          <cell r="S135">
            <v>66191.974870707709</v>
          </cell>
          <cell r="T135">
            <v>75515.366846308374</v>
          </cell>
        </row>
        <row r="136">
          <cell r="N136">
            <v>38623.200000000004</v>
          </cell>
        </row>
        <row r="137">
          <cell r="C137" t="str">
            <v>SGA/Sales</v>
          </cell>
          <cell r="J137">
            <v>9.9554886243411439E-2</v>
          </cell>
          <cell r="K137">
            <v>8.3593702404678824E-2</v>
          </cell>
          <cell r="L137">
            <v>9.9916985211784243E-2</v>
          </cell>
          <cell r="M137">
            <v>9.9301576359867708E-2</v>
          </cell>
          <cell r="N137">
            <v>0.11788276124458176</v>
          </cell>
          <cell r="O137">
            <v>0.13216129904222618</v>
          </cell>
          <cell r="P137">
            <v>15500.331638865595</v>
          </cell>
          <cell r="Q137">
            <v>0.13335311477420816</v>
          </cell>
          <cell r="R137">
            <v>9.8546414481838623E-2</v>
          </cell>
          <cell r="S137">
            <v>9.3467199685466046E-2</v>
          </cell>
          <cell r="T137">
            <v>9.3049200652492128E-2</v>
          </cell>
        </row>
        <row r="138">
          <cell r="C138" t="str">
            <v>Total Other costs/sales</v>
          </cell>
          <cell r="J138">
            <v>0.14490025448688007</v>
          </cell>
          <cell r="K138">
            <v>0.16756164002053947</v>
          </cell>
          <cell r="L138">
            <v>0.14867047633756775</v>
          </cell>
          <cell r="M138">
            <v>0.14531663626920191</v>
          </cell>
          <cell r="N138">
            <v>0.13077215741952108</v>
          </cell>
          <cell r="O138">
            <v>0.12097060290012829</v>
          </cell>
          <cell r="P138">
            <v>3239.5473335936695</v>
          </cell>
          <cell r="Q138">
            <v>0.15019939394240517</v>
          </cell>
          <cell r="R138">
            <v>0.13530624115127282</v>
          </cell>
          <cell r="S138">
            <v>0.14779685251893593</v>
          </cell>
          <cell r="T138">
            <v>0.15625890504196865</v>
          </cell>
        </row>
        <row r="139">
          <cell r="P139">
            <v>6562.0338277221817</v>
          </cell>
        </row>
        <row r="140">
          <cell r="P140">
            <v>2624.8135310888729</v>
          </cell>
        </row>
      </sheetData>
      <sheetData sheetId="3" refreshError="1">
        <row r="1">
          <cell r="A1" t="str">
            <v>Reliance Industries Ltd.</v>
          </cell>
          <cell r="M1" t="str">
            <v>deb enture</v>
          </cell>
          <cell r="N1">
            <v>17791.366666666669</v>
          </cell>
          <cell r="O1">
            <v>18114.666666666664</v>
          </cell>
          <cell r="Q1" t="str">
            <v>Debt Capitalisation</v>
          </cell>
        </row>
        <row r="2">
          <cell r="A2" t="str">
            <v>Rs. m</v>
          </cell>
          <cell r="N2">
            <v>5125.3666666666686</v>
          </cell>
          <cell r="O2">
            <v>0.33333333333575865</v>
          </cell>
          <cell r="Q2" t="str">
            <v>STOCKWATCH  20-Jan-97</v>
          </cell>
        </row>
        <row r="3">
          <cell r="N3">
            <v>12665.6</v>
          </cell>
          <cell r="O3">
            <v>18115.2</v>
          </cell>
        </row>
        <row r="4">
          <cell r="N4">
            <v>-7540.2333333333318</v>
          </cell>
          <cell r="O4">
            <v>-18114.866666666665</v>
          </cell>
        </row>
        <row r="5">
          <cell r="M5" t="str">
            <v>Close</v>
          </cell>
          <cell r="P5" t="str">
            <v>Projected</v>
          </cell>
        </row>
        <row r="6">
          <cell r="A6" t="str">
            <v>Fiscal Year Ended  31 March</v>
          </cell>
          <cell r="N6">
            <v>1995</v>
          </cell>
          <cell r="O6">
            <v>1996</v>
          </cell>
          <cell r="P6">
            <v>1997</v>
          </cell>
          <cell r="Q6">
            <v>1998</v>
          </cell>
          <cell r="R6">
            <v>1999</v>
          </cell>
        </row>
        <row r="7">
          <cell r="O7">
            <v>14124.599999999999</v>
          </cell>
        </row>
        <row r="8">
          <cell r="O8">
            <v>3695.4000000000015</v>
          </cell>
        </row>
        <row r="9">
          <cell r="A9" t="str">
            <v>Cash</v>
          </cell>
          <cell r="K9" t="str">
            <v>Beginning Balance</v>
          </cell>
          <cell r="N9">
            <v>0</v>
          </cell>
          <cell r="O9" t="e">
            <v>#REF!</v>
          </cell>
          <cell r="P9" t="e">
            <v>#REF!</v>
          </cell>
          <cell r="Q9" t="e">
            <v>#REF!</v>
          </cell>
          <cell r="R9" t="e">
            <v>#REF!</v>
          </cell>
        </row>
        <row r="10">
          <cell r="K10" t="str">
            <v xml:space="preserve">  Net Cash Generated</v>
          </cell>
          <cell r="N10" t="e">
            <v>#REF!</v>
          </cell>
          <cell r="O10" t="e">
            <v>#REF!</v>
          </cell>
          <cell r="P10" t="e">
            <v>#REF!</v>
          </cell>
          <cell r="Q10" t="e">
            <v>#REF!</v>
          </cell>
          <cell r="R10" t="e">
            <v>#REF!</v>
          </cell>
        </row>
        <row r="11">
          <cell r="B11" t="str">
            <v>Cash Interest Rate</v>
          </cell>
          <cell r="F11">
            <v>0</v>
          </cell>
          <cell r="K11" t="str">
            <v>Ending Balance</v>
          </cell>
          <cell r="N11" t="e">
            <v>#REF!</v>
          </cell>
          <cell r="O11" t="e">
            <v>#REF!</v>
          </cell>
          <cell r="P11" t="e">
            <v>#REF!</v>
          </cell>
          <cell r="Q11" t="e">
            <v>#REF!</v>
          </cell>
          <cell r="R11" t="e">
            <v>#REF!</v>
          </cell>
        </row>
        <row r="13">
          <cell r="K13" t="str">
            <v>Interest Income (1)</v>
          </cell>
          <cell r="N13">
            <v>0</v>
          </cell>
          <cell r="O13" t="e">
            <v>#REF!</v>
          </cell>
          <cell r="P13" t="e">
            <v>#REF!</v>
          </cell>
          <cell r="Q13" t="e">
            <v>#REF!</v>
          </cell>
          <cell r="R13" t="e">
            <v>#REF!</v>
          </cell>
        </row>
        <row r="17">
          <cell r="A17" t="str">
            <v xml:space="preserve">Short Term Debt </v>
          </cell>
          <cell r="K17" t="str">
            <v>Beginning Balance</v>
          </cell>
          <cell r="N17">
            <v>1578.6000000000001</v>
          </cell>
          <cell r="O17">
            <v>5427.9</v>
          </cell>
          <cell r="P17">
            <v>6588.8</v>
          </cell>
          <cell r="Q17">
            <v>6588.8</v>
          </cell>
          <cell r="R17">
            <v>6588.8</v>
          </cell>
          <cell r="S17">
            <v>6588.8</v>
          </cell>
        </row>
        <row r="18">
          <cell r="B18" t="str">
            <v>Existing Amount</v>
          </cell>
          <cell r="F18">
            <v>1578.6000000000001</v>
          </cell>
          <cell r="K18" t="str">
            <v xml:space="preserve">   Addition/Amortization</v>
          </cell>
          <cell r="N18">
            <v>3107.8362999999999</v>
          </cell>
          <cell r="O18">
            <v>1160.9000000000005</v>
          </cell>
          <cell r="P18">
            <v>0</v>
          </cell>
        </row>
        <row r="19">
          <cell r="B19" t="str">
            <v>Additions at Close</v>
          </cell>
          <cell r="F19">
            <v>0</v>
          </cell>
          <cell r="K19" t="str">
            <v>Ending Balance</v>
          </cell>
          <cell r="N19">
            <v>5427.9</v>
          </cell>
          <cell r="O19">
            <v>6588.8</v>
          </cell>
          <cell r="P19">
            <v>6588.8</v>
          </cell>
          <cell r="Q19">
            <v>6588.8</v>
          </cell>
          <cell r="R19">
            <v>6588.8</v>
          </cell>
          <cell r="S19">
            <v>6588.8</v>
          </cell>
        </row>
        <row r="20">
          <cell r="B20" t="str">
            <v>Interest Rate</v>
          </cell>
          <cell r="F20">
            <v>1.2999999999999999E-2</v>
          </cell>
          <cell r="O20">
            <v>9.153927450964075E-2</v>
          </cell>
        </row>
        <row r="21">
          <cell r="K21" t="str">
            <v>Cash Interest (Expense) (2)</v>
          </cell>
          <cell r="N21">
            <v>-45.597347383329996</v>
          </cell>
          <cell r="O21">
            <v>-550</v>
          </cell>
          <cell r="P21">
            <v>-395.32799999999997</v>
          </cell>
          <cell r="Q21">
            <v>-373.36533333333335</v>
          </cell>
          <cell r="R21">
            <v>-373.36533333333335</v>
          </cell>
          <cell r="S21">
            <v>-373.36533333333335</v>
          </cell>
        </row>
        <row r="22">
          <cell r="K22" t="str">
            <v>Net Add/(Repay)</v>
          </cell>
          <cell r="N22">
            <v>3107.8362999999999</v>
          </cell>
          <cell r="O22">
            <v>1160.9000000000005</v>
          </cell>
          <cell r="P22">
            <v>0</v>
          </cell>
          <cell r="Q22">
            <v>0</v>
          </cell>
          <cell r="R22">
            <v>0</v>
          </cell>
          <cell r="S22">
            <v>0</v>
          </cell>
        </row>
        <row r="26">
          <cell r="A26" t="str">
            <v>15% Debs of Rs 100</v>
          </cell>
          <cell r="K26" t="str">
            <v>Beginning Balance</v>
          </cell>
          <cell r="N26">
            <v>2665</v>
          </cell>
          <cell r="O26">
            <v>2665</v>
          </cell>
          <cell r="P26">
            <v>2665</v>
          </cell>
          <cell r="Q26">
            <v>2665</v>
          </cell>
          <cell r="R26">
            <v>2665</v>
          </cell>
          <cell r="S26">
            <v>0</v>
          </cell>
        </row>
        <row r="27">
          <cell r="B27" t="str">
            <v>Existing Amount</v>
          </cell>
          <cell r="F27">
            <v>2665</v>
          </cell>
          <cell r="K27" t="str">
            <v xml:space="preserve">   Addition/Amortization</v>
          </cell>
          <cell r="N27">
            <v>0</v>
          </cell>
          <cell r="O27">
            <v>0</v>
          </cell>
          <cell r="P27">
            <v>0</v>
          </cell>
          <cell r="Q27">
            <v>0</v>
          </cell>
          <cell r="R27">
            <v>0</v>
          </cell>
          <cell r="S27">
            <v>0</v>
          </cell>
        </row>
        <row r="28">
          <cell r="B28" t="str">
            <v>Additions at Close</v>
          </cell>
          <cell r="F28">
            <v>0</v>
          </cell>
          <cell r="K28" t="str">
            <v xml:space="preserve">   Sinking Fund</v>
          </cell>
          <cell r="N28">
            <v>0</v>
          </cell>
          <cell r="O28">
            <v>0</v>
          </cell>
          <cell r="P28">
            <v>0</v>
          </cell>
          <cell r="Q28">
            <v>0</v>
          </cell>
          <cell r="R28">
            <v>0</v>
          </cell>
          <cell r="S28">
            <v>0</v>
          </cell>
        </row>
        <row r="29">
          <cell r="B29" t="str">
            <v>Interest Rate</v>
          </cell>
          <cell r="F29">
            <v>0.15</v>
          </cell>
          <cell r="K29" t="str">
            <v xml:space="preserve">   Maturity</v>
          </cell>
          <cell r="N29">
            <v>0</v>
          </cell>
          <cell r="O29">
            <v>0</v>
          </cell>
          <cell r="P29">
            <v>0</v>
          </cell>
          <cell r="Q29">
            <v>0</v>
          </cell>
          <cell r="R29">
            <v>-2665</v>
          </cell>
          <cell r="S29">
            <v>0</v>
          </cell>
        </row>
        <row r="30">
          <cell r="A30">
            <v>36403</v>
          </cell>
          <cell r="B30" t="str">
            <v>Maturity Years</v>
          </cell>
          <cell r="F30">
            <v>5</v>
          </cell>
          <cell r="K30" t="str">
            <v>Ending Balance</v>
          </cell>
          <cell r="N30">
            <v>2665</v>
          </cell>
          <cell r="O30">
            <v>2665</v>
          </cell>
          <cell r="P30">
            <v>2665</v>
          </cell>
          <cell r="Q30">
            <v>2665</v>
          </cell>
          <cell r="R30">
            <v>0</v>
          </cell>
          <cell r="S30">
            <v>0</v>
          </cell>
        </row>
        <row r="31">
          <cell r="B31" t="str">
            <v>Sinking Fund Years</v>
          </cell>
          <cell r="F31">
            <v>0</v>
          </cell>
        </row>
        <row r="32">
          <cell r="B32" t="str">
            <v>Sinking Fund %</v>
          </cell>
          <cell r="F32">
            <v>0</v>
          </cell>
          <cell r="K32" t="str">
            <v>Cash Interest (Expense) (2)</v>
          </cell>
          <cell r="N32">
            <v>-399.75</v>
          </cell>
          <cell r="O32">
            <v>-399.75</v>
          </cell>
          <cell r="P32">
            <v>-399.75</v>
          </cell>
          <cell r="Q32">
            <v>-399.75</v>
          </cell>
          <cell r="R32">
            <v>-199.875</v>
          </cell>
          <cell r="S32">
            <v>0</v>
          </cell>
        </row>
        <row r="33">
          <cell r="B33" t="str">
            <v>Sinking  Amount</v>
          </cell>
          <cell r="F33">
            <v>2665</v>
          </cell>
          <cell r="K33" t="str">
            <v>Net Add/(Repay)</v>
          </cell>
          <cell r="N33">
            <v>0</v>
          </cell>
          <cell r="O33">
            <v>0</v>
          </cell>
          <cell r="P33">
            <v>0</v>
          </cell>
          <cell r="Q33">
            <v>0</v>
          </cell>
          <cell r="R33">
            <v>-2665</v>
          </cell>
          <cell r="S33">
            <v>0</v>
          </cell>
        </row>
        <row r="36">
          <cell r="A36" t="str">
            <v>13.5% debs of rs 100</v>
          </cell>
          <cell r="K36" t="str">
            <v>Beginning Balance</v>
          </cell>
          <cell r="N36">
            <v>533.29999999999995</v>
          </cell>
          <cell r="O36">
            <v>533.29999999999995</v>
          </cell>
          <cell r="P36">
            <v>533.29999999999995</v>
          </cell>
          <cell r="Q36">
            <v>0</v>
          </cell>
          <cell r="R36">
            <v>0</v>
          </cell>
          <cell r="S36">
            <v>0</v>
          </cell>
        </row>
        <row r="37">
          <cell r="B37" t="str">
            <v>Existing Amount</v>
          </cell>
          <cell r="F37">
            <v>533.29999999999995</v>
          </cell>
          <cell r="K37" t="str">
            <v xml:space="preserve">   Addition/Amortization</v>
          </cell>
          <cell r="N37">
            <v>0</v>
          </cell>
          <cell r="O37">
            <v>0</v>
          </cell>
          <cell r="P37">
            <v>0</v>
          </cell>
          <cell r="Q37">
            <v>0</v>
          </cell>
          <cell r="R37">
            <v>0</v>
          </cell>
          <cell r="S37">
            <v>0</v>
          </cell>
        </row>
        <row r="38">
          <cell r="B38" t="str">
            <v>Additions at Close</v>
          </cell>
          <cell r="F38">
            <v>0</v>
          </cell>
          <cell r="K38" t="str">
            <v xml:space="preserve">   Sinking Fund</v>
          </cell>
          <cell r="N38">
            <v>0</v>
          </cell>
          <cell r="O38">
            <v>0</v>
          </cell>
          <cell r="P38">
            <v>0</v>
          </cell>
          <cell r="Q38">
            <v>0</v>
          </cell>
          <cell r="R38">
            <v>0</v>
          </cell>
          <cell r="S38">
            <v>0</v>
          </cell>
        </row>
        <row r="39">
          <cell r="B39" t="str">
            <v>Interest Rate</v>
          </cell>
          <cell r="F39">
            <v>0.13500000000000001</v>
          </cell>
          <cell r="K39" t="str">
            <v xml:space="preserve">   Maturity</v>
          </cell>
          <cell r="N39">
            <v>0</v>
          </cell>
          <cell r="O39">
            <v>0</v>
          </cell>
          <cell r="P39">
            <v>-533.29999999999995</v>
          </cell>
          <cell r="Q39">
            <v>0</v>
          </cell>
          <cell r="R39">
            <v>0</v>
          </cell>
          <cell r="S39">
            <v>0</v>
          </cell>
        </row>
        <row r="40">
          <cell r="B40" t="str">
            <v>Maturity Years</v>
          </cell>
          <cell r="F40">
            <v>3</v>
          </cell>
          <cell r="K40" t="str">
            <v>Ending Balance</v>
          </cell>
          <cell r="N40">
            <v>533.29999999999995</v>
          </cell>
          <cell r="O40">
            <v>533.29999999999995</v>
          </cell>
          <cell r="P40">
            <v>0</v>
          </cell>
          <cell r="Q40">
            <v>0</v>
          </cell>
          <cell r="R40">
            <v>0</v>
          </cell>
          <cell r="S40">
            <v>0</v>
          </cell>
        </row>
        <row r="41">
          <cell r="B41" t="str">
            <v>Sinking Fund Years</v>
          </cell>
          <cell r="F41">
            <v>0</v>
          </cell>
        </row>
        <row r="42">
          <cell r="B42" t="str">
            <v>Sinking Fund %</v>
          </cell>
          <cell r="F42">
            <v>0</v>
          </cell>
          <cell r="K42" t="str">
            <v>Cash Interest (Expense) (2)</v>
          </cell>
          <cell r="N42">
            <v>-71.995499999999993</v>
          </cell>
          <cell r="O42">
            <v>-71.995499999999993</v>
          </cell>
          <cell r="P42">
            <v>-35.997749999999996</v>
          </cell>
          <cell r="Q42">
            <v>0</v>
          </cell>
          <cell r="R42">
            <v>0</v>
          </cell>
          <cell r="S42">
            <v>0</v>
          </cell>
        </row>
        <row r="43">
          <cell r="B43" t="str">
            <v>Sinking  Amount</v>
          </cell>
          <cell r="F43">
            <v>0</v>
          </cell>
          <cell r="K43" t="str">
            <v>Net Add/(Repay)</v>
          </cell>
          <cell r="N43">
            <v>0</v>
          </cell>
          <cell r="O43">
            <v>0</v>
          </cell>
          <cell r="P43">
            <v>-533.29999999999995</v>
          </cell>
          <cell r="Q43">
            <v>0</v>
          </cell>
          <cell r="R43">
            <v>0</v>
          </cell>
          <cell r="S43">
            <v>0</v>
          </cell>
        </row>
        <row r="46">
          <cell r="A46" t="str">
            <v>14% Debs of Rs 100</v>
          </cell>
          <cell r="K46" t="str">
            <v>Beginning Balance</v>
          </cell>
          <cell r="N46">
            <v>700</v>
          </cell>
          <cell r="O46">
            <v>466.66666666666663</v>
          </cell>
          <cell r="P46">
            <v>-0.33333333333337123</v>
          </cell>
          <cell r="Q46">
            <v>0</v>
          </cell>
          <cell r="R46">
            <v>0</v>
          </cell>
          <cell r="S46">
            <v>0</v>
          </cell>
        </row>
        <row r="47">
          <cell r="B47" t="str">
            <v>Existing Amount</v>
          </cell>
          <cell r="F47">
            <v>700</v>
          </cell>
          <cell r="K47" t="str">
            <v xml:space="preserve">   Addition/Amortization</v>
          </cell>
          <cell r="N47">
            <v>0</v>
          </cell>
          <cell r="O47">
            <v>-467</v>
          </cell>
          <cell r="P47">
            <v>0</v>
          </cell>
          <cell r="Q47">
            <v>0</v>
          </cell>
          <cell r="R47">
            <v>0</v>
          </cell>
          <cell r="S47">
            <v>0</v>
          </cell>
        </row>
        <row r="48">
          <cell r="B48" t="str">
            <v>Additions at Close</v>
          </cell>
          <cell r="F48">
            <v>0</v>
          </cell>
          <cell r="K48" t="str">
            <v xml:space="preserve">   Sinking Fund</v>
          </cell>
          <cell r="N48">
            <v>-233.33333333333334</v>
          </cell>
          <cell r="Q48">
            <v>0</v>
          </cell>
          <cell r="R48">
            <v>0</v>
          </cell>
          <cell r="S48">
            <v>0</v>
          </cell>
        </row>
        <row r="49">
          <cell r="B49" t="str">
            <v>Interest Rate</v>
          </cell>
          <cell r="F49">
            <v>0.14000000000000001</v>
          </cell>
          <cell r="K49" t="str">
            <v xml:space="preserve">   Maturity</v>
          </cell>
          <cell r="N49">
            <v>0</v>
          </cell>
          <cell r="O49">
            <v>0</v>
          </cell>
          <cell r="P49">
            <v>0.33333333333337123</v>
          </cell>
          <cell r="Q49">
            <v>0</v>
          </cell>
          <cell r="R49">
            <v>0</v>
          </cell>
          <cell r="S49">
            <v>0</v>
          </cell>
        </row>
        <row r="50">
          <cell r="B50" t="str">
            <v>Maturity Years</v>
          </cell>
          <cell r="F50">
            <v>3</v>
          </cell>
          <cell r="K50" t="str">
            <v>Ending Balance</v>
          </cell>
          <cell r="N50">
            <v>466.66666666666663</v>
          </cell>
          <cell r="O50">
            <v>-0.33333333333337123</v>
          </cell>
          <cell r="P50">
            <v>0</v>
          </cell>
          <cell r="Q50">
            <v>0</v>
          </cell>
          <cell r="R50">
            <v>0</v>
          </cell>
          <cell r="S50">
            <v>0</v>
          </cell>
        </row>
        <row r="51">
          <cell r="B51" t="str">
            <v>Sinking Fund Years</v>
          </cell>
          <cell r="F51">
            <v>3</v>
          </cell>
        </row>
        <row r="52">
          <cell r="B52" t="str">
            <v>Sinking Fund %</v>
          </cell>
          <cell r="F52">
            <v>1</v>
          </cell>
          <cell r="K52" t="str">
            <v>Cash Interest (Expense) (2)</v>
          </cell>
          <cell r="N52">
            <v>-81.666666666666657</v>
          </cell>
          <cell r="O52">
            <v>-32.643333333333331</v>
          </cell>
          <cell r="P52">
            <v>2.3333333333335989E-2</v>
          </cell>
          <cell r="Q52">
            <v>0</v>
          </cell>
          <cell r="R52">
            <v>0</v>
          </cell>
          <cell r="S52">
            <v>0</v>
          </cell>
        </row>
        <row r="53">
          <cell r="B53" t="str">
            <v>Sinking  Amount</v>
          </cell>
          <cell r="F53">
            <v>700</v>
          </cell>
          <cell r="K53" t="str">
            <v>Net Add/(Repay)</v>
          </cell>
          <cell r="N53">
            <v>-233.33333333333334</v>
          </cell>
          <cell r="O53">
            <v>-467</v>
          </cell>
          <cell r="P53">
            <v>0.33333333333337123</v>
          </cell>
          <cell r="Q53">
            <v>0</v>
          </cell>
          <cell r="R53">
            <v>0</v>
          </cell>
          <cell r="S53">
            <v>0</v>
          </cell>
        </row>
        <row r="54">
          <cell r="M54" t="str">
            <v>Close</v>
          </cell>
          <cell r="P54" t="str">
            <v>Projected</v>
          </cell>
        </row>
        <row r="55">
          <cell r="A55" t="str">
            <v>Fiscal Year Ended  31 March</v>
          </cell>
          <cell r="N55">
            <v>1995</v>
          </cell>
          <cell r="O55">
            <v>1996</v>
          </cell>
          <cell r="P55">
            <v>1997</v>
          </cell>
          <cell r="Q55">
            <v>1998</v>
          </cell>
          <cell r="R55">
            <v>1999</v>
          </cell>
          <cell r="S55">
            <v>2000</v>
          </cell>
        </row>
        <row r="56">
          <cell r="A56" t="str">
            <v>14% of Rs 100</v>
          </cell>
          <cell r="K56" t="str">
            <v>Beginning Balance</v>
          </cell>
          <cell r="N56">
            <v>825</v>
          </cell>
          <cell r="O56">
            <v>825</v>
          </cell>
          <cell r="P56">
            <v>825</v>
          </cell>
          <cell r="Q56">
            <v>550</v>
          </cell>
          <cell r="R56">
            <v>275</v>
          </cell>
          <cell r="S56">
            <v>0</v>
          </cell>
        </row>
        <row r="57">
          <cell r="B57" t="str">
            <v>Existing Amount</v>
          </cell>
          <cell r="F57">
            <v>825</v>
          </cell>
          <cell r="K57" t="str">
            <v xml:space="preserve">   Addition/Amortization</v>
          </cell>
          <cell r="N57">
            <v>0</v>
          </cell>
          <cell r="O57">
            <v>0</v>
          </cell>
          <cell r="P57">
            <v>0</v>
          </cell>
          <cell r="Q57">
            <v>0</v>
          </cell>
          <cell r="R57">
            <v>0</v>
          </cell>
          <cell r="S57">
            <v>0</v>
          </cell>
        </row>
        <row r="58">
          <cell r="B58" t="str">
            <v>Additions at Close</v>
          </cell>
          <cell r="F58">
            <v>0</v>
          </cell>
          <cell r="K58" t="str">
            <v xml:space="preserve">   Sinking Fund</v>
          </cell>
          <cell r="N58">
            <v>0</v>
          </cell>
          <cell r="O58">
            <v>0</v>
          </cell>
          <cell r="P58">
            <v>-275</v>
          </cell>
          <cell r="Q58">
            <v>-275</v>
          </cell>
          <cell r="R58">
            <v>-275</v>
          </cell>
          <cell r="S58">
            <v>0</v>
          </cell>
        </row>
        <row r="59">
          <cell r="B59" t="str">
            <v>Interest Rate</v>
          </cell>
          <cell r="F59">
            <v>0.14000000000000001</v>
          </cell>
          <cell r="K59" t="str">
            <v xml:space="preserve">   Maturity</v>
          </cell>
          <cell r="N59">
            <v>0</v>
          </cell>
          <cell r="O59">
            <v>0</v>
          </cell>
          <cell r="P59">
            <v>0</v>
          </cell>
          <cell r="Q59">
            <v>0</v>
          </cell>
          <cell r="R59">
            <v>0</v>
          </cell>
          <cell r="S59">
            <v>0</v>
          </cell>
        </row>
        <row r="60">
          <cell r="B60" t="str">
            <v>Maturity Years</v>
          </cell>
          <cell r="F60">
            <v>5</v>
          </cell>
          <cell r="K60" t="str">
            <v>Ending Balance</v>
          </cell>
          <cell r="N60">
            <v>825</v>
          </cell>
          <cell r="O60">
            <v>825</v>
          </cell>
          <cell r="P60">
            <v>550</v>
          </cell>
          <cell r="Q60">
            <v>275</v>
          </cell>
          <cell r="R60">
            <v>0</v>
          </cell>
          <cell r="S60">
            <v>0</v>
          </cell>
        </row>
        <row r="61">
          <cell r="B61" t="str">
            <v>Sinking Fund Years</v>
          </cell>
          <cell r="F61">
            <v>3</v>
          </cell>
        </row>
        <row r="62">
          <cell r="B62" t="str">
            <v>Sinking Fund %</v>
          </cell>
          <cell r="F62">
            <v>1</v>
          </cell>
          <cell r="K62" t="str">
            <v>Cash Interest (Expense) (2)</v>
          </cell>
          <cell r="N62">
            <v>-115.50000000000001</v>
          </cell>
          <cell r="O62">
            <v>-115.50000000000001</v>
          </cell>
          <cell r="P62">
            <v>-110.00000000000001</v>
          </cell>
          <cell r="Q62">
            <v>-71.5</v>
          </cell>
          <cell r="R62">
            <v>-33</v>
          </cell>
          <cell r="S62">
            <v>0</v>
          </cell>
        </row>
        <row r="63">
          <cell r="B63" t="str">
            <v>Sinking  Amount</v>
          </cell>
          <cell r="F63">
            <v>825</v>
          </cell>
          <cell r="K63" t="str">
            <v>Net Add/(Repay)</v>
          </cell>
          <cell r="N63">
            <v>0</v>
          </cell>
          <cell r="O63">
            <v>0</v>
          </cell>
          <cell r="P63">
            <v>-275</v>
          </cell>
          <cell r="Q63">
            <v>-275</v>
          </cell>
          <cell r="R63">
            <v>-275</v>
          </cell>
          <cell r="S63">
            <v>0</v>
          </cell>
        </row>
        <row r="66">
          <cell r="A66" t="str">
            <v>12.5% 'H' Debs of Rs 95</v>
          </cell>
          <cell r="F66">
            <v>4.9450549450549448E-2</v>
          </cell>
          <cell r="K66" t="str">
            <v>Beginning Balance</v>
          </cell>
          <cell r="N66">
            <v>3463.7</v>
          </cell>
          <cell r="O66">
            <v>3463.7</v>
          </cell>
          <cell r="P66">
            <v>3428.7</v>
          </cell>
          <cell r="Q66">
            <v>3428.7</v>
          </cell>
          <cell r="R66">
            <v>3428.7</v>
          </cell>
          <cell r="S66">
            <v>0</v>
          </cell>
        </row>
        <row r="67">
          <cell r="B67" t="str">
            <v>Existing Amount</v>
          </cell>
          <cell r="F67">
            <v>3463.7</v>
          </cell>
          <cell r="K67" t="str">
            <v xml:space="preserve">   Addition/Amortization</v>
          </cell>
          <cell r="N67">
            <v>0</v>
          </cell>
          <cell r="O67">
            <v>-35</v>
          </cell>
          <cell r="P67">
            <v>0</v>
          </cell>
          <cell r="Q67">
            <v>0</v>
          </cell>
          <cell r="R67">
            <v>0</v>
          </cell>
          <cell r="S67">
            <v>0</v>
          </cell>
        </row>
        <row r="68">
          <cell r="B68" t="str">
            <v>Additions at Close</v>
          </cell>
          <cell r="F68">
            <v>0</v>
          </cell>
          <cell r="K68" t="str">
            <v xml:space="preserve">   Sinking Fund</v>
          </cell>
          <cell r="N68">
            <v>0</v>
          </cell>
          <cell r="O68">
            <v>0</v>
          </cell>
          <cell r="P68">
            <v>0</v>
          </cell>
          <cell r="Q68">
            <v>0</v>
          </cell>
          <cell r="R68">
            <v>0</v>
          </cell>
          <cell r="S68">
            <v>0</v>
          </cell>
        </row>
        <row r="69">
          <cell r="B69" t="str">
            <v>Interest Rate</v>
          </cell>
          <cell r="F69">
            <v>0.125</v>
          </cell>
          <cell r="K69" t="str">
            <v xml:space="preserve">   Maturity</v>
          </cell>
          <cell r="N69">
            <v>0</v>
          </cell>
          <cell r="O69">
            <v>0</v>
          </cell>
          <cell r="P69">
            <v>0</v>
          </cell>
          <cell r="Q69">
            <v>0</v>
          </cell>
          <cell r="R69">
            <v>-3428.7</v>
          </cell>
          <cell r="S69">
            <v>0</v>
          </cell>
        </row>
        <row r="70">
          <cell r="B70" t="str">
            <v>Maturity Years</v>
          </cell>
          <cell r="F70">
            <v>5</v>
          </cell>
          <cell r="K70" t="str">
            <v>Ending Balance</v>
          </cell>
          <cell r="N70">
            <v>3463.7</v>
          </cell>
          <cell r="O70">
            <v>3428.7</v>
          </cell>
          <cell r="P70">
            <v>3428.7</v>
          </cell>
          <cell r="Q70">
            <v>3428.7</v>
          </cell>
          <cell r="R70">
            <v>0</v>
          </cell>
          <cell r="S70">
            <v>0</v>
          </cell>
        </row>
        <row r="71">
          <cell r="B71" t="str">
            <v>Sinking Fund Years</v>
          </cell>
          <cell r="F71">
            <v>0</v>
          </cell>
        </row>
        <row r="72">
          <cell r="B72" t="str">
            <v>Sinking Fund %</v>
          </cell>
          <cell r="F72">
            <v>0</v>
          </cell>
          <cell r="K72" t="str">
            <v>Cash Interest (Expense) (2)</v>
          </cell>
          <cell r="N72">
            <v>-432.96249999999998</v>
          </cell>
          <cell r="O72">
            <v>-430.77499999999998</v>
          </cell>
          <cell r="P72">
            <v>-428.58749999999998</v>
          </cell>
          <cell r="Q72">
            <v>-428.58749999999998</v>
          </cell>
          <cell r="R72">
            <v>-214.29374999999999</v>
          </cell>
          <cell r="S72">
            <v>0</v>
          </cell>
        </row>
        <row r="73">
          <cell r="B73" t="str">
            <v>Sinking  Amount</v>
          </cell>
          <cell r="F73">
            <v>3428.7</v>
          </cell>
          <cell r="K73" t="str">
            <v>Net Add/(Repay)</v>
          </cell>
          <cell r="N73">
            <v>0</v>
          </cell>
          <cell r="O73">
            <v>-35</v>
          </cell>
          <cell r="P73">
            <v>0</v>
          </cell>
          <cell r="Q73">
            <v>0</v>
          </cell>
          <cell r="R73">
            <v>-3428.7</v>
          </cell>
          <cell r="S73">
            <v>0</v>
          </cell>
        </row>
        <row r="76">
          <cell r="A76" t="str">
            <v>14% Debs of 150</v>
          </cell>
          <cell r="K76" t="str">
            <v>Beginning Balance</v>
          </cell>
          <cell r="N76">
            <v>1311</v>
          </cell>
          <cell r="O76">
            <v>1311</v>
          </cell>
          <cell r="P76">
            <v>1257.8</v>
          </cell>
          <cell r="Q76">
            <v>1257.8</v>
          </cell>
          <cell r="R76">
            <v>1257.8</v>
          </cell>
          <cell r="S76">
            <v>0</v>
          </cell>
        </row>
        <row r="77">
          <cell r="B77" t="str">
            <v>Existing Amount</v>
          </cell>
          <cell r="F77">
            <v>1311</v>
          </cell>
          <cell r="K77" t="str">
            <v xml:space="preserve">   Addition/Amortization</v>
          </cell>
          <cell r="N77">
            <v>0</v>
          </cell>
          <cell r="O77">
            <v>-53.200000000000045</v>
          </cell>
          <cell r="P77">
            <v>0</v>
          </cell>
          <cell r="Q77">
            <v>0</v>
          </cell>
          <cell r="R77">
            <v>0</v>
          </cell>
          <cell r="S77">
            <v>0</v>
          </cell>
        </row>
        <row r="78">
          <cell r="B78" t="str">
            <v>Additions at Close</v>
          </cell>
          <cell r="F78">
            <v>0</v>
          </cell>
          <cell r="K78" t="str">
            <v xml:space="preserve">   Sinking Fund</v>
          </cell>
          <cell r="N78">
            <v>0</v>
          </cell>
          <cell r="O78">
            <v>0</v>
          </cell>
          <cell r="P78">
            <v>0</v>
          </cell>
          <cell r="Q78">
            <v>0</v>
          </cell>
          <cell r="R78">
            <v>0</v>
          </cell>
          <cell r="S78">
            <v>0</v>
          </cell>
        </row>
        <row r="79">
          <cell r="B79" t="str">
            <v>Interest Rate</v>
          </cell>
          <cell r="F79">
            <v>0.14000000000000001</v>
          </cell>
          <cell r="K79" t="str">
            <v xml:space="preserve">   Maturity</v>
          </cell>
          <cell r="N79">
            <v>0</v>
          </cell>
          <cell r="O79">
            <v>0</v>
          </cell>
          <cell r="P79">
            <v>0</v>
          </cell>
          <cell r="Q79">
            <v>0</v>
          </cell>
          <cell r="R79">
            <v>-1257.8</v>
          </cell>
          <cell r="S79">
            <v>0</v>
          </cell>
        </row>
        <row r="80">
          <cell r="B80" t="str">
            <v>Maturity Years</v>
          </cell>
          <cell r="F80">
            <v>5</v>
          </cell>
          <cell r="K80" t="str">
            <v>Ending Balance</v>
          </cell>
          <cell r="N80">
            <v>1311</v>
          </cell>
          <cell r="O80">
            <v>1257.8</v>
          </cell>
          <cell r="P80">
            <v>1257.8</v>
          </cell>
          <cell r="Q80">
            <v>1257.8</v>
          </cell>
          <cell r="R80">
            <v>0</v>
          </cell>
          <cell r="S80">
            <v>0</v>
          </cell>
        </row>
        <row r="81">
          <cell r="B81" t="str">
            <v>Sinking Fund Years</v>
          </cell>
          <cell r="F81">
            <v>0</v>
          </cell>
        </row>
        <row r="82">
          <cell r="B82" t="str">
            <v>Sinking Fund %</v>
          </cell>
          <cell r="F82">
            <v>0</v>
          </cell>
          <cell r="K82" t="str">
            <v>Cash Interest (Expense) (2)</v>
          </cell>
          <cell r="N82">
            <v>-183.54000000000002</v>
          </cell>
          <cell r="O82">
            <v>-179.81600000000003</v>
          </cell>
          <cell r="P82">
            <v>-176.09200000000001</v>
          </cell>
          <cell r="Q82">
            <v>-176.09200000000001</v>
          </cell>
          <cell r="R82">
            <v>-88.046000000000006</v>
          </cell>
          <cell r="S82">
            <v>0</v>
          </cell>
        </row>
        <row r="83">
          <cell r="B83" t="str">
            <v>Sinking  Amount</v>
          </cell>
          <cell r="F83">
            <v>1257.8</v>
          </cell>
          <cell r="K83" t="str">
            <v>Net Add/(Repay)</v>
          </cell>
          <cell r="N83">
            <v>0</v>
          </cell>
          <cell r="O83">
            <v>-53.200000000000045</v>
          </cell>
          <cell r="P83">
            <v>0</v>
          </cell>
          <cell r="Q83">
            <v>0</v>
          </cell>
          <cell r="R83">
            <v>-1257.8</v>
          </cell>
          <cell r="S83">
            <v>0</v>
          </cell>
        </row>
        <row r="86">
          <cell r="A86" t="str">
            <v>17.5% Debs of Rs 100</v>
          </cell>
          <cell r="K86" t="str">
            <v>Beginning Balance</v>
          </cell>
          <cell r="N86">
            <v>1326.7</v>
          </cell>
          <cell r="O86">
            <v>1326.7</v>
          </cell>
          <cell r="P86">
            <v>2649.2</v>
          </cell>
          <cell r="Q86">
            <v>2649.2</v>
          </cell>
          <cell r="R86">
            <v>2649.2</v>
          </cell>
          <cell r="S86">
            <v>0</v>
          </cell>
        </row>
        <row r="87">
          <cell r="B87" t="str">
            <v>Existing Amount</v>
          </cell>
          <cell r="F87">
            <v>1326.7</v>
          </cell>
          <cell r="K87" t="str">
            <v xml:space="preserve">   Addition/Amortization</v>
          </cell>
          <cell r="N87">
            <v>0</v>
          </cell>
          <cell r="O87">
            <v>1322.4999999999998</v>
          </cell>
          <cell r="P87">
            <v>0</v>
          </cell>
          <cell r="Q87">
            <v>0</v>
          </cell>
          <cell r="R87">
            <v>0</v>
          </cell>
          <cell r="S87">
            <v>0</v>
          </cell>
        </row>
        <row r="88">
          <cell r="B88" t="str">
            <v>Additions at Close</v>
          </cell>
          <cell r="F88">
            <v>0</v>
          </cell>
          <cell r="K88" t="str">
            <v xml:space="preserve">   Sinking Fund</v>
          </cell>
          <cell r="N88">
            <v>0</v>
          </cell>
          <cell r="O88">
            <v>0</v>
          </cell>
          <cell r="P88">
            <v>0</v>
          </cell>
          <cell r="Q88">
            <v>0</v>
          </cell>
          <cell r="R88">
            <v>0</v>
          </cell>
          <cell r="S88">
            <v>0</v>
          </cell>
        </row>
        <row r="89">
          <cell r="B89" t="str">
            <v>Interest Rate</v>
          </cell>
          <cell r="F89">
            <v>0.17499999999999999</v>
          </cell>
          <cell r="K89" t="str">
            <v xml:space="preserve">   Maturity</v>
          </cell>
          <cell r="N89">
            <v>0</v>
          </cell>
          <cell r="O89">
            <v>0</v>
          </cell>
          <cell r="P89">
            <v>0</v>
          </cell>
          <cell r="Q89">
            <v>0</v>
          </cell>
          <cell r="R89">
            <v>-2649.2</v>
          </cell>
          <cell r="S89">
            <v>0</v>
          </cell>
        </row>
        <row r="90">
          <cell r="B90" t="str">
            <v>Maturity Years</v>
          </cell>
          <cell r="F90">
            <v>5</v>
          </cell>
          <cell r="K90" t="str">
            <v>Ending Balance</v>
          </cell>
          <cell r="N90">
            <v>1326.7</v>
          </cell>
          <cell r="O90">
            <v>2649.2</v>
          </cell>
          <cell r="P90">
            <v>2649.2</v>
          </cell>
          <cell r="Q90">
            <v>2649.2</v>
          </cell>
          <cell r="R90">
            <v>0</v>
          </cell>
          <cell r="S90">
            <v>0</v>
          </cell>
        </row>
        <row r="91">
          <cell r="B91" t="str">
            <v>Sinking Fund Years</v>
          </cell>
          <cell r="F91">
            <v>0</v>
          </cell>
        </row>
        <row r="92">
          <cell r="B92" t="str">
            <v>Sinking Fund %</v>
          </cell>
          <cell r="F92">
            <v>0</v>
          </cell>
          <cell r="K92" t="str">
            <v>Cash Interest (Expense) (2)</v>
          </cell>
          <cell r="N92">
            <v>-232.17249999999999</v>
          </cell>
          <cell r="O92">
            <v>-347.89124999999996</v>
          </cell>
          <cell r="P92">
            <v>-463.60999999999996</v>
          </cell>
          <cell r="Q92">
            <v>-463.60999999999996</v>
          </cell>
          <cell r="R92">
            <v>-231.80499999999998</v>
          </cell>
          <cell r="S92">
            <v>0</v>
          </cell>
        </row>
        <row r="93">
          <cell r="B93" t="str">
            <v>Sinking  Amount</v>
          </cell>
          <cell r="F93">
            <v>2649.2</v>
          </cell>
          <cell r="K93" t="str">
            <v>Net Add/(Repay)</v>
          </cell>
          <cell r="N93">
            <v>0</v>
          </cell>
          <cell r="O93">
            <v>1322.4999999999998</v>
          </cell>
          <cell r="P93">
            <v>0</v>
          </cell>
          <cell r="Q93">
            <v>0</v>
          </cell>
          <cell r="R93">
            <v>-2649.2</v>
          </cell>
          <cell r="S93">
            <v>0</v>
          </cell>
        </row>
        <row r="96">
          <cell r="A96" t="str">
            <v>18% Debs of Rs 100</v>
          </cell>
          <cell r="K96" t="str">
            <v>Beginning Balance</v>
          </cell>
          <cell r="N96">
            <v>600</v>
          </cell>
          <cell r="O96">
            <v>600</v>
          </cell>
          <cell r="P96">
            <v>600</v>
          </cell>
          <cell r="Q96">
            <v>600</v>
          </cell>
          <cell r="R96">
            <v>600</v>
          </cell>
          <cell r="S96">
            <v>400</v>
          </cell>
        </row>
        <row r="97">
          <cell r="B97" t="str">
            <v>Existing Amount</v>
          </cell>
          <cell r="F97">
            <v>600</v>
          </cell>
          <cell r="K97" t="str">
            <v xml:space="preserve">   Addition/Amortization</v>
          </cell>
          <cell r="N97">
            <v>0</v>
          </cell>
          <cell r="O97">
            <v>0</v>
          </cell>
          <cell r="P97">
            <v>0</v>
          </cell>
          <cell r="Q97">
            <v>0</v>
          </cell>
          <cell r="R97">
            <v>0</v>
          </cell>
          <cell r="S97">
            <v>0</v>
          </cell>
        </row>
        <row r="98">
          <cell r="B98" t="str">
            <v>Additions at Close</v>
          </cell>
          <cell r="F98">
            <v>0</v>
          </cell>
          <cell r="K98" t="str">
            <v xml:space="preserve">   Sinking Fund</v>
          </cell>
          <cell r="N98">
            <v>0</v>
          </cell>
          <cell r="O98">
            <v>0</v>
          </cell>
          <cell r="P98">
            <v>0</v>
          </cell>
          <cell r="Q98">
            <v>0</v>
          </cell>
          <cell r="R98">
            <v>-200</v>
          </cell>
          <cell r="S98">
            <v>-200</v>
          </cell>
        </row>
        <row r="99">
          <cell r="B99" t="str">
            <v>Interest Rate</v>
          </cell>
          <cell r="F99">
            <v>0.18</v>
          </cell>
          <cell r="K99" t="str">
            <v xml:space="preserve">   Maturity</v>
          </cell>
          <cell r="N99">
            <v>0</v>
          </cell>
          <cell r="O99">
            <v>0</v>
          </cell>
          <cell r="P99">
            <v>0</v>
          </cell>
          <cell r="Q99">
            <v>0</v>
          </cell>
          <cell r="R99">
            <v>0</v>
          </cell>
          <cell r="S99">
            <v>0</v>
          </cell>
        </row>
        <row r="100">
          <cell r="B100" t="str">
            <v>Maturity Years</v>
          </cell>
          <cell r="F100">
            <v>7</v>
          </cell>
          <cell r="K100" t="str">
            <v>Ending Balance</v>
          </cell>
          <cell r="N100">
            <v>600</v>
          </cell>
          <cell r="O100">
            <v>600</v>
          </cell>
          <cell r="P100">
            <v>600</v>
          </cell>
          <cell r="Q100">
            <v>600</v>
          </cell>
          <cell r="R100">
            <v>400</v>
          </cell>
          <cell r="S100">
            <v>200</v>
          </cell>
        </row>
        <row r="101">
          <cell r="B101" t="str">
            <v>Sinking Fund Years</v>
          </cell>
          <cell r="F101">
            <v>3</v>
          </cell>
        </row>
        <row r="102">
          <cell r="B102" t="str">
            <v>Sinking Fund %</v>
          </cell>
          <cell r="F102">
            <v>1</v>
          </cell>
          <cell r="K102" t="str">
            <v>Cash Interest (Expense) (2)</v>
          </cell>
          <cell r="N102">
            <v>-108</v>
          </cell>
          <cell r="O102">
            <v>-108</v>
          </cell>
          <cell r="P102">
            <v>-108</v>
          </cell>
          <cell r="Q102">
            <v>-108</v>
          </cell>
          <cell r="R102">
            <v>-90</v>
          </cell>
          <cell r="S102">
            <v>-54</v>
          </cell>
        </row>
        <row r="103">
          <cell r="B103" t="str">
            <v>Sinking  Amount</v>
          </cell>
          <cell r="F103">
            <v>600</v>
          </cell>
          <cell r="K103" t="str">
            <v>Net Add/(Repay)</v>
          </cell>
          <cell r="N103">
            <v>0</v>
          </cell>
          <cell r="O103">
            <v>0</v>
          </cell>
          <cell r="P103">
            <v>0</v>
          </cell>
          <cell r="Q103">
            <v>0</v>
          </cell>
          <cell r="R103">
            <v>-200</v>
          </cell>
          <cell r="S103">
            <v>-200</v>
          </cell>
        </row>
        <row r="106">
          <cell r="A106" t="str">
            <v>14% Debs of Rs 100</v>
          </cell>
          <cell r="F106" t="str">
            <v>with</v>
          </cell>
          <cell r="K106" t="str">
            <v>Beginning Balance</v>
          </cell>
          <cell r="N106">
            <v>750</v>
          </cell>
          <cell r="O106">
            <v>750</v>
          </cell>
          <cell r="P106">
            <v>750</v>
          </cell>
          <cell r="Q106">
            <v>750</v>
          </cell>
          <cell r="R106">
            <v>750</v>
          </cell>
          <cell r="S106">
            <v>750</v>
          </cell>
        </row>
        <row r="107">
          <cell r="B107" t="str">
            <v>Existing Amount</v>
          </cell>
          <cell r="F107">
            <v>750</v>
          </cell>
          <cell r="K107" t="str">
            <v xml:space="preserve">   Addition/Amortization</v>
          </cell>
          <cell r="N107">
            <v>0</v>
          </cell>
          <cell r="O107">
            <v>0</v>
          </cell>
          <cell r="P107">
            <v>0</v>
          </cell>
          <cell r="Q107">
            <v>0</v>
          </cell>
          <cell r="R107">
            <v>0</v>
          </cell>
          <cell r="S107">
            <v>-750</v>
          </cell>
        </row>
        <row r="108">
          <cell r="B108" t="str">
            <v>Additions at Close</v>
          </cell>
          <cell r="F108">
            <v>0</v>
          </cell>
          <cell r="K108" t="str">
            <v xml:space="preserve">   Sinking Fund</v>
          </cell>
          <cell r="N108">
            <v>0</v>
          </cell>
          <cell r="O108">
            <v>0</v>
          </cell>
          <cell r="P108">
            <v>0</v>
          </cell>
          <cell r="Q108">
            <v>0</v>
          </cell>
          <cell r="R108">
            <v>0</v>
          </cell>
          <cell r="S108">
            <v>0</v>
          </cell>
        </row>
        <row r="109">
          <cell r="B109" t="str">
            <v>Interest Rate</v>
          </cell>
          <cell r="F109">
            <v>0.14000000000000001</v>
          </cell>
          <cell r="K109" t="str">
            <v xml:space="preserve">   Maturity</v>
          </cell>
          <cell r="N109">
            <v>0</v>
          </cell>
          <cell r="O109">
            <v>0</v>
          </cell>
          <cell r="P109">
            <v>0</v>
          </cell>
          <cell r="Q109">
            <v>0</v>
          </cell>
          <cell r="R109">
            <v>0</v>
          </cell>
          <cell r="S109">
            <v>0</v>
          </cell>
        </row>
        <row r="110">
          <cell r="B110" t="str">
            <v>Maturity Years</v>
          </cell>
          <cell r="F110">
            <v>8</v>
          </cell>
          <cell r="K110" t="str">
            <v>Ending Balance</v>
          </cell>
          <cell r="N110">
            <v>750</v>
          </cell>
          <cell r="O110">
            <v>750</v>
          </cell>
          <cell r="P110">
            <v>750</v>
          </cell>
          <cell r="Q110">
            <v>750</v>
          </cell>
          <cell r="R110">
            <v>750</v>
          </cell>
          <cell r="S110">
            <v>0</v>
          </cell>
        </row>
        <row r="111">
          <cell r="B111" t="str">
            <v>Sinking Fund Years</v>
          </cell>
          <cell r="F111">
            <v>0</v>
          </cell>
        </row>
        <row r="112">
          <cell r="B112" t="str">
            <v>Sinking Fund %</v>
          </cell>
          <cell r="F112">
            <v>0</v>
          </cell>
          <cell r="K112" t="str">
            <v>Cash Interest (Expense) (2)</v>
          </cell>
          <cell r="N112">
            <v>-105.00000000000001</v>
          </cell>
          <cell r="O112">
            <v>-105.00000000000001</v>
          </cell>
          <cell r="P112">
            <v>-105.00000000000001</v>
          </cell>
          <cell r="Q112">
            <v>-105.00000000000001</v>
          </cell>
          <cell r="R112">
            <v>-105.00000000000001</v>
          </cell>
          <cell r="S112">
            <v>-52.500000000000007</v>
          </cell>
        </row>
        <row r="113">
          <cell r="B113" t="str">
            <v>Sinking  Amount</v>
          </cell>
          <cell r="F113">
            <v>750</v>
          </cell>
          <cell r="K113" t="str">
            <v>Net Add/(Repay)</v>
          </cell>
          <cell r="N113">
            <v>0</v>
          </cell>
          <cell r="O113">
            <v>0</v>
          </cell>
          <cell r="P113">
            <v>0</v>
          </cell>
          <cell r="Q113">
            <v>0</v>
          </cell>
          <cell r="R113">
            <v>0</v>
          </cell>
          <cell r="S113">
            <v>-750</v>
          </cell>
        </row>
        <row r="115">
          <cell r="A115" t="str">
            <v>Fiscal Year Ended  31 March</v>
          </cell>
          <cell r="N115">
            <v>1995</v>
          </cell>
          <cell r="O115">
            <v>1996</v>
          </cell>
          <cell r="P115">
            <v>1997</v>
          </cell>
          <cell r="Q115">
            <v>1998</v>
          </cell>
          <cell r="R115">
            <v>1999</v>
          </cell>
          <cell r="S115">
            <v>2000</v>
          </cell>
        </row>
        <row r="116">
          <cell r="A116" t="str">
            <v>Term Loans - FC &amp; FI's &amp; DPG</v>
          </cell>
          <cell r="K116" t="str">
            <v>Beginning Balance</v>
          </cell>
          <cell r="N116">
            <v>5415</v>
          </cell>
          <cell r="O116">
            <v>4275.9000000000005</v>
          </cell>
          <cell r="P116">
            <v>4897.5</v>
          </cell>
          <cell r="Q116">
            <v>4285.3125</v>
          </cell>
          <cell r="R116">
            <v>3673.125</v>
          </cell>
          <cell r="S116">
            <v>3060.9375</v>
          </cell>
        </row>
        <row r="117">
          <cell r="B117" t="str">
            <v>Existing Amount</v>
          </cell>
          <cell r="F117">
            <v>5415</v>
          </cell>
          <cell r="K117" t="str">
            <v xml:space="preserve">   Addition/Amortization</v>
          </cell>
          <cell r="N117">
            <v>-3128</v>
          </cell>
          <cell r="O117">
            <v>621.59999999999945</v>
          </cell>
          <cell r="P117">
            <v>-612.1875</v>
          </cell>
          <cell r="Q117">
            <v>-612.1875</v>
          </cell>
          <cell r="R117">
            <v>-612.1875</v>
          </cell>
          <cell r="S117">
            <v>-612.1875</v>
          </cell>
        </row>
        <row r="118">
          <cell r="B118" t="str">
            <v>Additions at Close</v>
          </cell>
          <cell r="F118">
            <v>-3128</v>
          </cell>
          <cell r="K118" t="str">
            <v xml:space="preserve">   Sinking Fund</v>
          </cell>
          <cell r="N118">
            <v>0</v>
          </cell>
          <cell r="O118">
            <v>0</v>
          </cell>
          <cell r="P118">
            <v>0</v>
          </cell>
          <cell r="Q118">
            <v>0</v>
          </cell>
          <cell r="R118">
            <v>0</v>
          </cell>
          <cell r="S118">
            <v>0</v>
          </cell>
        </row>
        <row r="119">
          <cell r="B119" t="str">
            <v>Interest Rate</v>
          </cell>
          <cell r="F119">
            <v>0.14000000000000001</v>
          </cell>
          <cell r="K119" t="str">
            <v xml:space="preserve">   Maturity</v>
          </cell>
          <cell r="N119">
            <v>0</v>
          </cell>
          <cell r="O119">
            <v>0</v>
          </cell>
          <cell r="P119">
            <v>0</v>
          </cell>
          <cell r="Q119">
            <v>0</v>
          </cell>
          <cell r="R119">
            <v>0</v>
          </cell>
          <cell r="S119">
            <v>0</v>
          </cell>
        </row>
        <row r="120">
          <cell r="B120" t="str">
            <v>Maturity Years</v>
          </cell>
          <cell r="F120">
            <v>6</v>
          </cell>
          <cell r="K120" t="str">
            <v>Ending Balance</v>
          </cell>
          <cell r="N120">
            <v>4275.9000000000005</v>
          </cell>
          <cell r="O120">
            <v>4897.5</v>
          </cell>
          <cell r="P120">
            <v>4285.3125</v>
          </cell>
          <cell r="Q120">
            <v>3673.125</v>
          </cell>
          <cell r="R120">
            <v>3060.9375</v>
          </cell>
          <cell r="S120">
            <v>2448.75</v>
          </cell>
        </row>
        <row r="121">
          <cell r="B121" t="str">
            <v>Sinking Fund Years</v>
          </cell>
          <cell r="F121">
            <v>0</v>
          </cell>
        </row>
        <row r="122">
          <cell r="B122" t="str">
            <v>Sinking Fund %</v>
          </cell>
          <cell r="F122">
            <v>0</v>
          </cell>
          <cell r="K122" t="str">
            <v>Cash Interest (Expense) (2)</v>
          </cell>
          <cell r="N122">
            <v>-678.36300000000017</v>
          </cell>
          <cell r="O122">
            <v>-642.13800000000015</v>
          </cell>
          <cell r="P122">
            <v>-642.79687500000011</v>
          </cell>
          <cell r="Q122">
            <v>-557.09062500000005</v>
          </cell>
          <cell r="R122">
            <v>-471.38437500000003</v>
          </cell>
          <cell r="S122">
            <v>-385.67812500000002</v>
          </cell>
        </row>
        <row r="123">
          <cell r="B123" t="str">
            <v>Sinking  Amount</v>
          </cell>
          <cell r="F123">
            <v>3673.125</v>
          </cell>
          <cell r="K123" t="str">
            <v>Net Add/(Repay)</v>
          </cell>
          <cell r="N123">
            <v>-3128</v>
          </cell>
          <cell r="O123">
            <v>621.59999999999945</v>
          </cell>
          <cell r="P123">
            <v>-612.1875</v>
          </cell>
          <cell r="Q123">
            <v>-612.1875</v>
          </cell>
          <cell r="R123">
            <v>-612.1875</v>
          </cell>
          <cell r="S123">
            <v>-612.1875</v>
          </cell>
        </row>
        <row r="126">
          <cell r="A126" t="str">
            <v>0% Sales Tax Loan</v>
          </cell>
          <cell r="K126" t="str">
            <v>Beginning Balance</v>
          </cell>
          <cell r="N126">
            <v>2234.8000000000002</v>
          </cell>
          <cell r="O126">
            <v>2350.4</v>
          </cell>
          <cell r="P126">
            <v>2357.4</v>
          </cell>
          <cell r="Q126">
            <v>3240.8966155706148</v>
          </cell>
          <cell r="R126">
            <v>4628.3727683797397</v>
          </cell>
          <cell r="S126">
            <v>6464.8699827668061</v>
          </cell>
        </row>
        <row r="127">
          <cell r="B127" t="str">
            <v>Existing Amount</v>
          </cell>
          <cell r="F127">
            <v>2234.8000000000002</v>
          </cell>
          <cell r="K127" t="str">
            <v xml:space="preserve">   Addition/Amortization</v>
          </cell>
          <cell r="N127">
            <v>115.59999999999991</v>
          </cell>
          <cell r="O127">
            <v>7</v>
          </cell>
          <cell r="P127">
            <v>883.49661557061449</v>
          </cell>
          <cell r="Q127">
            <v>1387.4761528091251</v>
          </cell>
          <cell r="R127">
            <v>1836.4972143870666</v>
          </cell>
          <cell r="S127">
            <v>1936.8327606974215</v>
          </cell>
        </row>
        <row r="128">
          <cell r="B128" t="str">
            <v>Additions at Close</v>
          </cell>
          <cell r="F128">
            <v>0</v>
          </cell>
          <cell r="K128" t="str">
            <v xml:space="preserve">   Sinking Fund</v>
          </cell>
          <cell r="N128">
            <v>0</v>
          </cell>
          <cell r="O128">
            <v>0</v>
          </cell>
          <cell r="P128">
            <v>0</v>
          </cell>
          <cell r="Q128">
            <v>0</v>
          </cell>
          <cell r="R128">
            <v>0</v>
          </cell>
          <cell r="S128">
            <v>0</v>
          </cell>
        </row>
        <row r="129">
          <cell r="B129" t="str">
            <v>Interest Rate</v>
          </cell>
          <cell r="F129">
            <v>0</v>
          </cell>
          <cell r="K129" t="str">
            <v xml:space="preserve">   Maturity</v>
          </cell>
          <cell r="N129">
            <v>0</v>
          </cell>
          <cell r="O129">
            <v>0</v>
          </cell>
          <cell r="P129">
            <v>0</v>
          </cell>
          <cell r="Q129">
            <v>0</v>
          </cell>
          <cell r="R129">
            <v>0</v>
          </cell>
          <cell r="S129">
            <v>0</v>
          </cell>
        </row>
        <row r="130">
          <cell r="B130" t="str">
            <v>Maturity Years</v>
          </cell>
          <cell r="F130">
            <v>0</v>
          </cell>
          <cell r="K130" t="str">
            <v>Ending Balance</v>
          </cell>
          <cell r="N130">
            <v>2350.4</v>
          </cell>
          <cell r="O130">
            <v>2357.4</v>
          </cell>
          <cell r="P130">
            <v>3240.8966155706148</v>
          </cell>
          <cell r="Q130">
            <v>4628.3727683797397</v>
          </cell>
          <cell r="R130">
            <v>6464.8699827668061</v>
          </cell>
          <cell r="S130">
            <v>8401.7027434642278</v>
          </cell>
        </row>
        <row r="131">
          <cell r="B131" t="str">
            <v>Sinking Fund Years</v>
          </cell>
          <cell r="F131">
            <v>0</v>
          </cell>
        </row>
        <row r="132">
          <cell r="B132" t="str">
            <v>Sinking Fund %</v>
          </cell>
          <cell r="F132">
            <v>0</v>
          </cell>
          <cell r="K132" t="str">
            <v>Cash Interest (Expense) (2)</v>
          </cell>
          <cell r="N132">
            <v>0</v>
          </cell>
          <cell r="O132">
            <v>0</v>
          </cell>
          <cell r="P132">
            <v>0</v>
          </cell>
          <cell r="Q132">
            <v>0</v>
          </cell>
          <cell r="R132">
            <v>0</v>
          </cell>
          <cell r="S132">
            <v>0</v>
          </cell>
        </row>
        <row r="133">
          <cell r="B133" t="str">
            <v>Sinking  Amount</v>
          </cell>
          <cell r="F133">
            <v>2234.8000000000002</v>
          </cell>
          <cell r="K133" t="str">
            <v>Net Add/(Repay)</v>
          </cell>
          <cell r="N133">
            <v>115.59999999999991</v>
          </cell>
          <cell r="O133">
            <v>7</v>
          </cell>
          <cell r="P133">
            <v>883.49661557061449</v>
          </cell>
          <cell r="Q133">
            <v>1387.4761528091251</v>
          </cell>
          <cell r="R133">
            <v>1836.4972143870666</v>
          </cell>
          <cell r="S133">
            <v>1936.8327606974215</v>
          </cell>
        </row>
        <row r="136">
          <cell r="A136" t="str">
            <v>16% Debs of Rs 16040</v>
          </cell>
          <cell r="K136" t="str">
            <v>Beginning Balance</v>
          </cell>
          <cell r="N136">
            <v>749.9</v>
          </cell>
          <cell r="O136">
            <v>3000</v>
          </cell>
          <cell r="P136">
            <v>1726</v>
          </cell>
          <cell r="Q136">
            <v>1726</v>
          </cell>
          <cell r="R136">
            <v>1726</v>
          </cell>
          <cell r="S136">
            <v>1726</v>
          </cell>
        </row>
        <row r="137">
          <cell r="B137" t="str">
            <v>Existing Amount</v>
          </cell>
          <cell r="F137">
            <v>749.9</v>
          </cell>
          <cell r="K137" t="str">
            <v xml:space="preserve">   Addition/Amortization</v>
          </cell>
          <cell r="N137">
            <v>2250.1</v>
          </cell>
          <cell r="O137">
            <v>-1274</v>
          </cell>
          <cell r="P137">
            <v>0</v>
          </cell>
          <cell r="Q137">
            <v>0</v>
          </cell>
          <cell r="R137">
            <v>0</v>
          </cell>
          <cell r="S137">
            <v>0</v>
          </cell>
        </row>
        <row r="138">
          <cell r="B138" t="str">
            <v>Additions at Close</v>
          </cell>
          <cell r="F138">
            <v>2250.1</v>
          </cell>
          <cell r="K138" t="str">
            <v xml:space="preserve">   Sinking Fund</v>
          </cell>
          <cell r="N138">
            <v>0</v>
          </cell>
          <cell r="O138">
            <v>0</v>
          </cell>
          <cell r="P138">
            <v>0</v>
          </cell>
          <cell r="Q138">
            <v>0</v>
          </cell>
          <cell r="R138">
            <v>0</v>
          </cell>
          <cell r="S138">
            <v>0</v>
          </cell>
        </row>
        <row r="139">
          <cell r="B139" t="str">
            <v>Interest Rate</v>
          </cell>
          <cell r="F139">
            <v>0.16</v>
          </cell>
          <cell r="K139" t="str">
            <v xml:space="preserve">   Maturity</v>
          </cell>
          <cell r="N139">
            <v>0</v>
          </cell>
          <cell r="O139">
            <v>0</v>
          </cell>
          <cell r="P139">
            <v>0</v>
          </cell>
          <cell r="Q139">
            <v>0</v>
          </cell>
          <cell r="R139">
            <v>0</v>
          </cell>
          <cell r="S139">
            <v>0</v>
          </cell>
        </row>
        <row r="140">
          <cell r="B140" t="str">
            <v>Maturity Years</v>
          </cell>
          <cell r="F140">
            <v>0</v>
          </cell>
          <cell r="K140" t="str">
            <v>Ending Balance</v>
          </cell>
          <cell r="N140">
            <v>3000</v>
          </cell>
          <cell r="O140">
            <v>1726</v>
          </cell>
          <cell r="P140">
            <v>1726</v>
          </cell>
          <cell r="Q140">
            <v>1726</v>
          </cell>
          <cell r="R140">
            <v>1726</v>
          </cell>
          <cell r="S140">
            <v>1726</v>
          </cell>
        </row>
        <row r="141">
          <cell r="B141" t="str">
            <v>Sinking Fund Years</v>
          </cell>
          <cell r="F141">
            <v>0</v>
          </cell>
        </row>
        <row r="142">
          <cell r="B142" t="str">
            <v>Sinking Fund %</v>
          </cell>
          <cell r="F142">
            <v>0</v>
          </cell>
          <cell r="K142" t="str">
            <v>Cash Interest (Expense) (2)</v>
          </cell>
          <cell r="N142">
            <v>-299.99200000000002</v>
          </cell>
          <cell r="O142">
            <v>-378.08</v>
          </cell>
          <cell r="P142">
            <v>-276.16000000000003</v>
          </cell>
          <cell r="Q142">
            <v>-276.16000000000003</v>
          </cell>
          <cell r="R142">
            <v>-276.16000000000003</v>
          </cell>
          <cell r="S142">
            <v>-276.16000000000003</v>
          </cell>
        </row>
        <row r="143">
          <cell r="B143" t="str">
            <v>Sinking  Amount</v>
          </cell>
          <cell r="F143">
            <v>749.9</v>
          </cell>
          <cell r="K143" t="str">
            <v>Net Add/(Repay)</v>
          </cell>
          <cell r="N143">
            <v>2250.1</v>
          </cell>
          <cell r="O143">
            <v>-1274</v>
          </cell>
          <cell r="P143">
            <v>0</v>
          </cell>
          <cell r="Q143">
            <v>0</v>
          </cell>
          <cell r="R143">
            <v>0</v>
          </cell>
          <cell r="S143">
            <v>0</v>
          </cell>
        </row>
        <row r="146">
          <cell r="A146" t="str">
            <v xml:space="preserve"> Forex loans</v>
          </cell>
          <cell r="K146" t="str">
            <v>Beginning Balance</v>
          </cell>
          <cell r="N146">
            <v>0</v>
          </cell>
          <cell r="O146">
            <v>174.7</v>
          </cell>
          <cell r="P146">
            <v>10445.5</v>
          </cell>
          <cell r="Q146">
            <v>32641.599999999999</v>
          </cell>
          <cell r="R146">
            <v>32641.599999999999</v>
          </cell>
          <cell r="S146">
            <v>32641.599999999999</v>
          </cell>
        </row>
        <row r="147">
          <cell r="B147" t="str">
            <v>Existing Amount</v>
          </cell>
          <cell r="F147">
            <v>0</v>
          </cell>
          <cell r="K147" t="str">
            <v xml:space="preserve">   Addition/Amortization</v>
          </cell>
          <cell r="N147">
            <v>0</v>
          </cell>
          <cell r="O147">
            <v>10270.799999999999</v>
          </cell>
          <cell r="P147">
            <v>22196.1</v>
          </cell>
          <cell r="Q147">
            <v>0</v>
          </cell>
          <cell r="R147">
            <v>0</v>
          </cell>
          <cell r="S147">
            <v>0</v>
          </cell>
        </row>
        <row r="148">
          <cell r="B148" t="str">
            <v>Additions at Close</v>
          </cell>
          <cell r="F148">
            <v>0</v>
          </cell>
          <cell r="K148" t="str">
            <v xml:space="preserve">   Sinking Fund</v>
          </cell>
          <cell r="N148">
            <v>0</v>
          </cell>
          <cell r="O148">
            <v>0</v>
          </cell>
          <cell r="P148">
            <v>0</v>
          </cell>
          <cell r="Q148">
            <v>0</v>
          </cell>
          <cell r="R148">
            <v>0</v>
          </cell>
          <cell r="S148">
            <v>0</v>
          </cell>
        </row>
        <row r="149">
          <cell r="B149" t="str">
            <v>Interest Rate</v>
          </cell>
          <cell r="E149" t="str">
            <v>See debt2!n98..102</v>
          </cell>
          <cell r="K149" t="str">
            <v xml:space="preserve">   Maturity</v>
          </cell>
          <cell r="N149">
            <v>0</v>
          </cell>
          <cell r="O149">
            <v>0</v>
          </cell>
          <cell r="P149">
            <v>0</v>
          </cell>
          <cell r="Q149">
            <v>0</v>
          </cell>
          <cell r="R149">
            <v>0</v>
          </cell>
          <cell r="S149">
            <v>0</v>
          </cell>
        </row>
        <row r="150">
          <cell r="B150" t="str">
            <v>Maturity Years</v>
          </cell>
          <cell r="F150">
            <v>7</v>
          </cell>
          <cell r="K150" t="str">
            <v>Ending Balance</v>
          </cell>
          <cell r="N150">
            <v>174.7</v>
          </cell>
          <cell r="O150">
            <v>10445.5</v>
          </cell>
          <cell r="P150">
            <v>32641.599999999999</v>
          </cell>
          <cell r="Q150">
            <v>32641.599999999999</v>
          </cell>
          <cell r="R150">
            <v>32641.599999999999</v>
          </cell>
          <cell r="S150">
            <v>32641.599999999999</v>
          </cell>
        </row>
        <row r="151">
          <cell r="B151" t="str">
            <v>Sinking Fund Years</v>
          </cell>
          <cell r="F151">
            <v>0</v>
          </cell>
        </row>
        <row r="152">
          <cell r="B152" t="str">
            <v>Sinking Fund %</v>
          </cell>
          <cell r="F152">
            <v>0</v>
          </cell>
          <cell r="K152" t="str">
            <v>Cash Interest (Expense) (2)</v>
          </cell>
          <cell r="N152">
            <v>0</v>
          </cell>
          <cell r="O152">
            <v>-320.25</v>
          </cell>
          <cell r="P152">
            <v>-1702.2583124999999</v>
          </cell>
          <cell r="Q152">
            <v>-3102.6089999999999</v>
          </cell>
          <cell r="R152">
            <v>-3320.42445</v>
          </cell>
          <cell r="S152">
            <v>-3383.1094499999999</v>
          </cell>
        </row>
        <row r="153">
          <cell r="B153" t="str">
            <v>Sinking  Amount</v>
          </cell>
          <cell r="F153">
            <v>32641.599999999999</v>
          </cell>
          <cell r="K153" t="str">
            <v>Net Add/(Repay)</v>
          </cell>
          <cell r="N153">
            <v>0</v>
          </cell>
          <cell r="O153">
            <v>10270.799999999999</v>
          </cell>
          <cell r="P153">
            <v>22196.1</v>
          </cell>
          <cell r="Q153">
            <v>0</v>
          </cell>
          <cell r="R153">
            <v>0</v>
          </cell>
          <cell r="S153">
            <v>0</v>
          </cell>
        </row>
        <row r="156">
          <cell r="A156" t="str">
            <v>New loan 16.5% deb  2002</v>
          </cell>
          <cell r="F156" t="str">
            <v>Rs100 each</v>
          </cell>
          <cell r="K156" t="str">
            <v>Beginning Balance</v>
          </cell>
          <cell r="N156">
            <v>0</v>
          </cell>
          <cell r="O156">
            <v>2850</v>
          </cell>
          <cell r="P156">
            <v>2850</v>
          </cell>
          <cell r="Q156">
            <v>2850</v>
          </cell>
          <cell r="R156">
            <v>2850</v>
          </cell>
          <cell r="S156">
            <v>2850</v>
          </cell>
        </row>
        <row r="157">
          <cell r="B157" t="str">
            <v>Existing Amount</v>
          </cell>
          <cell r="F157">
            <v>0</v>
          </cell>
          <cell r="K157" t="str">
            <v xml:space="preserve">   Addition/Amortization</v>
          </cell>
          <cell r="N157">
            <v>2850</v>
          </cell>
          <cell r="O157">
            <v>0</v>
          </cell>
          <cell r="P157">
            <v>0</v>
          </cell>
          <cell r="Q157">
            <v>0</v>
          </cell>
          <cell r="R157">
            <v>0</v>
          </cell>
        </row>
        <row r="158">
          <cell r="B158" t="str">
            <v>Additions at Close</v>
          </cell>
          <cell r="F158">
            <v>2850</v>
          </cell>
          <cell r="K158" t="str">
            <v xml:space="preserve">   Sinking Fund</v>
          </cell>
          <cell r="N158">
            <v>0</v>
          </cell>
          <cell r="O158">
            <v>0</v>
          </cell>
          <cell r="P158">
            <v>0</v>
          </cell>
          <cell r="Q158">
            <v>0</v>
          </cell>
          <cell r="R158">
            <v>0</v>
          </cell>
          <cell r="S158">
            <v>0</v>
          </cell>
        </row>
        <row r="159">
          <cell r="B159" t="str">
            <v>Interest Rate</v>
          </cell>
          <cell r="F159">
            <v>0.16500000000000001</v>
          </cell>
          <cell r="K159" t="str">
            <v xml:space="preserve">   Maturity</v>
          </cell>
          <cell r="N159">
            <v>0</v>
          </cell>
          <cell r="O159">
            <v>0</v>
          </cell>
          <cell r="P159">
            <v>0</v>
          </cell>
          <cell r="Q159">
            <v>0</v>
          </cell>
          <cell r="R159">
            <v>0</v>
          </cell>
          <cell r="S159">
            <v>0</v>
          </cell>
        </row>
        <row r="160">
          <cell r="A160">
            <v>2002</v>
          </cell>
          <cell r="B160" t="str">
            <v>Maturity Years</v>
          </cell>
          <cell r="F160">
            <v>7</v>
          </cell>
          <cell r="K160" t="str">
            <v>Ending Balance</v>
          </cell>
          <cell r="N160">
            <v>2850</v>
          </cell>
          <cell r="O160">
            <v>2850</v>
          </cell>
          <cell r="P160">
            <v>2850</v>
          </cell>
          <cell r="Q160">
            <v>2850</v>
          </cell>
          <cell r="R160">
            <v>2850</v>
          </cell>
          <cell r="S160">
            <v>2850</v>
          </cell>
        </row>
        <row r="161">
          <cell r="B161" t="str">
            <v>Sinking Fund Years</v>
          </cell>
          <cell r="F161">
            <v>0</v>
          </cell>
        </row>
        <row r="162">
          <cell r="B162" t="str">
            <v>Sinking Fund %</v>
          </cell>
          <cell r="K162" t="str">
            <v>Cash Interest (Expense) (2)</v>
          </cell>
          <cell r="N162">
            <v>-235.125</v>
          </cell>
          <cell r="O162">
            <v>-470.25</v>
          </cell>
          <cell r="P162">
            <v>-470.25</v>
          </cell>
          <cell r="Q162">
            <v>-470.25</v>
          </cell>
          <cell r="R162">
            <v>-470.25</v>
          </cell>
          <cell r="S162">
            <v>-470.25</v>
          </cell>
        </row>
        <row r="163">
          <cell r="B163" t="str">
            <v>Sinking  Amount</v>
          </cell>
          <cell r="F163">
            <v>2850</v>
          </cell>
          <cell r="K163" t="str">
            <v>Net Add/(Repay)</v>
          </cell>
          <cell r="N163">
            <v>2850</v>
          </cell>
        </row>
        <row r="165">
          <cell r="A165" t="str">
            <v>Fiscal Year Ended  31 March</v>
          </cell>
          <cell r="N165">
            <v>1995</v>
          </cell>
          <cell r="O165">
            <v>1996</v>
          </cell>
          <cell r="P165">
            <v>1997</v>
          </cell>
          <cell r="Q165">
            <v>1998</v>
          </cell>
          <cell r="R165">
            <v>1999</v>
          </cell>
          <cell r="S165">
            <v>2000</v>
          </cell>
        </row>
        <row r="166">
          <cell r="A166" t="str">
            <v>New loans 14.08% deb feb 2000</v>
          </cell>
          <cell r="F166" t="str">
            <v>Rs 100</v>
          </cell>
          <cell r="K166" t="str">
            <v>Beginning Balance</v>
          </cell>
          <cell r="N166">
            <v>0</v>
          </cell>
          <cell r="O166">
            <v>0</v>
          </cell>
          <cell r="P166">
            <v>830</v>
          </cell>
          <cell r="Q166">
            <v>830</v>
          </cell>
          <cell r="R166">
            <v>830</v>
          </cell>
          <cell r="S166">
            <v>830</v>
          </cell>
        </row>
        <row r="167">
          <cell r="B167" t="str">
            <v>Existing Amount</v>
          </cell>
          <cell r="F167">
            <v>0</v>
          </cell>
          <cell r="K167" t="str">
            <v xml:space="preserve">   Addition/Amortization</v>
          </cell>
          <cell r="O167">
            <v>830</v>
          </cell>
        </row>
        <row r="168">
          <cell r="B168" t="str">
            <v>Additions at Close</v>
          </cell>
          <cell r="F168">
            <v>830</v>
          </cell>
          <cell r="K168" t="str">
            <v xml:space="preserve">   Sinking Fund</v>
          </cell>
          <cell r="N168">
            <v>0</v>
          </cell>
        </row>
        <row r="169">
          <cell r="B169" t="str">
            <v>Interest Rate</v>
          </cell>
          <cell r="F169">
            <v>0.14080000000000001</v>
          </cell>
          <cell r="K169" t="str">
            <v xml:space="preserve">   Maturity</v>
          </cell>
          <cell r="N169">
            <v>0</v>
          </cell>
        </row>
        <row r="170">
          <cell r="A170">
            <v>2000</v>
          </cell>
          <cell r="B170" t="str">
            <v>Maturity Years</v>
          </cell>
          <cell r="F170">
            <v>5</v>
          </cell>
          <cell r="K170" t="str">
            <v>Ending Balance</v>
          </cell>
          <cell r="N170">
            <v>0</v>
          </cell>
          <cell r="O170">
            <v>830</v>
          </cell>
          <cell r="P170">
            <v>830</v>
          </cell>
          <cell r="Q170">
            <v>830</v>
          </cell>
          <cell r="R170">
            <v>830</v>
          </cell>
          <cell r="S170">
            <v>830</v>
          </cell>
        </row>
        <row r="171">
          <cell r="B171" t="str">
            <v>Sinking Fund Years</v>
          </cell>
          <cell r="F171">
            <v>0</v>
          </cell>
        </row>
        <row r="172">
          <cell r="B172" t="str">
            <v>Sinking Fund %</v>
          </cell>
          <cell r="K172" t="str">
            <v>Cash Interest (Expense) (2)</v>
          </cell>
          <cell r="N172">
            <v>0</v>
          </cell>
          <cell r="P172">
            <v>-116.864</v>
          </cell>
          <cell r="Q172">
            <v>-116.864</v>
          </cell>
          <cell r="R172">
            <v>-116.864</v>
          </cell>
          <cell r="S172">
            <v>-116.864</v>
          </cell>
        </row>
        <row r="173">
          <cell r="B173" t="str">
            <v>Sinking  Amount</v>
          </cell>
          <cell r="F173">
            <v>830</v>
          </cell>
          <cell r="K173" t="str">
            <v>Net Add/(Repay)</v>
          </cell>
          <cell r="N173">
            <v>0</v>
          </cell>
        </row>
        <row r="175">
          <cell r="A175" t="str">
            <v>Fiscal Year Ended  31 March</v>
          </cell>
          <cell r="N175">
            <v>1995</v>
          </cell>
          <cell r="O175">
            <v>1996</v>
          </cell>
          <cell r="P175">
            <v>1997</v>
          </cell>
          <cell r="Q175">
            <v>1998</v>
          </cell>
          <cell r="R175">
            <v>1999</v>
          </cell>
          <cell r="S175">
            <v>2000</v>
          </cell>
        </row>
        <row r="176">
          <cell r="A176" t="str">
            <v xml:space="preserve">New loans </v>
          </cell>
          <cell r="K176" t="str">
            <v>Beginning Balance</v>
          </cell>
          <cell r="N176">
            <v>0</v>
          </cell>
          <cell r="O176">
            <v>0</v>
          </cell>
          <cell r="Q176">
            <v>0</v>
          </cell>
          <cell r="R176">
            <v>15000</v>
          </cell>
          <cell r="S176">
            <v>15000</v>
          </cell>
        </row>
        <row r="177">
          <cell r="B177" t="str">
            <v>Existing Amount</v>
          </cell>
          <cell r="F177">
            <v>0</v>
          </cell>
          <cell r="K177" t="str">
            <v xml:space="preserve">   Addition/Amortization</v>
          </cell>
          <cell r="Q177">
            <v>15000</v>
          </cell>
        </row>
        <row r="178">
          <cell r="B178" t="str">
            <v>Additions at Close</v>
          </cell>
          <cell r="K178" t="str">
            <v xml:space="preserve">   Sinking Fund</v>
          </cell>
          <cell r="N178">
            <v>0</v>
          </cell>
        </row>
        <row r="179">
          <cell r="B179" t="str">
            <v>Interest Rate</v>
          </cell>
          <cell r="F179">
            <v>0.16</v>
          </cell>
          <cell r="K179" t="str">
            <v xml:space="preserve">   Maturity</v>
          </cell>
          <cell r="N179">
            <v>0</v>
          </cell>
        </row>
        <row r="180">
          <cell r="A180">
            <v>2000</v>
          </cell>
          <cell r="B180" t="str">
            <v>Maturity Years</v>
          </cell>
          <cell r="F180">
            <v>5</v>
          </cell>
          <cell r="K180" t="str">
            <v>Ending Balance</v>
          </cell>
          <cell r="N180">
            <v>0</v>
          </cell>
          <cell r="O180">
            <v>0</v>
          </cell>
          <cell r="P180">
            <v>0</v>
          </cell>
          <cell r="Q180">
            <v>15000</v>
          </cell>
          <cell r="R180">
            <v>15000</v>
          </cell>
          <cell r="S180">
            <v>15000</v>
          </cell>
        </row>
        <row r="181">
          <cell r="B181" t="str">
            <v>Sinking Fund Years</v>
          </cell>
          <cell r="F181">
            <v>0</v>
          </cell>
        </row>
        <row r="182">
          <cell r="B182" t="str">
            <v>Sinking Fund %</v>
          </cell>
          <cell r="K182" t="str">
            <v>Cash Interest (Expense) (2)</v>
          </cell>
          <cell r="N182">
            <v>0</v>
          </cell>
          <cell r="P182">
            <v>0</v>
          </cell>
          <cell r="Q182">
            <v>-1200</v>
          </cell>
          <cell r="R182">
            <v>-2400</v>
          </cell>
          <cell r="S182">
            <v>-2400</v>
          </cell>
        </row>
        <row r="183">
          <cell r="B183" t="str">
            <v>Sinking  Amount</v>
          </cell>
          <cell r="F183">
            <v>15000</v>
          </cell>
          <cell r="K183" t="str">
            <v>Net Add/(Repay)</v>
          </cell>
          <cell r="N183">
            <v>0</v>
          </cell>
        </row>
        <row r="189">
          <cell r="O189">
            <v>35066.76666666667</v>
          </cell>
        </row>
        <row r="190">
          <cell r="A190" t="str">
            <v>Total Long Term Debt</v>
          </cell>
          <cell r="K190" t="str">
            <v>Beginning Balance</v>
          </cell>
          <cell r="N190">
            <v>20574.400000000001</v>
          </cell>
          <cell r="O190">
            <v>24592.366666666672</v>
          </cell>
          <cell r="P190">
            <v>35815.066666666666</v>
          </cell>
          <cell r="Q190">
            <v>57474.509115570618</v>
          </cell>
          <cell r="R190">
            <v>72974.797768379736</v>
          </cell>
          <cell r="S190">
            <v>63723.407482766808</v>
          </cell>
        </row>
        <row r="191">
          <cell r="K191" t="str">
            <v xml:space="preserve">   Addition/Amortization</v>
          </cell>
          <cell r="N191">
            <v>-762.30000000000018</v>
          </cell>
          <cell r="O191">
            <v>10474.4</v>
          </cell>
          <cell r="P191">
            <v>22467.409115570612</v>
          </cell>
          <cell r="Q191">
            <v>15775.288652809126</v>
          </cell>
          <cell r="R191">
            <v>1224.3097143870666</v>
          </cell>
          <cell r="S191">
            <v>574.64526069742146</v>
          </cell>
        </row>
        <row r="192">
          <cell r="B192" t="str">
            <v>Existing Amount</v>
          </cell>
          <cell r="F192">
            <v>20574.400000000001</v>
          </cell>
          <cell r="K192" t="str">
            <v xml:space="preserve">   Sinking Fund</v>
          </cell>
          <cell r="N192">
            <v>-233.33333333333334</v>
          </cell>
          <cell r="O192">
            <v>0</v>
          </cell>
          <cell r="P192">
            <v>-275</v>
          </cell>
          <cell r="Q192">
            <v>-275</v>
          </cell>
          <cell r="R192">
            <v>-475</v>
          </cell>
          <cell r="S192">
            <v>-200</v>
          </cell>
        </row>
        <row r="193">
          <cell r="B193" t="str">
            <v>Additions at Close</v>
          </cell>
          <cell r="F193">
            <v>-877.90000000000009</v>
          </cell>
          <cell r="K193" t="str">
            <v xml:space="preserve">   Maturity</v>
          </cell>
          <cell r="N193">
            <v>0</v>
          </cell>
          <cell r="O193">
            <v>0</v>
          </cell>
          <cell r="P193">
            <v>-532.96666666666658</v>
          </cell>
          <cell r="Q193">
            <v>0</v>
          </cell>
          <cell r="R193">
            <v>-10000.700000000001</v>
          </cell>
          <cell r="S193">
            <v>0</v>
          </cell>
        </row>
        <row r="194">
          <cell r="B194" t="str">
            <v>Total at Close</v>
          </cell>
          <cell r="F194">
            <v>19696.5</v>
          </cell>
          <cell r="K194" t="str">
            <v>Ending Balance</v>
          </cell>
          <cell r="N194">
            <v>19578.76666666667</v>
          </cell>
          <cell r="O194">
            <v>34542.466666666667</v>
          </cell>
          <cell r="P194">
            <v>57474.50911557061</v>
          </cell>
          <cell r="Q194">
            <v>72974.797768379736</v>
          </cell>
          <cell r="R194">
            <v>63723.407482766808</v>
          </cell>
          <cell r="S194">
            <v>64098.052743464228</v>
          </cell>
        </row>
        <row r="195">
          <cell r="K195" t="str">
            <v>CALL IN ARREARS</v>
          </cell>
          <cell r="O195">
            <v>-524.29999999999995</v>
          </cell>
        </row>
        <row r="196">
          <cell r="B196" t="str">
            <v>Initial Debt WACC</v>
          </cell>
          <cell r="F196">
            <v>0</v>
          </cell>
          <cell r="K196" t="str">
            <v>Cash Interest (Expense) (2)</v>
          </cell>
          <cell r="N196">
            <v>-1382.1421666666668</v>
          </cell>
          <cell r="O196">
            <v>-3131.8390833333333</v>
          </cell>
          <cell r="P196">
            <v>-4565.0931041666663</v>
          </cell>
          <cell r="Q196">
            <v>-7475.5131249999995</v>
          </cell>
          <cell r="R196">
            <v>-8017.1025749999999</v>
          </cell>
          <cell r="S196">
            <v>-7138.5615749999997</v>
          </cell>
        </row>
        <row r="197">
          <cell r="K197" t="str">
            <v>Net Add/(Repay)</v>
          </cell>
          <cell r="N197">
            <v>-995.63333333333367</v>
          </cell>
          <cell r="O197">
            <v>121.89999999999918</v>
          </cell>
          <cell r="P197">
            <v>-536.6575510960522</v>
          </cell>
          <cell r="Q197">
            <v>500.2886528091251</v>
          </cell>
          <cell r="R197">
            <v>-9251.3902856129334</v>
          </cell>
          <cell r="S197">
            <v>374.64526069742146</v>
          </cell>
        </row>
        <row r="199">
          <cell r="E199" t="str">
            <v>Convertible debt</v>
          </cell>
          <cell r="J199">
            <v>3.5000000000000003E-2</v>
          </cell>
          <cell r="K199" t="str">
            <v>US$ M</v>
          </cell>
          <cell r="L199">
            <v>140</v>
          </cell>
          <cell r="M199">
            <v>4407</v>
          </cell>
          <cell r="N199">
            <v>4424</v>
          </cell>
          <cell r="O199">
            <v>4809.2</v>
          </cell>
          <cell r="P199">
            <v>4809.2</v>
          </cell>
          <cell r="Q199">
            <v>4809.2</v>
          </cell>
          <cell r="R199">
            <v>4809.2</v>
          </cell>
          <cell r="S199">
            <v>4809.2</v>
          </cell>
        </row>
        <row r="200">
          <cell r="E200" t="str">
            <v>Interest</v>
          </cell>
          <cell r="N200">
            <v>-154.245</v>
          </cell>
          <cell r="O200">
            <v>-154.245</v>
          </cell>
          <cell r="P200">
            <v>-154.245</v>
          </cell>
          <cell r="Q200">
            <v>-154.245</v>
          </cell>
          <cell r="R200">
            <v>-154.245</v>
          </cell>
          <cell r="S200">
            <v>-154.245</v>
          </cell>
        </row>
        <row r="201">
          <cell r="K201" t="str">
            <v>gross interest</v>
          </cell>
          <cell r="M201">
            <v>0</v>
          </cell>
          <cell r="N201">
            <v>-1581.984514049997</v>
          </cell>
          <cell r="O201">
            <v>-3836.0840833333332</v>
          </cell>
          <cell r="P201">
            <v>-5114.6661041666666</v>
          </cell>
          <cell r="Q201">
            <v>-8003.1234583333326</v>
          </cell>
          <cell r="R201">
            <v>-8544.712908333333</v>
          </cell>
          <cell r="S201">
            <v>-7666.1719083333328</v>
          </cell>
        </row>
        <row r="202">
          <cell r="K202" t="str">
            <v>less int capitalised during the year</v>
          </cell>
          <cell r="N202">
            <v>19583.333333333336</v>
          </cell>
          <cell r="O202">
            <v>2350</v>
          </cell>
          <cell r="P202">
            <v>3490.28</v>
          </cell>
          <cell r="Q202">
            <v>3798.3932500000001</v>
          </cell>
          <cell r="R202">
            <v>3464.1947250000003</v>
          </cell>
          <cell r="S202">
            <v>3465.537225</v>
          </cell>
        </row>
        <row r="203">
          <cell r="O203">
            <v>-1486.0840833333332</v>
          </cell>
          <cell r="P203">
            <v>-1624.3861041666664</v>
          </cell>
          <cell r="Q203">
            <v>-4204.7302083333325</v>
          </cell>
          <cell r="R203">
            <v>-5080.5181833333327</v>
          </cell>
          <cell r="S203">
            <v>-4200.6346833333328</v>
          </cell>
        </row>
        <row r="204">
          <cell r="K204" t="str">
            <v xml:space="preserve">Add interest capitalised earlier charged to rev </v>
          </cell>
          <cell r="O204">
            <v>-830</v>
          </cell>
          <cell r="R204">
            <v>0</v>
          </cell>
          <cell r="S204">
            <v>0</v>
          </cell>
        </row>
        <row r="205">
          <cell r="L205" t="str">
            <v xml:space="preserve"> interest expense</v>
          </cell>
          <cell r="O205">
            <v>-2316.0840833333332</v>
          </cell>
          <cell r="P205">
            <v>-1624.3861041666664</v>
          </cell>
          <cell r="Q205">
            <v>-4204.7302083333325</v>
          </cell>
          <cell r="R205">
            <v>-5080.5181833333327</v>
          </cell>
          <cell r="S205">
            <v>-4200.6346833333328</v>
          </cell>
        </row>
        <row r="206">
          <cell r="F206" t="str">
            <v>TOTAL DEBT</v>
          </cell>
          <cell r="L206">
            <v>26205</v>
          </cell>
          <cell r="M206">
            <v>26595</v>
          </cell>
          <cell r="N206">
            <v>29430.666666666672</v>
          </cell>
          <cell r="O206">
            <v>45940.466666666667</v>
          </cell>
          <cell r="P206">
            <v>68872.509115570618</v>
          </cell>
          <cell r="Q206">
            <v>84372.797768379736</v>
          </cell>
          <cell r="R206">
            <v>79563.597768379739</v>
          </cell>
          <cell r="S206">
            <v>70312.207482766811</v>
          </cell>
        </row>
        <row r="207">
          <cell r="B207" t="str">
            <v>(1)</v>
          </cell>
          <cell r="C207" t="str">
            <v>Interest income calculated on average of beginning balance for each fiscal year to avoid circularity.</v>
          </cell>
        </row>
        <row r="208">
          <cell r="B208" t="str">
            <v>(2)</v>
          </cell>
          <cell r="C208" t="str">
            <v>Interest expense calculated on average of beginning and ending balance for each fiscal year.</v>
          </cell>
        </row>
        <row r="209">
          <cell r="O209">
            <v>9.1546984831504905E-2</v>
          </cell>
          <cell r="P209">
            <v>8.9095610828300767E-2</v>
          </cell>
          <cell r="Q209">
            <v>0.1044485292380789</v>
          </cell>
          <cell r="R209">
            <v>0.10424424521908379</v>
          </cell>
          <cell r="S209">
            <v>0.10230032653352081</v>
          </cell>
        </row>
      </sheetData>
      <sheetData sheetId="4" refreshError="1"/>
      <sheetData sheetId="5" refreshError="1"/>
      <sheetData sheetId="6" refreshError="1">
        <row r="99">
          <cell r="N99">
            <v>5776.8</v>
          </cell>
          <cell r="O99">
            <v>15703.15</v>
          </cell>
          <cell r="P99">
            <v>50257.533662499998</v>
          </cell>
          <cell r="Q99">
            <v>15954.268875</v>
          </cell>
          <cell r="R99">
            <v>23988</v>
          </cell>
        </row>
        <row r="109">
          <cell r="O109">
            <v>3364.5540000000001</v>
          </cell>
          <cell r="P109">
            <v>3604.7331278125002</v>
          </cell>
          <cell r="Q109">
            <v>6398.7691209999994</v>
          </cell>
          <cell r="R109">
            <v>7398.7245216249994</v>
          </cell>
        </row>
        <row r="111">
          <cell r="N111">
            <v>35096.203825000004</v>
          </cell>
          <cell r="O111">
            <v>47442.299824999995</v>
          </cell>
          <cell r="P111">
            <v>93345.100359687509</v>
          </cell>
          <cell r="Q111">
            <v>102900.60011368751</v>
          </cell>
          <cell r="R111">
            <v>119489.87559206251</v>
          </cell>
        </row>
      </sheetData>
      <sheetData sheetId="7" refreshError="1">
        <row r="13">
          <cell r="B13" t="str">
            <v>93</v>
          </cell>
          <cell r="D13">
            <v>33973</v>
          </cell>
          <cell r="E13">
            <v>246.25</v>
          </cell>
          <cell r="F13">
            <v>835.65</v>
          </cell>
          <cell r="G13">
            <v>2539.67</v>
          </cell>
          <cell r="I13">
            <v>100</v>
          </cell>
          <cell r="J13">
            <v>100</v>
          </cell>
          <cell r="L13" t="e">
            <v>#REF!</v>
          </cell>
          <cell r="M13" t="e">
            <v>#REF!</v>
          </cell>
        </row>
        <row r="14">
          <cell r="B14" t="str">
            <v>J</v>
          </cell>
          <cell r="D14">
            <v>33974</v>
          </cell>
          <cell r="E14">
            <v>241.25</v>
          </cell>
          <cell r="F14">
            <v>587.65</v>
          </cell>
          <cell r="G14">
            <v>2501.52</v>
          </cell>
          <cell r="I14">
            <v>97.969543147208128</v>
          </cell>
          <cell r="J14">
            <v>98.4978363330669</v>
          </cell>
          <cell r="L14" t="e">
            <v>#REF!</v>
          </cell>
          <cell r="M14" t="e">
            <v>#REF!</v>
          </cell>
        </row>
        <row r="15">
          <cell r="B15" t="str">
            <v>J</v>
          </cell>
          <cell r="D15">
            <v>33975</v>
          </cell>
          <cell r="E15">
            <v>233.75</v>
          </cell>
          <cell r="F15">
            <v>575.45000000000005</v>
          </cell>
          <cell r="G15">
            <v>2447.5</v>
          </cell>
          <cell r="I15">
            <v>94.923857868020306</v>
          </cell>
          <cell r="J15">
            <v>96.370788330767382</v>
          </cell>
          <cell r="L15" t="e">
            <v>#REF!</v>
          </cell>
          <cell r="M15" t="e">
            <v>#REF!</v>
          </cell>
        </row>
        <row r="16">
          <cell r="B16" t="str">
            <v>J</v>
          </cell>
          <cell r="D16">
            <v>33976</v>
          </cell>
          <cell r="E16">
            <v>226.25</v>
          </cell>
          <cell r="F16">
            <v>902.95</v>
          </cell>
          <cell r="G16">
            <v>2395.8000000000002</v>
          </cell>
          <cell r="I16">
            <v>91.878172588832484</v>
          </cell>
          <cell r="J16">
            <v>94.335090779510736</v>
          </cell>
          <cell r="L16" t="e">
            <v>#REF!</v>
          </cell>
          <cell r="M16" t="e">
            <v>#REF!</v>
          </cell>
        </row>
        <row r="17">
          <cell r="B17" t="str">
            <v>J</v>
          </cell>
          <cell r="D17">
            <v>33977</v>
          </cell>
          <cell r="E17">
            <v>231.25</v>
          </cell>
          <cell r="F17">
            <v>329.55</v>
          </cell>
          <cell r="G17">
            <v>2420.67</v>
          </cell>
          <cell r="I17">
            <v>93.90862944162437</v>
          </cell>
          <cell r="J17">
            <v>95.314351864612334</v>
          </cell>
          <cell r="L17" t="e">
            <v>#REF!</v>
          </cell>
          <cell r="M17" t="e">
            <v>#REF!</v>
          </cell>
        </row>
        <row r="18">
          <cell r="B18" t="str">
            <v>J</v>
          </cell>
          <cell r="D18">
            <v>33983</v>
          </cell>
          <cell r="E18">
            <v>238.75</v>
          </cell>
          <cell r="F18">
            <v>398.55</v>
          </cell>
          <cell r="G18">
            <v>2459.67</v>
          </cell>
          <cell r="I18">
            <v>96.954314720812192</v>
          </cell>
          <cell r="J18">
            <v>96.849984446798217</v>
          </cell>
          <cell r="L18" t="e">
            <v>#REF!</v>
          </cell>
          <cell r="M18" t="e">
            <v>#REF!</v>
          </cell>
        </row>
        <row r="19">
          <cell r="B19" t="str">
            <v>J</v>
          </cell>
          <cell r="D19">
            <v>33984</v>
          </cell>
          <cell r="E19">
            <v>246.25</v>
          </cell>
          <cell r="F19">
            <v>353.2</v>
          </cell>
          <cell r="G19">
            <v>2525.54</v>
          </cell>
          <cell r="I19">
            <v>100</v>
          </cell>
          <cell r="J19">
            <v>99.443628502915729</v>
          </cell>
          <cell r="L19" t="e">
            <v>#REF!</v>
          </cell>
          <cell r="M19" t="e">
            <v>#REF!</v>
          </cell>
        </row>
        <row r="20">
          <cell r="B20" t="str">
            <v>J</v>
          </cell>
          <cell r="D20">
            <v>33987</v>
          </cell>
          <cell r="E20">
            <v>253.75</v>
          </cell>
          <cell r="F20">
            <v>733.25</v>
          </cell>
          <cell r="G20">
            <v>2586.0500000000002</v>
          </cell>
          <cell r="I20">
            <v>103.04568527918782</v>
          </cell>
          <cell r="J20">
            <v>101.82622151696874</v>
          </cell>
          <cell r="L20" t="e">
            <v>#REF!</v>
          </cell>
          <cell r="M20" t="e">
            <v>#REF!</v>
          </cell>
        </row>
        <row r="21">
          <cell r="B21" t="str">
            <v>J</v>
          </cell>
          <cell r="D21">
            <v>33988</v>
          </cell>
          <cell r="E21">
            <v>247.5</v>
          </cell>
          <cell r="F21">
            <v>759.85</v>
          </cell>
          <cell r="G21">
            <v>2545.12</v>
          </cell>
          <cell r="I21">
            <v>100.50761421319797</v>
          </cell>
          <cell r="J21">
            <v>100.21459480956187</v>
          </cell>
          <cell r="L21" t="e">
            <v>#REF!</v>
          </cell>
          <cell r="M21" t="e">
            <v>#REF!</v>
          </cell>
        </row>
        <row r="22">
          <cell r="B22" t="str">
            <v>J</v>
          </cell>
          <cell r="D22">
            <v>33989</v>
          </cell>
          <cell r="E22">
            <v>246.25</v>
          </cell>
          <cell r="F22">
            <v>735.7</v>
          </cell>
          <cell r="G22">
            <v>2531.5500000000002</v>
          </cell>
          <cell r="I22">
            <v>100</v>
          </cell>
          <cell r="J22">
            <v>99.680273421350023</v>
          </cell>
          <cell r="L22" t="e">
            <v>#REF!</v>
          </cell>
          <cell r="M22" t="e">
            <v>#REF!</v>
          </cell>
        </row>
        <row r="23">
          <cell r="B23" t="str">
            <v>J</v>
          </cell>
          <cell r="D23">
            <v>33990</v>
          </cell>
          <cell r="E23">
            <v>247.5</v>
          </cell>
          <cell r="F23">
            <v>343.7</v>
          </cell>
          <cell r="G23">
            <v>2544.23</v>
          </cell>
          <cell r="I23">
            <v>100.50761421319797</v>
          </cell>
          <cell r="J23">
            <v>100.17955088653251</v>
          </cell>
          <cell r="L23" t="e">
            <v>#REF!</v>
          </cell>
          <cell r="M23" t="e">
            <v>#REF!</v>
          </cell>
        </row>
        <row r="24">
          <cell r="B24" t="str">
            <v>J</v>
          </cell>
          <cell r="D24">
            <v>33991</v>
          </cell>
          <cell r="E24">
            <v>245</v>
          </cell>
          <cell r="F24">
            <v>726.95</v>
          </cell>
          <cell r="G24">
            <v>2542.39</v>
          </cell>
          <cell r="I24">
            <v>99.492385786802032</v>
          </cell>
          <cell r="J24">
            <v>100.10710052880886</v>
          </cell>
          <cell r="L24" t="e">
            <v>#REF!</v>
          </cell>
          <cell r="M24" t="e">
            <v>#REF!</v>
          </cell>
        </row>
        <row r="25">
          <cell r="B25" t="str">
            <v>J</v>
          </cell>
          <cell r="D25">
            <v>33994</v>
          </cell>
          <cell r="E25">
            <v>248.75</v>
          </cell>
          <cell r="F25">
            <v>498.55</v>
          </cell>
          <cell r="G25">
            <v>2555.85</v>
          </cell>
          <cell r="I25">
            <v>101.01522842639594</v>
          </cell>
          <cell r="J25">
            <v>100.63709064563507</v>
          </cell>
          <cell r="L25" t="e">
            <v>#REF!</v>
          </cell>
          <cell r="M25" t="e">
            <v>#REF!</v>
          </cell>
        </row>
        <row r="26">
          <cell r="B26" t="str">
            <v>J</v>
          </cell>
          <cell r="D26">
            <v>33996</v>
          </cell>
          <cell r="E26">
            <v>253.75</v>
          </cell>
          <cell r="F26">
            <v>386</v>
          </cell>
          <cell r="G26">
            <v>2595.13</v>
          </cell>
          <cell r="I26">
            <v>103.04568527918782</v>
          </cell>
          <cell r="J26">
            <v>102.18374828225716</v>
          </cell>
          <cell r="L26" t="e">
            <v>#REF!</v>
          </cell>
          <cell r="M26" t="e">
            <v>#REF!</v>
          </cell>
        </row>
        <row r="27">
          <cell r="B27" t="str">
            <v>J</v>
          </cell>
          <cell r="D27">
            <v>33997</v>
          </cell>
          <cell r="E27">
            <v>253.75</v>
          </cell>
          <cell r="F27">
            <v>547.1</v>
          </cell>
          <cell r="G27">
            <v>2654.25</v>
          </cell>
          <cell r="I27">
            <v>103.04568527918782</v>
          </cell>
          <cell r="J27">
            <v>104.51160977607327</v>
          </cell>
          <cell r="L27" t="e">
            <v>#REF!</v>
          </cell>
          <cell r="M27" t="e">
            <v>#REF!</v>
          </cell>
        </row>
        <row r="28">
          <cell r="B28" t="str">
            <v>J</v>
          </cell>
          <cell r="D28">
            <v>33998</v>
          </cell>
          <cell r="E28">
            <v>253.75</v>
          </cell>
          <cell r="F28">
            <v>532.70000000000005</v>
          </cell>
          <cell r="G28">
            <v>2680.79</v>
          </cell>
          <cell r="I28">
            <v>103.04568527918782</v>
          </cell>
          <cell r="J28">
            <v>105.55662743584797</v>
          </cell>
          <cell r="L28" t="e">
            <v>#REF!</v>
          </cell>
          <cell r="M28" t="e">
            <v>#REF!</v>
          </cell>
        </row>
        <row r="29">
          <cell r="B29" t="str">
            <v>F</v>
          </cell>
          <cell r="D29">
            <v>34001</v>
          </cell>
          <cell r="E29">
            <v>243.75</v>
          </cell>
          <cell r="F29">
            <v>1039.2</v>
          </cell>
          <cell r="G29">
            <v>2634</v>
          </cell>
          <cell r="I29">
            <v>98.984771573604064</v>
          </cell>
          <cell r="J29">
            <v>103.71426208916907</v>
          </cell>
          <cell r="L29" t="e">
            <v>#REF!</v>
          </cell>
          <cell r="M29" t="e">
            <v>#REF!</v>
          </cell>
        </row>
        <row r="30">
          <cell r="B30" t="str">
            <v>F</v>
          </cell>
          <cell r="D30">
            <v>34002</v>
          </cell>
          <cell r="E30">
            <v>243.75</v>
          </cell>
          <cell r="F30">
            <v>693.15</v>
          </cell>
          <cell r="G30">
            <v>2663</v>
          </cell>
          <cell r="I30">
            <v>98.984771573604064</v>
          </cell>
          <cell r="J30">
            <v>104.85614272720471</v>
          </cell>
          <cell r="L30" t="e">
            <v>#REF!</v>
          </cell>
          <cell r="M30" t="e">
            <v>#REF!</v>
          </cell>
        </row>
        <row r="31">
          <cell r="B31" t="str">
            <v>F</v>
          </cell>
          <cell r="D31">
            <v>34003</v>
          </cell>
          <cell r="E31">
            <v>245</v>
          </cell>
          <cell r="F31">
            <v>372.3</v>
          </cell>
          <cell r="G31">
            <v>2660</v>
          </cell>
          <cell r="I31">
            <v>99.492385786802032</v>
          </cell>
          <cell r="J31">
            <v>104.73801714395965</v>
          </cell>
          <cell r="L31" t="e">
            <v>#REF!</v>
          </cell>
          <cell r="M31" t="e">
            <v>#REF!</v>
          </cell>
        </row>
        <row r="32">
          <cell r="B32" t="str">
            <v>F</v>
          </cell>
          <cell r="D32">
            <v>34004</v>
          </cell>
          <cell r="E32">
            <v>241.25</v>
          </cell>
          <cell r="F32">
            <v>409.05</v>
          </cell>
          <cell r="G32">
            <v>2638</v>
          </cell>
          <cell r="I32">
            <v>97.969543147208128</v>
          </cell>
          <cell r="J32">
            <v>103.87176286682916</v>
          </cell>
          <cell r="L32" t="e">
            <v>#REF!</v>
          </cell>
          <cell r="M32" t="e">
            <v>#REF!</v>
          </cell>
        </row>
        <row r="33">
          <cell r="B33" t="str">
            <v>F</v>
          </cell>
          <cell r="D33">
            <v>34005</v>
          </cell>
          <cell r="E33">
            <v>238.75</v>
          </cell>
          <cell r="F33">
            <v>924.2</v>
          </cell>
          <cell r="G33">
            <v>2648</v>
          </cell>
          <cell r="I33">
            <v>96.954314720812192</v>
          </cell>
          <cell r="J33">
            <v>104.26551481097938</v>
          </cell>
          <cell r="L33" t="e">
            <v>#REF!</v>
          </cell>
          <cell r="M33" t="e">
            <v>#REF!</v>
          </cell>
        </row>
        <row r="34">
          <cell r="B34" t="str">
            <v>F</v>
          </cell>
          <cell r="D34">
            <v>34008</v>
          </cell>
          <cell r="E34">
            <v>245</v>
          </cell>
          <cell r="F34">
            <v>374</v>
          </cell>
          <cell r="G34">
            <v>2712</v>
          </cell>
          <cell r="I34">
            <v>99.492385786802032</v>
          </cell>
          <cell r="J34">
            <v>106.78552725354082</v>
          </cell>
          <cell r="L34" t="e">
            <v>#REF!</v>
          </cell>
          <cell r="M34" t="e">
            <v>#REF!</v>
          </cell>
        </row>
        <row r="35">
          <cell r="B35" t="str">
            <v>F</v>
          </cell>
          <cell r="D35">
            <v>34009</v>
          </cell>
          <cell r="E35">
            <v>252.5</v>
          </cell>
          <cell r="F35">
            <v>820.35</v>
          </cell>
          <cell r="G35">
            <v>2771</v>
          </cell>
          <cell r="I35">
            <v>102.53807106598985</v>
          </cell>
          <cell r="J35">
            <v>109.10866372402714</v>
          </cell>
          <cell r="L35" t="e">
            <v>#REF!</v>
          </cell>
          <cell r="M35" t="e">
            <v>#REF!</v>
          </cell>
        </row>
        <row r="36">
          <cell r="B36" t="str">
            <v>F</v>
          </cell>
          <cell r="D36">
            <v>34010</v>
          </cell>
          <cell r="E36">
            <v>265</v>
          </cell>
          <cell r="F36">
            <v>1898.3</v>
          </cell>
          <cell r="G36">
            <v>2812</v>
          </cell>
          <cell r="I36">
            <v>107.61421319796955</v>
          </cell>
          <cell r="J36">
            <v>110.72304669504307</v>
          </cell>
          <cell r="L36" t="e">
            <v>#REF!</v>
          </cell>
          <cell r="M36" t="e">
            <v>#REF!</v>
          </cell>
        </row>
        <row r="37">
          <cell r="B37" t="str">
            <v>F</v>
          </cell>
          <cell r="D37">
            <v>34011</v>
          </cell>
          <cell r="E37">
            <v>260</v>
          </cell>
          <cell r="F37">
            <v>1039.5</v>
          </cell>
          <cell r="G37">
            <v>2785</v>
          </cell>
          <cell r="I37">
            <v>105.58375634517766</v>
          </cell>
          <cell r="J37">
            <v>109.65991644583745</v>
          </cell>
          <cell r="L37" t="e">
            <v>#REF!</v>
          </cell>
          <cell r="M37" t="e">
            <v>#REF!</v>
          </cell>
        </row>
        <row r="38">
          <cell r="B38" t="str">
            <v>F</v>
          </cell>
          <cell r="D38">
            <v>34012</v>
          </cell>
          <cell r="E38">
            <v>255</v>
          </cell>
          <cell r="F38">
            <v>739.5</v>
          </cell>
          <cell r="G38">
            <v>2745</v>
          </cell>
          <cell r="I38">
            <v>103.55329949238579</v>
          </cell>
          <cell r="J38">
            <v>108.08490866923655</v>
          </cell>
          <cell r="L38" t="e">
            <v>#REF!</v>
          </cell>
          <cell r="M38" t="e">
            <v>#REF!</v>
          </cell>
        </row>
        <row r="39">
          <cell r="B39" t="str">
            <v>F</v>
          </cell>
          <cell r="D39">
            <v>34015</v>
          </cell>
          <cell r="E39">
            <v>241.25</v>
          </cell>
          <cell r="F39">
            <v>1225.9000000000001</v>
          </cell>
          <cell r="G39">
            <v>2640</v>
          </cell>
          <cell r="I39">
            <v>97.969543147208128</v>
          </cell>
          <cell r="J39">
            <v>103.9505132556592</v>
          </cell>
          <cell r="L39" t="e">
            <v>#REF!</v>
          </cell>
          <cell r="M39" t="e">
            <v>#REF!</v>
          </cell>
        </row>
        <row r="40">
          <cell r="B40" t="str">
            <v>F</v>
          </cell>
          <cell r="D40">
            <v>34016</v>
          </cell>
          <cell r="E40">
            <v>241.25</v>
          </cell>
          <cell r="F40">
            <v>718.7</v>
          </cell>
          <cell r="G40">
            <v>2607</v>
          </cell>
          <cell r="I40">
            <v>97.969543147208128</v>
          </cell>
          <cell r="J40">
            <v>102.65113183996347</v>
          </cell>
          <cell r="L40" t="e">
            <v>#REF!</v>
          </cell>
          <cell r="M40" t="e">
            <v>#REF!</v>
          </cell>
        </row>
        <row r="41">
          <cell r="B41" t="str">
            <v>F</v>
          </cell>
          <cell r="D41">
            <v>34017</v>
          </cell>
          <cell r="E41">
            <v>245</v>
          </cell>
          <cell r="F41">
            <v>591.4</v>
          </cell>
          <cell r="G41">
            <v>2638</v>
          </cell>
          <cell r="I41">
            <v>99.492385786802032</v>
          </cell>
          <cell r="J41">
            <v>103.87176286682916</v>
          </cell>
          <cell r="L41" t="e">
            <v>#REF!</v>
          </cell>
          <cell r="M41" t="e">
            <v>#REF!</v>
          </cell>
        </row>
        <row r="42">
          <cell r="B42" t="str">
            <v>F</v>
          </cell>
          <cell r="D42">
            <v>34018</v>
          </cell>
          <cell r="E42">
            <v>247.5</v>
          </cell>
          <cell r="F42">
            <v>1015.3</v>
          </cell>
          <cell r="G42">
            <v>2671</v>
          </cell>
          <cell r="I42">
            <v>100.50761421319797</v>
          </cell>
          <cell r="J42">
            <v>105.17114428252489</v>
          </cell>
          <cell r="L42" t="e">
            <v>#REF!</v>
          </cell>
          <cell r="M42" t="e">
            <v>#REF!</v>
          </cell>
        </row>
        <row r="43">
          <cell r="B43" t="str">
            <v>F</v>
          </cell>
          <cell r="D43">
            <v>34022</v>
          </cell>
          <cell r="E43">
            <v>251.25</v>
          </cell>
          <cell r="F43">
            <v>668</v>
          </cell>
          <cell r="G43">
            <v>2708</v>
          </cell>
          <cell r="I43">
            <v>102.03045685279189</v>
          </cell>
          <cell r="J43">
            <v>106.62802647588073</v>
          </cell>
          <cell r="L43" t="e">
            <v>#REF!</v>
          </cell>
          <cell r="M43" t="e">
            <v>#REF!</v>
          </cell>
        </row>
        <row r="44">
          <cell r="B44" t="str">
            <v>F</v>
          </cell>
          <cell r="D44">
            <v>34023</v>
          </cell>
          <cell r="E44">
            <v>257.5</v>
          </cell>
          <cell r="F44">
            <v>659.05</v>
          </cell>
          <cell r="G44">
            <v>2741</v>
          </cell>
          <cell r="I44">
            <v>104.56852791878173</v>
          </cell>
          <cell r="J44">
            <v>107.92740789157646</v>
          </cell>
          <cell r="L44" t="e">
            <v>#REF!</v>
          </cell>
          <cell r="M44" t="e">
            <v>#REF!</v>
          </cell>
        </row>
        <row r="45">
          <cell r="B45" t="str">
            <v>F</v>
          </cell>
          <cell r="D45">
            <v>34024</v>
          </cell>
          <cell r="E45">
            <v>257.5</v>
          </cell>
          <cell r="F45">
            <v>891.7</v>
          </cell>
          <cell r="G45">
            <v>2753</v>
          </cell>
          <cell r="I45">
            <v>104.56852791878173</v>
          </cell>
          <cell r="J45">
            <v>108.39991022455673</v>
          </cell>
          <cell r="L45" t="e">
            <v>#REF!</v>
          </cell>
          <cell r="M45" t="e">
            <v>#REF!</v>
          </cell>
        </row>
        <row r="46">
          <cell r="B46" t="str">
            <v>F</v>
          </cell>
          <cell r="D46">
            <v>34025</v>
          </cell>
          <cell r="E46">
            <v>265</v>
          </cell>
          <cell r="F46">
            <v>1189.0999999999999</v>
          </cell>
          <cell r="G46">
            <v>2799</v>
          </cell>
          <cell r="I46">
            <v>107.61421319796955</v>
          </cell>
          <cell r="J46">
            <v>110.21116916764777</v>
          </cell>
          <cell r="L46" t="e">
            <v>#REF!</v>
          </cell>
          <cell r="M46" t="e">
            <v>#REF!</v>
          </cell>
        </row>
        <row r="47">
          <cell r="B47" t="str">
            <v>F</v>
          </cell>
          <cell r="D47">
            <v>34026</v>
          </cell>
          <cell r="E47">
            <v>271.25</v>
          </cell>
          <cell r="F47">
            <v>1553.1</v>
          </cell>
          <cell r="G47">
            <v>2813</v>
          </cell>
          <cell r="I47">
            <v>110.1522842639594</v>
          </cell>
          <cell r="J47">
            <v>110.76242188945808</v>
          </cell>
          <cell r="L47" t="e">
            <v>#REF!</v>
          </cell>
          <cell r="M47" t="e">
            <v>#REF!</v>
          </cell>
        </row>
        <row r="48">
          <cell r="B48" t="str">
            <v>F</v>
          </cell>
          <cell r="D48">
            <v>34027</v>
          </cell>
          <cell r="E48">
            <v>270</v>
          </cell>
          <cell r="F48">
            <v>908.05</v>
          </cell>
          <cell r="G48">
            <v>2783</v>
          </cell>
          <cell r="I48">
            <v>109.64467005076142</v>
          </cell>
          <cell r="J48">
            <v>109.58116605700741</v>
          </cell>
          <cell r="L48" t="e">
            <v>#REF!</v>
          </cell>
          <cell r="M48" t="e">
            <v>#REF!</v>
          </cell>
        </row>
        <row r="49">
          <cell r="B49" t="str">
            <v>F</v>
          </cell>
          <cell r="D49">
            <v>34028</v>
          </cell>
          <cell r="E49">
            <v>255</v>
          </cell>
          <cell r="F49">
            <v>2649.75</v>
          </cell>
          <cell r="G49">
            <v>2652</v>
          </cell>
          <cell r="I49">
            <v>103.55329949238579</v>
          </cell>
          <cell r="J49">
            <v>104.42301558863947</v>
          </cell>
          <cell r="L49" t="e">
            <v>#REF!</v>
          </cell>
          <cell r="M49" t="e">
            <v>#REF!</v>
          </cell>
        </row>
        <row r="50">
          <cell r="B50" t="str">
            <v>M</v>
          </cell>
          <cell r="D50">
            <v>34029</v>
          </cell>
          <cell r="E50">
            <v>248.75</v>
          </cell>
          <cell r="F50">
            <v>2.0430000000000001</v>
          </cell>
          <cell r="G50">
            <v>2571</v>
          </cell>
          <cell r="I50">
            <v>101.01522842639594</v>
          </cell>
          <cell r="J50">
            <v>101.23362484102266</v>
          </cell>
          <cell r="L50" t="e">
            <v>#REF!</v>
          </cell>
          <cell r="M50" t="e">
            <v>#REF!</v>
          </cell>
        </row>
        <row r="51">
          <cell r="B51" t="str">
            <v>M</v>
          </cell>
          <cell r="D51">
            <v>34030</v>
          </cell>
          <cell r="E51">
            <v>246.25</v>
          </cell>
          <cell r="F51">
            <v>1641.05</v>
          </cell>
          <cell r="G51">
            <v>2543</v>
          </cell>
          <cell r="I51">
            <v>100</v>
          </cell>
          <cell r="J51">
            <v>100.13111939740203</v>
          </cell>
          <cell r="L51" t="e">
            <v>#REF!</v>
          </cell>
          <cell r="M51" t="e">
            <v>#REF!</v>
          </cell>
        </row>
        <row r="52">
          <cell r="B52" t="str">
            <v>M</v>
          </cell>
          <cell r="D52">
            <v>34031</v>
          </cell>
          <cell r="E52">
            <v>250</v>
          </cell>
          <cell r="F52">
            <v>756.9</v>
          </cell>
          <cell r="G52">
            <v>2565</v>
          </cell>
          <cell r="I52">
            <v>101.52284263959392</v>
          </cell>
          <cell r="J52">
            <v>100.99737367453253</v>
          </cell>
          <cell r="L52" t="e">
            <v>#REF!</v>
          </cell>
          <cell r="M52" t="e">
            <v>#REF!</v>
          </cell>
        </row>
        <row r="53">
          <cell r="B53" t="str">
            <v>M</v>
          </cell>
          <cell r="D53">
            <v>34032</v>
          </cell>
          <cell r="E53">
            <v>243.75</v>
          </cell>
          <cell r="F53">
            <v>613.95000000000005</v>
          </cell>
          <cell r="G53">
            <v>2532</v>
          </cell>
          <cell r="I53">
            <v>98.984771573604064</v>
          </cell>
          <cell r="J53">
            <v>99.697992258836777</v>
          </cell>
          <cell r="L53" t="e">
            <v>#REF!</v>
          </cell>
          <cell r="M53" t="e">
            <v>#REF!</v>
          </cell>
        </row>
        <row r="54">
          <cell r="B54" t="str">
            <v>M</v>
          </cell>
          <cell r="D54">
            <v>34033</v>
          </cell>
          <cell r="E54">
            <v>236.25</v>
          </cell>
          <cell r="F54">
            <v>1284.95</v>
          </cell>
          <cell r="G54">
            <v>2471</v>
          </cell>
          <cell r="I54">
            <v>95.939086294416242</v>
          </cell>
          <cell r="J54">
            <v>97.296105399520414</v>
          </cell>
          <cell r="L54" t="e">
            <v>#REF!</v>
          </cell>
          <cell r="M54" t="e">
            <v>#REF!</v>
          </cell>
        </row>
        <row r="55">
          <cell r="B55" t="str">
            <v>M</v>
          </cell>
          <cell r="D55">
            <v>34037</v>
          </cell>
          <cell r="E55">
            <v>217.5</v>
          </cell>
          <cell r="F55">
            <v>948.85</v>
          </cell>
          <cell r="G55">
            <v>2318</v>
          </cell>
          <cell r="I55">
            <v>88.324873096446709</v>
          </cell>
          <cell r="J55">
            <v>91.271700654021984</v>
          </cell>
          <cell r="L55" t="e">
            <v>#REF!</v>
          </cell>
          <cell r="M55" t="e">
            <v>#REF!</v>
          </cell>
        </row>
        <row r="56">
          <cell r="B56" t="str">
            <v>M</v>
          </cell>
          <cell r="D56">
            <v>34038</v>
          </cell>
          <cell r="E56">
            <v>208.75</v>
          </cell>
          <cell r="F56">
            <v>549.20000000000005</v>
          </cell>
          <cell r="G56">
            <v>2287</v>
          </cell>
          <cell r="I56">
            <v>84.771573604060919</v>
          </cell>
          <cell r="J56">
            <v>90.051069627156281</v>
          </cell>
          <cell r="L56" t="e">
            <v>#REF!</v>
          </cell>
          <cell r="M56" t="e">
            <v>#REF!</v>
          </cell>
        </row>
        <row r="57">
          <cell r="B57" t="str">
            <v>M</v>
          </cell>
          <cell r="D57">
            <v>34039</v>
          </cell>
          <cell r="E57">
            <v>210</v>
          </cell>
          <cell r="F57">
            <v>801.7</v>
          </cell>
          <cell r="G57">
            <v>2330</v>
          </cell>
          <cell r="I57">
            <v>85.279187817258887</v>
          </cell>
          <cell r="J57">
            <v>91.744202987002254</v>
          </cell>
          <cell r="L57" t="e">
            <v>#REF!</v>
          </cell>
          <cell r="M57" t="e">
            <v>#REF!</v>
          </cell>
        </row>
        <row r="58">
          <cell r="B58" t="str">
            <v>M</v>
          </cell>
          <cell r="D58">
            <v>34040</v>
          </cell>
          <cell r="E58">
            <v>216.25</v>
          </cell>
          <cell r="F58">
            <v>221.35</v>
          </cell>
          <cell r="G58">
            <v>2421.27</v>
          </cell>
          <cell r="I58">
            <v>87.817258883248741</v>
          </cell>
          <cell r="J58">
            <v>95.337976981261349</v>
          </cell>
          <cell r="L58" t="e">
            <v>#REF!</v>
          </cell>
          <cell r="M58" t="e">
            <v>#REF!</v>
          </cell>
        </row>
        <row r="59">
          <cell r="B59" t="str">
            <v>M</v>
          </cell>
          <cell r="D59">
            <v>34043</v>
          </cell>
          <cell r="E59">
            <v>215</v>
          </cell>
          <cell r="F59">
            <v>94.45</v>
          </cell>
          <cell r="G59">
            <v>2459</v>
          </cell>
          <cell r="I59">
            <v>87.309644670050758</v>
          </cell>
          <cell r="J59">
            <v>96.823603066540144</v>
          </cell>
          <cell r="L59" t="e">
            <v>#REF!</v>
          </cell>
          <cell r="M59" t="e">
            <v>#REF!</v>
          </cell>
        </row>
        <row r="60">
          <cell r="B60" t="str">
            <v>M</v>
          </cell>
          <cell r="D60">
            <v>34044</v>
          </cell>
          <cell r="E60">
            <v>215</v>
          </cell>
          <cell r="F60">
            <v>199.55</v>
          </cell>
          <cell r="G60">
            <v>2409</v>
          </cell>
          <cell r="I60">
            <v>87.309644670050758</v>
          </cell>
          <cell r="J60">
            <v>94.854843345789021</v>
          </cell>
          <cell r="L60" t="e">
            <v>#REF!</v>
          </cell>
          <cell r="M60" t="e">
            <v>#REF!</v>
          </cell>
        </row>
        <row r="61">
          <cell r="B61" t="str">
            <v>M</v>
          </cell>
          <cell r="D61">
            <v>34045</v>
          </cell>
          <cell r="E61">
            <v>206.25</v>
          </cell>
          <cell r="F61">
            <v>231.75</v>
          </cell>
          <cell r="G61">
            <v>2393</v>
          </cell>
          <cell r="I61">
            <v>83.756345177664983</v>
          </cell>
          <cell r="J61">
            <v>94.224840235148662</v>
          </cell>
          <cell r="L61" t="e">
            <v>#REF!</v>
          </cell>
          <cell r="M61" t="e">
            <v>#REF!</v>
          </cell>
        </row>
        <row r="62">
          <cell r="B62" t="str">
            <v>M</v>
          </cell>
          <cell r="D62">
            <v>34046</v>
          </cell>
          <cell r="E62">
            <v>200</v>
          </cell>
          <cell r="F62">
            <v>316.10000000000002</v>
          </cell>
          <cell r="G62">
            <v>2376.7600000000002</v>
          </cell>
          <cell r="I62">
            <v>81.218274111675129</v>
          </cell>
          <cell r="J62">
            <v>93.585387077848708</v>
          </cell>
          <cell r="L62" t="e">
            <v>#REF!</v>
          </cell>
          <cell r="M62" t="e">
            <v>#REF!</v>
          </cell>
        </row>
        <row r="63">
          <cell r="B63" t="str">
            <v>M</v>
          </cell>
          <cell r="D63">
            <v>34047</v>
          </cell>
          <cell r="E63">
            <v>193.75</v>
          </cell>
          <cell r="F63">
            <v>333.35</v>
          </cell>
          <cell r="G63">
            <v>2402.1999999999998</v>
          </cell>
          <cell r="I63">
            <v>78.680203045685289</v>
          </cell>
          <cell r="J63">
            <v>94.587092023766857</v>
          </cell>
          <cell r="L63" t="e">
            <v>#REF!</v>
          </cell>
          <cell r="M63" t="e">
            <v>#REF!</v>
          </cell>
        </row>
        <row r="64">
          <cell r="B64" t="str">
            <v>M</v>
          </cell>
          <cell r="D64">
            <v>34050</v>
          </cell>
          <cell r="E64">
            <v>198.75</v>
          </cell>
          <cell r="F64">
            <v>254.95</v>
          </cell>
          <cell r="G64">
            <v>2378.5500000000002</v>
          </cell>
          <cell r="I64">
            <v>80.710659898477161</v>
          </cell>
          <cell r="J64">
            <v>93.655868675851593</v>
          </cell>
          <cell r="L64" t="e">
            <v>#REF!</v>
          </cell>
          <cell r="M64" t="e">
            <v>#REF!</v>
          </cell>
        </row>
        <row r="65">
          <cell r="B65" t="str">
            <v>M</v>
          </cell>
          <cell r="D65">
            <v>34051</v>
          </cell>
          <cell r="E65">
            <v>195</v>
          </cell>
          <cell r="F65">
            <v>302.45</v>
          </cell>
          <cell r="G65">
            <v>2341.42</v>
          </cell>
          <cell r="I65">
            <v>79.187817258883257</v>
          </cell>
          <cell r="J65">
            <v>92.193867707221813</v>
          </cell>
          <cell r="L65" t="e">
            <v>#REF!</v>
          </cell>
          <cell r="M65" t="e">
            <v>#REF!</v>
          </cell>
        </row>
        <row r="66">
          <cell r="B66" t="str">
            <v>M</v>
          </cell>
          <cell r="D66">
            <v>34054</v>
          </cell>
          <cell r="E66">
            <v>183.75</v>
          </cell>
          <cell r="F66">
            <v>603.70000000000005</v>
          </cell>
          <cell r="G66">
            <v>2276.9</v>
          </cell>
          <cell r="I66">
            <v>74.619289340101531</v>
          </cell>
          <cell r="J66">
            <v>89.653380163564563</v>
          </cell>
          <cell r="L66" t="e">
            <v>#REF!</v>
          </cell>
          <cell r="M66" t="e">
            <v>#REF!</v>
          </cell>
        </row>
        <row r="67">
          <cell r="B67" t="str">
            <v>M</v>
          </cell>
          <cell r="D67">
            <v>34057</v>
          </cell>
          <cell r="E67">
            <v>176.25</v>
          </cell>
          <cell r="F67">
            <v>523.5</v>
          </cell>
          <cell r="G67">
            <v>2225.08</v>
          </cell>
          <cell r="I67">
            <v>71.573604060913709</v>
          </cell>
          <cell r="J67">
            <v>87.612957588978091</v>
          </cell>
          <cell r="L67" t="e">
            <v>#REF!</v>
          </cell>
          <cell r="M67" t="e">
            <v>#REF!</v>
          </cell>
        </row>
        <row r="68">
          <cell r="B68" t="str">
            <v>M</v>
          </cell>
          <cell r="D68">
            <v>34058</v>
          </cell>
          <cell r="E68">
            <v>171.25</v>
          </cell>
          <cell r="F68">
            <v>685.9</v>
          </cell>
          <cell r="G68">
            <v>2280.52</v>
          </cell>
          <cell r="I68">
            <v>69.543147208121823</v>
          </cell>
          <cell r="J68">
            <v>89.795918367346943</v>
          </cell>
          <cell r="L68" t="e">
            <v>#REF!</v>
          </cell>
          <cell r="M68" t="e">
            <v>#REF!</v>
          </cell>
        </row>
        <row r="69">
          <cell r="B69" t="str">
            <v>M</v>
          </cell>
          <cell r="D69">
            <v>34059</v>
          </cell>
          <cell r="E69">
            <v>178.75</v>
          </cell>
          <cell r="F69">
            <v>469.7</v>
          </cell>
          <cell r="G69">
            <v>2311.44</v>
          </cell>
          <cell r="I69">
            <v>72.588832487309645</v>
          </cell>
          <cell r="J69">
            <v>91.013399378659443</v>
          </cell>
          <cell r="L69" t="e">
            <v>#REF!</v>
          </cell>
          <cell r="M69" t="e">
            <v>#REF!</v>
          </cell>
        </row>
        <row r="70">
          <cell r="B70" t="str">
            <v>A</v>
          </cell>
          <cell r="D70">
            <v>34061</v>
          </cell>
          <cell r="E70">
            <v>186.25</v>
          </cell>
          <cell r="F70">
            <v>412.95</v>
          </cell>
          <cell r="G70">
            <v>2408.6799999999998</v>
          </cell>
          <cell r="I70">
            <v>75.634517766497467</v>
          </cell>
          <cell r="J70">
            <v>94.842243283576209</v>
          </cell>
          <cell r="L70" t="e">
            <v>#REF!</v>
          </cell>
          <cell r="M70" t="e">
            <v>#REF!</v>
          </cell>
        </row>
        <row r="71">
          <cell r="B71" t="str">
            <v>A</v>
          </cell>
          <cell r="D71">
            <v>34066</v>
          </cell>
          <cell r="E71">
            <v>193.75</v>
          </cell>
          <cell r="F71">
            <v>945.45</v>
          </cell>
          <cell r="G71">
            <v>2310.91</v>
          </cell>
          <cell r="I71">
            <v>78.680203045685289</v>
          </cell>
          <cell r="J71">
            <v>90.992530525619472</v>
          </cell>
          <cell r="L71" t="e">
            <v>#REF!</v>
          </cell>
          <cell r="M71" t="e">
            <v>#REF!</v>
          </cell>
        </row>
        <row r="72">
          <cell r="B72" t="str">
            <v>A</v>
          </cell>
          <cell r="D72">
            <v>34067</v>
          </cell>
          <cell r="E72">
            <v>177.5</v>
          </cell>
          <cell r="F72">
            <v>1236.2</v>
          </cell>
          <cell r="G72">
            <v>2222.69</v>
          </cell>
          <cell r="I72">
            <v>72.081218274111677</v>
          </cell>
          <cell r="J72">
            <v>87.518850874326191</v>
          </cell>
          <cell r="L72" t="e">
            <v>#REF!</v>
          </cell>
          <cell r="M72" t="e">
            <v>#REF!</v>
          </cell>
        </row>
        <row r="73">
          <cell r="B73" t="str">
            <v>A</v>
          </cell>
          <cell r="D73">
            <v>34071</v>
          </cell>
          <cell r="E73">
            <v>166.25</v>
          </cell>
          <cell r="F73">
            <v>693.45</v>
          </cell>
          <cell r="G73">
            <v>2226.84</v>
          </cell>
          <cell r="I73">
            <v>67.512690355329951</v>
          </cell>
          <cell r="J73">
            <v>87.682257931148541</v>
          </cell>
          <cell r="L73" t="e">
            <v>#REF!</v>
          </cell>
          <cell r="M73" t="e">
            <v>#REF!</v>
          </cell>
        </row>
        <row r="74">
          <cell r="B74" t="str">
            <v>A</v>
          </cell>
          <cell r="D74">
            <v>34072</v>
          </cell>
          <cell r="E74">
            <v>176.25</v>
          </cell>
          <cell r="F74">
            <v>868.75</v>
          </cell>
          <cell r="G74">
            <v>2293.12</v>
          </cell>
          <cell r="I74">
            <v>71.573604060913709</v>
          </cell>
          <cell r="J74">
            <v>90.292045816976227</v>
          </cell>
          <cell r="L74" t="e">
            <v>#REF!</v>
          </cell>
          <cell r="M74" t="e">
            <v>#REF!</v>
          </cell>
        </row>
        <row r="75">
          <cell r="B75" t="str">
            <v>A</v>
          </cell>
          <cell r="D75">
            <v>34074</v>
          </cell>
          <cell r="E75">
            <v>188.75</v>
          </cell>
          <cell r="F75">
            <v>1051.6500000000001</v>
          </cell>
          <cell r="G75">
            <v>2299.7800000000002</v>
          </cell>
          <cell r="I75">
            <v>76.649746192893403</v>
          </cell>
          <cell r="J75">
            <v>90.554284611780275</v>
          </cell>
          <cell r="L75" t="e">
            <v>#REF!</v>
          </cell>
          <cell r="M75" t="e">
            <v>#REF!</v>
          </cell>
        </row>
        <row r="76">
          <cell r="B76" t="str">
            <v>A</v>
          </cell>
          <cell r="D76">
            <v>34075</v>
          </cell>
          <cell r="E76">
            <v>193.75</v>
          </cell>
          <cell r="F76">
            <v>1056.1500000000001</v>
          </cell>
          <cell r="G76">
            <v>2268.15</v>
          </cell>
          <cell r="I76">
            <v>78.680203045685289</v>
          </cell>
          <cell r="J76">
            <v>89.308847212433122</v>
          </cell>
          <cell r="L76" t="e">
            <v>#REF!</v>
          </cell>
          <cell r="M76" t="e">
            <v>#REF!</v>
          </cell>
        </row>
        <row r="77">
          <cell r="B77" t="str">
            <v>A</v>
          </cell>
          <cell r="D77">
            <v>34078</v>
          </cell>
          <cell r="E77">
            <v>188.75</v>
          </cell>
          <cell r="F77">
            <v>705.6</v>
          </cell>
          <cell r="G77">
            <v>2204.91</v>
          </cell>
          <cell r="I77">
            <v>76.649746192893403</v>
          </cell>
          <cell r="J77">
            <v>86.818759917627091</v>
          </cell>
          <cell r="L77" t="e">
            <v>#REF!</v>
          </cell>
          <cell r="M77" t="e">
            <v>#REF!</v>
          </cell>
        </row>
        <row r="78">
          <cell r="B78" t="str">
            <v>A</v>
          </cell>
          <cell r="D78">
            <v>34079</v>
          </cell>
          <cell r="E78">
            <v>178.75</v>
          </cell>
          <cell r="F78">
            <v>907.25</v>
          </cell>
          <cell r="G78">
            <v>2189.5100000000002</v>
          </cell>
          <cell r="I78">
            <v>72.588832487309645</v>
          </cell>
          <cell r="J78">
            <v>86.21238192363576</v>
          </cell>
          <cell r="L78" t="e">
            <v>#REF!</v>
          </cell>
          <cell r="M78" t="e">
            <v>#REF!</v>
          </cell>
        </row>
        <row r="79">
          <cell r="B79" t="str">
            <v>A</v>
          </cell>
          <cell r="D79">
            <v>34080</v>
          </cell>
          <cell r="E79">
            <v>183.75</v>
          </cell>
          <cell r="F79">
            <v>924.9</v>
          </cell>
          <cell r="G79">
            <v>2158.96</v>
          </cell>
          <cell r="I79">
            <v>74.619289340101531</v>
          </cell>
          <cell r="J79">
            <v>85.009469734256811</v>
          </cell>
          <cell r="L79" t="e">
            <v>#REF!</v>
          </cell>
          <cell r="M79" t="e">
            <v>#REF!</v>
          </cell>
        </row>
        <row r="80">
          <cell r="B80" t="str">
            <v>A</v>
          </cell>
          <cell r="D80">
            <v>34081</v>
          </cell>
          <cell r="E80">
            <v>177.5</v>
          </cell>
          <cell r="F80">
            <v>1023.9</v>
          </cell>
          <cell r="G80">
            <v>2100.67</v>
          </cell>
          <cell r="I80">
            <v>72.081218274111677</v>
          </cell>
          <cell r="J80">
            <v>82.71428965180516</v>
          </cell>
          <cell r="L80" t="e">
            <v>#REF!</v>
          </cell>
          <cell r="M80" t="e">
            <v>#REF!</v>
          </cell>
        </row>
        <row r="81">
          <cell r="B81" t="str">
            <v>A</v>
          </cell>
          <cell r="D81">
            <v>34082</v>
          </cell>
          <cell r="E81">
            <v>175</v>
          </cell>
          <cell r="F81">
            <v>572.25</v>
          </cell>
          <cell r="G81">
            <v>2036.81</v>
          </cell>
          <cell r="I81">
            <v>71.065989847715741</v>
          </cell>
          <cell r="J81">
            <v>80.199789736461824</v>
          </cell>
          <cell r="L81" t="e">
            <v>#REF!</v>
          </cell>
          <cell r="M81" t="e">
            <v>#REF!</v>
          </cell>
        </row>
        <row r="82">
          <cell r="B82" t="str">
            <v>A</v>
          </cell>
          <cell r="D82">
            <v>34085</v>
          </cell>
          <cell r="E82">
            <v>170</v>
          </cell>
          <cell r="F82">
            <v>627.04999999999995</v>
          </cell>
          <cell r="G82">
            <v>2070.71</v>
          </cell>
          <cell r="I82">
            <v>69.035532994923855</v>
          </cell>
          <cell r="J82">
            <v>81.534608827131095</v>
          </cell>
          <cell r="L82" t="e">
            <v>#REF!</v>
          </cell>
          <cell r="M82" t="e">
            <v>#REF!</v>
          </cell>
        </row>
        <row r="83">
          <cell r="B83" t="str">
            <v>A</v>
          </cell>
          <cell r="D83">
            <v>34086</v>
          </cell>
          <cell r="E83">
            <v>178.75</v>
          </cell>
          <cell r="F83">
            <v>1043.9000000000001</v>
          </cell>
          <cell r="G83">
            <v>2121.4899999999998</v>
          </cell>
          <cell r="I83">
            <v>72.588832487309645</v>
          </cell>
          <cell r="J83">
            <v>83.534081199525914</v>
          </cell>
          <cell r="L83" t="e">
            <v>#REF!</v>
          </cell>
          <cell r="M83" t="e">
            <v>#REF!</v>
          </cell>
        </row>
        <row r="84">
          <cell r="B84" t="str">
            <v>A</v>
          </cell>
          <cell r="D84">
            <v>34087</v>
          </cell>
          <cell r="E84">
            <v>182.5</v>
          </cell>
          <cell r="F84">
            <v>977.15</v>
          </cell>
          <cell r="G84">
            <v>2144.27</v>
          </cell>
          <cell r="I84">
            <v>74.111675126903549</v>
          </cell>
          <cell r="J84">
            <v>84.431048128300134</v>
          </cell>
          <cell r="L84" t="e">
            <v>#REF!</v>
          </cell>
          <cell r="M84" t="e">
            <v>#REF!</v>
          </cell>
        </row>
        <row r="85">
          <cell r="B85" t="str">
            <v>A</v>
          </cell>
          <cell r="D85">
            <v>34088</v>
          </cell>
          <cell r="E85">
            <v>186.25</v>
          </cell>
          <cell r="F85">
            <v>953.35</v>
          </cell>
          <cell r="G85">
            <v>2122.3000000000002</v>
          </cell>
          <cell r="I85">
            <v>75.634517766497467</v>
          </cell>
          <cell r="J85">
            <v>83.565975107002103</v>
          </cell>
          <cell r="L85" t="e">
            <v>#REF!</v>
          </cell>
          <cell r="M85" t="e">
            <v>#REF!</v>
          </cell>
        </row>
        <row r="86">
          <cell r="B86" t="str">
            <v>A</v>
          </cell>
          <cell r="D86">
            <v>34089</v>
          </cell>
          <cell r="E86">
            <v>182.5</v>
          </cell>
          <cell r="F86">
            <v>987.4</v>
          </cell>
          <cell r="G86">
            <v>2084.42</v>
          </cell>
          <cell r="I86">
            <v>74.111675126903549</v>
          </cell>
          <cell r="J86">
            <v>82.074442742561047</v>
          </cell>
          <cell r="L86" t="e">
            <v>#REF!</v>
          </cell>
          <cell r="M86" t="e">
            <v>#REF!</v>
          </cell>
        </row>
        <row r="87">
          <cell r="B87" t="str">
            <v>M</v>
          </cell>
          <cell r="D87">
            <v>34092</v>
          </cell>
          <cell r="E87">
            <v>177.5</v>
          </cell>
          <cell r="F87">
            <v>1720.75</v>
          </cell>
          <cell r="G87">
            <v>2127.37</v>
          </cell>
          <cell r="I87">
            <v>72.081218274111677</v>
          </cell>
          <cell r="J87">
            <v>83.765607342686252</v>
          </cell>
          <cell r="L87" t="e">
            <v>#REF!</v>
          </cell>
          <cell r="M87" t="e">
            <v>#REF!</v>
          </cell>
        </row>
        <row r="88">
          <cell r="B88" t="str">
            <v>M</v>
          </cell>
          <cell r="D88">
            <v>34093</v>
          </cell>
          <cell r="E88">
            <v>183.75</v>
          </cell>
          <cell r="F88">
            <v>939.95</v>
          </cell>
          <cell r="G88">
            <v>2168.6999999999998</v>
          </cell>
          <cell r="I88">
            <v>74.619289340101531</v>
          </cell>
          <cell r="J88">
            <v>85.392984127859123</v>
          </cell>
          <cell r="L88" t="e">
            <v>#REF!</v>
          </cell>
          <cell r="M88" t="e">
            <v>#REF!</v>
          </cell>
        </row>
        <row r="89">
          <cell r="B89" t="str">
            <v>M</v>
          </cell>
          <cell r="D89">
            <v>34094</v>
          </cell>
          <cell r="E89">
            <v>188.75</v>
          </cell>
          <cell r="F89">
            <v>810.4</v>
          </cell>
          <cell r="G89">
            <v>2219.2399999999998</v>
          </cell>
          <cell r="I89">
            <v>76.649746192893403</v>
          </cell>
          <cell r="J89">
            <v>87.383006453594362</v>
          </cell>
          <cell r="L89" t="e">
            <v>#REF!</v>
          </cell>
          <cell r="M89" t="e">
            <v>#REF!</v>
          </cell>
        </row>
        <row r="90">
          <cell r="B90" t="str">
            <v>M</v>
          </cell>
          <cell r="D90">
            <v>34096</v>
          </cell>
          <cell r="E90">
            <v>191.25</v>
          </cell>
          <cell r="F90">
            <v>1388.95</v>
          </cell>
          <cell r="G90">
            <v>2226.92</v>
          </cell>
          <cell r="I90">
            <v>77.664974619289339</v>
          </cell>
          <cell r="J90">
            <v>87.685407946701744</v>
          </cell>
          <cell r="L90" t="e">
            <v>#REF!</v>
          </cell>
          <cell r="M90" t="e">
            <v>#REF!</v>
          </cell>
        </row>
        <row r="91">
          <cell r="B91" t="str">
            <v>M</v>
          </cell>
          <cell r="D91">
            <v>34099</v>
          </cell>
          <cell r="E91">
            <v>196.25</v>
          </cell>
          <cell r="F91">
            <v>1034.8</v>
          </cell>
          <cell r="G91">
            <v>2289.31</v>
          </cell>
          <cell r="I91">
            <v>79.695431472081225</v>
          </cell>
          <cell r="J91">
            <v>90.142026326254992</v>
          </cell>
          <cell r="L91" t="e">
            <v>#REF!</v>
          </cell>
          <cell r="M91" t="e">
            <v>#REF!</v>
          </cell>
        </row>
        <row r="92">
          <cell r="B92" t="str">
            <v>M</v>
          </cell>
          <cell r="D92">
            <v>34100</v>
          </cell>
          <cell r="E92">
            <v>206.25</v>
          </cell>
          <cell r="F92">
            <v>1608.4</v>
          </cell>
          <cell r="G92">
            <v>2286.29</v>
          </cell>
          <cell r="I92">
            <v>83.756345177664983</v>
          </cell>
          <cell r="J92">
            <v>90.023113239121614</v>
          </cell>
          <cell r="L92" t="e">
            <v>#REF!</v>
          </cell>
          <cell r="M92" t="e">
            <v>#REF!</v>
          </cell>
        </row>
        <row r="93">
          <cell r="B93" t="str">
            <v>M</v>
          </cell>
          <cell r="D93">
            <v>34101</v>
          </cell>
          <cell r="E93">
            <v>206.25</v>
          </cell>
          <cell r="F93">
            <v>1051.9000000000001</v>
          </cell>
          <cell r="G93">
            <v>2286.2399999999998</v>
          </cell>
          <cell r="I93">
            <v>83.756345177664983</v>
          </cell>
          <cell r="J93">
            <v>90.02114447940086</v>
          </cell>
          <cell r="L93" t="e">
            <v>#REF!</v>
          </cell>
          <cell r="M93" t="e">
            <v>#REF!</v>
          </cell>
        </row>
        <row r="94">
          <cell r="B94" t="str">
            <v>M</v>
          </cell>
          <cell r="D94">
            <v>34102</v>
          </cell>
          <cell r="E94">
            <v>202.5</v>
          </cell>
          <cell r="F94">
            <v>876</v>
          </cell>
          <cell r="G94">
            <v>2356.63</v>
          </cell>
          <cell r="I94">
            <v>82.233502538071065</v>
          </cell>
          <cell r="J94">
            <v>92.792764414274302</v>
          </cell>
          <cell r="L94" t="e">
            <v>#REF!</v>
          </cell>
          <cell r="M94" t="e">
            <v>#REF!</v>
          </cell>
        </row>
        <row r="95">
          <cell r="B95" t="str">
            <v>M</v>
          </cell>
          <cell r="D95">
            <v>34103</v>
          </cell>
          <cell r="E95">
            <v>213.75</v>
          </cell>
          <cell r="F95">
            <v>1377.5</v>
          </cell>
          <cell r="G95">
            <v>2300.54</v>
          </cell>
          <cell r="I95">
            <v>86.802030456852791</v>
          </cell>
          <cell r="J95">
            <v>90.584209759535696</v>
          </cell>
          <cell r="L95" t="e">
            <v>#REF!</v>
          </cell>
          <cell r="M95" t="e">
            <v>#REF!</v>
          </cell>
        </row>
        <row r="96">
          <cell r="B96" t="str">
            <v>M</v>
          </cell>
          <cell r="D96">
            <v>34106</v>
          </cell>
          <cell r="E96">
            <v>206.25</v>
          </cell>
          <cell r="F96">
            <v>1024.3</v>
          </cell>
          <cell r="G96">
            <v>2309.9699999999998</v>
          </cell>
          <cell r="I96">
            <v>83.756345177664983</v>
          </cell>
          <cell r="J96">
            <v>90.955517842869341</v>
          </cell>
          <cell r="L96" t="e">
            <v>#REF!</v>
          </cell>
          <cell r="M96" t="e">
            <v>#REF!</v>
          </cell>
        </row>
        <row r="97">
          <cell r="B97" t="str">
            <v>M</v>
          </cell>
          <cell r="D97">
            <v>34107</v>
          </cell>
          <cell r="E97">
            <v>210</v>
          </cell>
          <cell r="F97">
            <v>870</v>
          </cell>
          <cell r="G97">
            <v>2357.71</v>
          </cell>
          <cell r="I97">
            <v>85.279187817258887</v>
          </cell>
          <cell r="J97">
            <v>92.83528962424252</v>
          </cell>
          <cell r="L97" t="e">
            <v>#REF!</v>
          </cell>
          <cell r="M97" t="e">
            <v>#REF!</v>
          </cell>
        </row>
        <row r="98">
          <cell r="B98" t="str">
            <v>M</v>
          </cell>
          <cell r="D98">
            <v>34110</v>
          </cell>
          <cell r="E98">
            <v>215</v>
          </cell>
          <cell r="F98">
            <v>1352.4</v>
          </cell>
          <cell r="G98">
            <v>2339.34</v>
          </cell>
          <cell r="I98">
            <v>87.309644670050758</v>
          </cell>
          <cell r="J98">
            <v>92.111967302838565</v>
          </cell>
          <cell r="L98" t="e">
            <v>#REF!</v>
          </cell>
          <cell r="M98" t="e">
            <v>#REF!</v>
          </cell>
        </row>
        <row r="99">
          <cell r="B99" t="str">
            <v>M</v>
          </cell>
          <cell r="D99">
            <v>34113</v>
          </cell>
          <cell r="E99">
            <v>211.25</v>
          </cell>
          <cell r="F99">
            <v>889.6</v>
          </cell>
          <cell r="G99">
            <v>2285.62</v>
          </cell>
          <cell r="I99">
            <v>85.786802030456855</v>
          </cell>
          <cell r="J99">
            <v>89.996731858863555</v>
          </cell>
          <cell r="L99" t="e">
            <v>#REF!</v>
          </cell>
          <cell r="M99" t="e">
            <v>#REF!</v>
          </cell>
        </row>
        <row r="100">
          <cell r="B100" t="str">
            <v>M</v>
          </cell>
          <cell r="D100">
            <v>34114</v>
          </cell>
          <cell r="E100">
            <v>206.25</v>
          </cell>
          <cell r="F100">
            <v>836.4</v>
          </cell>
          <cell r="G100">
            <v>2251.69</v>
          </cell>
          <cell r="I100">
            <v>83.756345177664983</v>
          </cell>
          <cell r="J100">
            <v>88.660731512361849</v>
          </cell>
          <cell r="L100" t="e">
            <v>#REF!</v>
          </cell>
          <cell r="M100" t="e">
            <v>#REF!</v>
          </cell>
        </row>
        <row r="101">
          <cell r="B101" t="str">
            <v>M</v>
          </cell>
          <cell r="D101">
            <v>34115</v>
          </cell>
          <cell r="E101">
            <v>203.75</v>
          </cell>
          <cell r="F101">
            <v>1135.4000000000001</v>
          </cell>
          <cell r="G101">
            <v>2215.96</v>
          </cell>
          <cell r="I101">
            <v>82.741116751269033</v>
          </cell>
          <cell r="J101">
            <v>87.253855815913099</v>
          </cell>
          <cell r="L101" t="e">
            <v>#REF!</v>
          </cell>
          <cell r="M101" t="e">
            <v>#REF!</v>
          </cell>
        </row>
        <row r="102">
          <cell r="B102" t="str">
            <v>M</v>
          </cell>
          <cell r="D102">
            <v>34116</v>
          </cell>
          <cell r="E102">
            <v>198.75</v>
          </cell>
          <cell r="F102">
            <v>1427.9</v>
          </cell>
          <cell r="G102">
            <v>2165.58</v>
          </cell>
          <cell r="I102">
            <v>80.710659898477161</v>
          </cell>
          <cell r="J102">
            <v>85.270133521284265</v>
          </cell>
          <cell r="L102" t="e">
            <v>#REF!</v>
          </cell>
          <cell r="M102" t="e">
            <v>#REF!</v>
          </cell>
        </row>
        <row r="103">
          <cell r="B103" t="str">
            <v>M</v>
          </cell>
          <cell r="D103">
            <v>34117</v>
          </cell>
          <cell r="E103">
            <v>193.75</v>
          </cell>
          <cell r="F103">
            <v>792</v>
          </cell>
          <cell r="G103">
            <v>2192.7399999999998</v>
          </cell>
          <cell r="I103">
            <v>78.680203045685289</v>
          </cell>
          <cell r="J103">
            <v>86.33956380159627</v>
          </cell>
          <cell r="L103" t="e">
            <v>#REF!</v>
          </cell>
          <cell r="M103" t="e">
            <v>#REF!</v>
          </cell>
        </row>
        <row r="104">
          <cell r="B104" t="str">
            <v>M</v>
          </cell>
          <cell r="D104">
            <v>34120</v>
          </cell>
          <cell r="E104">
            <v>196.25</v>
          </cell>
          <cell r="F104">
            <v>453</v>
          </cell>
          <cell r="G104">
            <v>2245.1999999999998</v>
          </cell>
          <cell r="I104">
            <v>79.695431472081225</v>
          </cell>
          <cell r="J104">
            <v>88.405186500608337</v>
          </cell>
          <cell r="L104" t="e">
            <v>#REF!</v>
          </cell>
          <cell r="M104" t="e">
            <v>#REF!</v>
          </cell>
        </row>
        <row r="105">
          <cell r="B105" t="str">
            <v>J</v>
          </cell>
          <cell r="D105">
            <v>34122</v>
          </cell>
          <cell r="E105">
            <v>201.25</v>
          </cell>
          <cell r="F105">
            <v>734.5</v>
          </cell>
          <cell r="G105">
            <v>2253.38</v>
          </cell>
          <cell r="I105">
            <v>81.725888324873097</v>
          </cell>
          <cell r="J105">
            <v>88.727275590923242</v>
          </cell>
          <cell r="L105" t="e">
            <v>#REF!</v>
          </cell>
          <cell r="M105" t="e">
            <v>#REF!</v>
          </cell>
        </row>
        <row r="106">
          <cell r="B106" t="str">
            <v>J</v>
          </cell>
          <cell r="D106">
            <v>34123</v>
          </cell>
          <cell r="E106">
            <v>198.75</v>
          </cell>
          <cell r="F106">
            <v>891.95</v>
          </cell>
          <cell r="G106">
            <v>2336.62</v>
          </cell>
          <cell r="I106">
            <v>80.710659898477161</v>
          </cell>
          <cell r="J106">
            <v>92.004866774029693</v>
          </cell>
          <cell r="L106" t="e">
            <v>#REF!</v>
          </cell>
          <cell r="M106" t="e">
            <v>#REF!</v>
          </cell>
        </row>
        <row r="107">
          <cell r="B107" t="str">
            <v>J</v>
          </cell>
          <cell r="D107">
            <v>34124</v>
          </cell>
          <cell r="E107">
            <v>207.5</v>
          </cell>
          <cell r="F107">
            <v>699.6</v>
          </cell>
          <cell r="G107">
            <v>2405.85</v>
          </cell>
          <cell r="I107">
            <v>84.263959390862951</v>
          </cell>
          <cell r="J107">
            <v>94.7308114833817</v>
          </cell>
          <cell r="L107" t="e">
            <v>#REF!</v>
          </cell>
          <cell r="M107" t="e">
            <v>#REF!</v>
          </cell>
        </row>
        <row r="108">
          <cell r="B108" t="str">
            <v>J</v>
          </cell>
          <cell r="D108">
            <v>34127</v>
          </cell>
          <cell r="E108">
            <v>213.75</v>
          </cell>
          <cell r="F108">
            <v>1225.5</v>
          </cell>
          <cell r="G108">
            <v>2376.86</v>
          </cell>
          <cell r="I108">
            <v>86.802030456852791</v>
          </cell>
          <cell r="J108">
            <v>93.589324597290201</v>
          </cell>
          <cell r="L108" t="e">
            <v>#REF!</v>
          </cell>
          <cell r="M108" t="e">
            <v>#REF!</v>
          </cell>
        </row>
        <row r="109">
          <cell r="B109" t="str">
            <v>J</v>
          </cell>
          <cell r="D109">
            <v>34128</v>
          </cell>
          <cell r="E109">
            <v>213.75</v>
          </cell>
          <cell r="F109">
            <v>1473</v>
          </cell>
          <cell r="G109">
            <v>2351.0300000000002</v>
          </cell>
          <cell r="I109">
            <v>86.802030456852791</v>
          </cell>
          <cell r="J109">
            <v>92.572263325550182</v>
          </cell>
          <cell r="L109" t="e">
            <v>#REF!</v>
          </cell>
          <cell r="M109" t="e">
            <v>#REF!</v>
          </cell>
        </row>
        <row r="110">
          <cell r="B110" t="str">
            <v>J</v>
          </cell>
          <cell r="D110">
            <v>34129</v>
          </cell>
          <cell r="E110">
            <v>212.5</v>
          </cell>
          <cell r="F110">
            <v>987.9</v>
          </cell>
          <cell r="G110">
            <v>2396.0100000000002</v>
          </cell>
          <cell r="I110">
            <v>86.294416243654823</v>
          </cell>
          <cell r="J110">
            <v>94.343359570337896</v>
          </cell>
          <cell r="L110" t="e">
            <v>#REF!</v>
          </cell>
          <cell r="M110" t="e">
            <v>#REF!</v>
          </cell>
        </row>
        <row r="111">
          <cell r="B111" t="str">
            <v>J</v>
          </cell>
          <cell r="D111">
            <v>34130</v>
          </cell>
          <cell r="E111">
            <v>217.5</v>
          </cell>
          <cell r="F111">
            <v>1037.0999999999999</v>
          </cell>
          <cell r="G111">
            <v>2404</v>
          </cell>
          <cell r="I111">
            <v>88.324873096446709</v>
          </cell>
          <cell r="J111">
            <v>94.657967373713916</v>
          </cell>
          <cell r="L111" t="e">
            <v>#REF!</v>
          </cell>
          <cell r="M111" t="e">
            <v>#REF!</v>
          </cell>
        </row>
        <row r="112">
          <cell r="B112" t="str">
            <v>J</v>
          </cell>
          <cell r="D112">
            <v>34131</v>
          </cell>
          <cell r="E112">
            <v>217.5</v>
          </cell>
          <cell r="F112">
            <v>1356.4</v>
          </cell>
          <cell r="G112">
            <v>2357.64</v>
          </cell>
          <cell r="I112">
            <v>88.324873096446709</v>
          </cell>
          <cell r="J112">
            <v>92.832533360633462</v>
          </cell>
          <cell r="L112" t="e">
            <v>#REF!</v>
          </cell>
          <cell r="M112" t="e">
            <v>#REF!</v>
          </cell>
        </row>
        <row r="113">
          <cell r="B113" t="str">
            <v>J</v>
          </cell>
          <cell r="D113">
            <v>34134</v>
          </cell>
          <cell r="E113">
            <v>212.5</v>
          </cell>
          <cell r="F113">
            <v>1199.5</v>
          </cell>
          <cell r="G113">
            <v>2305.98</v>
          </cell>
          <cell r="I113">
            <v>86.294416243654823</v>
          </cell>
          <cell r="J113">
            <v>90.79841081715341</v>
          </cell>
          <cell r="L113" t="e">
            <v>#REF!</v>
          </cell>
          <cell r="M113" t="e">
            <v>#REF!</v>
          </cell>
        </row>
        <row r="114">
          <cell r="B114" t="str">
            <v>J</v>
          </cell>
          <cell r="D114">
            <v>34135</v>
          </cell>
          <cell r="E114">
            <v>205</v>
          </cell>
          <cell r="F114">
            <v>1310.3</v>
          </cell>
          <cell r="G114">
            <v>2291.65</v>
          </cell>
          <cell r="I114">
            <v>83.248730964467015</v>
          </cell>
          <cell r="J114">
            <v>90.234164281186139</v>
          </cell>
          <cell r="L114" t="e">
            <v>#REF!</v>
          </cell>
          <cell r="M114" t="e">
            <v>#REF!</v>
          </cell>
        </row>
        <row r="115">
          <cell r="B115" t="str">
            <v>J</v>
          </cell>
          <cell r="D115">
            <v>34136</v>
          </cell>
          <cell r="E115">
            <v>202.5</v>
          </cell>
          <cell r="F115">
            <v>899.6</v>
          </cell>
          <cell r="G115">
            <v>2234.38</v>
          </cell>
          <cell r="I115">
            <v>82.233502538071065</v>
          </cell>
          <cell r="J115">
            <v>87.979146897037808</v>
          </cell>
          <cell r="L115" t="e">
            <v>#REF!</v>
          </cell>
          <cell r="M115" t="e">
            <v>#REF!</v>
          </cell>
        </row>
        <row r="116">
          <cell r="B116" t="str">
            <v>J</v>
          </cell>
          <cell r="D116">
            <v>34137</v>
          </cell>
          <cell r="E116">
            <v>193.75</v>
          </cell>
          <cell r="F116">
            <v>1503</v>
          </cell>
          <cell r="G116">
            <v>2226.6799999999998</v>
          </cell>
          <cell r="I116">
            <v>78.680203045685289</v>
          </cell>
          <cell r="J116">
            <v>87.675957900042121</v>
          </cell>
          <cell r="L116" t="e">
            <v>#REF!</v>
          </cell>
          <cell r="M116" t="e">
            <v>#REF!</v>
          </cell>
        </row>
        <row r="117">
          <cell r="B117" t="str">
            <v>J</v>
          </cell>
          <cell r="D117">
            <v>34138</v>
          </cell>
          <cell r="E117">
            <v>193.75</v>
          </cell>
          <cell r="F117">
            <v>1687.4</v>
          </cell>
          <cell r="G117">
            <v>2218.88</v>
          </cell>
          <cell r="I117">
            <v>78.680203045685289</v>
          </cell>
          <cell r="J117">
            <v>87.36883138360497</v>
          </cell>
          <cell r="L117" t="e">
            <v>#REF!</v>
          </cell>
          <cell r="M117" t="e">
            <v>#REF!</v>
          </cell>
        </row>
        <row r="118">
          <cell r="B118" t="str">
            <v>J</v>
          </cell>
          <cell r="D118">
            <v>34141</v>
          </cell>
          <cell r="E118">
            <v>193.75</v>
          </cell>
          <cell r="F118">
            <v>804.4</v>
          </cell>
          <cell r="G118">
            <v>2249.29</v>
          </cell>
          <cell r="I118">
            <v>78.680203045685289</v>
          </cell>
          <cell r="J118">
            <v>88.56623104576579</v>
          </cell>
          <cell r="L118" t="e">
            <v>#REF!</v>
          </cell>
          <cell r="M118" t="e">
            <v>#REF!</v>
          </cell>
        </row>
        <row r="119">
          <cell r="B119" t="str">
            <v>J</v>
          </cell>
          <cell r="D119">
            <v>34142</v>
          </cell>
          <cell r="E119">
            <v>196.25</v>
          </cell>
          <cell r="F119">
            <v>489.5</v>
          </cell>
          <cell r="G119">
            <v>2235.06</v>
          </cell>
          <cell r="I119">
            <v>79.695431472081225</v>
          </cell>
          <cell r="J119">
            <v>88.005922029240025</v>
          </cell>
          <cell r="L119" t="e">
            <v>#REF!</v>
          </cell>
          <cell r="M119" t="e">
            <v>#REF!</v>
          </cell>
        </row>
        <row r="120">
          <cell r="B120" t="str">
            <v>J</v>
          </cell>
          <cell r="D120">
            <v>34143</v>
          </cell>
          <cell r="E120">
            <v>193.75</v>
          </cell>
          <cell r="F120">
            <v>267</v>
          </cell>
          <cell r="G120">
            <v>2227.8000000000002</v>
          </cell>
          <cell r="I120">
            <v>78.680203045685289</v>
          </cell>
          <cell r="J120">
            <v>87.720058117786962</v>
          </cell>
          <cell r="L120" t="e">
            <v>#REF!</v>
          </cell>
          <cell r="M120" t="e">
            <v>#REF!</v>
          </cell>
        </row>
        <row r="121">
          <cell r="B121" t="str">
            <v>J</v>
          </cell>
          <cell r="D121">
            <v>34144</v>
          </cell>
          <cell r="E121">
            <v>192.5</v>
          </cell>
          <cell r="F121">
            <v>691.2</v>
          </cell>
          <cell r="G121">
            <v>2203.96</v>
          </cell>
          <cell r="I121">
            <v>78.172588832487307</v>
          </cell>
          <cell r="J121">
            <v>86.781353482932829</v>
          </cell>
          <cell r="L121" t="e">
            <v>#REF!</v>
          </cell>
          <cell r="M121" t="e">
            <v>#REF!</v>
          </cell>
        </row>
        <row r="122">
          <cell r="B122" t="str">
            <v>J</v>
          </cell>
          <cell r="D122">
            <v>34145</v>
          </cell>
          <cell r="E122">
            <v>188.75</v>
          </cell>
          <cell r="F122">
            <v>760.1</v>
          </cell>
          <cell r="G122">
            <v>2161.98</v>
          </cell>
          <cell r="I122">
            <v>76.649746192893403</v>
          </cell>
          <cell r="J122">
            <v>85.12838282139019</v>
          </cell>
          <cell r="L122" t="e">
            <v>#REF!</v>
          </cell>
          <cell r="M122" t="e">
            <v>#REF!</v>
          </cell>
        </row>
        <row r="123">
          <cell r="B123" t="str">
            <v>J</v>
          </cell>
          <cell r="D123">
            <v>34148</v>
          </cell>
          <cell r="E123">
            <v>183.75</v>
          </cell>
          <cell r="F123">
            <v>750</v>
          </cell>
          <cell r="G123">
            <v>2211.14</v>
          </cell>
          <cell r="I123">
            <v>74.619289340101531</v>
          </cell>
          <cell r="J123">
            <v>87.064067378832675</v>
          </cell>
          <cell r="L123" t="e">
            <v>#REF!</v>
          </cell>
          <cell r="M123" t="e">
            <v>#REF!</v>
          </cell>
        </row>
        <row r="124">
          <cell r="B124" t="str">
            <v>J</v>
          </cell>
          <cell r="D124">
            <v>34149</v>
          </cell>
          <cell r="E124">
            <v>190</v>
          </cell>
          <cell r="F124">
            <v>799.5</v>
          </cell>
          <cell r="G124">
            <v>2227.54</v>
          </cell>
          <cell r="I124">
            <v>77.157360406091371</v>
          </cell>
          <cell r="J124">
            <v>87.709820567239049</v>
          </cell>
          <cell r="L124" t="e">
            <v>#REF!</v>
          </cell>
          <cell r="M124" t="e">
            <v>#REF!</v>
          </cell>
        </row>
        <row r="125">
          <cell r="B125" t="str">
            <v>J</v>
          </cell>
          <cell r="D125">
            <v>34150</v>
          </cell>
          <cell r="E125">
            <v>191.25</v>
          </cell>
          <cell r="F125">
            <v>450.3</v>
          </cell>
          <cell r="G125">
            <v>2233.86</v>
          </cell>
          <cell r="I125">
            <v>77.664974619289339</v>
          </cell>
          <cell r="J125">
            <v>87.958671795941996</v>
          </cell>
          <cell r="L125" t="e">
            <v>#REF!</v>
          </cell>
          <cell r="M125" t="e">
            <v>#REF!</v>
          </cell>
        </row>
        <row r="126">
          <cell r="B126" t="str">
            <v>J</v>
          </cell>
          <cell r="D126">
            <v>34152</v>
          </cell>
          <cell r="E126">
            <v>193.75</v>
          </cell>
          <cell r="F126">
            <v>1251.9000000000001</v>
          </cell>
          <cell r="G126">
            <v>2255.79</v>
          </cell>
          <cell r="I126">
            <v>78.680203045685289</v>
          </cell>
          <cell r="J126">
            <v>88.822169809463432</v>
          </cell>
          <cell r="L126" t="e">
            <v>#REF!</v>
          </cell>
          <cell r="M126" t="e">
            <v>#REF!</v>
          </cell>
        </row>
        <row r="127">
          <cell r="B127" t="str">
            <v>J</v>
          </cell>
          <cell r="D127">
            <v>34155</v>
          </cell>
          <cell r="E127">
            <v>198.75</v>
          </cell>
          <cell r="F127">
            <v>1065.8</v>
          </cell>
          <cell r="G127">
            <v>2260.2600000000002</v>
          </cell>
          <cell r="I127">
            <v>80.710659898477161</v>
          </cell>
          <cell r="J127">
            <v>88.998176928498594</v>
          </cell>
          <cell r="L127" t="e">
            <v>#REF!</v>
          </cell>
          <cell r="M127" t="e">
            <v>#REF!</v>
          </cell>
        </row>
        <row r="128">
          <cell r="B128" t="str">
            <v>J</v>
          </cell>
          <cell r="D128">
            <v>34156</v>
          </cell>
          <cell r="E128">
            <v>201.25</v>
          </cell>
          <cell r="F128">
            <v>994.25</v>
          </cell>
          <cell r="G128">
            <v>2253.36</v>
          </cell>
          <cell r="I128">
            <v>81.725888324873097</v>
          </cell>
          <cell r="J128">
            <v>88.726488087034937</v>
          </cell>
          <cell r="L128" t="e">
            <v>#REF!</v>
          </cell>
          <cell r="M128" t="e">
            <v>#REF!</v>
          </cell>
        </row>
        <row r="129">
          <cell r="B129" t="str">
            <v>J</v>
          </cell>
          <cell r="D129">
            <v>34157</v>
          </cell>
          <cell r="E129">
            <v>201.25</v>
          </cell>
          <cell r="F129">
            <v>713</v>
          </cell>
          <cell r="G129">
            <v>2221.6799999999998</v>
          </cell>
          <cell r="I129">
            <v>81.725888324873097</v>
          </cell>
          <cell r="J129">
            <v>87.479081927967016</v>
          </cell>
          <cell r="L129" t="e">
            <v>#REF!</v>
          </cell>
          <cell r="M129" t="e">
            <v>#REF!</v>
          </cell>
        </row>
        <row r="130">
          <cell r="B130" t="str">
            <v>J</v>
          </cell>
          <cell r="D130">
            <v>34158</v>
          </cell>
          <cell r="E130">
            <v>197.5</v>
          </cell>
          <cell r="F130">
            <v>489.05</v>
          </cell>
          <cell r="G130">
            <v>2214.63</v>
          </cell>
          <cell r="I130">
            <v>80.203045685279193</v>
          </cell>
          <cell r="J130">
            <v>87.201486807341112</v>
          </cell>
          <cell r="L130" t="e">
            <v>#REF!</v>
          </cell>
          <cell r="M130" t="e">
            <v>#REF!</v>
          </cell>
        </row>
        <row r="131">
          <cell r="B131" t="str">
            <v>J</v>
          </cell>
          <cell r="D131">
            <v>34159</v>
          </cell>
          <cell r="E131">
            <v>197.5</v>
          </cell>
          <cell r="F131">
            <v>396.35</v>
          </cell>
          <cell r="G131">
            <v>2181.1</v>
          </cell>
          <cell r="I131">
            <v>80.203045685279193</v>
          </cell>
          <cell r="J131">
            <v>85.881236538605407</v>
          </cell>
          <cell r="L131" t="e">
            <v>#REF!</v>
          </cell>
          <cell r="M131" t="e">
            <v>#REF!</v>
          </cell>
        </row>
        <row r="132">
          <cell r="B132" t="str">
            <v>J</v>
          </cell>
          <cell r="D132">
            <v>34162</v>
          </cell>
          <cell r="E132">
            <v>192.5</v>
          </cell>
          <cell r="F132">
            <v>641.35</v>
          </cell>
          <cell r="G132">
            <v>2181.12</v>
          </cell>
          <cell r="I132">
            <v>78.172588832487307</v>
          </cell>
          <cell r="J132">
            <v>85.882024042493711</v>
          </cell>
          <cell r="L132" t="e">
            <v>#REF!</v>
          </cell>
          <cell r="M132" t="e">
            <v>#REF!</v>
          </cell>
        </row>
        <row r="133">
          <cell r="B133" t="str">
            <v>J</v>
          </cell>
          <cell r="D133">
            <v>34163</v>
          </cell>
          <cell r="E133">
            <v>193.75</v>
          </cell>
          <cell r="F133">
            <v>321.60000000000002</v>
          </cell>
          <cell r="G133">
            <v>2185.2399999999998</v>
          </cell>
          <cell r="I133">
            <v>78.680203045685289</v>
          </cell>
          <cell r="J133">
            <v>86.044249843483598</v>
          </cell>
          <cell r="L133" t="e">
            <v>#REF!</v>
          </cell>
          <cell r="M133" t="e">
            <v>#REF!</v>
          </cell>
        </row>
        <row r="134">
          <cell r="B134" t="str">
            <v>J</v>
          </cell>
          <cell r="D134">
            <v>34164</v>
          </cell>
          <cell r="E134">
            <v>194</v>
          </cell>
          <cell r="F134">
            <v>373.55</v>
          </cell>
          <cell r="G134">
            <v>2158.83</v>
          </cell>
          <cell r="I134">
            <v>78.781725888324871</v>
          </cell>
          <cell r="J134">
            <v>85.004350958982855</v>
          </cell>
          <cell r="L134" t="e">
            <v>#REF!</v>
          </cell>
          <cell r="M134" t="e">
            <v>#REF!</v>
          </cell>
        </row>
        <row r="135">
          <cell r="B135" t="str">
            <v>J</v>
          </cell>
          <cell r="D135">
            <v>34165</v>
          </cell>
          <cell r="E135">
            <v>191</v>
          </cell>
          <cell r="F135">
            <v>741.65</v>
          </cell>
          <cell r="G135">
            <v>2131.21</v>
          </cell>
          <cell r="I135">
            <v>77.563451776649742</v>
          </cell>
          <cell r="J135">
            <v>83.91680808923995</v>
          </cell>
          <cell r="L135" t="e">
            <v>#REF!</v>
          </cell>
          <cell r="M135" t="e">
            <v>#REF!</v>
          </cell>
        </row>
        <row r="136">
          <cell r="B136" t="str">
            <v>J</v>
          </cell>
          <cell r="D136">
            <v>34166</v>
          </cell>
          <cell r="E136">
            <v>189</v>
          </cell>
          <cell r="F136">
            <v>467.85</v>
          </cell>
          <cell r="G136">
            <v>2098.27</v>
          </cell>
          <cell r="I136">
            <v>76.751269035532999</v>
          </cell>
          <cell r="J136">
            <v>82.6197891852091</v>
          </cell>
          <cell r="L136" t="e">
            <v>#REF!</v>
          </cell>
          <cell r="M136" t="e">
            <v>#REF!</v>
          </cell>
        </row>
        <row r="137">
          <cell r="B137" t="str">
            <v>J</v>
          </cell>
          <cell r="D137">
            <v>34169</v>
          </cell>
          <cell r="E137">
            <v>186.5</v>
          </cell>
          <cell r="F137">
            <v>378.5</v>
          </cell>
          <cell r="G137">
            <v>2105.4899999999998</v>
          </cell>
          <cell r="I137">
            <v>75.736040609137063</v>
          </cell>
          <cell r="J137">
            <v>82.904078088885555</v>
          </cell>
          <cell r="L137" t="e">
            <v>#REF!</v>
          </cell>
          <cell r="M137" t="e">
            <v>#REF!</v>
          </cell>
        </row>
        <row r="138">
          <cell r="B138" t="str">
            <v>J</v>
          </cell>
          <cell r="D138">
            <v>34170</v>
          </cell>
          <cell r="E138">
            <v>188.5</v>
          </cell>
          <cell r="F138">
            <v>434.85</v>
          </cell>
          <cell r="G138">
            <v>2123.3200000000002</v>
          </cell>
          <cell r="I138">
            <v>76.548223350253807</v>
          </cell>
          <cell r="J138">
            <v>83.606137805305423</v>
          </cell>
          <cell r="L138" t="e">
            <v>#REF!</v>
          </cell>
          <cell r="M138" t="e">
            <v>#REF!</v>
          </cell>
        </row>
        <row r="139">
          <cell r="B139" t="str">
            <v>J</v>
          </cell>
          <cell r="D139">
            <v>34171</v>
          </cell>
          <cell r="E139">
            <v>191</v>
          </cell>
          <cell r="F139">
            <v>418.2</v>
          </cell>
          <cell r="G139">
            <v>2159.77</v>
          </cell>
          <cell r="I139">
            <v>77.563451776649742</v>
          </cell>
          <cell r="J139">
            <v>85.041363641732985</v>
          </cell>
          <cell r="L139" t="e">
            <v>#REF!</v>
          </cell>
          <cell r="M139" t="e">
            <v>#REF!</v>
          </cell>
        </row>
        <row r="140">
          <cell r="B140" t="str">
            <v>J</v>
          </cell>
          <cell r="D140">
            <v>34172</v>
          </cell>
          <cell r="E140">
            <v>197.5</v>
          </cell>
          <cell r="F140">
            <v>1438.15</v>
          </cell>
          <cell r="G140">
            <v>2164.39</v>
          </cell>
          <cell r="I140">
            <v>80.203045685279193</v>
          </cell>
          <cell r="J140">
            <v>85.22327703993038</v>
          </cell>
          <cell r="L140" t="e">
            <v>#REF!</v>
          </cell>
          <cell r="M140" t="e">
            <v>#REF!</v>
          </cell>
        </row>
        <row r="141">
          <cell r="B141" t="str">
            <v>J</v>
          </cell>
          <cell r="D141">
            <v>34176</v>
          </cell>
          <cell r="E141">
            <v>202</v>
          </cell>
          <cell r="F141">
            <v>2208.4499999999998</v>
          </cell>
          <cell r="G141">
            <v>2164.88</v>
          </cell>
          <cell r="I141">
            <v>82.030456852791886</v>
          </cell>
          <cell r="J141">
            <v>85.242570885193757</v>
          </cell>
          <cell r="L141" t="e">
            <v>#REF!</v>
          </cell>
          <cell r="M141" t="e">
            <v>#REF!</v>
          </cell>
        </row>
        <row r="142">
          <cell r="B142" t="str">
            <v>J</v>
          </cell>
          <cell r="D142">
            <v>34177</v>
          </cell>
          <cell r="E142">
            <v>205</v>
          </cell>
          <cell r="F142">
            <v>167.22</v>
          </cell>
          <cell r="G142">
            <v>2149.73</v>
          </cell>
          <cell r="I142">
            <v>83.248730964467015</v>
          </cell>
          <cell r="J142">
            <v>84.646036689806166</v>
          </cell>
          <cell r="L142" t="e">
            <v>#REF!</v>
          </cell>
          <cell r="M142" t="e">
            <v>#REF!</v>
          </cell>
        </row>
        <row r="143">
          <cell r="B143" t="str">
            <v>J</v>
          </cell>
          <cell r="D143">
            <v>34178</v>
          </cell>
          <cell r="E143">
            <v>201</v>
          </cell>
          <cell r="F143">
            <v>1901.6</v>
          </cell>
          <cell r="G143">
            <v>2232.4699999999998</v>
          </cell>
          <cell r="I143">
            <v>81.6243654822335</v>
          </cell>
          <cell r="J143">
            <v>87.903940275705111</v>
          </cell>
          <cell r="L143" t="e">
            <v>#REF!</v>
          </cell>
          <cell r="M143" t="e">
            <v>#REF!</v>
          </cell>
        </row>
        <row r="144">
          <cell r="B144" t="str">
            <v>J</v>
          </cell>
          <cell r="D144">
            <v>34179</v>
          </cell>
          <cell r="E144">
            <v>216</v>
          </cell>
          <cell r="F144">
            <v>4473.45</v>
          </cell>
          <cell r="G144">
            <v>2328.21</v>
          </cell>
          <cell r="I144">
            <v>87.715736040609144</v>
          </cell>
          <cell r="J144">
            <v>91.673721388999368</v>
          </cell>
          <cell r="L144" t="e">
            <v>#REF!</v>
          </cell>
          <cell r="M144" t="e">
            <v>#REF!</v>
          </cell>
        </row>
        <row r="145">
          <cell r="B145" t="str">
            <v>J</v>
          </cell>
          <cell r="D145">
            <v>34180</v>
          </cell>
          <cell r="E145">
            <v>236</v>
          </cell>
          <cell r="F145">
            <v>228.97</v>
          </cell>
          <cell r="G145">
            <v>2336.62</v>
          </cell>
          <cell r="I145">
            <v>95.83756345177666</v>
          </cell>
          <cell r="J145">
            <v>92.004866774029693</v>
          </cell>
          <cell r="L145" t="e">
            <v>#REF!</v>
          </cell>
          <cell r="M145" t="e">
            <v>#REF!</v>
          </cell>
        </row>
        <row r="146">
          <cell r="B146" t="str">
            <v>A</v>
          </cell>
          <cell r="D146">
            <v>34184</v>
          </cell>
          <cell r="E146">
            <v>241</v>
          </cell>
          <cell r="F146">
            <v>3198.45</v>
          </cell>
          <cell r="G146">
            <v>2322.71</v>
          </cell>
          <cell r="I146">
            <v>97.868020304568532</v>
          </cell>
          <cell r="J146">
            <v>91.457157819716741</v>
          </cell>
          <cell r="L146" t="e">
            <v>#REF!</v>
          </cell>
          <cell r="M146" t="e">
            <v>#REF!</v>
          </cell>
        </row>
        <row r="147">
          <cell r="B147" t="str">
            <v>A</v>
          </cell>
          <cell r="D147">
            <v>34185</v>
          </cell>
          <cell r="E147">
            <v>241</v>
          </cell>
          <cell r="F147">
            <v>1748.65</v>
          </cell>
          <cell r="G147">
            <v>2382.1799999999998</v>
          </cell>
          <cell r="I147">
            <v>97.868020304568532</v>
          </cell>
          <cell r="J147">
            <v>93.798800631578118</v>
          </cell>
          <cell r="L147" t="e">
            <v>#REF!</v>
          </cell>
          <cell r="M147" t="e">
            <v>#REF!</v>
          </cell>
        </row>
        <row r="148">
          <cell r="B148" t="str">
            <v>A</v>
          </cell>
          <cell r="D148">
            <v>34187</v>
          </cell>
          <cell r="E148">
            <v>258</v>
          </cell>
          <cell r="F148">
            <v>3983.6</v>
          </cell>
          <cell r="G148">
            <v>2380.96</v>
          </cell>
          <cell r="I148">
            <v>104.77157360406092</v>
          </cell>
          <cell r="J148">
            <v>93.750762894391798</v>
          </cell>
          <cell r="L148" t="e">
            <v>#REF!</v>
          </cell>
          <cell r="M148" t="e">
            <v>#REF!</v>
          </cell>
        </row>
        <row r="149">
          <cell r="B149" t="str">
            <v>A</v>
          </cell>
          <cell r="D149">
            <v>34191</v>
          </cell>
          <cell r="E149">
            <v>255.5</v>
          </cell>
          <cell r="F149">
            <v>3552.2</v>
          </cell>
          <cell r="G149">
            <v>2483.8000000000002</v>
          </cell>
          <cell r="I149">
            <v>103.75634517766498</v>
          </cell>
          <cell r="J149">
            <v>97.800107888032713</v>
          </cell>
          <cell r="L149" t="e">
            <v>#REF!</v>
          </cell>
          <cell r="M149" t="e">
            <v>#REF!</v>
          </cell>
        </row>
        <row r="150">
          <cell r="B150" t="str">
            <v>A</v>
          </cell>
          <cell r="D150">
            <v>34193</v>
          </cell>
          <cell r="E150">
            <v>261.5</v>
          </cell>
          <cell r="F150">
            <v>2764.25</v>
          </cell>
          <cell r="G150">
            <v>2522.48</v>
          </cell>
          <cell r="I150">
            <v>106.19289340101523</v>
          </cell>
          <cell r="J150">
            <v>99.32314040800577</v>
          </cell>
          <cell r="L150" t="e">
            <v>#REF!</v>
          </cell>
          <cell r="M150" t="e">
            <v>#REF!</v>
          </cell>
        </row>
        <row r="151">
          <cell r="B151" t="str">
            <v>A</v>
          </cell>
          <cell r="D151">
            <v>34194</v>
          </cell>
          <cell r="E151">
            <v>261</v>
          </cell>
          <cell r="F151">
            <v>1922.85</v>
          </cell>
          <cell r="G151">
            <v>2527.2399999999998</v>
          </cell>
          <cell r="I151">
            <v>105.98984771573605</v>
          </cell>
          <cell r="J151">
            <v>99.510566333421266</v>
          </cell>
          <cell r="L151" t="e">
            <v>#REF!</v>
          </cell>
          <cell r="M151" t="e">
            <v>#REF!</v>
          </cell>
        </row>
        <row r="152">
          <cell r="B152" t="str">
            <v>A</v>
          </cell>
          <cell r="D152">
            <v>34197</v>
          </cell>
          <cell r="E152">
            <v>266</v>
          </cell>
          <cell r="F152">
            <v>4460.6499999999996</v>
          </cell>
          <cell r="G152">
            <v>2575.58</v>
          </cell>
          <cell r="I152">
            <v>108.02030456852792</v>
          </cell>
          <cell r="J152">
            <v>101.41396323144346</v>
          </cell>
          <cell r="L152" t="e">
            <v>#REF!</v>
          </cell>
          <cell r="M152" t="e">
            <v>#REF!</v>
          </cell>
        </row>
        <row r="153">
          <cell r="B153" t="str">
            <v>A</v>
          </cell>
          <cell r="D153">
            <v>34198</v>
          </cell>
          <cell r="E153">
            <v>269.5</v>
          </cell>
          <cell r="F153">
            <v>3136.75</v>
          </cell>
          <cell r="G153">
            <v>2615.1999999999998</v>
          </cell>
          <cell r="I153">
            <v>109.44162436548224</v>
          </cell>
          <cell r="J153">
            <v>102.97400843416663</v>
          </cell>
          <cell r="L153" t="e">
            <v>#REF!</v>
          </cell>
          <cell r="M153" t="e">
            <v>#REF!</v>
          </cell>
        </row>
        <row r="154">
          <cell r="B154" t="str">
            <v>A</v>
          </cell>
          <cell r="D154">
            <v>34199</v>
          </cell>
          <cell r="E154">
            <v>268</v>
          </cell>
          <cell r="F154">
            <v>3083.75</v>
          </cell>
          <cell r="G154">
            <v>2700.75</v>
          </cell>
          <cell r="I154">
            <v>108.83248730964468</v>
          </cell>
          <cell r="J154">
            <v>106.34255631637181</v>
          </cell>
          <cell r="L154" t="e">
            <v>#REF!</v>
          </cell>
          <cell r="M154" t="e">
            <v>#REF!</v>
          </cell>
        </row>
        <row r="155">
          <cell r="B155" t="str">
            <v>A</v>
          </cell>
          <cell r="D155">
            <v>34200</v>
          </cell>
          <cell r="E155">
            <v>275</v>
          </cell>
          <cell r="F155">
            <v>1718.15</v>
          </cell>
          <cell r="G155">
            <v>2742.37</v>
          </cell>
          <cell r="I155">
            <v>111.67512690355331</v>
          </cell>
          <cell r="J155">
            <v>107.98135190792505</v>
          </cell>
          <cell r="L155" t="e">
            <v>#REF!</v>
          </cell>
          <cell r="M155" t="e">
            <v>#REF!</v>
          </cell>
        </row>
        <row r="156">
          <cell r="B156" t="str">
            <v>A</v>
          </cell>
          <cell r="D156">
            <v>34201</v>
          </cell>
          <cell r="E156">
            <v>271</v>
          </cell>
          <cell r="F156">
            <v>3341.8</v>
          </cell>
          <cell r="G156">
            <v>2655.38</v>
          </cell>
          <cell r="I156">
            <v>110.05076142131981</v>
          </cell>
          <cell r="J156">
            <v>104.55610374576226</v>
          </cell>
          <cell r="L156" t="e">
            <v>#REF!</v>
          </cell>
          <cell r="M156" t="e">
            <v>#REF!</v>
          </cell>
        </row>
        <row r="157">
          <cell r="B157" t="str">
            <v>A</v>
          </cell>
          <cell r="D157">
            <v>34205</v>
          </cell>
          <cell r="E157">
            <v>262.5</v>
          </cell>
          <cell r="F157">
            <v>3670.05</v>
          </cell>
          <cell r="G157">
            <v>2679.73</v>
          </cell>
          <cell r="I157">
            <v>106.59898477157361</v>
          </cell>
          <cell r="J157">
            <v>105.51488972976804</v>
          </cell>
          <cell r="L157" t="e">
            <v>#REF!</v>
          </cell>
          <cell r="M157" t="e">
            <v>#REF!</v>
          </cell>
        </row>
        <row r="158">
          <cell r="B158" t="str">
            <v>A</v>
          </cell>
          <cell r="D158">
            <v>34206</v>
          </cell>
          <cell r="E158">
            <v>266</v>
          </cell>
          <cell r="F158">
            <v>2796.25</v>
          </cell>
          <cell r="G158">
            <v>2670.88</v>
          </cell>
          <cell r="I158">
            <v>108.02030456852792</v>
          </cell>
          <cell r="J158">
            <v>105.1664192591951</v>
          </cell>
          <cell r="L158" t="e">
            <v>#REF!</v>
          </cell>
          <cell r="M158" t="e">
            <v>#REF!</v>
          </cell>
        </row>
        <row r="159">
          <cell r="B159" t="str">
            <v>A</v>
          </cell>
          <cell r="D159">
            <v>34207</v>
          </cell>
          <cell r="E159">
            <v>264</v>
          </cell>
          <cell r="F159">
            <v>3778.65</v>
          </cell>
          <cell r="G159">
            <v>2668.96</v>
          </cell>
          <cell r="I159">
            <v>107.20812182741118</v>
          </cell>
          <cell r="J159">
            <v>105.09081888591825</v>
          </cell>
          <cell r="L159" t="e">
            <v>#REF!</v>
          </cell>
          <cell r="M159" t="e">
            <v>#REF!</v>
          </cell>
        </row>
        <row r="160">
          <cell r="B160" t="str">
            <v>A</v>
          </cell>
          <cell r="D160">
            <v>34208</v>
          </cell>
          <cell r="E160">
            <v>258</v>
          </cell>
          <cell r="F160">
            <v>2032.25</v>
          </cell>
          <cell r="G160">
            <v>2633.79</v>
          </cell>
          <cell r="I160">
            <v>104.77157360406092</v>
          </cell>
          <cell r="J160">
            <v>103.70599329834191</v>
          </cell>
          <cell r="L160" t="e">
            <v>#REF!</v>
          </cell>
          <cell r="M160" t="e">
            <v>#REF!</v>
          </cell>
        </row>
        <row r="161">
          <cell r="B161" t="str">
            <v>A</v>
          </cell>
          <cell r="D161">
            <v>34211</v>
          </cell>
          <cell r="E161">
            <v>258</v>
          </cell>
          <cell r="F161">
            <v>2317.85</v>
          </cell>
          <cell r="G161">
            <v>2630.49</v>
          </cell>
          <cell r="I161">
            <v>104.77157360406092</v>
          </cell>
          <cell r="J161">
            <v>103.57605515677233</v>
          </cell>
          <cell r="L161" t="e">
            <v>#REF!</v>
          </cell>
          <cell r="M161" t="e">
            <v>#REF!</v>
          </cell>
        </row>
        <row r="162">
          <cell r="B162" t="str">
            <v>S</v>
          </cell>
          <cell r="D162">
            <v>34213</v>
          </cell>
          <cell r="E162">
            <v>258.5</v>
          </cell>
          <cell r="F162">
            <v>1912.5</v>
          </cell>
          <cell r="G162">
            <v>2684.34</v>
          </cell>
          <cell r="I162">
            <v>104.97461928934011</v>
          </cell>
          <cell r="J162">
            <v>105.69640937602131</v>
          </cell>
          <cell r="L162" t="e">
            <v>#REF!</v>
          </cell>
          <cell r="M162" t="e">
            <v>#REF!</v>
          </cell>
        </row>
        <row r="163">
          <cell r="B163" t="str">
            <v>S</v>
          </cell>
          <cell r="D163">
            <v>34214</v>
          </cell>
          <cell r="E163">
            <v>264</v>
          </cell>
          <cell r="F163">
            <v>1410.8</v>
          </cell>
          <cell r="G163">
            <v>2664.06</v>
          </cell>
          <cell r="I163">
            <v>107.20812182741118</v>
          </cell>
          <cell r="J163">
            <v>104.89788043328464</v>
          </cell>
          <cell r="L163" t="e">
            <v>#REF!</v>
          </cell>
          <cell r="M163" t="e">
            <v>#REF!</v>
          </cell>
        </row>
        <row r="164">
          <cell r="B164" t="str">
            <v>S</v>
          </cell>
          <cell r="D164">
            <v>34215</v>
          </cell>
          <cell r="E164">
            <v>262</v>
          </cell>
          <cell r="F164">
            <v>1097.55</v>
          </cell>
          <cell r="G164">
            <v>2621.1999999999998</v>
          </cell>
          <cell r="I164">
            <v>106.39593908629442</v>
          </cell>
          <cell r="J164">
            <v>103.21025960065677</v>
          </cell>
          <cell r="L164" t="e">
            <v>#REF!</v>
          </cell>
          <cell r="M164" t="e">
            <v>#REF!</v>
          </cell>
        </row>
        <row r="165">
          <cell r="B165" t="str">
            <v>S</v>
          </cell>
          <cell r="D165">
            <v>34218</v>
          </cell>
          <cell r="E165">
            <v>256</v>
          </cell>
          <cell r="F165">
            <v>1414.85</v>
          </cell>
          <cell r="G165">
            <v>2533.5300000000002</v>
          </cell>
          <cell r="I165">
            <v>103.95939086294416</v>
          </cell>
          <cell r="J165">
            <v>99.758236306291778</v>
          </cell>
          <cell r="L165" t="e">
            <v>#REF!</v>
          </cell>
          <cell r="M165" t="e">
            <v>#REF!</v>
          </cell>
        </row>
        <row r="166">
          <cell r="B166" t="str">
            <v>S</v>
          </cell>
          <cell r="D166">
            <v>34219</v>
          </cell>
          <cell r="E166">
            <v>246</v>
          </cell>
          <cell r="F166">
            <v>952.3</v>
          </cell>
          <cell r="G166">
            <v>2580.2399999999998</v>
          </cell>
          <cell r="I166">
            <v>99.898477157360404</v>
          </cell>
          <cell r="J166">
            <v>101.59745163741745</v>
          </cell>
          <cell r="L166" t="e">
            <v>#REF!</v>
          </cell>
          <cell r="M166" t="e">
            <v>#REF!</v>
          </cell>
        </row>
        <row r="167">
          <cell r="B167" t="str">
            <v>S</v>
          </cell>
          <cell r="D167">
            <v>34220</v>
          </cell>
          <cell r="E167">
            <v>252</v>
          </cell>
          <cell r="F167">
            <v>615.9</v>
          </cell>
          <cell r="G167">
            <v>2662.54</v>
          </cell>
          <cell r="I167">
            <v>102.33502538071066</v>
          </cell>
          <cell r="J167">
            <v>104.83803013777381</v>
          </cell>
          <cell r="L167" t="e">
            <v>#REF!</v>
          </cell>
          <cell r="M167" t="e">
            <v>#REF!</v>
          </cell>
        </row>
        <row r="168">
          <cell r="B168" t="str">
            <v>S</v>
          </cell>
          <cell r="D168">
            <v>34221</v>
          </cell>
          <cell r="E168">
            <v>260</v>
          </cell>
          <cell r="F168">
            <v>576.95000000000005</v>
          </cell>
          <cell r="G168">
            <v>2705.07</v>
          </cell>
          <cell r="I168">
            <v>105.58375634517766</v>
          </cell>
          <cell r="J168">
            <v>106.51265715624471</v>
          </cell>
          <cell r="L168" t="e">
            <v>#REF!</v>
          </cell>
          <cell r="M168" t="e">
            <v>#REF!</v>
          </cell>
        </row>
        <row r="169">
          <cell r="B169" t="str">
            <v>S</v>
          </cell>
          <cell r="D169">
            <v>34222</v>
          </cell>
          <cell r="E169">
            <v>262</v>
          </cell>
          <cell r="F169">
            <v>1123.8</v>
          </cell>
          <cell r="G169">
            <v>2789.2</v>
          </cell>
          <cell r="I169">
            <v>106.39593908629442</v>
          </cell>
          <cell r="J169">
            <v>109.82529226238054</v>
          </cell>
          <cell r="L169" t="e">
            <v>#REF!</v>
          </cell>
          <cell r="M169" t="e">
            <v>#REF!</v>
          </cell>
        </row>
        <row r="170">
          <cell r="B170" t="str">
            <v>S</v>
          </cell>
          <cell r="D170">
            <v>34225</v>
          </cell>
          <cell r="E170">
            <v>271.25</v>
          </cell>
          <cell r="F170">
            <v>1028.2</v>
          </cell>
          <cell r="G170">
            <v>2807.64</v>
          </cell>
          <cell r="I170">
            <v>110.1522842639594</v>
          </cell>
          <cell r="J170">
            <v>110.55137084739356</v>
          </cell>
          <cell r="L170" t="e">
            <v>#REF!</v>
          </cell>
          <cell r="M170" t="e">
            <v>#REF!</v>
          </cell>
        </row>
        <row r="171">
          <cell r="B171" t="str">
            <v>S</v>
          </cell>
          <cell r="D171">
            <v>34226</v>
          </cell>
          <cell r="E171">
            <v>269</v>
          </cell>
          <cell r="F171">
            <v>900.4</v>
          </cell>
          <cell r="G171">
            <v>2800.48</v>
          </cell>
          <cell r="I171">
            <v>109.23857868020305</v>
          </cell>
          <cell r="J171">
            <v>110.269444455382</v>
          </cell>
          <cell r="L171" t="e">
            <v>#REF!</v>
          </cell>
          <cell r="M171" t="e">
            <v>#REF!</v>
          </cell>
        </row>
        <row r="172">
          <cell r="B172" t="str">
            <v>S</v>
          </cell>
          <cell r="D172">
            <v>34227</v>
          </cell>
          <cell r="E172">
            <v>268.5</v>
          </cell>
          <cell r="F172">
            <v>1644.2</v>
          </cell>
          <cell r="G172">
            <v>2746.44</v>
          </cell>
          <cell r="I172">
            <v>109.03553299492386</v>
          </cell>
          <cell r="J172">
            <v>108.14160894919419</v>
          </cell>
          <cell r="L172" t="e">
            <v>#REF!</v>
          </cell>
          <cell r="M172" t="e">
            <v>#REF!</v>
          </cell>
        </row>
        <row r="173">
          <cell r="B173" t="str">
            <v>S</v>
          </cell>
          <cell r="D173">
            <v>34228</v>
          </cell>
          <cell r="E173">
            <v>263.5</v>
          </cell>
          <cell r="F173">
            <v>1042.9000000000001</v>
          </cell>
          <cell r="G173">
            <v>2763.59</v>
          </cell>
          <cell r="I173">
            <v>107.00507614213198</v>
          </cell>
          <cell r="J173">
            <v>108.81689353341183</v>
          </cell>
          <cell r="L173" t="e">
            <v>#REF!</v>
          </cell>
          <cell r="M173" t="e">
            <v>#REF!</v>
          </cell>
        </row>
        <row r="174">
          <cell r="B174" t="str">
            <v>S</v>
          </cell>
          <cell r="D174">
            <v>34229</v>
          </cell>
          <cell r="E174">
            <v>266</v>
          </cell>
          <cell r="F174">
            <v>1259.3499999999999</v>
          </cell>
          <cell r="G174">
            <v>2767.8</v>
          </cell>
          <cell r="I174">
            <v>108.02030456852792</v>
          </cell>
          <cell r="J174">
            <v>108.98266310189908</v>
          </cell>
          <cell r="L174" t="e">
            <v>#REF!</v>
          </cell>
          <cell r="M174" t="e">
            <v>#REF!</v>
          </cell>
        </row>
        <row r="175">
          <cell r="B175" t="str">
            <v>S</v>
          </cell>
          <cell r="D175">
            <v>34232</v>
          </cell>
          <cell r="E175">
            <v>265.5</v>
          </cell>
          <cell r="F175">
            <v>1319.7</v>
          </cell>
          <cell r="G175">
            <v>2751.11</v>
          </cell>
          <cell r="I175">
            <v>107.81725888324874</v>
          </cell>
          <cell r="J175">
            <v>108.32549110711236</v>
          </cell>
          <cell r="L175" t="e">
            <v>#REF!</v>
          </cell>
          <cell r="M175" t="e">
            <v>#REF!</v>
          </cell>
        </row>
        <row r="176">
          <cell r="B176" t="str">
            <v>S</v>
          </cell>
          <cell r="D176">
            <v>34233</v>
          </cell>
          <cell r="E176">
            <v>264</v>
          </cell>
          <cell r="F176">
            <v>1146.8499999999999</v>
          </cell>
          <cell r="G176">
            <v>2759.15</v>
          </cell>
          <cell r="I176">
            <v>107.20812182741118</v>
          </cell>
          <cell r="J176">
            <v>108.64206767020913</v>
          </cell>
          <cell r="L176" t="e">
            <v>#REF!</v>
          </cell>
          <cell r="M176" t="e">
            <v>#REF!</v>
          </cell>
        </row>
        <row r="177">
          <cell r="B177" t="str">
            <v>S</v>
          </cell>
          <cell r="D177">
            <v>34234</v>
          </cell>
          <cell r="E177">
            <v>267</v>
          </cell>
          <cell r="F177">
            <v>1572.25</v>
          </cell>
          <cell r="G177">
            <v>2722.52</v>
          </cell>
          <cell r="I177">
            <v>108.42639593908631</v>
          </cell>
          <cell r="J177">
            <v>107.19975429878686</v>
          </cell>
          <cell r="L177" t="e">
            <v>#REF!</v>
          </cell>
          <cell r="M177" t="e">
            <v>#REF!</v>
          </cell>
        </row>
        <row r="178">
          <cell r="B178" t="str">
            <v>S</v>
          </cell>
          <cell r="D178">
            <v>34236</v>
          </cell>
          <cell r="E178">
            <v>263</v>
          </cell>
          <cell r="F178">
            <v>2512.0500000000002</v>
          </cell>
          <cell r="G178">
            <v>2740.76</v>
          </cell>
          <cell r="I178">
            <v>106.80203045685279</v>
          </cell>
          <cell r="J178">
            <v>107.91795784491687</v>
          </cell>
          <cell r="L178" t="e">
            <v>#REF!</v>
          </cell>
          <cell r="M178" t="e">
            <v>#REF!</v>
          </cell>
        </row>
        <row r="179">
          <cell r="B179" t="str">
            <v>S</v>
          </cell>
          <cell r="D179">
            <v>34239</v>
          </cell>
          <cell r="E179">
            <v>262.5</v>
          </cell>
          <cell r="F179">
            <v>1717.45</v>
          </cell>
          <cell r="G179">
            <v>2750.04</v>
          </cell>
          <cell r="I179">
            <v>106.59898477157361</v>
          </cell>
          <cell r="J179">
            <v>108.28335964908827</v>
          </cell>
          <cell r="L179" t="e">
            <v>#REF!</v>
          </cell>
          <cell r="M179" t="e">
            <v>#REF!</v>
          </cell>
        </row>
        <row r="180">
          <cell r="B180" t="str">
            <v>S</v>
          </cell>
          <cell r="D180">
            <v>34240</v>
          </cell>
          <cell r="E180">
            <v>262.5</v>
          </cell>
          <cell r="F180">
            <v>735.95</v>
          </cell>
          <cell r="G180">
            <v>2686.31</v>
          </cell>
          <cell r="I180">
            <v>106.59898477157361</v>
          </cell>
          <cell r="J180">
            <v>105.77397850901889</v>
          </cell>
          <cell r="L180" t="e">
            <v>#REF!</v>
          </cell>
          <cell r="M180" t="e">
            <v>#REF!</v>
          </cell>
        </row>
        <row r="181">
          <cell r="B181" t="str">
            <v>S</v>
          </cell>
          <cell r="D181">
            <v>34241</v>
          </cell>
          <cell r="E181">
            <v>255</v>
          </cell>
          <cell r="F181">
            <v>1502.4</v>
          </cell>
          <cell r="G181">
            <v>2709.64</v>
          </cell>
          <cell r="I181">
            <v>103.55329949238579</v>
          </cell>
          <cell r="J181">
            <v>106.69260179472136</v>
          </cell>
          <cell r="L181" t="e">
            <v>#REF!</v>
          </cell>
          <cell r="M181" t="e">
            <v>#REF!</v>
          </cell>
        </row>
        <row r="182">
          <cell r="B182" t="str">
            <v>S</v>
          </cell>
          <cell r="D182">
            <v>34242</v>
          </cell>
          <cell r="E182">
            <v>260</v>
          </cell>
          <cell r="F182">
            <v>1348.2</v>
          </cell>
          <cell r="G182">
            <v>2662.84</v>
          </cell>
          <cell r="I182">
            <v>105.58375634517766</v>
          </cell>
          <cell r="J182">
            <v>104.84984269609832</v>
          </cell>
          <cell r="L182" t="e">
            <v>#REF!</v>
          </cell>
          <cell r="M182" t="e">
            <v>#REF!</v>
          </cell>
        </row>
        <row r="183">
          <cell r="B183" t="str">
            <v>O</v>
          </cell>
          <cell r="D183">
            <v>34243</v>
          </cell>
          <cell r="E183">
            <v>253.5</v>
          </cell>
          <cell r="F183">
            <v>1408.3</v>
          </cell>
          <cell r="G183">
            <v>2641.88</v>
          </cell>
          <cell r="I183">
            <v>102.94416243654823</v>
          </cell>
          <cell r="J183">
            <v>104.02453862115945</v>
          </cell>
          <cell r="L183" t="e">
            <v>#REF!</v>
          </cell>
          <cell r="M183" t="e">
            <v>#REF!</v>
          </cell>
        </row>
        <row r="184">
          <cell r="B184" t="str">
            <v>O</v>
          </cell>
          <cell r="D184">
            <v>34246</v>
          </cell>
          <cell r="E184">
            <v>254</v>
          </cell>
          <cell r="F184">
            <v>1058.2</v>
          </cell>
          <cell r="G184">
            <v>2638.16</v>
          </cell>
          <cell r="I184">
            <v>103.14720812182742</v>
          </cell>
          <cell r="J184">
            <v>103.87806289793555</v>
          </cell>
          <cell r="L184" t="e">
            <v>#REF!</v>
          </cell>
          <cell r="M184" t="e">
            <v>#REF!</v>
          </cell>
        </row>
        <row r="185">
          <cell r="B185" t="str">
            <v>O</v>
          </cell>
          <cell r="D185">
            <v>34247</v>
          </cell>
          <cell r="E185">
            <v>253</v>
          </cell>
          <cell r="F185">
            <v>836.6</v>
          </cell>
          <cell r="G185">
            <v>2626.18</v>
          </cell>
          <cell r="I185">
            <v>102.74111675126903</v>
          </cell>
          <cell r="J185">
            <v>103.40634806884358</v>
          </cell>
          <cell r="L185" t="e">
            <v>#REF!</v>
          </cell>
          <cell r="M185" t="e">
            <v>#REF!</v>
          </cell>
        </row>
        <row r="186">
          <cell r="B186" t="str">
            <v>O</v>
          </cell>
          <cell r="D186">
            <v>34248</v>
          </cell>
          <cell r="E186">
            <v>252.5</v>
          </cell>
          <cell r="F186">
            <v>814.1</v>
          </cell>
          <cell r="G186">
            <v>2652.14</v>
          </cell>
          <cell r="I186">
            <v>102.53807106598985</v>
          </cell>
          <cell r="J186">
            <v>104.42852811585757</v>
          </cell>
          <cell r="L186" t="e">
            <v>#REF!</v>
          </cell>
          <cell r="M186" t="e">
            <v>#REF!</v>
          </cell>
        </row>
        <row r="187">
          <cell r="B187" t="str">
            <v>O</v>
          </cell>
          <cell r="D187">
            <v>34249</v>
          </cell>
          <cell r="E187">
            <v>255</v>
          </cell>
          <cell r="F187">
            <v>859.1</v>
          </cell>
          <cell r="G187">
            <v>2671.08</v>
          </cell>
          <cell r="I187">
            <v>103.55329949238579</v>
          </cell>
          <cell r="J187">
            <v>105.1742942980781</v>
          </cell>
          <cell r="L187" t="e">
            <v>#REF!</v>
          </cell>
          <cell r="M187" t="e">
            <v>#REF!</v>
          </cell>
        </row>
        <row r="188">
          <cell r="B188" t="str">
            <v>O</v>
          </cell>
          <cell r="D188">
            <v>34250</v>
          </cell>
          <cell r="E188">
            <v>257</v>
          </cell>
          <cell r="F188">
            <v>2003.45</v>
          </cell>
          <cell r="G188">
            <v>2691.19</v>
          </cell>
          <cell r="I188">
            <v>104.36548223350255</v>
          </cell>
          <cell r="J188">
            <v>105.9661294577642</v>
          </cell>
          <cell r="L188" t="e">
            <v>#REF!</v>
          </cell>
          <cell r="M188" t="e">
            <v>#REF!</v>
          </cell>
        </row>
        <row r="189">
          <cell r="B189" t="str">
            <v>O</v>
          </cell>
          <cell r="D189">
            <v>34253</v>
          </cell>
          <cell r="E189">
            <v>253.5</v>
          </cell>
          <cell r="F189">
            <v>3053.2</v>
          </cell>
          <cell r="G189">
            <v>2710.92</v>
          </cell>
          <cell r="I189">
            <v>102.94416243654823</v>
          </cell>
          <cell r="J189">
            <v>106.7430020435726</v>
          </cell>
          <cell r="L189" t="e">
            <v>#REF!</v>
          </cell>
          <cell r="M189" t="e">
            <v>#REF!</v>
          </cell>
        </row>
        <row r="190">
          <cell r="B190" t="str">
            <v>O</v>
          </cell>
          <cell r="D190">
            <v>34254</v>
          </cell>
          <cell r="E190">
            <v>256</v>
          </cell>
          <cell r="F190">
            <v>1478.45</v>
          </cell>
          <cell r="G190">
            <v>2747.39</v>
          </cell>
          <cell r="I190">
            <v>103.95939086294416</v>
          </cell>
          <cell r="J190">
            <v>108.17901538388845</v>
          </cell>
          <cell r="L190" t="e">
            <v>#REF!</v>
          </cell>
          <cell r="M190" t="e">
            <v>#REF!</v>
          </cell>
        </row>
        <row r="191">
          <cell r="B191" t="str">
            <v>O</v>
          </cell>
          <cell r="D191">
            <v>34261</v>
          </cell>
          <cell r="E191">
            <v>259.5</v>
          </cell>
          <cell r="F191">
            <v>489.45</v>
          </cell>
          <cell r="G191">
            <v>2738.25</v>
          </cell>
          <cell r="I191">
            <v>105.38071065989848</v>
          </cell>
          <cell r="J191">
            <v>107.81912610693516</v>
          </cell>
          <cell r="L191" t="e">
            <v>#REF!</v>
          </cell>
          <cell r="M191" t="e">
            <v>#REF!</v>
          </cell>
        </row>
        <row r="192">
          <cell r="B192" t="str">
            <v>O</v>
          </cell>
          <cell r="D192">
            <v>34262</v>
          </cell>
          <cell r="E192">
            <v>258.5</v>
          </cell>
          <cell r="F192">
            <v>1069.75</v>
          </cell>
          <cell r="G192">
            <v>2689.77</v>
          </cell>
          <cell r="I192">
            <v>104.97461928934011</v>
          </cell>
          <cell r="J192">
            <v>105.91021668169486</v>
          </cell>
          <cell r="L192" t="e">
            <v>#REF!</v>
          </cell>
          <cell r="M192" t="e">
            <v>#REF!</v>
          </cell>
        </row>
        <row r="193">
          <cell r="B193" t="str">
            <v>O</v>
          </cell>
          <cell r="D193">
            <v>34263</v>
          </cell>
          <cell r="E193">
            <v>255</v>
          </cell>
          <cell r="F193">
            <v>2932.3</v>
          </cell>
          <cell r="G193">
            <v>2721.76</v>
          </cell>
          <cell r="I193">
            <v>103.55329949238579</v>
          </cell>
          <cell r="J193">
            <v>107.16982915103145</v>
          </cell>
          <cell r="L193" t="e">
            <v>#REF!</v>
          </cell>
          <cell r="M193" t="e">
            <v>#REF!</v>
          </cell>
        </row>
        <row r="194">
          <cell r="B194" t="str">
            <v>O</v>
          </cell>
          <cell r="D194">
            <v>34264</v>
          </cell>
          <cell r="E194">
            <v>260.5</v>
          </cell>
          <cell r="F194">
            <v>1248.9000000000001</v>
          </cell>
          <cell r="G194">
            <v>2737.33</v>
          </cell>
          <cell r="I194">
            <v>105.78680203045685</v>
          </cell>
          <cell r="J194">
            <v>107.78290092807333</v>
          </cell>
          <cell r="L194" t="e">
            <v>#REF!</v>
          </cell>
          <cell r="M194" t="e">
            <v>#REF!</v>
          </cell>
        </row>
        <row r="195">
          <cell r="B195" t="str">
            <v>O</v>
          </cell>
          <cell r="D195">
            <v>34267</v>
          </cell>
          <cell r="E195">
            <v>262</v>
          </cell>
          <cell r="F195">
            <v>1053.75</v>
          </cell>
          <cell r="G195">
            <v>2701.92</v>
          </cell>
          <cell r="I195">
            <v>106.39593908629442</v>
          </cell>
          <cell r="J195">
            <v>106.38862529383739</v>
          </cell>
          <cell r="L195" t="e">
            <v>#REF!</v>
          </cell>
          <cell r="M195" t="e">
            <v>#REF!</v>
          </cell>
        </row>
        <row r="196">
          <cell r="B196" t="str">
            <v>O</v>
          </cell>
          <cell r="D196">
            <v>34268</v>
          </cell>
          <cell r="E196">
            <v>256</v>
          </cell>
          <cell r="F196">
            <v>1327.35</v>
          </cell>
          <cell r="G196">
            <v>2704.59</v>
          </cell>
          <cell r="I196">
            <v>103.95939086294416</v>
          </cell>
          <cell r="J196">
            <v>106.49375706292551</v>
          </cell>
          <cell r="L196" t="e">
            <v>#REF!</v>
          </cell>
          <cell r="M196" t="e">
            <v>#REF!</v>
          </cell>
        </row>
        <row r="197">
          <cell r="B197" t="str">
            <v>O</v>
          </cell>
          <cell r="D197">
            <v>34269</v>
          </cell>
          <cell r="E197">
            <v>257</v>
          </cell>
          <cell r="F197">
            <v>418.05</v>
          </cell>
          <cell r="G197">
            <v>2696.52</v>
          </cell>
          <cell r="I197">
            <v>104.36548223350255</v>
          </cell>
          <cell r="J197">
            <v>106.17599924399627</v>
          </cell>
          <cell r="L197" t="e">
            <v>#REF!</v>
          </cell>
          <cell r="M197" t="e">
            <v>#REF!</v>
          </cell>
        </row>
        <row r="198">
          <cell r="B198" t="str">
            <v>O</v>
          </cell>
          <cell r="D198">
            <v>34270</v>
          </cell>
          <cell r="E198">
            <v>256</v>
          </cell>
          <cell r="F198">
            <v>275.35000000000002</v>
          </cell>
          <cell r="G198">
            <v>2673.74</v>
          </cell>
          <cell r="I198">
            <v>103.95939086294416</v>
          </cell>
          <cell r="J198">
            <v>105.27903231522205</v>
          </cell>
          <cell r="L198" t="e">
            <v>#REF!</v>
          </cell>
          <cell r="M198" t="e">
            <v>#REF!</v>
          </cell>
        </row>
        <row r="199">
          <cell r="B199" t="str">
            <v>O</v>
          </cell>
          <cell r="D199">
            <v>34271</v>
          </cell>
          <cell r="E199">
            <v>253</v>
          </cell>
          <cell r="F199">
            <v>490.85</v>
          </cell>
          <cell r="G199">
            <v>2621.2800000000002</v>
          </cell>
          <cell r="I199">
            <v>102.74111675126903</v>
          </cell>
          <cell r="J199">
            <v>103.21340961620999</v>
          </cell>
          <cell r="L199" t="e">
            <v>#REF!</v>
          </cell>
          <cell r="M199" t="e">
            <v>#REF!</v>
          </cell>
        </row>
        <row r="200">
          <cell r="B200" t="str">
            <v>N</v>
          </cell>
          <cell r="D200">
            <v>34274</v>
          </cell>
          <cell r="E200">
            <v>247</v>
          </cell>
          <cell r="F200">
            <v>1497</v>
          </cell>
          <cell r="G200">
            <v>2612.25</v>
          </cell>
          <cell r="I200">
            <v>100.30456852791879</v>
          </cell>
          <cell r="J200">
            <v>102.85785161064233</v>
          </cell>
          <cell r="L200" t="e">
            <v>#REF!</v>
          </cell>
          <cell r="M200" t="e">
            <v>#REF!</v>
          </cell>
        </row>
        <row r="201">
          <cell r="B201" t="str">
            <v>N</v>
          </cell>
          <cell r="D201">
            <v>34275</v>
          </cell>
          <cell r="E201">
            <v>246</v>
          </cell>
          <cell r="F201">
            <v>1516</v>
          </cell>
          <cell r="G201">
            <v>2630.98</v>
          </cell>
          <cell r="I201">
            <v>99.898477157360404</v>
          </cell>
          <cell r="J201">
            <v>103.5953490020357</v>
          </cell>
          <cell r="L201" t="e">
            <v>#REF!</v>
          </cell>
          <cell r="M201" t="e">
            <v>#REF!</v>
          </cell>
        </row>
        <row r="202">
          <cell r="B202" t="str">
            <v>N</v>
          </cell>
          <cell r="D202">
            <v>34276</v>
          </cell>
          <cell r="E202">
            <v>249.5</v>
          </cell>
          <cell r="F202">
            <v>1220.75</v>
          </cell>
          <cell r="G202">
            <v>2635.07</v>
          </cell>
          <cell r="I202">
            <v>101.31979695431473</v>
          </cell>
          <cell r="J202">
            <v>103.75639354719316</v>
          </cell>
          <cell r="L202" t="e">
            <v>#REF!</v>
          </cell>
          <cell r="M202" t="e">
            <v>#REF!</v>
          </cell>
        </row>
        <row r="203">
          <cell r="B203" t="str">
            <v>N</v>
          </cell>
          <cell r="D203">
            <v>34277</v>
          </cell>
          <cell r="E203">
            <v>248</v>
          </cell>
          <cell r="F203">
            <v>900</v>
          </cell>
          <cell r="G203">
            <v>2664.72</v>
          </cell>
          <cell r="I203">
            <v>100.71065989847716</v>
          </cell>
          <cell r="J203">
            <v>104.92386806159855</v>
          </cell>
          <cell r="L203" t="e">
            <v>#REF!</v>
          </cell>
          <cell r="M203" t="e">
            <v>#REF!</v>
          </cell>
        </row>
        <row r="204">
          <cell r="B204" t="str">
            <v>N</v>
          </cell>
          <cell r="D204">
            <v>34278</v>
          </cell>
          <cell r="E204">
            <v>249.5</v>
          </cell>
          <cell r="F204">
            <v>1091.45</v>
          </cell>
          <cell r="G204">
            <v>2718.92</v>
          </cell>
          <cell r="I204">
            <v>101.31979695431473</v>
          </cell>
          <cell r="J204">
            <v>107.05800359889278</v>
          </cell>
          <cell r="L204" t="e">
            <v>#REF!</v>
          </cell>
          <cell r="M204" t="e">
            <v>#REF!</v>
          </cell>
        </row>
        <row r="205">
          <cell r="B205" t="str">
            <v>N</v>
          </cell>
          <cell r="D205">
            <v>34281</v>
          </cell>
          <cell r="E205">
            <v>256</v>
          </cell>
          <cell r="F205">
            <v>1264.75</v>
          </cell>
          <cell r="G205">
            <v>2758.44</v>
          </cell>
          <cell r="I205">
            <v>103.95939086294416</v>
          </cell>
          <cell r="J205">
            <v>108.61411128217446</v>
          </cell>
          <cell r="L205" t="e">
            <v>#REF!</v>
          </cell>
          <cell r="M205" t="e">
            <v>#REF!</v>
          </cell>
        </row>
        <row r="206">
          <cell r="B206" t="str">
            <v>N</v>
          </cell>
          <cell r="D206">
            <v>34282</v>
          </cell>
          <cell r="E206">
            <v>259</v>
          </cell>
          <cell r="F206">
            <v>1621.65</v>
          </cell>
          <cell r="G206">
            <v>2793.23</v>
          </cell>
          <cell r="I206">
            <v>105.17766497461929</v>
          </cell>
          <cell r="J206">
            <v>109.9839742958731</v>
          </cell>
          <cell r="L206" t="e">
            <v>#REF!</v>
          </cell>
          <cell r="M206" t="e">
            <v>#REF!</v>
          </cell>
        </row>
        <row r="207">
          <cell r="B207" t="str">
            <v>N</v>
          </cell>
          <cell r="D207">
            <v>34283</v>
          </cell>
          <cell r="E207">
            <v>265.5</v>
          </cell>
          <cell r="F207">
            <v>2325.85</v>
          </cell>
          <cell r="G207">
            <v>2786.41</v>
          </cell>
          <cell r="I207">
            <v>107.81725888324874</v>
          </cell>
          <cell r="J207">
            <v>109.71543546996263</v>
          </cell>
          <cell r="L207" t="e">
            <v>#REF!</v>
          </cell>
          <cell r="M207" t="e">
            <v>#REF!</v>
          </cell>
        </row>
        <row r="208">
          <cell r="B208" t="str">
            <v>N</v>
          </cell>
          <cell r="D208">
            <v>34286</v>
          </cell>
          <cell r="E208">
            <v>266</v>
          </cell>
          <cell r="F208">
            <v>2300</v>
          </cell>
          <cell r="G208">
            <v>2877.62</v>
          </cell>
          <cell r="I208">
            <v>108.02030456852792</v>
          </cell>
          <cell r="J208">
            <v>113.30684695255682</v>
          </cell>
          <cell r="L208" t="e">
            <v>#REF!</v>
          </cell>
          <cell r="M208" t="e">
            <v>#REF!</v>
          </cell>
        </row>
        <row r="209">
          <cell r="B209" t="str">
            <v>N</v>
          </cell>
          <cell r="D209">
            <v>34289</v>
          </cell>
          <cell r="E209">
            <v>273.5</v>
          </cell>
          <cell r="F209">
            <v>2183.85</v>
          </cell>
          <cell r="G209">
            <v>2877.62</v>
          </cell>
          <cell r="I209">
            <v>111.06598984771574</v>
          </cell>
          <cell r="J209">
            <v>113.30684695255682</v>
          </cell>
          <cell r="L209" t="e">
            <v>#REF!</v>
          </cell>
          <cell r="M209" t="e">
            <v>#REF!</v>
          </cell>
        </row>
        <row r="210">
          <cell r="B210" t="str">
            <v>N</v>
          </cell>
          <cell r="D210">
            <v>34290</v>
          </cell>
          <cell r="E210">
            <v>276</v>
          </cell>
          <cell r="F210">
            <v>2516.75</v>
          </cell>
          <cell r="G210">
            <v>2933.36</v>
          </cell>
          <cell r="I210">
            <v>112.08121827411168</v>
          </cell>
          <cell r="J210">
            <v>115.50162028925018</v>
          </cell>
          <cell r="L210" t="e">
            <v>#REF!</v>
          </cell>
          <cell r="M210" t="e">
            <v>#REF!</v>
          </cell>
        </row>
        <row r="211">
          <cell r="B211" t="str">
            <v>N</v>
          </cell>
          <cell r="D211">
            <v>34291</v>
          </cell>
          <cell r="E211">
            <v>279.5</v>
          </cell>
          <cell r="F211">
            <v>2783.05</v>
          </cell>
          <cell r="G211">
            <v>2972.86</v>
          </cell>
          <cell r="I211">
            <v>113.502538071066</v>
          </cell>
          <cell r="J211">
            <v>117.05694046864357</v>
          </cell>
          <cell r="L211" t="e">
            <v>#REF!</v>
          </cell>
          <cell r="M211" t="e">
            <v>#REF!</v>
          </cell>
        </row>
        <row r="212">
          <cell r="B212" t="str">
            <v>N</v>
          </cell>
          <cell r="D212">
            <v>34292</v>
          </cell>
          <cell r="E212">
            <v>286</v>
          </cell>
          <cell r="F212">
            <v>4880.6499999999996</v>
          </cell>
          <cell r="G212">
            <v>3043.58</v>
          </cell>
          <cell r="I212">
            <v>116.14213197969544</v>
          </cell>
          <cell r="J212">
            <v>119.84155421767395</v>
          </cell>
          <cell r="L212" t="e">
            <v>#REF!</v>
          </cell>
          <cell r="M212" t="e">
            <v>#REF!</v>
          </cell>
        </row>
        <row r="213">
          <cell r="B213" t="str">
            <v>N</v>
          </cell>
          <cell r="D213">
            <v>34295</v>
          </cell>
          <cell r="E213">
            <v>293</v>
          </cell>
          <cell r="F213">
            <v>2595</v>
          </cell>
          <cell r="G213">
            <v>3041.44</v>
          </cell>
          <cell r="I213">
            <v>118.98477157360406</v>
          </cell>
          <cell r="J213">
            <v>119.75729130162581</v>
          </cell>
          <cell r="L213" t="e">
            <v>#REF!</v>
          </cell>
          <cell r="M213" t="e">
            <v>#REF!</v>
          </cell>
        </row>
        <row r="214">
          <cell r="B214" t="str">
            <v>N</v>
          </cell>
          <cell r="D214">
            <v>34296</v>
          </cell>
          <cell r="E214">
            <v>288.5</v>
          </cell>
          <cell r="F214">
            <v>1974.55</v>
          </cell>
          <cell r="G214">
            <v>3053.35</v>
          </cell>
          <cell r="I214">
            <v>117.15736040609137</v>
          </cell>
          <cell r="J214">
            <v>120.22624986710872</v>
          </cell>
          <cell r="L214" t="e">
            <v>#REF!</v>
          </cell>
          <cell r="M214" t="e">
            <v>#REF!</v>
          </cell>
        </row>
        <row r="215">
          <cell r="B215" t="str">
            <v>N</v>
          </cell>
          <cell r="D215">
            <v>34297</v>
          </cell>
          <cell r="E215">
            <v>287.5</v>
          </cell>
          <cell r="F215">
            <v>1803.25</v>
          </cell>
          <cell r="G215">
            <v>3077.52</v>
          </cell>
          <cell r="I215">
            <v>116.751269035533</v>
          </cell>
          <cell r="J215">
            <v>121.17794831611981</v>
          </cell>
          <cell r="L215" t="e">
            <v>#REF!</v>
          </cell>
          <cell r="M215" t="e">
            <v>#REF!</v>
          </cell>
        </row>
        <row r="216">
          <cell r="B216" t="str">
            <v>N</v>
          </cell>
          <cell r="D216">
            <v>34298</v>
          </cell>
          <cell r="E216">
            <v>285</v>
          </cell>
          <cell r="F216">
            <v>3000.6</v>
          </cell>
          <cell r="G216">
            <v>3233.14</v>
          </cell>
          <cell r="I216">
            <v>115.73604060913706</v>
          </cell>
          <cell r="J216">
            <v>127.3055160709856</v>
          </cell>
          <cell r="L216" t="e">
            <v>#REF!</v>
          </cell>
          <cell r="M216" t="e">
            <v>#REF!</v>
          </cell>
        </row>
        <row r="217">
          <cell r="B217" t="str">
            <v>N</v>
          </cell>
          <cell r="D217">
            <v>34299</v>
          </cell>
          <cell r="E217">
            <v>301</v>
          </cell>
          <cell r="F217">
            <v>2646.65</v>
          </cell>
          <cell r="G217">
            <v>3292.85</v>
          </cell>
          <cell r="I217">
            <v>122.23350253807106</v>
          </cell>
          <cell r="J217">
            <v>129.6566089295066</v>
          </cell>
          <cell r="L217" t="e">
            <v>#REF!</v>
          </cell>
          <cell r="M217" t="e">
            <v>#REF!</v>
          </cell>
        </row>
        <row r="218">
          <cell r="B218" t="str">
            <v>D</v>
          </cell>
          <cell r="D218">
            <v>34304</v>
          </cell>
          <cell r="E218">
            <v>303</v>
          </cell>
          <cell r="F218">
            <v>2553.6</v>
          </cell>
          <cell r="G218">
            <v>3283.36</v>
          </cell>
          <cell r="I218">
            <v>123.04568527918782</v>
          </cell>
          <cell r="J218">
            <v>129.28293833450803</v>
          </cell>
          <cell r="L218" t="e">
            <v>#REF!</v>
          </cell>
          <cell r="M218" t="e">
            <v>#REF!</v>
          </cell>
        </row>
        <row r="219">
          <cell r="B219" t="str">
            <v>D</v>
          </cell>
          <cell r="D219">
            <v>34305</v>
          </cell>
          <cell r="E219">
            <v>306</v>
          </cell>
          <cell r="F219">
            <v>2034.9</v>
          </cell>
          <cell r="G219">
            <v>3219.23</v>
          </cell>
          <cell r="I219">
            <v>124.26395939086295</v>
          </cell>
          <cell r="J219">
            <v>126.75780711667264</v>
          </cell>
          <cell r="L219" t="e">
            <v>#REF!</v>
          </cell>
          <cell r="M219" t="e">
            <v>#REF!</v>
          </cell>
        </row>
        <row r="220">
          <cell r="B220" t="str">
            <v>D</v>
          </cell>
          <cell r="D220">
            <v>34306</v>
          </cell>
          <cell r="E220">
            <v>297</v>
          </cell>
          <cell r="F220">
            <v>1804.1</v>
          </cell>
          <cell r="G220">
            <v>3149.8</v>
          </cell>
          <cell r="I220">
            <v>120.60913705583756</v>
          </cell>
          <cell r="J220">
            <v>124.02398736843764</v>
          </cell>
          <cell r="L220" t="e">
            <v>#REF!</v>
          </cell>
          <cell r="M220" t="e">
            <v>#REF!</v>
          </cell>
        </row>
        <row r="221">
          <cell r="B221" t="str">
            <v>D</v>
          </cell>
          <cell r="D221">
            <v>34309</v>
          </cell>
          <cell r="E221">
            <v>288</v>
          </cell>
          <cell r="F221">
            <v>2096.9</v>
          </cell>
          <cell r="G221">
            <v>3231.71</v>
          </cell>
          <cell r="I221">
            <v>116.95431472081219</v>
          </cell>
          <cell r="J221">
            <v>127.24920954297212</v>
          </cell>
          <cell r="L221" t="e">
            <v>#REF!</v>
          </cell>
          <cell r="M221" t="e">
            <v>#REF!</v>
          </cell>
        </row>
        <row r="222">
          <cell r="B222" t="str">
            <v>D</v>
          </cell>
          <cell r="D222">
            <v>34310</v>
          </cell>
          <cell r="E222">
            <v>294</v>
          </cell>
          <cell r="F222">
            <v>1199.3499999999999</v>
          </cell>
          <cell r="G222">
            <v>3310.24</v>
          </cell>
          <cell r="I222">
            <v>119.39086294416244</v>
          </cell>
          <cell r="J222">
            <v>130.34134356038382</v>
          </cell>
          <cell r="L222" t="e">
            <v>#REF!</v>
          </cell>
          <cell r="M222" t="e">
            <v>#REF!</v>
          </cell>
        </row>
        <row r="223">
          <cell r="B223" t="str">
            <v>D</v>
          </cell>
          <cell r="D223">
            <v>34311</v>
          </cell>
          <cell r="E223">
            <v>301</v>
          </cell>
          <cell r="F223">
            <v>2257.1999999999998</v>
          </cell>
          <cell r="G223">
            <v>3328.58</v>
          </cell>
          <cell r="I223">
            <v>122.23350253807106</v>
          </cell>
          <cell r="J223">
            <v>131.06348462595534</v>
          </cell>
          <cell r="L223" t="e">
            <v>#REF!</v>
          </cell>
          <cell r="M223" t="e">
            <v>#REF!</v>
          </cell>
        </row>
        <row r="224">
          <cell r="B224" t="str">
            <v>D</v>
          </cell>
          <cell r="D224">
            <v>34312</v>
          </cell>
          <cell r="E224">
            <v>301</v>
          </cell>
          <cell r="F224">
            <v>2343.35</v>
          </cell>
          <cell r="G224">
            <v>3401.9</v>
          </cell>
          <cell r="I224">
            <v>122.23350253807106</v>
          </cell>
          <cell r="J224">
            <v>133.95047388046478</v>
          </cell>
          <cell r="L224" t="e">
            <v>#REF!</v>
          </cell>
          <cell r="M224" t="e">
            <v>#REF!</v>
          </cell>
        </row>
        <row r="225">
          <cell r="B225" t="str">
            <v>D</v>
          </cell>
          <cell r="D225">
            <v>34313</v>
          </cell>
          <cell r="E225">
            <v>308</v>
          </cell>
          <cell r="F225">
            <v>1529.3</v>
          </cell>
          <cell r="G225">
            <v>3454.81</v>
          </cell>
          <cell r="I225">
            <v>125.07614213197969</v>
          </cell>
          <cell r="J225">
            <v>136.03381541696362</v>
          </cell>
          <cell r="L225" t="e">
            <v>#REF!</v>
          </cell>
          <cell r="M225" t="e">
            <v>#REF!</v>
          </cell>
        </row>
        <row r="226">
          <cell r="B226" t="str">
            <v>D</v>
          </cell>
          <cell r="D226">
            <v>34316</v>
          </cell>
          <cell r="E226">
            <v>307.5</v>
          </cell>
          <cell r="F226">
            <v>1441.45</v>
          </cell>
          <cell r="G226">
            <v>3346.06</v>
          </cell>
          <cell r="I226">
            <v>124.87309644670052</v>
          </cell>
          <cell r="J226">
            <v>131.75176302432993</v>
          </cell>
          <cell r="L226" t="e">
            <v>#REF!</v>
          </cell>
          <cell r="M226" t="e">
            <v>#REF!</v>
          </cell>
        </row>
        <row r="227">
          <cell r="B227" t="str">
            <v>D</v>
          </cell>
          <cell r="D227">
            <v>34327</v>
          </cell>
          <cell r="E227">
            <v>296</v>
          </cell>
          <cell r="F227">
            <v>1395.45</v>
          </cell>
          <cell r="G227">
            <v>3465.86</v>
          </cell>
          <cell r="I227">
            <v>120.20304568527919</v>
          </cell>
          <cell r="J227">
            <v>136.46891131524964</v>
          </cell>
          <cell r="L227" t="e">
            <v>#REF!</v>
          </cell>
          <cell r="M227" t="e">
            <v>#REF!</v>
          </cell>
        </row>
        <row r="228">
          <cell r="B228" t="str">
            <v>94</v>
          </cell>
          <cell r="D228">
            <v>34337</v>
          </cell>
          <cell r="E228">
            <v>312.5</v>
          </cell>
          <cell r="F228">
            <v>2036</v>
          </cell>
          <cell r="G228">
            <v>3479.92</v>
          </cell>
          <cell r="I228">
            <v>126.90355329949239</v>
          </cell>
          <cell r="J228">
            <v>137.02252654872484</v>
          </cell>
          <cell r="L228" t="e">
            <v>#REF!</v>
          </cell>
          <cell r="M228" t="e">
            <v>#REF!</v>
          </cell>
        </row>
        <row r="229">
          <cell r="B229" t="str">
            <v>J</v>
          </cell>
          <cell r="D229">
            <v>34338</v>
          </cell>
          <cell r="E229">
            <v>318</v>
          </cell>
          <cell r="F229">
            <v>1607.85</v>
          </cell>
          <cell r="G229">
            <v>3454.08</v>
          </cell>
          <cell r="I229">
            <v>129.13705583756345</v>
          </cell>
          <cell r="J229">
            <v>136.00507152504065</v>
          </cell>
          <cell r="L229" t="e">
            <v>#REF!</v>
          </cell>
          <cell r="M229" t="e">
            <v>#REF!</v>
          </cell>
        </row>
        <row r="230">
          <cell r="B230" t="str">
            <v>J</v>
          </cell>
          <cell r="D230">
            <v>34339</v>
          </cell>
          <cell r="E230">
            <v>325</v>
          </cell>
          <cell r="F230">
            <v>2675.45</v>
          </cell>
          <cell r="G230">
            <v>3509.47</v>
          </cell>
          <cell r="I230">
            <v>131.97969543147209</v>
          </cell>
          <cell r="J230">
            <v>138.18606354368873</v>
          </cell>
          <cell r="L230" t="e">
            <v>#REF!</v>
          </cell>
          <cell r="M230" t="e">
            <v>#REF!</v>
          </cell>
        </row>
        <row r="231">
          <cell r="B231" t="str">
            <v>J</v>
          </cell>
          <cell r="D231">
            <v>34340</v>
          </cell>
          <cell r="E231">
            <v>340</v>
          </cell>
          <cell r="F231">
            <v>3335.3</v>
          </cell>
          <cell r="G231">
            <v>3662.2</v>
          </cell>
          <cell r="I231">
            <v>138.07106598984771</v>
          </cell>
          <cell r="J231">
            <v>144.19983698669512</v>
          </cell>
          <cell r="L231" t="e">
            <v>#REF!</v>
          </cell>
          <cell r="M231" t="e">
            <v>#REF!</v>
          </cell>
        </row>
        <row r="232">
          <cell r="B232" t="str">
            <v>J</v>
          </cell>
          <cell r="D232">
            <v>34341</v>
          </cell>
          <cell r="E232">
            <v>358.5</v>
          </cell>
          <cell r="F232">
            <v>2438</v>
          </cell>
          <cell r="G232">
            <v>3821.56</v>
          </cell>
          <cell r="I232">
            <v>145.58375634517768</v>
          </cell>
          <cell r="J232">
            <v>150.47466796867309</v>
          </cell>
          <cell r="L232" t="e">
            <v>#REF!</v>
          </cell>
          <cell r="M232" t="e">
            <v>#REF!</v>
          </cell>
        </row>
        <row r="233">
          <cell r="B233" t="str">
            <v>J</v>
          </cell>
          <cell r="D233">
            <v>34344</v>
          </cell>
          <cell r="E233">
            <v>376</v>
          </cell>
          <cell r="F233">
            <v>2760.15</v>
          </cell>
          <cell r="G233">
            <v>3780.1</v>
          </cell>
          <cell r="I233">
            <v>152.69035532994926</v>
          </cell>
          <cell r="J233">
            <v>148.84217240822628</v>
          </cell>
          <cell r="L233" t="e">
            <v>#REF!</v>
          </cell>
          <cell r="M233" t="e">
            <v>#REF!</v>
          </cell>
        </row>
        <row r="234">
          <cell r="B234" t="str">
            <v>J</v>
          </cell>
          <cell r="D234">
            <v>34345</v>
          </cell>
          <cell r="E234">
            <v>367</v>
          </cell>
          <cell r="F234">
            <v>1444.4</v>
          </cell>
          <cell r="G234">
            <v>3903.79</v>
          </cell>
          <cell r="I234">
            <v>149.03553299492387</v>
          </cell>
          <cell r="J234">
            <v>153.71249020542038</v>
          </cell>
          <cell r="L234" t="e">
            <v>#REF!</v>
          </cell>
          <cell r="M234" t="e">
            <v>#REF!</v>
          </cell>
        </row>
        <row r="235">
          <cell r="B235" t="str">
            <v>J</v>
          </cell>
          <cell r="D235">
            <v>34346</v>
          </cell>
          <cell r="E235">
            <v>382</v>
          </cell>
          <cell r="F235">
            <v>1958.4</v>
          </cell>
          <cell r="G235">
            <v>3928.59</v>
          </cell>
          <cell r="I235">
            <v>155.12690355329948</v>
          </cell>
          <cell r="J235">
            <v>154.68899502691295</v>
          </cell>
          <cell r="L235" t="e">
            <v>#REF!</v>
          </cell>
          <cell r="M235" t="e">
            <v>#REF!</v>
          </cell>
        </row>
        <row r="236">
          <cell r="B236" t="str">
            <v>J</v>
          </cell>
          <cell r="D236">
            <v>34347</v>
          </cell>
          <cell r="E236">
            <v>390</v>
          </cell>
          <cell r="F236">
            <v>2383.9499999999998</v>
          </cell>
          <cell r="G236">
            <v>3938.74</v>
          </cell>
          <cell r="I236">
            <v>158.37563451776651</v>
          </cell>
          <cell r="J236">
            <v>155.08865325022541</v>
          </cell>
          <cell r="L236" t="e">
            <v>#REF!</v>
          </cell>
          <cell r="M236" t="e">
            <v>#REF!</v>
          </cell>
        </row>
        <row r="237">
          <cell r="B237" t="str">
            <v>J</v>
          </cell>
          <cell r="D237">
            <v>34348</v>
          </cell>
          <cell r="E237">
            <v>391</v>
          </cell>
          <cell r="F237">
            <v>1898.7</v>
          </cell>
          <cell r="G237">
            <v>4020.87</v>
          </cell>
          <cell r="I237">
            <v>158.78172588832487</v>
          </cell>
          <cell r="J237">
            <v>158.32253796753122</v>
          </cell>
          <cell r="L237" t="e">
            <v>#REF!</v>
          </cell>
          <cell r="M237" t="e">
            <v>#REF!</v>
          </cell>
        </row>
        <row r="238">
          <cell r="B238" t="str">
            <v>J</v>
          </cell>
          <cell r="D238">
            <v>34351</v>
          </cell>
          <cell r="E238">
            <v>402</v>
          </cell>
          <cell r="F238">
            <v>2251.4</v>
          </cell>
          <cell r="G238">
            <v>3951.02</v>
          </cell>
          <cell r="I238">
            <v>163.248730964467</v>
          </cell>
          <cell r="J238">
            <v>155.57218063764191</v>
          </cell>
          <cell r="L238" t="e">
            <v>#REF!</v>
          </cell>
          <cell r="M238" t="e">
            <v>#REF!</v>
          </cell>
        </row>
        <row r="239">
          <cell r="B239" t="str">
            <v>J</v>
          </cell>
          <cell r="D239">
            <v>34352</v>
          </cell>
          <cell r="E239">
            <v>400</v>
          </cell>
          <cell r="F239">
            <v>1694.3</v>
          </cell>
          <cell r="G239">
            <v>3825.91</v>
          </cell>
          <cell r="I239">
            <v>162.43654822335026</v>
          </cell>
          <cell r="J239">
            <v>150.64595006437844</v>
          </cell>
          <cell r="L239" t="e">
            <v>#REF!</v>
          </cell>
          <cell r="M239" t="e">
            <v>#REF!</v>
          </cell>
        </row>
        <row r="240">
          <cell r="B240" t="str">
            <v>J</v>
          </cell>
          <cell r="D240">
            <v>34353</v>
          </cell>
          <cell r="E240">
            <v>394</v>
          </cell>
          <cell r="F240">
            <v>3047</v>
          </cell>
          <cell r="G240">
            <v>3752.51</v>
          </cell>
          <cell r="I240">
            <v>160</v>
          </cell>
          <cell r="J240">
            <v>147.75581079431581</v>
          </cell>
          <cell r="L240" t="e">
            <v>#REF!</v>
          </cell>
          <cell r="M240" t="e">
            <v>#REF!</v>
          </cell>
        </row>
        <row r="241">
          <cell r="B241" t="str">
            <v>J</v>
          </cell>
          <cell r="D241">
            <v>34354</v>
          </cell>
          <cell r="E241">
            <v>391</v>
          </cell>
          <cell r="F241">
            <v>2709.45</v>
          </cell>
          <cell r="G241">
            <v>3865.44</v>
          </cell>
          <cell r="I241">
            <v>158.78172588832487</v>
          </cell>
          <cell r="J241">
            <v>152.20245149960428</v>
          </cell>
          <cell r="L241" t="e">
            <v>#REF!</v>
          </cell>
          <cell r="M241" t="e">
            <v>#REF!</v>
          </cell>
        </row>
        <row r="242">
          <cell r="B242" t="str">
            <v>J</v>
          </cell>
          <cell r="D242">
            <v>34358</v>
          </cell>
          <cell r="E242">
            <v>401</v>
          </cell>
          <cell r="F242">
            <v>2247.9</v>
          </cell>
          <cell r="G242">
            <v>3982.49</v>
          </cell>
          <cell r="I242">
            <v>162.84263959390864</v>
          </cell>
          <cell r="J242">
            <v>156.81131800588264</v>
          </cell>
          <cell r="L242" t="e">
            <v>#REF!</v>
          </cell>
          <cell r="M242" t="e">
            <v>#REF!</v>
          </cell>
        </row>
        <row r="243">
          <cell r="B243" t="str">
            <v>J</v>
          </cell>
          <cell r="D243">
            <v>34359</v>
          </cell>
          <cell r="E243">
            <v>409</v>
          </cell>
          <cell r="F243">
            <v>1739.75</v>
          </cell>
          <cell r="G243">
            <v>4069.39</v>
          </cell>
          <cell r="I243">
            <v>166.09137055837564</v>
          </cell>
          <cell r="J243">
            <v>160.23302240054809</v>
          </cell>
          <cell r="L243" t="e">
            <v>#REF!</v>
          </cell>
          <cell r="M243" t="e">
            <v>#REF!</v>
          </cell>
        </row>
        <row r="244">
          <cell r="B244" t="str">
            <v>J</v>
          </cell>
          <cell r="D244">
            <v>34361</v>
          </cell>
          <cell r="E244">
            <v>420</v>
          </cell>
          <cell r="F244">
            <v>1915.8</v>
          </cell>
          <cell r="G244">
            <v>4053.94</v>
          </cell>
          <cell r="I244">
            <v>170.55837563451777</v>
          </cell>
          <cell r="J244">
            <v>159.62467564683601</v>
          </cell>
          <cell r="L244" t="e">
            <v>#REF!</v>
          </cell>
          <cell r="M244" t="e">
            <v>#REF!</v>
          </cell>
        </row>
        <row r="245">
          <cell r="B245" t="str">
            <v>J</v>
          </cell>
          <cell r="D245">
            <v>34362</v>
          </cell>
          <cell r="E245">
            <v>423</v>
          </cell>
          <cell r="F245">
            <v>2154.3000000000002</v>
          </cell>
          <cell r="G245">
            <v>3994.86</v>
          </cell>
          <cell r="I245">
            <v>171.7766497461929</v>
          </cell>
          <cell r="J245">
            <v>157.29838916079649</v>
          </cell>
          <cell r="L245" t="e">
            <v>#REF!</v>
          </cell>
          <cell r="M245" t="e">
            <v>#REF!</v>
          </cell>
        </row>
        <row r="246">
          <cell r="B246" t="str">
            <v>J</v>
          </cell>
          <cell r="D246">
            <v>34365</v>
          </cell>
          <cell r="E246">
            <v>415</v>
          </cell>
          <cell r="F246">
            <v>1555.9</v>
          </cell>
          <cell r="G246">
            <v>3947.86</v>
          </cell>
          <cell r="I246">
            <v>168.5279187817259</v>
          </cell>
          <cell r="J246">
            <v>155.44775502329043</v>
          </cell>
          <cell r="L246" t="e">
            <v>#REF!</v>
          </cell>
          <cell r="M246" t="e">
            <v>#REF!</v>
          </cell>
        </row>
        <row r="247">
          <cell r="B247" t="str">
            <v>F</v>
          </cell>
          <cell r="D247">
            <v>34366</v>
          </cell>
          <cell r="E247">
            <v>409</v>
          </cell>
          <cell r="F247">
            <v>1484.65</v>
          </cell>
          <cell r="G247">
            <v>4036.64</v>
          </cell>
          <cell r="I247">
            <v>166.09137055837564</v>
          </cell>
          <cell r="J247">
            <v>158.94348478345611</v>
          </cell>
          <cell r="L247" t="e">
            <v>#REF!</v>
          </cell>
          <cell r="M247" t="e">
            <v>#REF!</v>
          </cell>
        </row>
        <row r="248">
          <cell r="B248" t="str">
            <v>F</v>
          </cell>
          <cell r="D248">
            <v>34367</v>
          </cell>
          <cell r="E248">
            <v>419</v>
          </cell>
          <cell r="F248">
            <v>1787.6</v>
          </cell>
          <cell r="G248">
            <v>4000.96</v>
          </cell>
          <cell r="I248">
            <v>170.15228426395939</v>
          </cell>
          <cell r="J248">
            <v>157.53857784672812</v>
          </cell>
          <cell r="L248" t="e">
            <v>#REF!</v>
          </cell>
          <cell r="M248" t="e">
            <v>#REF!</v>
          </cell>
        </row>
        <row r="249">
          <cell r="B249" t="str">
            <v>F</v>
          </cell>
          <cell r="D249">
            <v>34368</v>
          </cell>
          <cell r="E249">
            <v>409</v>
          </cell>
          <cell r="F249">
            <v>1961.45</v>
          </cell>
          <cell r="G249">
            <v>3917.57</v>
          </cell>
          <cell r="I249">
            <v>166.09137055837564</v>
          </cell>
          <cell r="J249">
            <v>154.2550803844594</v>
          </cell>
          <cell r="L249" t="e">
            <v>#REF!</v>
          </cell>
          <cell r="M249" t="e">
            <v>#REF!</v>
          </cell>
        </row>
        <row r="250">
          <cell r="B250" t="str">
            <v>F</v>
          </cell>
          <cell r="D250">
            <v>34369</v>
          </cell>
          <cell r="E250">
            <v>405</v>
          </cell>
          <cell r="F250">
            <v>2824.7</v>
          </cell>
          <cell r="G250">
            <v>4144.49</v>
          </cell>
          <cell r="I250">
            <v>164.46700507614213</v>
          </cell>
          <cell r="J250">
            <v>163.19009950111629</v>
          </cell>
          <cell r="L250" t="e">
            <v>#REF!</v>
          </cell>
          <cell r="M250" t="e">
            <v>#REF!</v>
          </cell>
        </row>
        <row r="251">
          <cell r="B251" t="str">
            <v>F</v>
          </cell>
          <cell r="D251">
            <v>34372</v>
          </cell>
          <cell r="E251">
            <v>419</v>
          </cell>
          <cell r="F251">
            <v>2653.45</v>
          </cell>
          <cell r="G251">
            <v>4162.08</v>
          </cell>
          <cell r="I251">
            <v>170.15228426395939</v>
          </cell>
          <cell r="J251">
            <v>163.88270917087652</v>
          </cell>
          <cell r="L251" t="e">
            <v>#REF!</v>
          </cell>
          <cell r="M251" t="e">
            <v>#REF!</v>
          </cell>
        </row>
        <row r="252">
          <cell r="B252" t="str">
            <v>F</v>
          </cell>
          <cell r="D252">
            <v>34373</v>
          </cell>
          <cell r="E252">
            <v>419</v>
          </cell>
          <cell r="F252">
            <v>1456.85</v>
          </cell>
          <cell r="G252">
            <v>4018.92</v>
          </cell>
          <cell r="I252">
            <v>170.15228426395939</v>
          </cell>
          <cell r="J252">
            <v>158.24575633842193</v>
          </cell>
          <cell r="L252" t="e">
            <v>#REF!</v>
          </cell>
          <cell r="M252" t="e">
            <v>#REF!</v>
          </cell>
        </row>
        <row r="253">
          <cell r="B253" t="str">
            <v>F</v>
          </cell>
          <cell r="D253">
            <v>34374</v>
          </cell>
          <cell r="E253">
            <v>406.5</v>
          </cell>
          <cell r="F253">
            <v>1680</v>
          </cell>
          <cell r="G253">
            <v>4039.9</v>
          </cell>
          <cell r="I253">
            <v>165.07614213197971</v>
          </cell>
          <cell r="J253">
            <v>159.0718479172491</v>
          </cell>
          <cell r="L253" t="e">
            <v>#REF!</v>
          </cell>
          <cell r="M253" t="e">
            <v>#REF!</v>
          </cell>
        </row>
        <row r="254">
          <cell r="B254" t="str">
            <v>F</v>
          </cell>
          <cell r="D254">
            <v>34375</v>
          </cell>
          <cell r="E254">
            <v>406.5</v>
          </cell>
          <cell r="F254">
            <v>1534.6</v>
          </cell>
          <cell r="G254">
            <v>3991.38</v>
          </cell>
          <cell r="I254">
            <v>165.07614213197971</v>
          </cell>
          <cell r="J254">
            <v>157.16136348423223</v>
          </cell>
          <cell r="L254" t="e">
            <v>#REF!</v>
          </cell>
          <cell r="M254" t="e">
            <v>#REF!</v>
          </cell>
        </row>
        <row r="255">
          <cell r="B255" t="str">
            <v>F</v>
          </cell>
          <cell r="D255">
            <v>34376</v>
          </cell>
          <cell r="E255">
            <v>402</v>
          </cell>
          <cell r="F255">
            <v>1949.5</v>
          </cell>
          <cell r="G255">
            <v>3911.69</v>
          </cell>
          <cell r="I255">
            <v>163.248730964467</v>
          </cell>
          <cell r="J255">
            <v>154.02355424129908</v>
          </cell>
          <cell r="L255" t="e">
            <v>#REF!</v>
          </cell>
          <cell r="M255" t="e">
            <v>#REF!</v>
          </cell>
        </row>
        <row r="256">
          <cell r="B256" t="str">
            <v>F</v>
          </cell>
          <cell r="D256">
            <v>34379</v>
          </cell>
          <cell r="E256">
            <v>393.5</v>
          </cell>
          <cell r="F256">
            <v>1298.45</v>
          </cell>
          <cell r="G256">
            <v>3900.13</v>
          </cell>
          <cell r="I256">
            <v>159.79695431472081</v>
          </cell>
          <cell r="J256">
            <v>153.56837699386142</v>
          </cell>
          <cell r="L256" t="e">
            <v>#REF!</v>
          </cell>
          <cell r="M256" t="e">
            <v>#REF!</v>
          </cell>
        </row>
        <row r="257">
          <cell r="B257" t="str">
            <v>F</v>
          </cell>
          <cell r="D257">
            <v>34380</v>
          </cell>
          <cell r="E257">
            <v>393.5</v>
          </cell>
          <cell r="F257">
            <v>2875.5</v>
          </cell>
          <cell r="G257">
            <v>3807.42</v>
          </cell>
          <cell r="I257">
            <v>159.79695431472081</v>
          </cell>
          <cell r="J257">
            <v>149.91790271964467</v>
          </cell>
          <cell r="L257" t="e">
            <v>#REF!</v>
          </cell>
          <cell r="M257" t="e">
            <v>#REF!</v>
          </cell>
        </row>
        <row r="258">
          <cell r="B258" t="str">
            <v>F</v>
          </cell>
          <cell r="D258">
            <v>34381</v>
          </cell>
          <cell r="E258">
            <v>381.5</v>
          </cell>
          <cell r="F258">
            <v>1847.95</v>
          </cell>
          <cell r="G258">
            <v>3867.39</v>
          </cell>
          <cell r="I258">
            <v>154.92385786802032</v>
          </cell>
          <cell r="J258">
            <v>152.27923312871357</v>
          </cell>
          <cell r="L258" t="e">
            <v>#REF!</v>
          </cell>
          <cell r="M258" t="e">
            <v>#REF!</v>
          </cell>
        </row>
        <row r="259">
          <cell r="B259" t="str">
            <v>F</v>
          </cell>
          <cell r="D259">
            <v>34382</v>
          </cell>
          <cell r="E259">
            <v>387</v>
          </cell>
          <cell r="F259">
            <v>1091.55</v>
          </cell>
          <cell r="G259">
            <v>3915.04</v>
          </cell>
          <cell r="I259">
            <v>157.15736040609139</v>
          </cell>
          <cell r="J259">
            <v>154.15546114258939</v>
          </cell>
          <cell r="L259" t="e">
            <v>#REF!</v>
          </cell>
          <cell r="M259" t="e">
            <v>#REF!</v>
          </cell>
        </row>
        <row r="260">
          <cell r="B260" t="str">
            <v>F</v>
          </cell>
          <cell r="D260">
            <v>34383</v>
          </cell>
          <cell r="E260">
            <v>391</v>
          </cell>
          <cell r="F260">
            <v>1200</v>
          </cell>
          <cell r="G260">
            <v>4129.5200000000004</v>
          </cell>
          <cell r="I260">
            <v>158.78172588832487</v>
          </cell>
          <cell r="J260">
            <v>162.60065284072343</v>
          </cell>
          <cell r="L260" t="e">
            <v>#REF!</v>
          </cell>
          <cell r="M260" t="e">
            <v>#REF!</v>
          </cell>
        </row>
        <row r="261">
          <cell r="B261" t="str">
            <v>F</v>
          </cell>
          <cell r="D261">
            <v>34386</v>
          </cell>
          <cell r="E261">
            <v>405</v>
          </cell>
          <cell r="F261">
            <v>1618.1</v>
          </cell>
          <cell r="G261">
            <v>4084.89</v>
          </cell>
          <cell r="I261">
            <v>164.46700507614213</v>
          </cell>
          <cell r="J261">
            <v>160.84333791398095</v>
          </cell>
          <cell r="L261" t="e">
            <v>#REF!</v>
          </cell>
          <cell r="M261" t="e">
            <v>#REF!</v>
          </cell>
        </row>
        <row r="262">
          <cell r="B262" t="str">
            <v>F</v>
          </cell>
          <cell r="D262">
            <v>34387</v>
          </cell>
          <cell r="E262">
            <v>398</v>
          </cell>
          <cell r="F262">
            <v>1193.5999999999999</v>
          </cell>
          <cell r="G262">
            <v>4028.78</v>
          </cell>
          <cell r="I262">
            <v>161.62436548223351</v>
          </cell>
          <cell r="J262">
            <v>158.63399575535405</v>
          </cell>
          <cell r="L262" t="e">
            <v>#REF!</v>
          </cell>
          <cell r="M262" t="e">
            <v>#REF!</v>
          </cell>
        </row>
        <row r="263">
          <cell r="B263" t="str">
            <v>F</v>
          </cell>
          <cell r="D263">
            <v>34388</v>
          </cell>
          <cell r="E263">
            <v>386</v>
          </cell>
          <cell r="F263">
            <v>1735.6</v>
          </cell>
          <cell r="G263">
            <v>4132.33</v>
          </cell>
          <cell r="I263">
            <v>156.751269035533</v>
          </cell>
          <cell r="J263">
            <v>162.71129713702962</v>
          </cell>
          <cell r="L263" t="e">
            <v>#REF!</v>
          </cell>
          <cell r="M263" t="e">
            <v>#REF!</v>
          </cell>
        </row>
        <row r="264">
          <cell r="B264" t="str">
            <v>F</v>
          </cell>
          <cell r="D264">
            <v>34389</v>
          </cell>
          <cell r="E264">
            <v>396</v>
          </cell>
          <cell r="F264">
            <v>1110.8</v>
          </cell>
          <cell r="G264">
            <v>4236.96</v>
          </cell>
          <cell r="I264">
            <v>160.81218274111674</v>
          </cell>
          <cell r="J264">
            <v>166.83112372867342</v>
          </cell>
          <cell r="L264" t="e">
            <v>#REF!</v>
          </cell>
          <cell r="M264" t="e">
            <v>#REF!</v>
          </cell>
        </row>
        <row r="265">
          <cell r="B265" t="str">
            <v>F</v>
          </cell>
          <cell r="D265">
            <v>34390</v>
          </cell>
          <cell r="E265">
            <v>397</v>
          </cell>
          <cell r="F265">
            <v>906.65</v>
          </cell>
          <cell r="G265">
            <v>4267.6099999999997</v>
          </cell>
          <cell r="I265">
            <v>161.21827411167513</v>
          </cell>
          <cell r="J265">
            <v>168.03797343749383</v>
          </cell>
          <cell r="L265" t="e">
            <v>#REF!</v>
          </cell>
          <cell r="M265" t="e">
            <v>#REF!</v>
          </cell>
        </row>
        <row r="266">
          <cell r="B266" t="str">
            <v>F</v>
          </cell>
          <cell r="D266">
            <v>34392</v>
          </cell>
          <cell r="E266">
            <v>395</v>
          </cell>
          <cell r="F266">
            <v>1831.9</v>
          </cell>
          <cell r="G266">
            <v>4286.2</v>
          </cell>
          <cell r="I266">
            <v>160.40609137055839</v>
          </cell>
          <cell r="J266">
            <v>168.76995830166911</v>
          </cell>
          <cell r="L266" t="e">
            <v>#REF!</v>
          </cell>
          <cell r="M266" t="e">
            <v>#REF!</v>
          </cell>
        </row>
        <row r="267">
          <cell r="B267" t="str">
            <v>F</v>
          </cell>
          <cell r="D267">
            <v>34393</v>
          </cell>
          <cell r="E267">
            <v>410</v>
          </cell>
          <cell r="F267">
            <v>1500</v>
          </cell>
          <cell r="G267">
            <v>4147.72</v>
          </cell>
          <cell r="I267">
            <v>166.49746192893403</v>
          </cell>
          <cell r="J267">
            <v>163.31728137907683</v>
          </cell>
          <cell r="L267" t="e">
            <v>#REF!</v>
          </cell>
          <cell r="M267" t="e">
            <v>#REF!</v>
          </cell>
        </row>
        <row r="268">
          <cell r="B268" t="str">
            <v>M</v>
          </cell>
          <cell r="D268">
            <v>34394</v>
          </cell>
          <cell r="E268">
            <v>405</v>
          </cell>
          <cell r="F268">
            <v>1971.15</v>
          </cell>
          <cell r="G268">
            <v>4066.2</v>
          </cell>
          <cell r="I268">
            <v>164.46700507614213</v>
          </cell>
          <cell r="J268">
            <v>160.10741553036419</v>
          </cell>
          <cell r="L268" t="e">
            <v>#REF!</v>
          </cell>
          <cell r="M268" t="e">
            <v>#REF!</v>
          </cell>
        </row>
        <row r="269">
          <cell r="B269" t="str">
            <v>M</v>
          </cell>
          <cell r="D269">
            <v>34395</v>
          </cell>
          <cell r="E269">
            <v>386.25</v>
          </cell>
          <cell r="F269">
            <v>1135.75</v>
          </cell>
          <cell r="G269">
            <v>3981.72</v>
          </cell>
          <cell r="I269">
            <v>156.85279187817258</v>
          </cell>
          <cell r="J269">
            <v>156.78099910618309</v>
          </cell>
          <cell r="L269" t="e">
            <v>#REF!</v>
          </cell>
          <cell r="M269" t="e">
            <v>#REF!</v>
          </cell>
        </row>
        <row r="270">
          <cell r="B270" t="str">
            <v>M</v>
          </cell>
          <cell r="D270">
            <v>34397</v>
          </cell>
          <cell r="E270">
            <v>356.25</v>
          </cell>
          <cell r="F270">
            <v>1841.45</v>
          </cell>
          <cell r="G270">
            <v>3801.56</v>
          </cell>
          <cell r="I270">
            <v>144.67005076142132</v>
          </cell>
          <cell r="J270">
            <v>149.68716408037264</v>
          </cell>
          <cell r="L270" t="e">
            <v>#REF!</v>
          </cell>
          <cell r="M270" t="e">
            <v>#REF!</v>
          </cell>
        </row>
        <row r="271">
          <cell r="B271" t="str">
            <v>M</v>
          </cell>
          <cell r="D271">
            <v>34400</v>
          </cell>
          <cell r="E271">
            <v>347.5</v>
          </cell>
          <cell r="F271">
            <v>1488.2</v>
          </cell>
          <cell r="G271">
            <v>3744.61</v>
          </cell>
          <cell r="I271">
            <v>141.11675126903555</v>
          </cell>
          <cell r="J271">
            <v>147.44474675843713</v>
          </cell>
          <cell r="L271" t="e">
            <v>#REF!</v>
          </cell>
          <cell r="M271" t="e">
            <v>#REF!</v>
          </cell>
        </row>
        <row r="272">
          <cell r="B272" t="str">
            <v>M</v>
          </cell>
          <cell r="D272">
            <v>34401</v>
          </cell>
          <cell r="E272">
            <v>356.25</v>
          </cell>
          <cell r="F272">
            <v>1200</v>
          </cell>
          <cell r="G272">
            <v>3847.39</v>
          </cell>
          <cell r="I272">
            <v>144.67005076142132</v>
          </cell>
          <cell r="J272">
            <v>151.49172924041312</v>
          </cell>
          <cell r="L272" t="e">
            <v>#REF!</v>
          </cell>
          <cell r="M272" t="e">
            <v>#REF!</v>
          </cell>
        </row>
        <row r="273">
          <cell r="B273" t="str">
            <v>M</v>
          </cell>
          <cell r="D273">
            <v>34402</v>
          </cell>
          <cell r="E273">
            <v>343.75</v>
          </cell>
          <cell r="F273">
            <v>1355.3</v>
          </cell>
          <cell r="G273">
            <v>3807.72</v>
          </cell>
          <cell r="I273">
            <v>139.59390862944164</v>
          </cell>
          <cell r="J273">
            <v>149.92971527796919</v>
          </cell>
          <cell r="L273" t="e">
            <v>#REF!</v>
          </cell>
          <cell r="M273" t="e">
            <v>#REF!</v>
          </cell>
        </row>
        <row r="274">
          <cell r="B274" t="str">
            <v>M</v>
          </cell>
          <cell r="D274">
            <v>34404</v>
          </cell>
          <cell r="E274">
            <v>335</v>
          </cell>
          <cell r="F274">
            <v>2674.85</v>
          </cell>
          <cell r="G274">
            <v>3747.22</v>
          </cell>
          <cell r="I274">
            <v>136.04060913705584</v>
          </cell>
          <cell r="J274">
            <v>147.54751601586034</v>
          </cell>
          <cell r="L274" t="e">
            <v>#REF!</v>
          </cell>
          <cell r="M274" t="e">
            <v>#REF!</v>
          </cell>
        </row>
        <row r="275">
          <cell r="B275" t="str">
            <v>M</v>
          </cell>
          <cell r="D275">
            <v>34409</v>
          </cell>
          <cell r="E275">
            <v>342.5</v>
          </cell>
          <cell r="F275">
            <v>83.7</v>
          </cell>
          <cell r="G275">
            <v>3758.28</v>
          </cell>
          <cell r="I275">
            <v>139.08629441624365</v>
          </cell>
          <cell r="J275">
            <v>147.98300566609049</v>
          </cell>
          <cell r="L275" t="e">
            <v>#REF!</v>
          </cell>
          <cell r="M275" t="e">
            <v>#REF!</v>
          </cell>
        </row>
        <row r="276">
          <cell r="B276" t="str">
            <v>M</v>
          </cell>
          <cell r="D276">
            <v>34410</v>
          </cell>
          <cell r="E276">
            <v>337.5</v>
          </cell>
          <cell r="F276">
            <v>30</v>
          </cell>
          <cell r="G276">
            <v>3791.96</v>
          </cell>
          <cell r="I276">
            <v>137.05583756345177</v>
          </cell>
          <cell r="J276">
            <v>149.30916221398843</v>
          </cell>
          <cell r="L276" t="e">
            <v>#REF!</v>
          </cell>
          <cell r="M276" t="e">
            <v>#REF!</v>
          </cell>
        </row>
        <row r="277">
          <cell r="B277" t="str">
            <v>M</v>
          </cell>
          <cell r="D277">
            <v>34411</v>
          </cell>
          <cell r="E277">
            <v>342.5</v>
          </cell>
          <cell r="F277">
            <v>40</v>
          </cell>
          <cell r="G277">
            <v>3792.98</v>
          </cell>
          <cell r="I277">
            <v>139.08629441624365</v>
          </cell>
          <cell r="J277">
            <v>149.34932491229176</v>
          </cell>
          <cell r="L277" t="e">
            <v>#REF!</v>
          </cell>
          <cell r="M277" t="e">
            <v>#REF!</v>
          </cell>
        </row>
        <row r="278">
          <cell r="B278" t="str">
            <v>M</v>
          </cell>
          <cell r="D278">
            <v>34414</v>
          </cell>
          <cell r="E278">
            <v>345</v>
          </cell>
          <cell r="F278">
            <v>87.6</v>
          </cell>
          <cell r="G278">
            <v>3801.86</v>
          </cell>
          <cell r="I278">
            <v>140.10152284263961</v>
          </cell>
          <cell r="J278">
            <v>149.69897663869716</v>
          </cell>
          <cell r="L278" t="e">
            <v>#REF!</v>
          </cell>
          <cell r="M278" t="e">
            <v>#REF!</v>
          </cell>
        </row>
        <row r="279">
          <cell r="B279" t="str">
            <v>M</v>
          </cell>
          <cell r="D279">
            <v>34415</v>
          </cell>
          <cell r="E279">
            <v>342.5</v>
          </cell>
          <cell r="F279">
            <v>69.849999999999994</v>
          </cell>
          <cell r="G279">
            <v>3820.73</v>
          </cell>
          <cell r="I279">
            <v>139.08629441624365</v>
          </cell>
          <cell r="J279">
            <v>150.44198655730864</v>
          </cell>
          <cell r="L279" t="e">
            <v>#REF!</v>
          </cell>
          <cell r="M279" t="e">
            <v>#REF!</v>
          </cell>
        </row>
        <row r="280">
          <cell r="B280" t="str">
            <v>M</v>
          </cell>
          <cell r="D280">
            <v>34416</v>
          </cell>
          <cell r="E280">
            <v>332.5</v>
          </cell>
          <cell r="F280">
            <v>145.85</v>
          </cell>
          <cell r="G280">
            <v>3791.78</v>
          </cell>
          <cell r="I280">
            <v>135.0253807106599</v>
          </cell>
          <cell r="J280">
            <v>149.30207467899373</v>
          </cell>
          <cell r="L280" t="e">
            <v>#REF!</v>
          </cell>
          <cell r="M280" t="e">
            <v>#REF!</v>
          </cell>
        </row>
        <row r="281">
          <cell r="B281" t="str">
            <v>M</v>
          </cell>
          <cell r="D281">
            <v>34417</v>
          </cell>
          <cell r="E281">
            <v>330</v>
          </cell>
          <cell r="F281">
            <v>100</v>
          </cell>
          <cell r="G281">
            <v>3726.82</v>
          </cell>
          <cell r="I281">
            <v>134.01015228426397</v>
          </cell>
          <cell r="J281">
            <v>146.74426204979389</v>
          </cell>
          <cell r="L281" t="e">
            <v>#REF!</v>
          </cell>
          <cell r="M281" t="e">
            <v>#REF!</v>
          </cell>
        </row>
        <row r="282">
          <cell r="B282" t="str">
            <v>M</v>
          </cell>
          <cell r="D282">
            <v>34418</v>
          </cell>
          <cell r="E282">
            <v>326.25</v>
          </cell>
          <cell r="F282">
            <v>289.89999999999998</v>
          </cell>
          <cell r="G282">
            <v>3681.47</v>
          </cell>
          <cell r="I282">
            <v>132.48730964467006</v>
          </cell>
          <cell r="J282">
            <v>144.9585969830726</v>
          </cell>
          <cell r="L282" t="e">
            <v>#REF!</v>
          </cell>
          <cell r="M282" t="e">
            <v>#REF!</v>
          </cell>
        </row>
        <row r="283">
          <cell r="B283" t="str">
            <v>M</v>
          </cell>
          <cell r="D283">
            <v>34421</v>
          </cell>
          <cell r="E283">
            <v>331.25</v>
          </cell>
          <cell r="F283">
            <v>166.5</v>
          </cell>
          <cell r="G283">
            <v>3678.16</v>
          </cell>
          <cell r="I283">
            <v>134.51776649746193</v>
          </cell>
          <cell r="J283">
            <v>144.82826508955887</v>
          </cell>
          <cell r="L283" t="e">
            <v>#REF!</v>
          </cell>
          <cell r="M283" t="e">
            <v>#REF!</v>
          </cell>
        </row>
        <row r="284">
          <cell r="B284" t="str">
            <v>M</v>
          </cell>
          <cell r="D284">
            <v>34422</v>
          </cell>
          <cell r="E284">
            <v>341.25</v>
          </cell>
          <cell r="F284">
            <v>74.849999999999994</v>
          </cell>
          <cell r="G284">
            <v>3713.18</v>
          </cell>
          <cell r="I284">
            <v>138.57868020304568</v>
          </cell>
          <cell r="J284">
            <v>146.20718439797295</v>
          </cell>
          <cell r="L284" t="e">
            <v>#REF!</v>
          </cell>
          <cell r="M284" t="e">
            <v>#REF!</v>
          </cell>
        </row>
        <row r="285">
          <cell r="B285" t="str">
            <v>M</v>
          </cell>
          <cell r="D285">
            <v>34423</v>
          </cell>
          <cell r="E285">
            <v>333.75</v>
          </cell>
          <cell r="F285">
            <v>44.25</v>
          </cell>
          <cell r="G285">
            <v>3779.68</v>
          </cell>
          <cell r="I285">
            <v>135.53299492385787</v>
          </cell>
          <cell r="J285">
            <v>148.82563482657196</v>
          </cell>
          <cell r="L285" t="e">
            <v>#REF!</v>
          </cell>
          <cell r="M285" t="e">
            <v>#REF!</v>
          </cell>
        </row>
        <row r="286">
          <cell r="B286" t="str">
            <v>M</v>
          </cell>
          <cell r="D286">
            <v>34424</v>
          </cell>
          <cell r="E286">
            <v>335</v>
          </cell>
          <cell r="F286">
            <v>127.6</v>
          </cell>
          <cell r="G286">
            <v>3776.19</v>
          </cell>
          <cell r="I286">
            <v>136.04060913705584</v>
          </cell>
          <cell r="J286">
            <v>148.68821539806353</v>
          </cell>
          <cell r="L286" t="e">
            <v>#REF!</v>
          </cell>
          <cell r="M286" t="e">
            <v>#REF!</v>
          </cell>
        </row>
        <row r="287">
          <cell r="B287" t="str">
            <v>A</v>
          </cell>
          <cell r="D287">
            <v>34428</v>
          </cell>
          <cell r="E287">
            <v>336.25</v>
          </cell>
          <cell r="F287">
            <v>77.55</v>
          </cell>
          <cell r="G287">
            <v>3778.99</v>
          </cell>
          <cell r="I287">
            <v>136.54822335025381</v>
          </cell>
          <cell r="J287">
            <v>148.79846594242559</v>
          </cell>
          <cell r="L287" t="e">
            <v>#REF!</v>
          </cell>
          <cell r="M287" t="e">
            <v>#REF!</v>
          </cell>
        </row>
        <row r="288">
          <cell r="B288" t="str">
            <v>A</v>
          </cell>
          <cell r="D288">
            <v>34429</v>
          </cell>
          <cell r="E288">
            <v>346.25</v>
          </cell>
          <cell r="F288">
            <v>268.45</v>
          </cell>
          <cell r="G288">
            <v>3780.85</v>
          </cell>
          <cell r="I288">
            <v>140.60913705583758</v>
          </cell>
          <cell r="J288">
            <v>148.87170380403754</v>
          </cell>
          <cell r="L288" t="e">
            <v>#REF!</v>
          </cell>
          <cell r="M288" t="e">
            <v>#REF!</v>
          </cell>
        </row>
        <row r="289">
          <cell r="B289" t="str">
            <v>A</v>
          </cell>
          <cell r="D289">
            <v>34430</v>
          </cell>
          <cell r="E289">
            <v>348.75</v>
          </cell>
          <cell r="F289">
            <v>244.15</v>
          </cell>
          <cell r="G289">
            <v>3812.15</v>
          </cell>
          <cell r="I289">
            <v>141.62436548223351</v>
          </cell>
          <cell r="J289">
            <v>150.10414738922773</v>
          </cell>
          <cell r="L289" t="e">
            <v>#REF!</v>
          </cell>
          <cell r="M289" t="e">
            <v>#REF!</v>
          </cell>
        </row>
        <row r="290">
          <cell r="B290" t="str">
            <v>A</v>
          </cell>
          <cell r="D290">
            <v>34431</v>
          </cell>
          <cell r="E290">
            <v>350</v>
          </cell>
          <cell r="F290">
            <v>465.45</v>
          </cell>
          <cell r="G290">
            <v>3842.38</v>
          </cell>
          <cell r="I290">
            <v>142.13197969543148</v>
          </cell>
          <cell r="J290">
            <v>151.29445951639389</v>
          </cell>
          <cell r="L290" t="e">
            <v>#REF!</v>
          </cell>
          <cell r="M290" t="e">
            <v>#REF!</v>
          </cell>
        </row>
        <row r="291">
          <cell r="B291" t="str">
            <v>A</v>
          </cell>
          <cell r="D291">
            <v>34432</v>
          </cell>
          <cell r="E291">
            <v>358.75</v>
          </cell>
          <cell r="F291">
            <v>272.5</v>
          </cell>
          <cell r="G291">
            <v>3835.83</v>
          </cell>
          <cell r="I291">
            <v>145.68527918781726</v>
          </cell>
          <cell r="J291">
            <v>151.03655199297546</v>
          </cell>
          <cell r="L291" t="e">
            <v>#REF!</v>
          </cell>
          <cell r="M291" t="e">
            <v>#REF!</v>
          </cell>
        </row>
        <row r="292">
          <cell r="B292" t="str">
            <v>A</v>
          </cell>
          <cell r="D292">
            <v>34436</v>
          </cell>
          <cell r="E292">
            <v>361.25</v>
          </cell>
          <cell r="F292">
            <v>122.65</v>
          </cell>
          <cell r="G292">
            <v>3878.55</v>
          </cell>
          <cell r="I292">
            <v>146.70050761421319</v>
          </cell>
          <cell r="J292">
            <v>152.71866029838523</v>
          </cell>
          <cell r="L292" t="e">
            <v>#REF!</v>
          </cell>
          <cell r="M292" t="e">
            <v>#REF!</v>
          </cell>
        </row>
        <row r="293">
          <cell r="B293" t="str">
            <v>A</v>
          </cell>
          <cell r="D293">
            <v>34437</v>
          </cell>
          <cell r="E293">
            <v>361.25</v>
          </cell>
          <cell r="F293">
            <v>125</v>
          </cell>
          <cell r="G293">
            <v>3915.12</v>
          </cell>
          <cell r="I293">
            <v>146.70050761421319</v>
          </cell>
          <cell r="J293">
            <v>154.15861115814261</v>
          </cell>
          <cell r="L293" t="e">
            <v>#REF!</v>
          </cell>
          <cell r="M293" t="e">
            <v>#REF!</v>
          </cell>
        </row>
        <row r="294">
          <cell r="B294" t="str">
            <v>A</v>
          </cell>
          <cell r="D294">
            <v>34439</v>
          </cell>
          <cell r="E294">
            <v>356.25</v>
          </cell>
          <cell r="F294">
            <v>100</v>
          </cell>
          <cell r="G294">
            <v>3944.53</v>
          </cell>
          <cell r="I294">
            <v>144.67005076142132</v>
          </cell>
          <cell r="J294">
            <v>155.31663562588841</v>
          </cell>
          <cell r="L294" t="e">
            <v>#REF!</v>
          </cell>
          <cell r="M294" t="e">
            <v>#REF!</v>
          </cell>
        </row>
        <row r="295">
          <cell r="B295" t="str">
            <v>A</v>
          </cell>
          <cell r="D295">
            <v>34442</v>
          </cell>
          <cell r="E295">
            <v>357.5</v>
          </cell>
          <cell r="F295">
            <v>207.65</v>
          </cell>
          <cell r="G295">
            <v>3895.18</v>
          </cell>
          <cell r="I295">
            <v>145.17766497461929</v>
          </cell>
          <cell r="J295">
            <v>153.37346978150705</v>
          </cell>
          <cell r="L295" t="e">
            <v>#REF!</v>
          </cell>
          <cell r="M295" t="e">
            <v>#REF!</v>
          </cell>
        </row>
        <row r="296">
          <cell r="B296" t="str">
            <v>A</v>
          </cell>
          <cell r="D296">
            <v>34443</v>
          </cell>
          <cell r="E296">
            <v>357.5</v>
          </cell>
          <cell r="F296">
            <v>648.1</v>
          </cell>
          <cell r="G296">
            <v>3866.91</v>
          </cell>
          <cell r="I296">
            <v>145.17766497461929</v>
          </cell>
          <cell r="J296">
            <v>152.26033303539435</v>
          </cell>
          <cell r="L296" t="e">
            <v>#REF!</v>
          </cell>
          <cell r="M296" t="e">
            <v>#REF!</v>
          </cell>
        </row>
        <row r="297">
          <cell r="B297" t="str">
            <v>A</v>
          </cell>
          <cell r="D297">
            <v>34445</v>
          </cell>
          <cell r="E297">
            <v>342.5</v>
          </cell>
          <cell r="F297">
            <v>200</v>
          </cell>
          <cell r="G297">
            <v>3830.29</v>
          </cell>
          <cell r="I297">
            <v>139.08629441624365</v>
          </cell>
          <cell r="J297">
            <v>150.81841341591624</v>
          </cell>
          <cell r="L297" t="e">
            <v>#REF!</v>
          </cell>
          <cell r="M297" t="e">
            <v>#REF!</v>
          </cell>
        </row>
        <row r="298">
          <cell r="B298" t="str">
            <v>A</v>
          </cell>
          <cell r="D298">
            <v>34446</v>
          </cell>
          <cell r="E298">
            <v>347.5</v>
          </cell>
          <cell r="F298">
            <v>176.9</v>
          </cell>
          <cell r="G298">
            <v>3778.93</v>
          </cell>
          <cell r="I298">
            <v>141.11675126903555</v>
          </cell>
          <cell r="J298">
            <v>148.7961034307607</v>
          </cell>
          <cell r="L298" t="e">
            <v>#REF!</v>
          </cell>
          <cell r="M298" t="e">
            <v>#REF!</v>
          </cell>
        </row>
        <row r="299">
          <cell r="B299" t="str">
            <v>A</v>
          </cell>
          <cell r="D299">
            <v>34449</v>
          </cell>
          <cell r="E299">
            <v>345</v>
          </cell>
          <cell r="F299">
            <v>80.099999999999994</v>
          </cell>
          <cell r="G299">
            <v>3806.74</v>
          </cell>
          <cell r="I299">
            <v>140.10152284263961</v>
          </cell>
          <cell r="J299">
            <v>149.89112758744247</v>
          </cell>
          <cell r="L299" t="e">
            <v>#REF!</v>
          </cell>
          <cell r="M299" t="e">
            <v>#REF!</v>
          </cell>
        </row>
        <row r="300">
          <cell r="B300" t="str">
            <v>A</v>
          </cell>
          <cell r="D300">
            <v>34450</v>
          </cell>
          <cell r="E300">
            <v>338.75</v>
          </cell>
          <cell r="F300">
            <v>110.9</v>
          </cell>
          <cell r="G300">
            <v>3813.27</v>
          </cell>
          <cell r="I300">
            <v>137.56345177664974</v>
          </cell>
          <cell r="J300">
            <v>150.14824760697257</v>
          </cell>
          <cell r="L300" t="e">
            <v>#REF!</v>
          </cell>
          <cell r="M300" t="e">
            <v>#REF!</v>
          </cell>
        </row>
        <row r="301">
          <cell r="B301" t="str">
            <v>A</v>
          </cell>
          <cell r="D301">
            <v>34451</v>
          </cell>
          <cell r="E301">
            <v>333.75</v>
          </cell>
          <cell r="F301">
            <v>104</v>
          </cell>
          <cell r="G301">
            <v>3780.52</v>
          </cell>
          <cell r="I301">
            <v>135.53299492385787</v>
          </cell>
          <cell r="J301">
            <v>148.85870998988057</v>
          </cell>
          <cell r="L301" t="e">
            <v>#REF!</v>
          </cell>
          <cell r="M301" t="e">
            <v>#REF!</v>
          </cell>
        </row>
        <row r="302">
          <cell r="B302" t="str">
            <v>A</v>
          </cell>
          <cell r="D302">
            <v>34452</v>
          </cell>
          <cell r="E302">
            <v>333.75</v>
          </cell>
          <cell r="F302">
            <v>100</v>
          </cell>
          <cell r="G302">
            <v>3740.4</v>
          </cell>
          <cell r="I302">
            <v>135.53299492385787</v>
          </cell>
          <cell r="J302">
            <v>147.27897718994987</v>
          </cell>
          <cell r="L302" t="e">
            <v>#REF!</v>
          </cell>
          <cell r="M302" t="e">
            <v>#REF!</v>
          </cell>
        </row>
        <row r="303">
          <cell r="B303" t="str">
            <v>A</v>
          </cell>
          <cell r="D303">
            <v>34453</v>
          </cell>
          <cell r="E303">
            <v>332.5</v>
          </cell>
          <cell r="F303">
            <v>95</v>
          </cell>
          <cell r="G303">
            <v>3753.08</v>
          </cell>
          <cell r="I303">
            <v>135.0253807106599</v>
          </cell>
          <cell r="J303">
            <v>147.77825465513237</v>
          </cell>
          <cell r="L303" t="e">
            <v>#REF!</v>
          </cell>
          <cell r="M303" t="e">
            <v>#REF!</v>
          </cell>
        </row>
        <row r="304">
          <cell r="B304" t="str">
            <v>M</v>
          </cell>
          <cell r="D304">
            <v>34456</v>
          </cell>
          <cell r="E304">
            <v>326.25</v>
          </cell>
          <cell r="F304">
            <v>85</v>
          </cell>
          <cell r="G304">
            <v>3746.1</v>
          </cell>
          <cell r="I304">
            <v>132.48730964467006</v>
          </cell>
          <cell r="J304">
            <v>147.5034157981155</v>
          </cell>
          <cell r="L304" t="e">
            <v>#REF!</v>
          </cell>
          <cell r="M304" t="e">
            <v>#REF!</v>
          </cell>
        </row>
        <row r="305">
          <cell r="B305" t="str">
            <v>M</v>
          </cell>
          <cell r="D305">
            <v>34457</v>
          </cell>
          <cell r="E305">
            <v>315</v>
          </cell>
          <cell r="F305">
            <v>140.9</v>
          </cell>
          <cell r="G305">
            <v>3720.72</v>
          </cell>
          <cell r="I305">
            <v>127.91878172588832</v>
          </cell>
          <cell r="J305">
            <v>146.50407336386223</v>
          </cell>
          <cell r="L305" t="e">
            <v>#REF!</v>
          </cell>
          <cell r="M305" t="e">
            <v>#REF!</v>
          </cell>
        </row>
        <row r="306">
          <cell r="B306" t="str">
            <v>M</v>
          </cell>
          <cell r="D306">
            <v>34458</v>
          </cell>
          <cell r="E306">
            <v>310</v>
          </cell>
          <cell r="F306">
            <v>163.55000000000001</v>
          </cell>
          <cell r="G306">
            <v>3672.14</v>
          </cell>
          <cell r="I306">
            <v>125.88832487309645</v>
          </cell>
          <cell r="J306">
            <v>144.59122641918046</v>
          </cell>
          <cell r="L306" t="e">
            <v>#REF!</v>
          </cell>
          <cell r="M306" t="e">
            <v>#REF!</v>
          </cell>
        </row>
        <row r="307">
          <cell r="B307" t="str">
            <v>M</v>
          </cell>
          <cell r="D307">
            <v>34459</v>
          </cell>
          <cell r="E307">
            <v>317.5</v>
          </cell>
          <cell r="F307">
            <v>252.95</v>
          </cell>
          <cell r="G307">
            <v>3600.48</v>
          </cell>
          <cell r="I307">
            <v>128.93401015228426</v>
          </cell>
          <cell r="J307">
            <v>141.76959998739994</v>
          </cell>
          <cell r="L307" t="e">
            <v>#REF!</v>
          </cell>
          <cell r="M307" t="e">
            <v>#REF!</v>
          </cell>
        </row>
        <row r="308">
          <cell r="B308" t="str">
            <v>M</v>
          </cell>
          <cell r="D308">
            <v>34460</v>
          </cell>
          <cell r="E308">
            <v>323.75</v>
          </cell>
          <cell r="F308">
            <v>199.05</v>
          </cell>
          <cell r="G308">
            <v>3623.65</v>
          </cell>
          <cell r="I308">
            <v>131.47208121827413</v>
          </cell>
          <cell r="J308">
            <v>142.681923241996</v>
          </cell>
          <cell r="L308" t="e">
            <v>#REF!</v>
          </cell>
          <cell r="M308" t="e">
            <v>#REF!</v>
          </cell>
        </row>
        <row r="309">
          <cell r="B309" t="str">
            <v>M</v>
          </cell>
          <cell r="D309">
            <v>34463</v>
          </cell>
          <cell r="E309">
            <v>326.25</v>
          </cell>
          <cell r="F309">
            <v>89.9</v>
          </cell>
          <cell r="G309">
            <v>3715.04</v>
          </cell>
          <cell r="I309">
            <v>132.48730964467006</v>
          </cell>
          <cell r="J309">
            <v>146.28042225958492</v>
          </cell>
          <cell r="L309" t="e">
            <v>#REF!</v>
          </cell>
          <cell r="M309" t="e">
            <v>#REF!</v>
          </cell>
        </row>
        <row r="310">
          <cell r="B310" t="str">
            <v>M</v>
          </cell>
          <cell r="D310">
            <v>34464</v>
          </cell>
          <cell r="E310">
            <v>328.75</v>
          </cell>
          <cell r="F310">
            <v>154.6</v>
          </cell>
          <cell r="G310">
            <v>3752.56</v>
          </cell>
          <cell r="I310">
            <v>133.502538071066</v>
          </cell>
          <cell r="J310">
            <v>147.75777955403655</v>
          </cell>
          <cell r="L310" t="e">
            <v>#REF!</v>
          </cell>
          <cell r="M310" t="e">
            <v>#REF!</v>
          </cell>
        </row>
        <row r="311">
          <cell r="B311" t="str">
            <v>M</v>
          </cell>
          <cell r="D311">
            <v>34465</v>
          </cell>
          <cell r="E311">
            <v>328.75</v>
          </cell>
          <cell r="F311">
            <v>89.8</v>
          </cell>
          <cell r="G311">
            <v>3774.6</v>
          </cell>
          <cell r="I311">
            <v>133.502538071066</v>
          </cell>
          <cell r="J311">
            <v>148.62560883894363</v>
          </cell>
          <cell r="L311" t="e">
            <v>#REF!</v>
          </cell>
          <cell r="M311" t="e">
            <v>#REF!</v>
          </cell>
        </row>
        <row r="312">
          <cell r="B312" t="str">
            <v>M</v>
          </cell>
          <cell r="D312">
            <v>34467</v>
          </cell>
          <cell r="E312">
            <v>333.75</v>
          </cell>
          <cell r="F312">
            <v>129.55000000000001</v>
          </cell>
          <cell r="G312">
            <v>3781.1</v>
          </cell>
          <cell r="I312">
            <v>135.53299492385787</v>
          </cell>
          <cell r="J312">
            <v>148.88154760264129</v>
          </cell>
          <cell r="L312" t="e">
            <v>#REF!</v>
          </cell>
          <cell r="M312" t="e">
            <v>#REF!</v>
          </cell>
        </row>
        <row r="313">
          <cell r="B313" t="str">
            <v>M</v>
          </cell>
          <cell r="D313">
            <v>34470</v>
          </cell>
          <cell r="E313">
            <v>338.75</v>
          </cell>
          <cell r="F313">
            <v>131.35</v>
          </cell>
          <cell r="G313">
            <v>3808.5</v>
          </cell>
          <cell r="I313">
            <v>137.56345177664974</v>
          </cell>
          <cell r="J313">
            <v>149.96042792961291</v>
          </cell>
          <cell r="L313" t="e">
            <v>#REF!</v>
          </cell>
          <cell r="M313" t="e">
            <v>#REF!</v>
          </cell>
        </row>
        <row r="314">
          <cell r="B314" t="str">
            <v>M</v>
          </cell>
          <cell r="D314">
            <v>34471</v>
          </cell>
          <cell r="E314">
            <v>333.75</v>
          </cell>
          <cell r="F314">
            <v>157.15</v>
          </cell>
          <cell r="G314">
            <v>3844.09</v>
          </cell>
          <cell r="I314">
            <v>135.53299492385787</v>
          </cell>
          <cell r="J314">
            <v>151.36179109884355</v>
          </cell>
          <cell r="L314" t="e">
            <v>#REF!</v>
          </cell>
          <cell r="M314" t="e">
            <v>#REF!</v>
          </cell>
        </row>
        <row r="315">
          <cell r="B315" t="str">
            <v>M</v>
          </cell>
          <cell r="D315">
            <v>34472</v>
          </cell>
          <cell r="E315">
            <v>340</v>
          </cell>
          <cell r="F315">
            <v>248.35</v>
          </cell>
          <cell r="G315">
            <v>3802.5</v>
          </cell>
          <cell r="I315">
            <v>138.07106598984771</v>
          </cell>
          <cell r="J315">
            <v>149.72417676312278</v>
          </cell>
          <cell r="L315" t="e">
            <v>#REF!</v>
          </cell>
          <cell r="M315" t="e">
            <v>#REF!</v>
          </cell>
        </row>
        <row r="316">
          <cell r="B316" t="str">
            <v>M</v>
          </cell>
          <cell r="D316">
            <v>34473</v>
          </cell>
          <cell r="E316">
            <v>335</v>
          </cell>
          <cell r="F316">
            <v>175</v>
          </cell>
          <cell r="G316">
            <v>3807.01</v>
          </cell>
          <cell r="I316">
            <v>136.04060913705584</v>
          </cell>
          <cell r="J316">
            <v>149.90175888993454</v>
          </cell>
          <cell r="L316" t="e">
            <v>#REF!</v>
          </cell>
          <cell r="M316" t="e">
            <v>#REF!</v>
          </cell>
        </row>
        <row r="317">
          <cell r="B317" t="str">
            <v>M</v>
          </cell>
          <cell r="D317">
            <v>34474</v>
          </cell>
          <cell r="E317">
            <v>333.75</v>
          </cell>
          <cell r="F317">
            <v>162.9</v>
          </cell>
          <cell r="G317">
            <v>3808.77</v>
          </cell>
          <cell r="I317">
            <v>135.53299492385787</v>
          </cell>
          <cell r="J317">
            <v>149.97105923210495</v>
          </cell>
          <cell r="L317" t="e">
            <v>#REF!</v>
          </cell>
          <cell r="M317" t="e">
            <v>#REF!</v>
          </cell>
        </row>
        <row r="318">
          <cell r="B318" t="str">
            <v>M</v>
          </cell>
          <cell r="D318">
            <v>34477</v>
          </cell>
          <cell r="E318">
            <v>323.75</v>
          </cell>
          <cell r="F318">
            <v>103.55</v>
          </cell>
          <cell r="G318">
            <v>3783.67</v>
          </cell>
          <cell r="I318">
            <v>131.47208121827413</v>
          </cell>
          <cell r="J318">
            <v>148.98274185228792</v>
          </cell>
          <cell r="L318" t="e">
            <v>#REF!</v>
          </cell>
          <cell r="M318" t="e">
            <v>#REF!</v>
          </cell>
        </row>
        <row r="319">
          <cell r="B319" t="str">
            <v>M</v>
          </cell>
          <cell r="D319">
            <v>34478</v>
          </cell>
          <cell r="E319">
            <v>322.5</v>
          </cell>
          <cell r="F319">
            <v>174.75</v>
          </cell>
          <cell r="G319">
            <v>3737.23</v>
          </cell>
          <cell r="I319">
            <v>130.96446700507616</v>
          </cell>
          <cell r="J319">
            <v>147.15415782365426</v>
          </cell>
          <cell r="L319" t="e">
            <v>#REF!</v>
          </cell>
          <cell r="M319" t="e">
            <v>#REF!</v>
          </cell>
        </row>
        <row r="320">
          <cell r="B320" t="str">
            <v>M</v>
          </cell>
          <cell r="D320">
            <v>34480</v>
          </cell>
          <cell r="E320">
            <v>325</v>
          </cell>
          <cell r="F320">
            <v>68.25</v>
          </cell>
          <cell r="G320">
            <v>3704.33</v>
          </cell>
          <cell r="I320">
            <v>131.97969543147209</v>
          </cell>
          <cell r="J320">
            <v>145.85871392740003</v>
          </cell>
          <cell r="L320" t="e">
            <v>#REF!</v>
          </cell>
          <cell r="M320" t="e">
            <v>#REF!</v>
          </cell>
        </row>
        <row r="321">
          <cell r="B321" t="str">
            <v>M</v>
          </cell>
          <cell r="D321">
            <v>34481</v>
          </cell>
          <cell r="E321">
            <v>331.25</v>
          </cell>
          <cell r="F321">
            <v>106.15</v>
          </cell>
          <cell r="G321">
            <v>3738</v>
          </cell>
          <cell r="I321">
            <v>134.51776649746193</v>
          </cell>
          <cell r="J321">
            <v>147.18447672335384</v>
          </cell>
          <cell r="L321" t="e">
            <v>#REF!</v>
          </cell>
          <cell r="M321" t="e">
            <v>#REF!</v>
          </cell>
        </row>
        <row r="322">
          <cell r="B322" t="str">
            <v>M</v>
          </cell>
          <cell r="D322">
            <v>34484</v>
          </cell>
          <cell r="E322">
            <v>345</v>
          </cell>
          <cell r="F322">
            <v>361.15</v>
          </cell>
          <cell r="G322">
            <v>3789.51</v>
          </cell>
          <cell r="I322">
            <v>140.10152284263961</v>
          </cell>
          <cell r="J322">
            <v>149.21269298767163</v>
          </cell>
          <cell r="L322" t="e">
            <v>#REF!</v>
          </cell>
          <cell r="M322" t="e">
            <v>#REF!</v>
          </cell>
        </row>
        <row r="323">
          <cell r="B323" t="str">
            <v>M</v>
          </cell>
          <cell r="D323">
            <v>34485</v>
          </cell>
          <cell r="E323">
            <v>347.5</v>
          </cell>
          <cell r="F323">
            <v>250</v>
          </cell>
          <cell r="G323">
            <v>3828.7</v>
          </cell>
          <cell r="I323">
            <v>141.11675126903555</v>
          </cell>
          <cell r="J323">
            <v>150.75580685679634</v>
          </cell>
          <cell r="L323" t="e">
            <v>#REF!</v>
          </cell>
          <cell r="M323" t="e">
            <v>#REF!</v>
          </cell>
        </row>
        <row r="324">
          <cell r="B324" t="str">
            <v>J</v>
          </cell>
          <cell r="D324">
            <v>34486</v>
          </cell>
          <cell r="E324">
            <v>348.75</v>
          </cell>
          <cell r="F324">
            <v>193.15</v>
          </cell>
          <cell r="G324">
            <v>3829.36</v>
          </cell>
          <cell r="I324">
            <v>141.62436548223351</v>
          </cell>
          <cell r="J324">
            <v>150.78179448511028</v>
          </cell>
          <cell r="L324" t="e">
            <v>#REF!</v>
          </cell>
          <cell r="M324" t="e">
            <v>#REF!</v>
          </cell>
        </row>
        <row r="325">
          <cell r="B325" t="str">
            <v>J</v>
          </cell>
          <cell r="D325">
            <v>34487</v>
          </cell>
          <cell r="E325">
            <v>366.25</v>
          </cell>
          <cell r="F325">
            <v>394.55</v>
          </cell>
          <cell r="G325">
            <v>3833.49</v>
          </cell>
          <cell r="I325">
            <v>148.73096446700509</v>
          </cell>
          <cell r="J325">
            <v>150.9444140380443</v>
          </cell>
          <cell r="L325" t="e">
            <v>#REF!</v>
          </cell>
          <cell r="M325" t="e">
            <v>#REF!</v>
          </cell>
        </row>
        <row r="326">
          <cell r="B326" t="str">
            <v>J</v>
          </cell>
          <cell r="D326">
            <v>34488</v>
          </cell>
          <cell r="E326">
            <v>372.5</v>
          </cell>
          <cell r="F326">
            <v>290.5</v>
          </cell>
          <cell r="G326">
            <v>3923.7</v>
          </cell>
          <cell r="I326">
            <v>151.26903553299493</v>
          </cell>
          <cell r="J326">
            <v>154.49645032622348</v>
          </cell>
          <cell r="L326" t="e">
            <v>#REF!</v>
          </cell>
          <cell r="M326" t="e">
            <v>#REF!</v>
          </cell>
        </row>
        <row r="327">
          <cell r="B327" t="str">
            <v>J</v>
          </cell>
          <cell r="D327">
            <v>34491</v>
          </cell>
          <cell r="E327">
            <v>375</v>
          </cell>
          <cell r="F327">
            <v>190</v>
          </cell>
          <cell r="G327">
            <v>4053.23</v>
          </cell>
          <cell r="I327">
            <v>152.28426395939087</v>
          </cell>
          <cell r="J327">
            <v>159.59671925880136</v>
          </cell>
          <cell r="L327" t="e">
            <v>#REF!</v>
          </cell>
          <cell r="M327" t="e">
            <v>#REF!</v>
          </cell>
        </row>
        <row r="328">
          <cell r="B328" t="str">
            <v>J</v>
          </cell>
          <cell r="D328">
            <v>34492</v>
          </cell>
          <cell r="E328">
            <v>367.5</v>
          </cell>
          <cell r="F328">
            <v>185.6</v>
          </cell>
          <cell r="G328">
            <v>4091.39</v>
          </cell>
          <cell r="I328">
            <v>149.23857868020306</v>
          </cell>
          <cell r="J328">
            <v>161.0992766776786</v>
          </cell>
          <cell r="L328" t="e">
            <v>#REF!</v>
          </cell>
          <cell r="M328" t="e">
            <v>#REF!</v>
          </cell>
        </row>
        <row r="329">
          <cell r="B329" t="str">
            <v>J</v>
          </cell>
          <cell r="D329">
            <v>34493</v>
          </cell>
          <cell r="E329">
            <v>371.25</v>
          </cell>
          <cell r="F329">
            <v>200</v>
          </cell>
          <cell r="G329">
            <v>4033.66</v>
          </cell>
          <cell r="I329">
            <v>150.76142131979697</v>
          </cell>
          <cell r="J329">
            <v>158.82614670409936</v>
          </cell>
          <cell r="L329" t="e">
            <v>#REF!</v>
          </cell>
          <cell r="M329" t="e">
            <v>#REF!</v>
          </cell>
        </row>
        <row r="330">
          <cell r="B330" t="str">
            <v>J</v>
          </cell>
          <cell r="D330">
            <v>34494</v>
          </cell>
          <cell r="E330">
            <v>372.5</v>
          </cell>
          <cell r="F330">
            <v>185</v>
          </cell>
          <cell r="G330">
            <v>4025</v>
          </cell>
          <cell r="I330">
            <v>151.26903553299493</v>
          </cell>
          <cell r="J330">
            <v>158.48515752046526</v>
          </cell>
          <cell r="L330" t="e">
            <v>#REF!</v>
          </cell>
          <cell r="M330" t="e">
            <v>#REF!</v>
          </cell>
        </row>
        <row r="331">
          <cell r="B331" t="str">
            <v>J</v>
          </cell>
          <cell r="D331">
            <v>34495</v>
          </cell>
          <cell r="E331">
            <v>375</v>
          </cell>
          <cell r="F331">
            <v>231.85</v>
          </cell>
          <cell r="G331">
            <v>4033.66</v>
          </cell>
          <cell r="I331">
            <v>152.28426395939087</v>
          </cell>
          <cell r="J331">
            <v>158.82614670409936</v>
          </cell>
          <cell r="L331" t="e">
            <v>#REF!</v>
          </cell>
          <cell r="M331" t="e">
            <v>#REF!</v>
          </cell>
        </row>
        <row r="332">
          <cell r="B332" t="str">
            <v>J</v>
          </cell>
          <cell r="D332">
            <v>34498</v>
          </cell>
          <cell r="E332">
            <v>367.5</v>
          </cell>
          <cell r="F332">
            <v>210.95</v>
          </cell>
          <cell r="G332">
            <v>4137.7</v>
          </cell>
          <cell r="I332">
            <v>149.23857868020306</v>
          </cell>
          <cell r="J332">
            <v>162.92274193103827</v>
          </cell>
          <cell r="L332" t="e">
            <v>#REF!</v>
          </cell>
          <cell r="M332" t="e">
            <v>#REF!</v>
          </cell>
        </row>
        <row r="333">
          <cell r="B333" t="str">
            <v>J</v>
          </cell>
          <cell r="D333">
            <v>34499</v>
          </cell>
          <cell r="E333">
            <v>372.5</v>
          </cell>
          <cell r="F333">
            <v>409.15</v>
          </cell>
          <cell r="G333">
            <v>4145.13</v>
          </cell>
          <cell r="I333">
            <v>151.26903553299493</v>
          </cell>
          <cell r="J333">
            <v>163.21529962554192</v>
          </cell>
          <cell r="L333" t="e">
            <v>#REF!</v>
          </cell>
          <cell r="M333" t="e">
            <v>#REF!</v>
          </cell>
        </row>
        <row r="334">
          <cell r="B334" t="str">
            <v>J</v>
          </cell>
          <cell r="D334">
            <v>34500</v>
          </cell>
          <cell r="E334">
            <v>367.5</v>
          </cell>
          <cell r="F334">
            <v>233.95</v>
          </cell>
          <cell r="G334">
            <v>4128.8500000000004</v>
          </cell>
          <cell r="I334">
            <v>149.23857868020306</v>
          </cell>
          <cell r="J334">
            <v>162.57427146046535</v>
          </cell>
          <cell r="L334" t="e">
            <v>#REF!</v>
          </cell>
          <cell r="M334" t="e">
            <v>#REF!</v>
          </cell>
        </row>
        <row r="335">
          <cell r="B335" t="str">
            <v>J</v>
          </cell>
          <cell r="D335">
            <v>34501</v>
          </cell>
          <cell r="E335">
            <v>391.25</v>
          </cell>
          <cell r="F335">
            <v>716.2</v>
          </cell>
          <cell r="G335">
            <v>4133.13</v>
          </cell>
          <cell r="I335">
            <v>158.88324873096448</v>
          </cell>
          <cell r="J335">
            <v>162.74279729256165</v>
          </cell>
          <cell r="L335" t="e">
            <v>#REF!</v>
          </cell>
          <cell r="M335" t="e">
            <v>#REF!</v>
          </cell>
        </row>
        <row r="336">
          <cell r="B336" t="str">
            <v>J</v>
          </cell>
          <cell r="D336">
            <v>34502</v>
          </cell>
          <cell r="E336">
            <v>397.5</v>
          </cell>
          <cell r="F336">
            <v>385.05</v>
          </cell>
          <cell r="G336">
            <v>4123.7</v>
          </cell>
          <cell r="I336">
            <v>161.42131979695432</v>
          </cell>
          <cell r="J336">
            <v>162.37148920922797</v>
          </cell>
          <cell r="L336" t="e">
            <v>#REF!</v>
          </cell>
          <cell r="M336" t="e">
            <v>#REF!</v>
          </cell>
        </row>
        <row r="337">
          <cell r="B337" t="str">
            <v>J</v>
          </cell>
          <cell r="D337">
            <v>34505</v>
          </cell>
          <cell r="E337">
            <v>401.25</v>
          </cell>
          <cell r="F337">
            <v>251</v>
          </cell>
          <cell r="G337">
            <v>4187.75</v>
          </cell>
          <cell r="I337">
            <v>162.94416243654823</v>
          </cell>
          <cell r="J337">
            <v>164.89347041151015</v>
          </cell>
          <cell r="L337" t="e">
            <v>#REF!</v>
          </cell>
          <cell r="M337" t="e">
            <v>#REF!</v>
          </cell>
        </row>
        <row r="338">
          <cell r="B338" t="str">
            <v>J</v>
          </cell>
          <cell r="D338">
            <v>34507</v>
          </cell>
          <cell r="E338">
            <v>393.75</v>
          </cell>
          <cell r="F338">
            <v>174.3</v>
          </cell>
          <cell r="G338">
            <v>4282.59</v>
          </cell>
          <cell r="I338">
            <v>159.89847715736042</v>
          </cell>
          <cell r="J338">
            <v>168.62781384983089</v>
          </cell>
          <cell r="L338" t="e">
            <v>#REF!</v>
          </cell>
          <cell r="M338" t="e">
            <v>#REF!</v>
          </cell>
        </row>
        <row r="339">
          <cell r="B339" t="str">
            <v>J</v>
          </cell>
          <cell r="D339">
            <v>34508</v>
          </cell>
          <cell r="E339">
            <v>383.75</v>
          </cell>
          <cell r="F339">
            <v>127</v>
          </cell>
          <cell r="G339">
            <v>4332.9799999999996</v>
          </cell>
          <cell r="I339">
            <v>155.83756345177665</v>
          </cell>
          <cell r="J339">
            <v>170.61192989640386</v>
          </cell>
          <cell r="L339" t="e">
            <v>#REF!</v>
          </cell>
          <cell r="M339" t="e">
            <v>#REF!</v>
          </cell>
        </row>
        <row r="340">
          <cell r="B340" t="str">
            <v>J</v>
          </cell>
          <cell r="D340">
            <v>34509</v>
          </cell>
          <cell r="E340">
            <v>376.25</v>
          </cell>
          <cell r="F340">
            <v>240</v>
          </cell>
          <cell r="G340">
            <v>4324.12</v>
          </cell>
          <cell r="I340">
            <v>152.79187817258884</v>
          </cell>
          <cell r="J340">
            <v>170.26306567388676</v>
          </cell>
          <cell r="L340" t="e">
            <v>#REF!</v>
          </cell>
          <cell r="M340" t="e">
            <v>#REF!</v>
          </cell>
        </row>
        <row r="341">
          <cell r="B341" t="str">
            <v>J</v>
          </cell>
          <cell r="D341">
            <v>34512</v>
          </cell>
          <cell r="E341">
            <v>376.25</v>
          </cell>
          <cell r="F341">
            <v>188</v>
          </cell>
          <cell r="G341">
            <v>4257.7</v>
          </cell>
          <cell r="I341">
            <v>152.79187817258884</v>
          </cell>
          <cell r="J341">
            <v>167.64776526084097</v>
          </cell>
          <cell r="L341" t="e">
            <v>#REF!</v>
          </cell>
          <cell r="M341" t="e">
            <v>#REF!</v>
          </cell>
        </row>
        <row r="342">
          <cell r="B342" t="str">
            <v>J</v>
          </cell>
          <cell r="D342">
            <v>34513</v>
          </cell>
          <cell r="E342">
            <v>381.25</v>
          </cell>
          <cell r="F342">
            <v>143.4</v>
          </cell>
          <cell r="G342">
            <v>4213.01</v>
          </cell>
          <cell r="I342">
            <v>154.82233502538071</v>
          </cell>
          <cell r="J342">
            <v>165.88808782243365</v>
          </cell>
          <cell r="L342" t="e">
            <v>#REF!</v>
          </cell>
          <cell r="M342" t="e">
            <v>#REF!</v>
          </cell>
        </row>
        <row r="343">
          <cell r="B343" t="str">
            <v>J</v>
          </cell>
          <cell r="D343">
            <v>34514</v>
          </cell>
          <cell r="E343">
            <v>376.25</v>
          </cell>
          <cell r="F343">
            <v>334.85</v>
          </cell>
          <cell r="G343">
            <v>4174.38</v>
          </cell>
          <cell r="I343">
            <v>152.79187817258884</v>
          </cell>
          <cell r="J343">
            <v>164.36702406218132</v>
          </cell>
          <cell r="L343" t="e">
            <v>#REF!</v>
          </cell>
          <cell r="M343" t="e">
            <v>#REF!</v>
          </cell>
        </row>
        <row r="344">
          <cell r="B344" t="str">
            <v>J</v>
          </cell>
          <cell r="D344">
            <v>34515</v>
          </cell>
          <cell r="E344">
            <v>371.25</v>
          </cell>
          <cell r="F344">
            <v>428.65</v>
          </cell>
          <cell r="G344">
            <v>4211.83</v>
          </cell>
          <cell r="I344">
            <v>150.76142131979697</v>
          </cell>
          <cell r="J344">
            <v>165.84162509302391</v>
          </cell>
          <cell r="L344" t="e">
            <v>#REF!</v>
          </cell>
          <cell r="M344" t="e">
            <v>#REF!</v>
          </cell>
        </row>
        <row r="345">
          <cell r="B345" t="str">
            <v>J</v>
          </cell>
          <cell r="D345">
            <v>34516</v>
          </cell>
          <cell r="E345">
            <v>368.75</v>
          </cell>
          <cell r="F345">
            <v>152.9</v>
          </cell>
          <cell r="G345">
            <v>4140.25</v>
          </cell>
          <cell r="I345">
            <v>149.74619289340103</v>
          </cell>
          <cell r="J345">
            <v>163.02314867679661</v>
          </cell>
          <cell r="L345" t="e">
            <v>#REF!</v>
          </cell>
          <cell r="M345" t="e">
            <v>#REF!</v>
          </cell>
        </row>
        <row r="346">
          <cell r="B346" t="str">
            <v>J</v>
          </cell>
          <cell r="D346">
            <v>34519</v>
          </cell>
          <cell r="E346">
            <v>367.5</v>
          </cell>
          <cell r="F346">
            <v>181</v>
          </cell>
          <cell r="G346">
            <v>4086.72</v>
          </cell>
          <cell r="I346">
            <v>149.23857868020306</v>
          </cell>
          <cell r="J346">
            <v>160.91539451976044</v>
          </cell>
          <cell r="L346" t="e">
            <v>#REF!</v>
          </cell>
          <cell r="M346" t="e">
            <v>#REF!</v>
          </cell>
        </row>
        <row r="347">
          <cell r="B347" t="str">
            <v>J</v>
          </cell>
          <cell r="D347">
            <v>34520</v>
          </cell>
          <cell r="E347">
            <v>375</v>
          </cell>
          <cell r="F347">
            <v>258</v>
          </cell>
          <cell r="G347">
            <v>4118.9799999999996</v>
          </cell>
          <cell r="I347">
            <v>152.28426395939087</v>
          </cell>
          <cell r="J347">
            <v>162.18563829158904</v>
          </cell>
          <cell r="L347" t="e">
            <v>#REF!</v>
          </cell>
          <cell r="M347" t="e">
            <v>#REF!</v>
          </cell>
        </row>
        <row r="348">
          <cell r="B348" t="str">
            <v>J</v>
          </cell>
          <cell r="D348">
            <v>34521</v>
          </cell>
          <cell r="E348">
            <v>375</v>
          </cell>
          <cell r="F348">
            <v>254.95</v>
          </cell>
          <cell r="G348">
            <v>4095.2</v>
          </cell>
          <cell r="I348">
            <v>152.28426395939087</v>
          </cell>
          <cell r="J348">
            <v>161.24929616839984</v>
          </cell>
          <cell r="L348" t="e">
            <v>#REF!</v>
          </cell>
          <cell r="M348" t="e">
            <v>#REF!</v>
          </cell>
        </row>
        <row r="349">
          <cell r="B349" t="str">
            <v>J</v>
          </cell>
          <cell r="D349">
            <v>34522</v>
          </cell>
          <cell r="E349">
            <v>368.75</v>
          </cell>
          <cell r="F349">
            <v>196.45</v>
          </cell>
          <cell r="G349">
            <v>4102.0600000000004</v>
          </cell>
          <cell r="I349">
            <v>149.74619289340103</v>
          </cell>
          <cell r="J349">
            <v>161.51941000208691</v>
          </cell>
          <cell r="L349" t="e">
            <v>#REF!</v>
          </cell>
          <cell r="M349" t="e">
            <v>#REF!</v>
          </cell>
        </row>
        <row r="350">
          <cell r="B350" t="str">
            <v>J</v>
          </cell>
          <cell r="D350">
            <v>34523</v>
          </cell>
          <cell r="E350">
            <v>371.25</v>
          </cell>
          <cell r="F350">
            <v>164.55</v>
          </cell>
          <cell r="G350">
            <v>4098.33</v>
          </cell>
          <cell r="I350">
            <v>150.76142131979697</v>
          </cell>
          <cell r="J350">
            <v>161.37254052691884</v>
          </cell>
          <cell r="L350" t="e">
            <v>#REF!</v>
          </cell>
          <cell r="M350" t="e">
            <v>#REF!</v>
          </cell>
        </row>
        <row r="351">
          <cell r="B351" t="str">
            <v>J</v>
          </cell>
          <cell r="D351">
            <v>34526</v>
          </cell>
          <cell r="E351">
            <v>373.75</v>
          </cell>
          <cell r="F351">
            <v>243.6</v>
          </cell>
          <cell r="G351">
            <v>4048.61</v>
          </cell>
          <cell r="I351">
            <v>151.7766497461929</v>
          </cell>
          <cell r="J351">
            <v>159.41480586060393</v>
          </cell>
          <cell r="L351" t="e">
            <v>#REF!</v>
          </cell>
          <cell r="M351" t="e">
            <v>#REF!</v>
          </cell>
        </row>
        <row r="352">
          <cell r="B352" t="str">
            <v>J</v>
          </cell>
          <cell r="D352">
            <v>34527</v>
          </cell>
          <cell r="E352">
            <v>383.75</v>
          </cell>
          <cell r="F352">
            <v>341.3</v>
          </cell>
          <cell r="G352">
            <v>4076.25</v>
          </cell>
          <cell r="I352">
            <v>155.83756345177665</v>
          </cell>
          <cell r="J352">
            <v>160.50313623423517</v>
          </cell>
          <cell r="L352" t="e">
            <v>#REF!</v>
          </cell>
          <cell r="M352" t="e">
            <v>#REF!</v>
          </cell>
        </row>
        <row r="353">
          <cell r="B353" t="str">
            <v>J</v>
          </cell>
          <cell r="D353">
            <v>34528</v>
          </cell>
          <cell r="E353">
            <v>383.75</v>
          </cell>
          <cell r="F353">
            <v>195.7</v>
          </cell>
          <cell r="G353">
            <v>4080.17</v>
          </cell>
          <cell r="I353">
            <v>155.83756345177665</v>
          </cell>
          <cell r="J353">
            <v>160.65748699634204</v>
          </cell>
          <cell r="L353" t="e">
            <v>#REF!</v>
          </cell>
          <cell r="M353" t="e">
            <v>#REF!</v>
          </cell>
        </row>
        <row r="354">
          <cell r="B354" t="str">
            <v>J</v>
          </cell>
          <cell r="D354">
            <v>34529</v>
          </cell>
          <cell r="E354">
            <v>376.25</v>
          </cell>
          <cell r="F354">
            <v>319.35000000000002</v>
          </cell>
          <cell r="G354">
            <v>4133.29</v>
          </cell>
          <cell r="I354">
            <v>152.79187817258884</v>
          </cell>
          <cell r="J354">
            <v>162.74909732366805</v>
          </cell>
          <cell r="L354" t="e">
            <v>#REF!</v>
          </cell>
          <cell r="M354" t="e">
            <v>#REF!</v>
          </cell>
        </row>
        <row r="355">
          <cell r="B355" t="str">
            <v>J</v>
          </cell>
          <cell r="D355">
            <v>34530</v>
          </cell>
          <cell r="E355">
            <v>376.25</v>
          </cell>
          <cell r="F355">
            <v>128.4</v>
          </cell>
          <cell r="G355">
            <v>4131.5200000000004</v>
          </cell>
          <cell r="I355">
            <v>152.79187817258884</v>
          </cell>
          <cell r="J355">
            <v>162.67940322955346</v>
          </cell>
          <cell r="L355" t="e">
            <v>#REF!</v>
          </cell>
          <cell r="M355" t="e">
            <v>#REF!</v>
          </cell>
        </row>
        <row r="356">
          <cell r="B356" t="str">
            <v>J</v>
          </cell>
          <cell r="D356">
            <v>34533</v>
          </cell>
          <cell r="E356">
            <v>376.25</v>
          </cell>
          <cell r="F356">
            <v>109.65</v>
          </cell>
          <cell r="G356">
            <v>4093.63</v>
          </cell>
          <cell r="I356">
            <v>152.79187817258884</v>
          </cell>
          <cell r="J356">
            <v>161.18747711316826</v>
          </cell>
          <cell r="L356" t="e">
            <v>#REF!</v>
          </cell>
          <cell r="M356" t="e">
            <v>#REF!</v>
          </cell>
        </row>
        <row r="357">
          <cell r="B357" t="str">
            <v>J</v>
          </cell>
          <cell r="D357">
            <v>34534</v>
          </cell>
          <cell r="E357">
            <v>377.5</v>
          </cell>
          <cell r="F357">
            <v>97.85</v>
          </cell>
          <cell r="G357">
            <v>4121.49</v>
          </cell>
          <cell r="I357">
            <v>153.29949238578681</v>
          </cell>
          <cell r="J357">
            <v>162.28447002957077</v>
          </cell>
          <cell r="L357" t="e">
            <v>#REF!</v>
          </cell>
          <cell r="M357" t="e">
            <v>#REF!</v>
          </cell>
        </row>
        <row r="358">
          <cell r="B358" t="str">
            <v>J</v>
          </cell>
          <cell r="D358">
            <v>34535</v>
          </cell>
          <cell r="E358">
            <v>376.25</v>
          </cell>
          <cell r="F358">
            <v>59.55</v>
          </cell>
          <cell r="G358">
            <v>4111</v>
          </cell>
          <cell r="I358">
            <v>152.79187817258884</v>
          </cell>
          <cell r="J358">
            <v>161.87142424015718</v>
          </cell>
          <cell r="L358" t="e">
            <v>#REF!</v>
          </cell>
          <cell r="M358" t="e">
            <v>#REF!</v>
          </cell>
        </row>
        <row r="359">
          <cell r="B359" t="str">
            <v>J</v>
          </cell>
          <cell r="D359">
            <v>34536</v>
          </cell>
          <cell r="E359">
            <v>372.5</v>
          </cell>
          <cell r="F359">
            <v>42</v>
          </cell>
          <cell r="G359">
            <v>4104</v>
          </cell>
          <cell r="I359">
            <v>151.26903553299493</v>
          </cell>
          <cell r="J359">
            <v>161.59579787925205</v>
          </cell>
          <cell r="L359" t="e">
            <v>#REF!</v>
          </cell>
          <cell r="M359" t="e">
            <v>#REF!</v>
          </cell>
        </row>
        <row r="360">
          <cell r="B360" t="str">
            <v>J</v>
          </cell>
          <cell r="D360">
            <v>34537</v>
          </cell>
          <cell r="E360">
            <v>372.5</v>
          </cell>
          <cell r="F360">
            <v>72.05</v>
          </cell>
          <cell r="G360">
            <v>4103</v>
          </cell>
          <cell r="I360">
            <v>151.26903553299493</v>
          </cell>
          <cell r="J360">
            <v>161.556422684837</v>
          </cell>
          <cell r="L360" t="e">
            <v>#REF!</v>
          </cell>
          <cell r="M360" t="e">
            <v>#REF!</v>
          </cell>
        </row>
        <row r="361">
          <cell r="B361" t="str">
            <v>J</v>
          </cell>
          <cell r="D361">
            <v>34540</v>
          </cell>
          <cell r="E361">
            <v>367.5</v>
          </cell>
          <cell r="F361">
            <v>98.55</v>
          </cell>
          <cell r="G361">
            <v>4107</v>
          </cell>
          <cell r="I361">
            <v>149.23857868020306</v>
          </cell>
          <cell r="J361">
            <v>161.71392346249709</v>
          </cell>
          <cell r="L361" t="e">
            <v>#REF!</v>
          </cell>
          <cell r="M361" t="e">
            <v>#REF!</v>
          </cell>
        </row>
        <row r="362">
          <cell r="B362" t="str">
            <v>J</v>
          </cell>
          <cell r="D362">
            <v>34541</v>
          </cell>
          <cell r="E362">
            <v>371.25</v>
          </cell>
          <cell r="F362">
            <v>76.349999999999994</v>
          </cell>
          <cell r="G362">
            <v>4108</v>
          </cell>
          <cell r="I362">
            <v>150.76142131979697</v>
          </cell>
          <cell r="J362">
            <v>161.75329865691214</v>
          </cell>
          <cell r="L362" t="e">
            <v>#REF!</v>
          </cell>
          <cell r="M362" t="e">
            <v>#REF!</v>
          </cell>
        </row>
        <row r="363">
          <cell r="B363" t="str">
            <v>J</v>
          </cell>
          <cell r="D363">
            <v>34542</v>
          </cell>
          <cell r="E363">
            <v>370</v>
          </cell>
          <cell r="F363">
            <v>110.25</v>
          </cell>
          <cell r="G363">
            <v>4101</v>
          </cell>
          <cell r="I363">
            <v>150.253807106599</v>
          </cell>
          <cell r="J363">
            <v>161.47767229600697</v>
          </cell>
          <cell r="L363" t="e">
            <v>#REF!</v>
          </cell>
          <cell r="M363" t="e">
            <v>#REF!</v>
          </cell>
        </row>
        <row r="364">
          <cell r="B364" t="str">
            <v>J</v>
          </cell>
          <cell r="D364">
            <v>34543</v>
          </cell>
          <cell r="E364">
            <v>372.5</v>
          </cell>
          <cell r="F364">
            <v>190.05</v>
          </cell>
          <cell r="G364">
            <v>4107</v>
          </cell>
          <cell r="I364">
            <v>151.26903553299493</v>
          </cell>
          <cell r="J364">
            <v>161.71392346249709</v>
          </cell>
          <cell r="L364" t="e">
            <v>#REF!</v>
          </cell>
          <cell r="M364" t="e">
            <v>#REF!</v>
          </cell>
        </row>
        <row r="365">
          <cell r="B365" t="str">
            <v>J</v>
          </cell>
          <cell r="D365">
            <v>34544</v>
          </cell>
          <cell r="E365">
            <v>370</v>
          </cell>
          <cell r="F365">
            <v>257.39999999999998</v>
          </cell>
          <cell r="G365">
            <v>4191</v>
          </cell>
          <cell r="I365">
            <v>150.253807106599</v>
          </cell>
          <cell r="J365">
            <v>165.02143979335898</v>
          </cell>
          <cell r="L365" t="e">
            <v>#REF!</v>
          </cell>
          <cell r="M365" t="e">
            <v>#REF!</v>
          </cell>
        </row>
        <row r="366">
          <cell r="B366" t="str">
            <v>A</v>
          </cell>
          <cell r="D366">
            <v>34547</v>
          </cell>
          <cell r="E366">
            <v>390</v>
          </cell>
          <cell r="F366">
            <v>332.2</v>
          </cell>
          <cell r="G366">
            <v>4276</v>
          </cell>
          <cell r="I366">
            <v>158.37563451776651</v>
          </cell>
          <cell r="J366">
            <v>168.36833131863588</v>
          </cell>
          <cell r="L366" t="e">
            <v>#REF!</v>
          </cell>
          <cell r="M366" t="e">
            <v>#REF!</v>
          </cell>
        </row>
        <row r="367">
          <cell r="B367" t="str">
            <v>A</v>
          </cell>
          <cell r="D367">
            <v>34548</v>
          </cell>
          <cell r="E367">
            <v>400</v>
          </cell>
          <cell r="F367">
            <v>335.15</v>
          </cell>
          <cell r="G367">
            <v>4310</v>
          </cell>
          <cell r="I367">
            <v>162.43654822335026</v>
          </cell>
          <cell r="J367">
            <v>169.70708792874666</v>
          </cell>
          <cell r="L367" t="e">
            <v>#REF!</v>
          </cell>
          <cell r="M367" t="e">
            <v>#REF!</v>
          </cell>
        </row>
        <row r="368">
          <cell r="B368" t="str">
            <v>A</v>
          </cell>
          <cell r="D368">
            <v>34549</v>
          </cell>
          <cell r="E368">
            <v>390</v>
          </cell>
          <cell r="F368">
            <v>181.5</v>
          </cell>
          <cell r="G368">
            <v>4282</v>
          </cell>
          <cell r="I368">
            <v>158.37563451776651</v>
          </cell>
          <cell r="J368">
            <v>168.60458248512603</v>
          </cell>
          <cell r="L368" t="e">
            <v>#REF!</v>
          </cell>
          <cell r="M368" t="e">
            <v>#REF!</v>
          </cell>
        </row>
        <row r="369">
          <cell r="B369" t="str">
            <v>A</v>
          </cell>
          <cell r="D369">
            <v>34550</v>
          </cell>
          <cell r="E369">
            <v>400</v>
          </cell>
          <cell r="F369">
            <v>213.8</v>
          </cell>
          <cell r="G369">
            <v>4301</v>
          </cell>
          <cell r="I369">
            <v>162.43654822335026</v>
          </cell>
          <cell r="J369">
            <v>169.35271117901146</v>
          </cell>
          <cell r="L369" t="e">
            <v>#REF!</v>
          </cell>
          <cell r="M369" t="e">
            <v>#REF!</v>
          </cell>
        </row>
        <row r="370">
          <cell r="B370" t="str">
            <v>A</v>
          </cell>
          <cell r="D370">
            <v>34551</v>
          </cell>
          <cell r="E370">
            <v>398.75</v>
          </cell>
          <cell r="F370">
            <v>131.4</v>
          </cell>
          <cell r="G370">
            <v>4302</v>
          </cell>
          <cell r="I370">
            <v>161.92893401015229</v>
          </cell>
          <cell r="J370">
            <v>169.39208637342648</v>
          </cell>
          <cell r="L370" t="e">
            <v>#REF!</v>
          </cell>
          <cell r="M370" t="e">
            <v>#REF!</v>
          </cell>
        </row>
        <row r="371">
          <cell r="B371" t="str">
            <v>A</v>
          </cell>
          <cell r="D371">
            <v>34554</v>
          </cell>
          <cell r="E371">
            <v>391.25</v>
          </cell>
          <cell r="F371">
            <v>145</v>
          </cell>
          <cell r="G371">
            <v>4293</v>
          </cell>
          <cell r="I371">
            <v>158.88324873096448</v>
          </cell>
          <cell r="J371">
            <v>169.03770962369128</v>
          </cell>
          <cell r="L371" t="e">
            <v>#REF!</v>
          </cell>
          <cell r="M371" t="e">
            <v>#REF!</v>
          </cell>
        </row>
        <row r="372">
          <cell r="B372" t="str">
            <v>A</v>
          </cell>
          <cell r="D372">
            <v>34555</v>
          </cell>
          <cell r="E372">
            <v>397.5</v>
          </cell>
          <cell r="F372">
            <v>151</v>
          </cell>
          <cell r="G372">
            <v>4319</v>
          </cell>
          <cell r="I372">
            <v>161.42131979695432</v>
          </cell>
          <cell r="J372">
            <v>170.06146467848185</v>
          </cell>
          <cell r="L372" t="e">
            <v>#REF!</v>
          </cell>
          <cell r="M372" t="e">
            <v>#REF!</v>
          </cell>
        </row>
        <row r="373">
          <cell r="B373" t="str">
            <v>A</v>
          </cell>
          <cell r="D373">
            <v>34556</v>
          </cell>
          <cell r="E373">
            <v>410</v>
          </cell>
          <cell r="F373">
            <v>200</v>
          </cell>
          <cell r="G373">
            <v>4365</v>
          </cell>
          <cell r="I373">
            <v>166.49746192893403</v>
          </cell>
          <cell r="J373">
            <v>171.87272362157287</v>
          </cell>
          <cell r="L373" t="e">
            <v>#REF!</v>
          </cell>
          <cell r="M373" t="e">
            <v>#REF!</v>
          </cell>
        </row>
        <row r="374">
          <cell r="B374" t="str">
            <v>A</v>
          </cell>
          <cell r="D374">
            <v>34557</v>
          </cell>
          <cell r="E374">
            <v>406.25</v>
          </cell>
          <cell r="F374">
            <v>141</v>
          </cell>
          <cell r="G374">
            <v>4394</v>
          </cell>
          <cell r="I374">
            <v>164.9746192893401</v>
          </cell>
          <cell r="J374">
            <v>173.01460425960855</v>
          </cell>
          <cell r="L374" t="e">
            <v>#REF!</v>
          </cell>
          <cell r="M374" t="e">
            <v>#REF!</v>
          </cell>
        </row>
        <row r="375">
          <cell r="B375" t="str">
            <v>A</v>
          </cell>
          <cell r="D375">
            <v>34558</v>
          </cell>
          <cell r="E375">
            <v>416.25</v>
          </cell>
          <cell r="F375">
            <v>135</v>
          </cell>
          <cell r="G375">
            <v>4508</v>
          </cell>
          <cell r="I375">
            <v>169.03553299492387</v>
          </cell>
          <cell r="J375">
            <v>177.50337642292109</v>
          </cell>
          <cell r="L375" t="e">
            <v>#REF!</v>
          </cell>
          <cell r="M375" t="e">
            <v>#REF!</v>
          </cell>
        </row>
        <row r="376">
          <cell r="B376" t="str">
            <v>A</v>
          </cell>
          <cell r="D376">
            <v>34562</v>
          </cell>
          <cell r="E376">
            <v>413.75</v>
          </cell>
          <cell r="F376">
            <v>218.15</v>
          </cell>
          <cell r="G376">
            <v>4496</v>
          </cell>
          <cell r="I376">
            <v>168.02030456852793</v>
          </cell>
          <cell r="J376">
            <v>177.03087408994082</v>
          </cell>
          <cell r="L376" t="e">
            <v>#REF!</v>
          </cell>
          <cell r="M376" t="e">
            <v>#REF!</v>
          </cell>
        </row>
        <row r="377">
          <cell r="B377" t="str">
            <v>A</v>
          </cell>
          <cell r="D377">
            <v>34563</v>
          </cell>
          <cell r="E377">
            <v>416.25</v>
          </cell>
          <cell r="F377">
            <v>378.9</v>
          </cell>
          <cell r="G377">
            <v>4506</v>
          </cell>
          <cell r="I377">
            <v>169.03553299492387</v>
          </cell>
          <cell r="J377">
            <v>177.42462603409106</v>
          </cell>
          <cell r="L377" t="e">
            <v>#REF!</v>
          </cell>
          <cell r="M377" t="e">
            <v>#REF!</v>
          </cell>
        </row>
        <row r="378">
          <cell r="B378" t="str">
            <v>A</v>
          </cell>
          <cell r="D378">
            <v>34564</v>
          </cell>
          <cell r="E378">
            <v>423.75</v>
          </cell>
          <cell r="F378">
            <v>400</v>
          </cell>
          <cell r="G378">
            <v>4534</v>
          </cell>
          <cell r="I378">
            <v>172.08121827411168</v>
          </cell>
          <cell r="J378">
            <v>178.52713147771166</v>
          </cell>
          <cell r="L378" t="e">
            <v>#REF!</v>
          </cell>
          <cell r="M378" t="e">
            <v>#REF!</v>
          </cell>
        </row>
        <row r="379">
          <cell r="B379" t="str">
            <v>A</v>
          </cell>
          <cell r="D379">
            <v>34565</v>
          </cell>
          <cell r="E379">
            <v>416.25</v>
          </cell>
          <cell r="F379">
            <v>585.4</v>
          </cell>
          <cell r="G379">
            <v>4469</v>
          </cell>
          <cell r="I379">
            <v>169.03553299492387</v>
          </cell>
          <cell r="J379">
            <v>175.96774384073521</v>
          </cell>
          <cell r="L379" t="e">
            <v>#REF!</v>
          </cell>
          <cell r="M379" t="e">
            <v>#REF!</v>
          </cell>
        </row>
        <row r="380">
          <cell r="B380" t="str">
            <v>A</v>
          </cell>
          <cell r="D380">
            <v>34570</v>
          </cell>
          <cell r="E380">
            <v>406.25</v>
          </cell>
          <cell r="F380">
            <v>364</v>
          </cell>
          <cell r="G380">
            <v>4429</v>
          </cell>
          <cell r="I380">
            <v>164.9746192893401</v>
          </cell>
          <cell r="J380">
            <v>174.39273606413431</v>
          </cell>
          <cell r="L380" t="e">
            <v>#REF!</v>
          </cell>
          <cell r="M380" t="e">
            <v>#REF!</v>
          </cell>
        </row>
        <row r="381">
          <cell r="B381" t="str">
            <v>A</v>
          </cell>
          <cell r="D381">
            <v>34571</v>
          </cell>
          <cell r="E381">
            <v>403.75</v>
          </cell>
          <cell r="F381">
            <v>425.9</v>
          </cell>
          <cell r="G381">
            <v>4430.76</v>
          </cell>
          <cell r="I381">
            <v>163.95939086294416</v>
          </cell>
          <cell r="J381">
            <v>174.46203640630478</v>
          </cell>
          <cell r="L381" t="e">
            <v>#REF!</v>
          </cell>
          <cell r="M381" t="e">
            <v>#REF!</v>
          </cell>
        </row>
        <row r="382">
          <cell r="B382" t="str">
            <v>A</v>
          </cell>
          <cell r="D382">
            <v>34575</v>
          </cell>
          <cell r="E382">
            <v>413.75</v>
          </cell>
          <cell r="F382">
            <v>180.1</v>
          </cell>
          <cell r="G382">
            <v>4525</v>
          </cell>
          <cell r="I382">
            <v>168.02030456852793</v>
          </cell>
          <cell r="J382">
            <v>178.17275472797647</v>
          </cell>
          <cell r="L382" t="e">
            <v>#REF!</v>
          </cell>
          <cell r="M382" t="e">
            <v>#REF!</v>
          </cell>
        </row>
        <row r="383">
          <cell r="D383">
            <v>34577</v>
          </cell>
          <cell r="E383">
            <v>422.5</v>
          </cell>
          <cell r="F383">
            <v>147.80000000000001</v>
          </cell>
          <cell r="G383">
            <v>4588</v>
          </cell>
          <cell r="I383">
            <v>171.57360406091371</v>
          </cell>
          <cell r="J383">
            <v>180.65339197612289</v>
          </cell>
          <cell r="L383" t="e">
            <v>#REF!</v>
          </cell>
          <cell r="M383" t="e">
            <v>#REF!</v>
          </cell>
        </row>
        <row r="384">
          <cell r="D384">
            <v>34578</v>
          </cell>
          <cell r="E384">
            <v>420</v>
          </cell>
          <cell r="F384">
            <v>150</v>
          </cell>
          <cell r="G384">
            <v>4543</v>
          </cell>
          <cell r="I384">
            <v>170.55837563451777</v>
          </cell>
          <cell r="J384">
            <v>178.88150822744689</v>
          </cell>
          <cell r="L384" t="e">
            <v>#REF!</v>
          </cell>
          <cell r="M384" t="e">
            <v>#REF!</v>
          </cell>
        </row>
        <row r="385">
          <cell r="D385">
            <v>34579</v>
          </cell>
          <cell r="E385">
            <v>416.25</v>
          </cell>
          <cell r="F385">
            <v>172.3</v>
          </cell>
          <cell r="G385">
            <v>4526</v>
          </cell>
          <cell r="I385">
            <v>169.03553299492387</v>
          </cell>
          <cell r="J385">
            <v>178.21212992239151</v>
          </cell>
          <cell r="L385" t="e">
            <v>#REF!</v>
          </cell>
          <cell r="M385" t="e">
            <v>#REF!</v>
          </cell>
        </row>
        <row r="386">
          <cell r="D386">
            <v>34582</v>
          </cell>
          <cell r="E386">
            <v>412.5</v>
          </cell>
          <cell r="F386">
            <v>172.25</v>
          </cell>
          <cell r="G386">
            <v>4511</v>
          </cell>
          <cell r="I386">
            <v>167.51269035532997</v>
          </cell>
          <cell r="J386">
            <v>177.62150200616617</v>
          </cell>
          <cell r="L386" t="e">
            <v>#REF!</v>
          </cell>
          <cell r="M386" t="e">
            <v>#REF!</v>
          </cell>
        </row>
        <row r="387">
          <cell r="D387">
            <v>34583</v>
          </cell>
          <cell r="E387">
            <v>412.5</v>
          </cell>
          <cell r="F387">
            <v>108.4</v>
          </cell>
          <cell r="G387">
            <v>4525</v>
          </cell>
          <cell r="I387">
            <v>167.51269035532997</v>
          </cell>
          <cell r="J387">
            <v>178.17275472797647</v>
          </cell>
          <cell r="L387" t="e">
            <v>#REF!</v>
          </cell>
          <cell r="M387" t="e">
            <v>#REF!</v>
          </cell>
        </row>
        <row r="388">
          <cell r="D388">
            <v>34584</v>
          </cell>
          <cell r="E388">
            <v>415</v>
          </cell>
          <cell r="F388">
            <v>185.55</v>
          </cell>
          <cell r="G388">
            <v>4530</v>
          </cell>
          <cell r="I388">
            <v>168.5279187817259</v>
          </cell>
          <cell r="J388">
            <v>178.3696307000516</v>
          </cell>
          <cell r="L388" t="e">
            <v>#REF!</v>
          </cell>
          <cell r="M388" t="e">
            <v>#REF!</v>
          </cell>
        </row>
        <row r="389">
          <cell r="D389">
            <v>34585</v>
          </cell>
          <cell r="E389">
            <v>420</v>
          </cell>
          <cell r="F389">
            <v>373.1</v>
          </cell>
          <cell r="G389">
            <v>4551</v>
          </cell>
          <cell r="I389">
            <v>170.55837563451777</v>
          </cell>
          <cell r="J389">
            <v>179.19650978276707</v>
          </cell>
          <cell r="L389" t="e">
            <v>#REF!</v>
          </cell>
          <cell r="M389" t="e">
            <v>#REF!</v>
          </cell>
        </row>
        <row r="390">
          <cell r="D390">
            <v>34589</v>
          </cell>
          <cell r="E390">
            <v>427.5</v>
          </cell>
          <cell r="F390">
            <v>300.5</v>
          </cell>
          <cell r="G390">
            <v>4631</v>
          </cell>
          <cell r="I390">
            <v>173.60406091370558</v>
          </cell>
          <cell r="J390">
            <v>182.34652533596886</v>
          </cell>
          <cell r="L390" t="e">
            <v>#REF!</v>
          </cell>
          <cell r="M390" t="e">
            <v>#REF!</v>
          </cell>
        </row>
        <row r="391">
          <cell r="D391">
            <v>34590</v>
          </cell>
          <cell r="E391">
            <v>418.75</v>
          </cell>
          <cell r="F391">
            <v>177.25</v>
          </cell>
          <cell r="G391">
            <v>4599</v>
          </cell>
          <cell r="I391">
            <v>170.05076142131981</v>
          </cell>
          <cell r="J391">
            <v>181.08651911468814</v>
          </cell>
          <cell r="L391" t="e">
            <v>#REF!</v>
          </cell>
          <cell r="M391" t="e">
            <v>#REF!</v>
          </cell>
        </row>
        <row r="392">
          <cell r="D392">
            <v>34591</v>
          </cell>
          <cell r="E392">
            <v>417.5</v>
          </cell>
          <cell r="F392">
            <v>177.5</v>
          </cell>
          <cell r="G392">
            <v>4599</v>
          </cell>
          <cell r="I392">
            <v>169.54314720812184</v>
          </cell>
          <cell r="J392">
            <v>181.08651911468814</v>
          </cell>
          <cell r="L392" t="e">
            <v>#REF!</v>
          </cell>
          <cell r="M392" t="e">
            <v>#REF!</v>
          </cell>
        </row>
        <row r="393">
          <cell r="D393">
            <v>34592</v>
          </cell>
          <cell r="E393">
            <v>417.5</v>
          </cell>
          <cell r="F393">
            <v>190.75</v>
          </cell>
          <cell r="G393">
            <v>4604.1499999999996</v>
          </cell>
          <cell r="I393">
            <v>169.54314720812184</v>
          </cell>
          <cell r="J393">
            <v>181.2893013659255</v>
          </cell>
          <cell r="L393" t="e">
            <v>#REF!</v>
          </cell>
          <cell r="M393" t="e">
            <v>#REF!</v>
          </cell>
        </row>
        <row r="394">
          <cell r="D394">
            <v>34593</v>
          </cell>
          <cell r="E394">
            <v>418.75</v>
          </cell>
          <cell r="F394">
            <v>239.65</v>
          </cell>
          <cell r="G394">
            <v>4617.87</v>
          </cell>
          <cell r="I394">
            <v>170.05076142131981</v>
          </cell>
          <cell r="J394">
            <v>181.82952903329959</v>
          </cell>
          <cell r="L394" t="e">
            <v>#REF!</v>
          </cell>
          <cell r="M394" t="e">
            <v>#REF!</v>
          </cell>
        </row>
        <row r="395">
          <cell r="D395">
            <v>34596</v>
          </cell>
          <cell r="E395">
            <v>411.25</v>
          </cell>
          <cell r="F395">
            <v>178.25</v>
          </cell>
          <cell r="G395">
            <v>4554</v>
          </cell>
          <cell r="I395">
            <v>167.005076142132</v>
          </cell>
          <cell r="J395">
            <v>179.31463536601211</v>
          </cell>
          <cell r="L395" t="e">
            <v>#REF!</v>
          </cell>
          <cell r="M395" t="e">
            <v>#REF!</v>
          </cell>
        </row>
        <row r="396">
          <cell r="D396">
            <v>34597</v>
          </cell>
          <cell r="E396">
            <v>402.5</v>
          </cell>
          <cell r="F396">
            <v>174.6</v>
          </cell>
          <cell r="G396">
            <v>4488</v>
          </cell>
          <cell r="I396">
            <v>163.45177664974619</v>
          </cell>
          <cell r="J396">
            <v>176.71587253462064</v>
          </cell>
          <cell r="L396" t="e">
            <v>#REF!</v>
          </cell>
          <cell r="M396" t="e">
            <v>#REF!</v>
          </cell>
        </row>
        <row r="397">
          <cell r="D397">
            <v>34598</v>
          </cell>
          <cell r="E397">
            <v>402.5</v>
          </cell>
          <cell r="F397">
            <v>212.65</v>
          </cell>
          <cell r="G397">
            <v>4507</v>
          </cell>
          <cell r="I397">
            <v>163.45177664974619</v>
          </cell>
          <cell r="J397">
            <v>177.46400122850608</v>
          </cell>
          <cell r="L397" t="e">
            <v>#REF!</v>
          </cell>
          <cell r="M397" t="e">
            <v>#REF!</v>
          </cell>
        </row>
        <row r="398">
          <cell r="D398">
            <v>34599</v>
          </cell>
          <cell r="E398">
            <v>393.75</v>
          </cell>
          <cell r="F398">
            <v>175</v>
          </cell>
          <cell r="G398">
            <v>4452</v>
          </cell>
          <cell r="I398">
            <v>159.89847715736042</v>
          </cell>
          <cell r="J398">
            <v>175.29836553567984</v>
          </cell>
          <cell r="L398" t="e">
            <v>#REF!</v>
          </cell>
          <cell r="M398" t="e">
            <v>#REF!</v>
          </cell>
        </row>
        <row r="399">
          <cell r="D399">
            <v>34600</v>
          </cell>
          <cell r="E399">
            <v>396.25</v>
          </cell>
          <cell r="F399">
            <v>165</v>
          </cell>
          <cell r="G399">
            <v>4496</v>
          </cell>
          <cell r="I399">
            <v>160.91370558375635</v>
          </cell>
          <cell r="J399">
            <v>177.03087408994082</v>
          </cell>
          <cell r="L399" t="e">
            <v>#REF!</v>
          </cell>
          <cell r="M399" t="e">
            <v>#REF!</v>
          </cell>
        </row>
        <row r="400">
          <cell r="D400">
            <v>34604</v>
          </cell>
          <cell r="E400">
            <v>390</v>
          </cell>
          <cell r="F400">
            <v>158.1</v>
          </cell>
          <cell r="G400">
            <v>4444.5</v>
          </cell>
          <cell r="I400">
            <v>158.37563451776651</v>
          </cell>
          <cell r="J400">
            <v>175.00305157756716</v>
          </cell>
          <cell r="L400" t="e">
            <v>#REF!</v>
          </cell>
          <cell r="M400" t="e">
            <v>#REF!</v>
          </cell>
        </row>
        <row r="401">
          <cell r="D401">
            <v>34605</v>
          </cell>
          <cell r="E401">
            <v>383.75</v>
          </cell>
          <cell r="F401">
            <v>167.85</v>
          </cell>
          <cell r="G401">
            <v>4408</v>
          </cell>
          <cell r="I401">
            <v>155.83756345177665</v>
          </cell>
          <cell r="J401">
            <v>173.56585698141885</v>
          </cell>
          <cell r="L401" t="e">
            <v>#REF!</v>
          </cell>
          <cell r="M401" t="e">
            <v>#REF!</v>
          </cell>
        </row>
        <row r="402">
          <cell r="D402">
            <v>34606</v>
          </cell>
          <cell r="E402">
            <v>381.25</v>
          </cell>
          <cell r="F402">
            <v>110.45</v>
          </cell>
          <cell r="G402">
            <v>4358</v>
          </cell>
          <cell r="I402">
            <v>154.82233502538071</v>
          </cell>
          <cell r="J402">
            <v>171.59709726066774</v>
          </cell>
          <cell r="L402" t="e">
            <v>#REF!</v>
          </cell>
          <cell r="M402" t="e">
            <v>#REF!</v>
          </cell>
        </row>
        <row r="403">
          <cell r="D403">
            <v>34607</v>
          </cell>
          <cell r="E403">
            <v>376.25</v>
          </cell>
          <cell r="F403">
            <v>339.05</v>
          </cell>
          <cell r="G403">
            <v>4281</v>
          </cell>
          <cell r="I403">
            <v>152.79187817258884</v>
          </cell>
          <cell r="J403">
            <v>168.56520729071102</v>
          </cell>
          <cell r="L403" t="e">
            <v>#REF!</v>
          </cell>
          <cell r="M403" t="e">
            <v>#REF!</v>
          </cell>
        </row>
        <row r="404">
          <cell r="D404">
            <v>34610</v>
          </cell>
          <cell r="E404">
            <v>391.25</v>
          </cell>
          <cell r="F404">
            <v>240</v>
          </cell>
          <cell r="G404">
            <v>4339</v>
          </cell>
          <cell r="I404">
            <v>158.88324873096448</v>
          </cell>
          <cell r="J404">
            <v>170.8489685667823</v>
          </cell>
          <cell r="L404" t="e">
            <v>#REF!</v>
          </cell>
          <cell r="M404" t="e">
            <v>#REF!</v>
          </cell>
        </row>
        <row r="405">
          <cell r="D405">
            <v>34611</v>
          </cell>
          <cell r="E405">
            <v>395</v>
          </cell>
          <cell r="F405">
            <v>398</v>
          </cell>
          <cell r="G405">
            <v>4366.1400000000003</v>
          </cell>
          <cell r="I405">
            <v>160.40609137055839</v>
          </cell>
          <cell r="J405">
            <v>171.91761134320603</v>
          </cell>
          <cell r="L405" t="e">
            <v>#REF!</v>
          </cell>
          <cell r="M405" t="e">
            <v>#REF!</v>
          </cell>
        </row>
        <row r="406">
          <cell r="D406">
            <v>34612</v>
          </cell>
          <cell r="E406">
            <v>390</v>
          </cell>
          <cell r="F406">
            <v>301.05</v>
          </cell>
          <cell r="G406">
            <v>4350.05</v>
          </cell>
          <cell r="I406">
            <v>158.37563451776651</v>
          </cell>
          <cell r="J406">
            <v>171.2840644650683</v>
          </cell>
          <cell r="L406" t="e">
            <v>#REF!</v>
          </cell>
          <cell r="M406" t="e">
            <v>#REF!</v>
          </cell>
        </row>
        <row r="407">
          <cell r="D407">
            <v>34613</v>
          </cell>
          <cell r="E407">
            <v>392.5</v>
          </cell>
          <cell r="F407">
            <v>398.45</v>
          </cell>
          <cell r="G407">
            <v>4380.17</v>
          </cell>
          <cell r="I407">
            <v>159.39086294416245</v>
          </cell>
          <cell r="J407">
            <v>172.47004532084878</v>
          </cell>
          <cell r="L407" t="e">
            <v>#REF!</v>
          </cell>
          <cell r="M407" t="e">
            <v>#REF!</v>
          </cell>
        </row>
        <row r="408">
          <cell r="D408">
            <v>34614</v>
          </cell>
          <cell r="E408">
            <v>408.75</v>
          </cell>
          <cell r="F408">
            <v>182.82</v>
          </cell>
          <cell r="G408">
            <v>4427.04</v>
          </cell>
          <cell r="I408">
            <v>165.98984771573603</v>
          </cell>
          <cell r="J408">
            <v>174.31556068308089</v>
          </cell>
          <cell r="L408" t="e">
            <v>#REF!</v>
          </cell>
          <cell r="M408" t="e">
            <v>#REF!</v>
          </cell>
        </row>
        <row r="409">
          <cell r="D409">
            <v>34617</v>
          </cell>
          <cell r="E409">
            <v>410</v>
          </cell>
          <cell r="F409">
            <v>305.10000000000002</v>
          </cell>
          <cell r="G409">
            <v>4410.95</v>
          </cell>
          <cell r="I409">
            <v>166.49746192893403</v>
          </cell>
          <cell r="J409">
            <v>173.68201380494315</v>
          </cell>
          <cell r="L409" t="e">
            <v>#REF!</v>
          </cell>
          <cell r="M409" t="e">
            <v>#REF!</v>
          </cell>
        </row>
        <row r="410">
          <cell r="D410">
            <v>34618</v>
          </cell>
          <cell r="E410">
            <v>415</v>
          </cell>
          <cell r="F410">
            <v>936.15</v>
          </cell>
          <cell r="G410">
            <v>4423.25</v>
          </cell>
          <cell r="I410">
            <v>168.5279187817259</v>
          </cell>
          <cell r="J410">
            <v>174.16632869624794</v>
          </cell>
          <cell r="L410" t="e">
            <v>#REF!</v>
          </cell>
          <cell r="M410" t="e">
            <v>#REF!</v>
          </cell>
        </row>
        <row r="411">
          <cell r="D411">
            <v>34619</v>
          </cell>
          <cell r="E411">
            <v>416.25</v>
          </cell>
          <cell r="G411">
            <v>4401.88</v>
          </cell>
          <cell r="I411">
            <v>169.03553299492387</v>
          </cell>
          <cell r="J411">
            <v>173.32488079159893</v>
          </cell>
          <cell r="L411" t="e">
            <v>#REF!</v>
          </cell>
          <cell r="M411" t="e">
            <v>#REF!</v>
          </cell>
        </row>
        <row r="412">
          <cell r="D412">
            <v>34621</v>
          </cell>
          <cell r="E412">
            <v>415</v>
          </cell>
          <cell r="G412">
            <v>4386.43</v>
          </cell>
          <cell r="I412">
            <v>168.5279187817259</v>
          </cell>
          <cell r="J412">
            <v>172.71653403788682</v>
          </cell>
          <cell r="L412" t="e">
            <v>#REF!</v>
          </cell>
          <cell r="M412" t="e">
            <v>#REF!</v>
          </cell>
        </row>
      </sheetData>
      <sheetData sheetId="8" refreshError="1">
        <row r="1">
          <cell r="A1" t="str">
            <v>PEREGRINE</v>
          </cell>
          <cell r="M1" t="str">
            <v>Fact Sheet</v>
          </cell>
          <cell r="W1" t="str">
            <v>India</v>
          </cell>
        </row>
        <row r="3">
          <cell r="B3" t="str">
            <v>20 January 1997</v>
          </cell>
          <cell r="K3" t="str">
            <v>GDR Price:US$ .00</v>
          </cell>
          <cell r="M3" t="str">
            <v>Price: Rs. 235.75</v>
          </cell>
        </row>
        <row r="4">
          <cell r="B4" t="str">
            <v>Reliance Industries Ltd.</v>
          </cell>
          <cell r="M4" t="str">
            <v xml:space="preserve">BSE Sensex: </v>
          </cell>
          <cell r="P4" t="str">
            <v>3,389</v>
          </cell>
          <cell r="W4" t="str">
            <v>BUY</v>
          </cell>
        </row>
        <row r="6">
          <cell r="M6" t="str">
            <v>Local Code :</v>
          </cell>
          <cell r="P6">
            <v>325</v>
          </cell>
          <cell r="S6" t="str">
            <v>Analyst:</v>
          </cell>
          <cell r="V6" t="str">
            <v>S. Ramesh</v>
          </cell>
        </row>
        <row r="7">
          <cell r="M7" t="str">
            <v>Reuters:</v>
          </cell>
          <cell r="P7" t="str">
            <v>RELI.BO</v>
          </cell>
          <cell r="S7" t="str">
            <v>Bloomberg:</v>
          </cell>
          <cell r="V7" t="str">
            <v>RELI IN</v>
          </cell>
        </row>
        <row r="9">
          <cell r="M9" t="str">
            <v>Issued Shares:</v>
          </cell>
          <cell r="P9" t="str">
            <v>460m</v>
          </cell>
          <cell r="S9" t="str">
            <v>Warrants:</v>
          </cell>
          <cell r="V9" t="str">
            <v>60m</v>
          </cell>
        </row>
        <row r="10">
          <cell r="M10" t="str">
            <v>GDRs:</v>
          </cell>
          <cell r="P10" t="str">
            <v>21.966m</v>
          </cell>
          <cell r="S10" t="str">
            <v>Ratio:</v>
          </cell>
          <cell r="V10" t="str">
            <v>NA</v>
          </cell>
        </row>
        <row r="11">
          <cell r="M11" t="str">
            <v>Free Float:</v>
          </cell>
          <cell r="P11" t="str">
            <v>45%</v>
          </cell>
          <cell r="S11" t="str">
            <v>Ex. price:</v>
          </cell>
          <cell r="V11" t="str">
            <v>NA</v>
          </cell>
        </row>
        <row r="12">
          <cell r="S12" t="str">
            <v>Expiration:</v>
          </cell>
          <cell r="V12" t="str">
            <v>NA</v>
          </cell>
        </row>
        <row r="13">
          <cell r="M13" t="str">
            <v>Mkt Cap:</v>
          </cell>
          <cell r="P13" t="str">
            <v>Rs..0b</v>
          </cell>
          <cell r="S13" t="str">
            <v>CBs:</v>
          </cell>
          <cell r="V13" t="str">
            <v>US $140m</v>
          </cell>
        </row>
        <row r="15">
          <cell r="M15" t="str">
            <v>NAV:</v>
          </cell>
          <cell r="P15" t="str">
            <v>NA</v>
          </cell>
          <cell r="S15" t="str">
            <v>Major Shareholders:</v>
          </cell>
        </row>
        <row r="16">
          <cell r="M16" t="str">
            <v>Book value:</v>
          </cell>
          <cell r="P16">
            <v>156.11581362081193</v>
          </cell>
          <cell r="S16" t="str">
            <v>Ambani family</v>
          </cell>
          <cell r="V16">
            <v>0.26</v>
          </cell>
        </row>
        <row r="17">
          <cell r="M17" t="str">
            <v>Net debt/equity</v>
          </cell>
          <cell r="P17">
            <v>0.39543526247074917</v>
          </cell>
        </row>
        <row r="20">
          <cell r="M20" t="str">
            <v>RESULTS &amp; ESTIMATES</v>
          </cell>
        </row>
        <row r="22">
          <cell r="M22" t="str">
            <v>Year-end</v>
          </cell>
          <cell r="O22" t="str">
            <v>Pre-tax</v>
          </cell>
          <cell r="P22" t="str">
            <v>Net Profit</v>
          </cell>
          <cell r="Q22" t="str">
            <v>Change</v>
          </cell>
          <cell r="R22" t="str">
            <v>EPS</v>
          </cell>
          <cell r="S22" t="str">
            <v>Change</v>
          </cell>
          <cell r="T22" t="str">
            <v>P/E</v>
          </cell>
          <cell r="U22" t="str">
            <v>P/CE</v>
          </cell>
          <cell r="V22" t="str">
            <v>FV/EBITDA</v>
          </cell>
        </row>
        <row r="23">
          <cell r="M23" t="str">
            <v>31 Mar</v>
          </cell>
          <cell r="O23" t="str">
            <v>(Rs. m)</v>
          </cell>
          <cell r="P23" t="str">
            <v>(Rs. m)</v>
          </cell>
          <cell r="Q23" t="str">
            <v xml:space="preserve">% </v>
          </cell>
          <cell r="R23" t="str">
            <v>(Rs)</v>
          </cell>
          <cell r="S23" t="str">
            <v xml:space="preserve">% </v>
          </cell>
          <cell r="T23" t="str">
            <v>(x)</v>
          </cell>
          <cell r="U23" t="str">
            <v>(x)</v>
          </cell>
          <cell r="V23" t="str">
            <v>(x)</v>
          </cell>
        </row>
        <row r="24">
          <cell r="M24">
            <v>1994</v>
          </cell>
          <cell r="O24">
            <v>5754.8999999999951</v>
          </cell>
          <cell r="P24">
            <v>5754.8999999999951</v>
          </cell>
          <cell r="R24">
            <v>20.180753882906625</v>
          </cell>
        </row>
        <row r="25">
          <cell r="M25" t="str">
            <v>1995</v>
          </cell>
          <cell r="O25">
            <v>10648.500000000577</v>
          </cell>
          <cell r="P25">
            <v>10648.500000000577</v>
          </cell>
          <cell r="Q25">
            <v>85.033623520835903</v>
          </cell>
          <cell r="R25">
            <v>28.178934888060788</v>
          </cell>
          <cell r="S25">
            <v>39.632716654498878</v>
          </cell>
          <cell r="T25">
            <v>8.3661785279146788</v>
          </cell>
          <cell r="U25">
            <v>6.631935152110529</v>
          </cell>
          <cell r="V25">
            <v>8.7274010502778143</v>
          </cell>
        </row>
        <row r="26">
          <cell r="M26" t="str">
            <v>1996</v>
          </cell>
          <cell r="O26">
            <v>13052.690027570003</v>
          </cell>
          <cell r="P26">
            <v>13052.690027570003</v>
          </cell>
          <cell r="Q26">
            <v>22.577734212042031</v>
          </cell>
          <cell r="R26">
            <v>27.744222616482272</v>
          </cell>
          <cell r="S26">
            <v>-1.542685248059894</v>
          </cell>
          <cell r="T26">
            <v>8.4972645750018518</v>
          </cell>
          <cell r="U26">
            <v>6.717292027870239</v>
          </cell>
          <cell r="V26">
            <v>8.153173045520008</v>
          </cell>
        </row>
        <row r="27">
          <cell r="M27" t="str">
            <v>1997E</v>
          </cell>
          <cell r="O27">
            <v>10945.374257287356</v>
          </cell>
          <cell r="P27">
            <v>9533.4209780972869</v>
          </cell>
          <cell r="Q27">
            <v>-26.962021177544905</v>
          </cell>
          <cell r="R27">
            <v>20.099835745344617</v>
          </cell>
          <cell r="S27">
            <v>-27.553076461390134</v>
          </cell>
          <cell r="T27">
            <v>11.728951568900396</v>
          </cell>
          <cell r="U27">
            <v>8.4407859483397196</v>
          </cell>
          <cell r="V27">
            <v>10.135747394422754</v>
          </cell>
        </row>
        <row r="28">
          <cell r="M28" t="str">
            <v>1998E</v>
          </cell>
          <cell r="O28">
            <v>14713.141481104791</v>
          </cell>
          <cell r="P28">
            <v>12815.146230042272</v>
          </cell>
          <cell r="Q28">
            <v>34.423374982439547</v>
          </cell>
          <cell r="R28">
            <v>27.228241410835825</v>
          </cell>
          <cell r="S28">
            <v>35.464994618885079</v>
          </cell>
          <cell r="T28">
            <v>8.6582896207971878</v>
          </cell>
          <cell r="U28">
            <v>5.7321966685974166</v>
          </cell>
          <cell r="V28">
            <v>6.5568463049533285</v>
          </cell>
        </row>
        <row r="29">
          <cell r="M29" t="str">
            <v>1999E</v>
          </cell>
          <cell r="O29">
            <v>24854.77064761462</v>
          </cell>
          <cell r="P29">
            <v>21648.505234072334</v>
          </cell>
          <cell r="Q29">
            <v>68.929053523573614</v>
          </cell>
          <cell r="R29">
            <v>46.415638750794876</v>
          </cell>
          <cell r="S29">
            <v>70.468735201984728</v>
          </cell>
          <cell r="T29">
            <v>5.0791070928860744</v>
          </cell>
          <cell r="U29">
            <v>3.7727972912391787</v>
          </cell>
          <cell r="V29">
            <v>4.447820249154784</v>
          </cell>
        </row>
        <row r="32">
          <cell r="M32" t="str">
            <v>INCOME STATEMENT</v>
          </cell>
        </row>
        <row r="34">
          <cell r="M34" t="str">
            <v>Year-end 31 Mar</v>
          </cell>
          <cell r="R34" t="str">
            <v>1995</v>
          </cell>
          <cell r="S34" t="str">
            <v>1996</v>
          </cell>
          <cell r="T34" t="str">
            <v>1997E</v>
          </cell>
          <cell r="U34" t="str">
            <v>1998E</v>
          </cell>
          <cell r="V34" t="str">
            <v>1999E</v>
          </cell>
        </row>
        <row r="35">
          <cell r="R35" t="str">
            <v>(Rs. m)</v>
          </cell>
          <cell r="S35" t="str">
            <v>(Rs. m)</v>
          </cell>
          <cell r="T35" t="str">
            <v>(Rs. m)</v>
          </cell>
          <cell r="U35" t="str">
            <v>(Rs. m)</v>
          </cell>
          <cell r="V35" t="str">
            <v>(Rs. m)</v>
          </cell>
        </row>
        <row r="37">
          <cell r="M37" t="str">
            <v>Gross sales</v>
          </cell>
          <cell r="R37">
            <v>53881.500000000575</v>
          </cell>
          <cell r="S37">
            <v>57271.682821320006</v>
          </cell>
          <cell r="T37">
            <v>58899.774371374304</v>
          </cell>
          <cell r="U37">
            <v>92498.410187275003</v>
          </cell>
          <cell r="V37">
            <v>122433.14762580444</v>
          </cell>
        </row>
        <row r="38">
          <cell r="B38" t="str">
            <v>RECOMMENDATION</v>
          </cell>
          <cell r="M38" t="str">
            <v>Excise &amp; sales tax</v>
          </cell>
          <cell r="R38">
            <v>-15171.3</v>
          </cell>
          <cell r="S38">
            <v>-15078.3</v>
          </cell>
          <cell r="T38">
            <v>-11662.4668846356</v>
          </cell>
          <cell r="U38">
            <v>-17123.579167704218</v>
          </cell>
          <cell r="V38">
            <v>-22276.898929780011</v>
          </cell>
        </row>
        <row r="39">
          <cell r="M39" t="str">
            <v>Net sales</v>
          </cell>
          <cell r="R39">
            <v>38710.200000000579</v>
          </cell>
          <cell r="S39">
            <v>42193.382821320003</v>
          </cell>
          <cell r="T39">
            <v>47237.307486738704</v>
          </cell>
          <cell r="U39">
            <v>75374.831019570789</v>
          </cell>
          <cell r="V39">
            <v>100156.24869602443</v>
          </cell>
        </row>
        <row r="40">
          <cell r="M40" t="str">
            <v>Cost of goods sold</v>
          </cell>
          <cell r="R40">
            <v>-19258.400000000001</v>
          </cell>
          <cell r="S40">
            <v>-19824.538793750002</v>
          </cell>
          <cell r="T40">
            <v>-25856.804287488008</v>
          </cell>
          <cell r="U40">
            <v>-40366.097722997198</v>
          </cell>
          <cell r="V40">
            <v>-53499.746255202816</v>
          </cell>
        </row>
        <row r="41">
          <cell r="M41" t="str">
            <v>Gross profit</v>
          </cell>
          <cell r="R41">
            <v>19451.800000000578</v>
          </cell>
          <cell r="S41">
            <v>22368.844027570001</v>
          </cell>
          <cell r="T41">
            <v>21380.503199250696</v>
          </cell>
          <cell r="U41">
            <v>35008.733296573591</v>
          </cell>
          <cell r="V41">
            <v>46656.502440821612</v>
          </cell>
        </row>
        <row r="42">
          <cell r="M42" t="str">
            <v>Depreciation</v>
          </cell>
          <cell r="R42">
            <v>-2782.4</v>
          </cell>
          <cell r="S42">
            <v>-3364.5540000000001</v>
          </cell>
          <cell r="T42">
            <v>-3604.7331278125002</v>
          </cell>
          <cell r="U42">
            <v>-6398.7691209999994</v>
          </cell>
          <cell r="V42">
            <v>-7398.7245216249994</v>
          </cell>
        </row>
        <row r="43">
          <cell r="M43" t="str">
            <v>Selling &amp; general admin.</v>
          </cell>
          <cell r="R43">
            <v>-6351.7</v>
          </cell>
          <cell r="S43">
            <v>-7569.1</v>
          </cell>
          <cell r="T43">
            <v>-8098.8683339841737</v>
          </cell>
          <cell r="U43">
            <v>-12334.951110135469</v>
          </cell>
          <cell r="V43">
            <v>-12065.34771224866</v>
          </cell>
        </row>
        <row r="44">
          <cell r="M44" t="str">
            <v>Operating profit</v>
          </cell>
          <cell r="R44">
            <v>10317.700000000576</v>
          </cell>
          <cell r="S44">
            <v>11435.190027570001</v>
          </cell>
          <cell r="T44">
            <v>9676.9017374540199</v>
          </cell>
          <cell r="U44">
            <v>16275.013065438125</v>
          </cell>
          <cell r="V44">
            <v>27192.430206947953</v>
          </cell>
        </row>
        <row r="45">
          <cell r="M45" t="str">
            <v>Interest income</v>
          </cell>
          <cell r="R45">
            <v>2491.6999999999998</v>
          </cell>
          <cell r="S45">
            <v>2244.8000000000002</v>
          </cell>
          <cell r="T45">
            <v>1362.858624</v>
          </cell>
          <cell r="U45">
            <v>2042.858624</v>
          </cell>
          <cell r="V45">
            <v>2042.858624</v>
          </cell>
        </row>
        <row r="46">
          <cell r="M46" t="str">
            <v>Interest expense</v>
          </cell>
          <cell r="R46">
            <v>-2795</v>
          </cell>
          <cell r="S46">
            <v>-1101</v>
          </cell>
          <cell r="T46">
            <v>-1624.3861041666664</v>
          </cell>
          <cell r="U46">
            <v>-4204.7302083333325</v>
          </cell>
          <cell r="V46">
            <v>-5080.5181833333327</v>
          </cell>
        </row>
        <row r="47">
          <cell r="M47" t="str">
            <v>Others</v>
          </cell>
          <cell r="R47">
            <v>634.1</v>
          </cell>
          <cell r="S47">
            <v>473.7</v>
          </cell>
          <cell r="T47">
            <v>1530</v>
          </cell>
          <cell r="U47">
            <v>600</v>
          </cell>
          <cell r="V47">
            <v>700</v>
          </cell>
        </row>
        <row r="48">
          <cell r="M48" t="str">
            <v>Pre-tax profit</v>
          </cell>
          <cell r="R48">
            <v>10648.500000000577</v>
          </cell>
          <cell r="S48">
            <v>13052.690027570003</v>
          </cell>
          <cell r="T48">
            <v>10945.374257287354</v>
          </cell>
          <cell r="U48">
            <v>14713.141481104793</v>
          </cell>
          <cell r="V48">
            <v>24854.77064761462</v>
          </cell>
        </row>
        <row r="49">
          <cell r="M49" t="str">
            <v>Income tax</v>
          </cell>
          <cell r="R49">
            <v>0</v>
          </cell>
          <cell r="S49">
            <v>0</v>
          </cell>
          <cell r="T49">
            <v>-1411.953279190069</v>
          </cell>
          <cell r="U49">
            <v>-1897.995251062518</v>
          </cell>
          <cell r="V49">
            <v>-3206.2654135422858</v>
          </cell>
        </row>
        <row r="50">
          <cell r="M50" t="str">
            <v>Net profit</v>
          </cell>
          <cell r="R50">
            <v>10648.500000000577</v>
          </cell>
          <cell r="S50">
            <v>13052.690027570003</v>
          </cell>
          <cell r="T50">
            <v>9533.4209780972851</v>
          </cell>
          <cell r="U50">
            <v>12815.146230042275</v>
          </cell>
          <cell r="V50">
            <v>21648.505234072334</v>
          </cell>
        </row>
        <row r="51">
          <cell r="M51" t="str">
            <v>Extraordinary items</v>
          </cell>
          <cell r="R51">
            <v>0</v>
          </cell>
          <cell r="S51">
            <v>0</v>
          </cell>
          <cell r="T51">
            <v>0</v>
          </cell>
          <cell r="U51">
            <v>0</v>
          </cell>
          <cell r="V51">
            <v>0</v>
          </cell>
        </row>
        <row r="52">
          <cell r="M52" t="str">
            <v>Net profit</v>
          </cell>
          <cell r="R52">
            <v>10648.500000000577</v>
          </cell>
          <cell r="S52">
            <v>13052.690027570003</v>
          </cell>
          <cell r="T52">
            <v>9533.4209780972851</v>
          </cell>
          <cell r="U52">
            <v>12815.146230042275</v>
          </cell>
          <cell r="V52">
            <v>21648.505234072334</v>
          </cell>
        </row>
        <row r="53">
          <cell r="M53" t="str">
            <v>Dividends</v>
          </cell>
          <cell r="R53">
            <v>-1993.4</v>
          </cell>
          <cell r="S53">
            <v>-2762.2377900000001</v>
          </cell>
          <cell r="T53">
            <v>-2762.2377900000001</v>
          </cell>
          <cell r="U53">
            <v>-3452.7972374999999</v>
          </cell>
          <cell r="V53">
            <v>-3682.9837200000002</v>
          </cell>
        </row>
        <row r="54">
          <cell r="M54" t="str">
            <v>Addition to retained earnings</v>
          </cell>
          <cell r="R54">
            <v>8655.100000000577</v>
          </cell>
          <cell r="S54">
            <v>10290.452237570003</v>
          </cell>
          <cell r="T54">
            <v>6771.183188097285</v>
          </cell>
          <cell r="U54">
            <v>9362.3489925422764</v>
          </cell>
          <cell r="V54">
            <v>17965.521514072334</v>
          </cell>
        </row>
        <row r="57">
          <cell r="M57" t="str">
            <v>Wtd avg. shares (m)</v>
          </cell>
          <cell r="R57">
            <v>377.59411568493152</v>
          </cell>
          <cell r="S57">
            <v>460.37296500000002</v>
          </cell>
          <cell r="T57">
            <v>460.37296500000002</v>
          </cell>
          <cell r="U57">
            <v>460.37296500000002</v>
          </cell>
          <cell r="V57">
            <v>460.37296500000002</v>
          </cell>
        </row>
        <row r="58">
          <cell r="M58" t="str">
            <v>EPS (Rs)</v>
          </cell>
          <cell r="R58">
            <v>28.178934888060788</v>
          </cell>
          <cell r="S58">
            <v>27.744222616482272</v>
          </cell>
          <cell r="T58">
            <v>20.099835745344617</v>
          </cell>
          <cell r="U58">
            <v>27.228241410835825</v>
          </cell>
          <cell r="V58">
            <v>46.415638750794876</v>
          </cell>
        </row>
        <row r="59">
          <cell r="M59" t="str">
            <v>Fully diluted EPS (Rs)</v>
          </cell>
          <cell r="R59">
            <v>19.865228718745634</v>
          </cell>
          <cell r="S59">
            <v>23.846582653644273</v>
          </cell>
          <cell r="T59">
            <v>17.27611550165707</v>
          </cell>
          <cell r="U59">
            <v>23.40308893467212</v>
          </cell>
          <cell r="V59">
            <v>39.894949705131204</v>
          </cell>
        </row>
        <row r="60">
          <cell r="M60" t="str">
            <v>Note: Gross sales in net of interdivisional transfers.  In interims since the break up is not available gros sale in inclusive of interdivisional transfers</v>
          </cell>
        </row>
        <row r="66">
          <cell r="B66" t="str">
            <v>BACKGROUND</v>
          </cell>
        </row>
      </sheetData>
      <sheetData sheetId="9" refreshError="1">
        <row r="4">
          <cell r="B4" t="str">
            <v>REVIEW OF OPERATIONS</v>
          </cell>
          <cell r="O4" t="str">
            <v>CASHFLOW ESTIMATES</v>
          </cell>
        </row>
        <row r="6">
          <cell r="O6" t="str">
            <v>Year-end 31 Mar</v>
          </cell>
          <cell r="S6" t="str">
            <v>1995</v>
          </cell>
          <cell r="T6" t="str">
            <v>1996</v>
          </cell>
          <cell r="U6" t="str">
            <v>1997E</v>
          </cell>
          <cell r="V6" t="str">
            <v>1998E</v>
          </cell>
          <cell r="W6" t="str">
            <v>1999E</v>
          </cell>
        </row>
        <row r="7">
          <cell r="B7" t="str">
            <v>Sales (tonnes)</v>
          </cell>
          <cell r="F7" t="str">
            <v>1995</v>
          </cell>
          <cell r="G7" t="str">
            <v>1996</v>
          </cell>
          <cell r="H7" t="str">
            <v>1997E</v>
          </cell>
          <cell r="I7" t="str">
            <v>1998E</v>
          </cell>
          <cell r="J7" t="str">
            <v>1999E</v>
          </cell>
          <cell r="S7" t="str">
            <v>(Rs. m)</v>
          </cell>
          <cell r="T7" t="str">
            <v>(Rs. m)</v>
          </cell>
          <cell r="U7" t="str">
            <v>(Rs. m)</v>
          </cell>
          <cell r="V7" t="str">
            <v>(Rs. m)</v>
          </cell>
          <cell r="W7" t="str">
            <v>(Rs. m)</v>
          </cell>
        </row>
        <row r="8">
          <cell r="B8" t="str">
            <v>Fabric m sq m</v>
          </cell>
          <cell r="F8">
            <v>51.134</v>
          </cell>
          <cell r="G8">
            <v>44.875999999999998</v>
          </cell>
          <cell r="H8">
            <v>47.494999999999997</v>
          </cell>
          <cell r="I8">
            <v>49.244</v>
          </cell>
          <cell r="J8">
            <v>54.168400000000005</v>
          </cell>
          <cell r="O8" t="str">
            <v>Inflows</v>
          </cell>
        </row>
        <row r="9">
          <cell r="B9" t="str">
            <v>Polyester Filament Yarn (tonnes)</v>
          </cell>
          <cell r="F9">
            <v>89661</v>
          </cell>
          <cell r="G9">
            <v>104500</v>
          </cell>
          <cell r="H9">
            <v>155999.66666666666</v>
          </cell>
          <cell r="I9">
            <v>202500</v>
          </cell>
          <cell r="J9">
            <v>224500</v>
          </cell>
          <cell r="O9" t="str">
            <v>Pre-tax profit</v>
          </cell>
          <cell r="S9">
            <v>10648.500000000577</v>
          </cell>
          <cell r="T9">
            <v>13052.690027570003</v>
          </cell>
          <cell r="U9">
            <v>10945.374257287356</v>
          </cell>
          <cell r="V9">
            <v>14713.141481104791</v>
          </cell>
          <cell r="W9">
            <v>24854.77064761462</v>
          </cell>
        </row>
        <row r="10">
          <cell r="B10" t="str">
            <v>Polyester Staple Fibre (tonnes)</v>
          </cell>
          <cell r="F10">
            <v>87928</v>
          </cell>
          <cell r="G10">
            <v>92324.400000000009</v>
          </cell>
          <cell r="H10">
            <v>116000</v>
          </cell>
          <cell r="I10">
            <v>208000</v>
          </cell>
          <cell r="J10">
            <v>260000</v>
          </cell>
          <cell r="O10" t="str">
            <v>Depreciation &amp; amort.</v>
          </cell>
          <cell r="S10">
            <v>2782.4</v>
          </cell>
          <cell r="T10">
            <v>3364.5540000000001</v>
          </cell>
          <cell r="U10">
            <v>3604.7331278125002</v>
          </cell>
          <cell r="V10">
            <v>6398.7691209999994</v>
          </cell>
          <cell r="W10">
            <v>7398.7245216249994</v>
          </cell>
        </row>
        <row r="11">
          <cell r="B11" t="str">
            <v>PTA(Purified terephthalic acid) (tonnes)</v>
          </cell>
          <cell r="F11">
            <v>75000</v>
          </cell>
          <cell r="G11">
            <v>74750</v>
          </cell>
          <cell r="H11">
            <v>24056.000000000007</v>
          </cell>
          <cell r="I11">
            <v>984.375</v>
          </cell>
          <cell r="J11">
            <v>109085</v>
          </cell>
          <cell r="O11" t="str">
            <v>Non-cash (income)/expenses</v>
          </cell>
          <cell r="S11">
            <v>0</v>
          </cell>
          <cell r="T11">
            <v>20</v>
          </cell>
          <cell r="U11">
            <v>0</v>
          </cell>
          <cell r="V11">
            <v>0</v>
          </cell>
          <cell r="W11">
            <v>0</v>
          </cell>
        </row>
        <row r="12">
          <cell r="B12" t="str">
            <v>LAB (Linear Alkyl Benzene) (tonnes)</v>
          </cell>
          <cell r="F12">
            <v>80508</v>
          </cell>
          <cell r="G12">
            <v>80508</v>
          </cell>
          <cell r="H12">
            <v>90000</v>
          </cell>
          <cell r="I12">
            <v>90000</v>
          </cell>
          <cell r="J12">
            <v>105000</v>
          </cell>
          <cell r="O12" t="str">
            <v>Tax paid</v>
          </cell>
          <cell r="S12">
            <v>0</v>
          </cell>
          <cell r="T12">
            <v>0</v>
          </cell>
          <cell r="U12">
            <v>-1411.953279190069</v>
          </cell>
          <cell r="V12">
            <v>-1897.995251062518</v>
          </cell>
          <cell r="W12">
            <v>-3206.2654135422858</v>
          </cell>
        </row>
        <row r="13">
          <cell r="B13" t="str">
            <v>MEG (Mono Ethylene Glycol) (tonnes)</v>
          </cell>
          <cell r="F13">
            <v>52070</v>
          </cell>
          <cell r="G13">
            <v>38011.1</v>
          </cell>
          <cell r="H13">
            <v>0</v>
          </cell>
          <cell r="I13">
            <v>0</v>
          </cell>
          <cell r="J13">
            <v>0</v>
          </cell>
          <cell r="O13" t="str">
            <v>Operating cash flow</v>
          </cell>
          <cell r="S13">
            <v>13430.900000000576</v>
          </cell>
          <cell r="T13">
            <v>16437.244027570003</v>
          </cell>
          <cell r="U13">
            <v>13138.154105909787</v>
          </cell>
          <cell r="V13">
            <v>19213.915351042273</v>
          </cell>
          <cell r="W13">
            <v>29047.229755697335</v>
          </cell>
        </row>
        <row r="14">
          <cell r="B14" t="str">
            <v>PVC (Poly Vinyl Chloride) (tonnes)</v>
          </cell>
          <cell r="F14">
            <v>186597</v>
          </cell>
          <cell r="G14">
            <v>186500</v>
          </cell>
          <cell r="H14">
            <v>250250</v>
          </cell>
          <cell r="I14">
            <v>270000</v>
          </cell>
          <cell r="J14">
            <v>300000</v>
          </cell>
          <cell r="O14" t="str">
            <v>Issue of shares</v>
          </cell>
          <cell r="S14">
            <v>19600.100000000002</v>
          </cell>
          <cell r="T14">
            <v>151.59999999999854</v>
          </cell>
          <cell r="U14">
            <v>0</v>
          </cell>
          <cell r="V14">
            <v>0</v>
          </cell>
          <cell r="W14">
            <v>0</v>
          </cell>
        </row>
        <row r="15">
          <cell r="B15" t="str">
            <v>PE (Polyethylene)  (tonnes)</v>
          </cell>
          <cell r="F15">
            <v>166000</v>
          </cell>
          <cell r="G15">
            <v>190000</v>
          </cell>
          <cell r="H15">
            <v>200000</v>
          </cell>
          <cell r="I15">
            <v>340000</v>
          </cell>
          <cell r="J15">
            <v>390000</v>
          </cell>
          <cell r="O15" t="str">
            <v>Asset sale</v>
          </cell>
          <cell r="S15">
            <v>0</v>
          </cell>
          <cell r="T15">
            <v>0</v>
          </cell>
          <cell r="U15">
            <v>0</v>
          </cell>
          <cell r="V15">
            <v>0</v>
          </cell>
          <cell r="W15">
            <v>0</v>
          </cell>
        </row>
        <row r="16">
          <cell r="B16" t="str">
            <v>PP (Polypropylene) (tonnes)</v>
          </cell>
          <cell r="F16">
            <v>0</v>
          </cell>
          <cell r="G16">
            <v>0</v>
          </cell>
          <cell r="H16">
            <v>78750</v>
          </cell>
          <cell r="I16">
            <v>262500</v>
          </cell>
          <cell r="J16">
            <v>297500</v>
          </cell>
          <cell r="O16" t="str">
            <v>Others</v>
          </cell>
          <cell r="S16">
            <v>0</v>
          </cell>
          <cell r="T16">
            <v>1945</v>
          </cell>
          <cell r="U16">
            <v>0</v>
          </cell>
          <cell r="V16">
            <v>0</v>
          </cell>
          <cell r="W16">
            <v>0</v>
          </cell>
        </row>
        <row r="17">
          <cell r="B17" t="str">
            <v>PET Chips (tonnes)</v>
          </cell>
          <cell r="F17">
            <v>0</v>
          </cell>
          <cell r="G17">
            <v>0</v>
          </cell>
          <cell r="H17">
            <v>0</v>
          </cell>
          <cell r="I17">
            <v>48000</v>
          </cell>
          <cell r="J17">
            <v>72000</v>
          </cell>
          <cell r="O17" t="str">
            <v>Total inflows</v>
          </cell>
          <cell r="S17">
            <v>33031.000000000582</v>
          </cell>
          <cell r="T17">
            <v>18533.844027570001</v>
          </cell>
          <cell r="U17">
            <v>13138.154105909787</v>
          </cell>
          <cell r="V17">
            <v>19213.915351042273</v>
          </cell>
          <cell r="W17">
            <v>29047.229755697335</v>
          </cell>
        </row>
        <row r="19">
          <cell r="B19" t="str">
            <v>Gross Revenue Rsm</v>
          </cell>
          <cell r="F19" t="str">
            <v>1995</v>
          </cell>
          <cell r="G19" t="str">
            <v>1996</v>
          </cell>
          <cell r="H19" t="str">
            <v>1997E</v>
          </cell>
          <cell r="I19" t="str">
            <v>1998E</v>
          </cell>
          <cell r="J19" t="str">
            <v>1999E</v>
          </cell>
          <cell r="O19" t="str">
            <v>Outflows</v>
          </cell>
        </row>
        <row r="20">
          <cell r="B20" t="str">
            <v>Fabric</v>
          </cell>
          <cell r="F20">
            <v>3673.1893840805774</v>
          </cell>
          <cell r="G20">
            <v>3890.2759999999998</v>
          </cell>
          <cell r="H20">
            <v>4118.8297150000008</v>
          </cell>
          <cell r="I20">
            <v>4468.9302407750001</v>
          </cell>
          <cell r="J20">
            <v>4926.9955904544395</v>
          </cell>
          <cell r="O20" t="str">
            <v>Dividends paid</v>
          </cell>
          <cell r="S20">
            <v>1391.8</v>
          </cell>
          <cell r="T20">
            <v>2281.7377900000001</v>
          </cell>
          <cell r="U20">
            <v>2762.2</v>
          </cell>
          <cell r="V20">
            <v>3042.2377900000001</v>
          </cell>
          <cell r="W20">
            <v>3732.7972374999999</v>
          </cell>
        </row>
        <row r="21">
          <cell r="B21" t="str">
            <v>Polyester Filament Yarn</v>
          </cell>
          <cell r="F21">
            <v>13466.006267999999</v>
          </cell>
          <cell r="G21">
            <v>15635.8125</v>
          </cell>
          <cell r="H21">
            <v>14898.031866530553</v>
          </cell>
          <cell r="I21">
            <v>20553.749999999993</v>
          </cell>
          <cell r="J21">
            <v>24021.601025</v>
          </cell>
          <cell r="O21" t="str">
            <v>Capital expenditure</v>
          </cell>
          <cell r="S21">
            <v>32633.100000000006</v>
          </cell>
          <cell r="T21">
            <v>29846.653824999998</v>
          </cell>
          <cell r="U21">
            <v>19474.533662500013</v>
          </cell>
          <cell r="V21">
            <v>28130.018875000002</v>
          </cell>
          <cell r="W21">
            <v>26088</v>
          </cell>
        </row>
        <row r="22">
          <cell r="B22" t="str">
            <v>Polyester Staple Fibre</v>
          </cell>
          <cell r="F22">
            <v>8950.1911199999995</v>
          </cell>
          <cell r="G22">
            <v>9491.6776827600006</v>
          </cell>
          <cell r="H22">
            <v>8137.4</v>
          </cell>
          <cell r="I22">
            <v>14456</v>
          </cell>
          <cell r="J22">
            <v>19500</v>
          </cell>
          <cell r="O22" t="str">
            <v>Working capital</v>
          </cell>
          <cell r="S22">
            <v>-579.89999999999554</v>
          </cell>
          <cell r="T22">
            <v>-7259.4999999999982</v>
          </cell>
          <cell r="U22">
            <v>4855.8423365298668</v>
          </cell>
          <cell r="V22">
            <v>2090.8676552061734</v>
          </cell>
          <cell r="W22">
            <v>4413.1660131269309</v>
          </cell>
        </row>
        <row r="23">
          <cell r="B23" t="str">
            <v>PTA(Purified terephthalic acid)</v>
          </cell>
          <cell r="F23">
            <v>4455</v>
          </cell>
          <cell r="G23">
            <v>3695.0419999999999</v>
          </cell>
          <cell r="H23">
            <v>784.22560000000021</v>
          </cell>
          <cell r="I23">
            <v>29.914062499999993</v>
          </cell>
          <cell r="J23">
            <v>4445.2410212499999</v>
          </cell>
          <cell r="O23" t="str">
            <v>Investments</v>
          </cell>
          <cell r="S23">
            <v>32.299999999999272</v>
          </cell>
          <cell r="T23">
            <v>-405</v>
          </cell>
          <cell r="U23">
            <v>-1740.9462559999999</v>
          </cell>
          <cell r="V23">
            <v>0</v>
          </cell>
          <cell r="W23">
            <v>0</v>
          </cell>
        </row>
        <row r="24">
          <cell r="B24" t="str">
            <v>LAB (Linear Alkyl Benzene)</v>
          </cell>
          <cell r="F24">
            <v>2833.8816000000002</v>
          </cell>
          <cell r="G24">
            <v>2975.5756799999999</v>
          </cell>
          <cell r="H24">
            <v>3149.9675999999999</v>
          </cell>
          <cell r="I24">
            <v>3285</v>
          </cell>
          <cell r="J24">
            <v>4187.3474999999999</v>
          </cell>
          <cell r="O24" t="str">
            <v>Others</v>
          </cell>
          <cell r="S24">
            <v>0</v>
          </cell>
          <cell r="T24">
            <v>0</v>
          </cell>
          <cell r="U24">
            <v>3500</v>
          </cell>
          <cell r="V24">
            <v>3500</v>
          </cell>
          <cell r="W24">
            <v>0</v>
          </cell>
        </row>
        <row r="25">
          <cell r="B25" t="str">
            <v>MEG (Mono Ethylene Glycol)</v>
          </cell>
          <cell r="F25">
            <v>1913.5725</v>
          </cell>
          <cell r="G25">
            <v>1516.24757456</v>
          </cell>
          <cell r="H25">
            <v>0</v>
          </cell>
          <cell r="I25">
            <v>0</v>
          </cell>
          <cell r="J25">
            <v>0</v>
          </cell>
          <cell r="O25" t="str">
            <v>Total outflows</v>
          </cell>
          <cell r="S25">
            <v>33477.300000000017</v>
          </cell>
          <cell r="T25">
            <v>24463.891615</v>
          </cell>
          <cell r="U25">
            <v>28851.62974302988</v>
          </cell>
          <cell r="V25">
            <v>36763.124320206174</v>
          </cell>
          <cell r="W25">
            <v>34233.963250626926</v>
          </cell>
        </row>
        <row r="26">
          <cell r="B26" t="str">
            <v>PVC (Poly Vinyl Chloride)</v>
          </cell>
          <cell r="F26">
            <v>8937.9963000000007</v>
          </cell>
          <cell r="G26">
            <v>9321.27</v>
          </cell>
          <cell r="H26">
            <v>9134.05852734375</v>
          </cell>
          <cell r="I26">
            <v>9044.864999999998</v>
          </cell>
          <cell r="J26">
            <v>10200.09</v>
          </cell>
        </row>
        <row r="27">
          <cell r="B27" t="str">
            <v xml:space="preserve">PE (Polyethylene) </v>
          </cell>
          <cell r="F27">
            <v>7636</v>
          </cell>
          <cell r="G27">
            <v>9350.85</v>
          </cell>
          <cell r="H27">
            <v>9430.06640625</v>
          </cell>
          <cell r="I27">
            <v>16421.915000000001</v>
          </cell>
          <cell r="J27">
            <v>18029.773125</v>
          </cell>
          <cell r="O27" t="str">
            <v>Net cash inflow/(outflow)</v>
          </cell>
          <cell r="S27">
            <v>-446.29999999943539</v>
          </cell>
          <cell r="T27">
            <v>-5930.0475874299991</v>
          </cell>
          <cell r="U27">
            <v>-15713.475637120093</v>
          </cell>
          <cell r="V27">
            <v>-17549.208969163901</v>
          </cell>
          <cell r="W27">
            <v>-5186.733494929591</v>
          </cell>
        </row>
        <row r="28">
          <cell r="B28" t="str">
            <v>PP (Polypropylene)</v>
          </cell>
          <cell r="F28">
            <v>0</v>
          </cell>
          <cell r="G28">
            <v>0</v>
          </cell>
          <cell r="H28">
            <v>3701.25</v>
          </cell>
          <cell r="I28">
            <v>11523.749999999998</v>
          </cell>
          <cell r="J28">
            <v>14309.601250000002</v>
          </cell>
          <cell r="O28" t="str">
            <v>Net (debt) at year-end</v>
          </cell>
          <cell r="S28">
            <v>-26061.999999999447</v>
          </cell>
          <cell r="T28">
            <v>-31661.047587429446</v>
          </cell>
          <cell r="U28">
            <v>-47374.523224549535</v>
          </cell>
          <cell r="V28">
            <v>-64923.73219371344</v>
          </cell>
          <cell r="W28">
            <v>-70110.465688643031</v>
          </cell>
        </row>
        <row r="29">
          <cell r="B29" t="str">
            <v>PET Chips</v>
          </cell>
          <cell r="F29">
            <v>0</v>
          </cell>
          <cell r="G29">
            <v>0</v>
          </cell>
          <cell r="H29">
            <v>0</v>
          </cell>
          <cell r="I29">
            <v>2745.6</v>
          </cell>
          <cell r="J29">
            <v>4607.9639999999999</v>
          </cell>
        </row>
        <row r="30">
          <cell r="B30" t="str">
            <v>Others</v>
          </cell>
          <cell r="F30">
            <v>1861.4221959199999</v>
          </cell>
          <cell r="G30">
            <v>756</v>
          </cell>
          <cell r="H30">
            <v>3000</v>
          </cell>
          <cell r="I30">
            <v>2000</v>
          </cell>
          <cell r="J30">
            <v>2500</v>
          </cell>
          <cell r="O30" t="str">
            <v>Net debt/equity</v>
          </cell>
          <cell r="S30">
            <v>0.1790069777310842</v>
          </cell>
          <cell r="T30">
            <v>0.19293152207965292</v>
          </cell>
          <cell r="U30">
            <v>0.26752046882142372</v>
          </cell>
          <cell r="V30">
            <v>0.33251222037951184</v>
          </cell>
          <cell r="W30">
            <v>0.30400437632364552</v>
          </cell>
          <cell r="X30" t="e">
            <v>#DIV/0!</v>
          </cell>
        </row>
        <row r="32">
          <cell r="B32" t="str">
            <v xml:space="preserve">Total </v>
          </cell>
          <cell r="F32">
            <v>31078.799999999996</v>
          </cell>
          <cell r="G32">
            <v>41779.799999999996</v>
          </cell>
          <cell r="H32">
            <v>53881.500000000575</v>
          </cell>
          <cell r="I32">
            <v>57271.682821320006</v>
          </cell>
          <cell r="J32">
            <v>58899.774371374304</v>
          </cell>
        </row>
        <row r="33">
          <cell r="O33" t="str">
            <v>BALANCE SHEET</v>
          </cell>
        </row>
        <row r="35">
          <cell r="O35" t="str">
            <v>Year-end 31 Mar</v>
          </cell>
          <cell r="S35">
            <v>1992</v>
          </cell>
          <cell r="T35">
            <v>1993</v>
          </cell>
          <cell r="U35">
            <v>1994</v>
          </cell>
          <cell r="V35" t="str">
            <v>1995</v>
          </cell>
          <cell r="W35" t="str">
            <v>1996</v>
          </cell>
        </row>
        <row r="36">
          <cell r="S36" t="str">
            <v>(Rs. m)</v>
          </cell>
          <cell r="T36" t="str">
            <v>(Rs. m)</v>
          </cell>
          <cell r="U36" t="str">
            <v>(Rs. m)</v>
          </cell>
          <cell r="V36" t="str">
            <v>(Rs. m)</v>
          </cell>
          <cell r="W36" t="str">
            <v>(Rs. m)</v>
          </cell>
        </row>
        <row r="37">
          <cell r="O37" t="str">
            <v>Fixed assets</v>
          </cell>
          <cell r="S37">
            <v>12724.3</v>
          </cell>
          <cell r="T37">
            <v>26885.7</v>
          </cell>
          <cell r="U37">
            <v>32050.400000000001</v>
          </cell>
          <cell r="V37">
            <v>35096.199999999997</v>
          </cell>
          <cell r="W37">
            <v>47442.299824999995</v>
          </cell>
        </row>
        <row r="38">
          <cell r="O38" t="str">
            <v>Capital WIP</v>
          </cell>
          <cell r="S38">
            <v>20656.8</v>
          </cell>
          <cell r="T38">
            <v>6792.7</v>
          </cell>
          <cell r="U38">
            <v>3946</v>
          </cell>
          <cell r="V38">
            <v>30750.9</v>
          </cell>
          <cell r="W38">
            <v>44886.9</v>
          </cell>
        </row>
        <row r="39">
          <cell r="O39" t="str">
            <v>Investments</v>
          </cell>
          <cell r="S39">
            <v>619.5</v>
          </cell>
          <cell r="T39">
            <v>7796.7</v>
          </cell>
          <cell r="U39">
            <v>19901.8</v>
          </cell>
          <cell r="V39">
            <v>19934.099999999999</v>
          </cell>
          <cell r="W39">
            <v>19529.099999999999</v>
          </cell>
        </row>
        <row r="40">
          <cell r="O40" t="str">
            <v>Other non-current assets</v>
          </cell>
          <cell r="S40">
            <v>0</v>
          </cell>
          <cell r="T40">
            <v>0</v>
          </cell>
          <cell r="U40">
            <v>0</v>
          </cell>
          <cell r="V40">
            <v>0</v>
          </cell>
          <cell r="W40">
            <v>0</v>
          </cell>
        </row>
        <row r="41">
          <cell r="B41" t="str">
            <v>INTERIM RESULTS</v>
          </cell>
          <cell r="O41" t="str">
            <v>Current assets</v>
          </cell>
        </row>
        <row r="42">
          <cell r="O42" t="str">
            <v>Cash &amp; bank balances</v>
          </cell>
          <cell r="S42">
            <v>753.59999999999854</v>
          </cell>
          <cell r="T42">
            <v>2324.1999999999935</v>
          </cell>
          <cell r="U42">
            <v>979.29999999999154</v>
          </cell>
          <cell r="V42">
            <v>3668.2000000005573</v>
          </cell>
          <cell r="W42">
            <v>14279.419079237221</v>
          </cell>
        </row>
        <row r="43">
          <cell r="B43" t="str">
            <v>Half-year ended</v>
          </cell>
          <cell r="E43">
            <v>34242</v>
          </cell>
          <cell r="F43">
            <v>34424</v>
          </cell>
          <cell r="G43">
            <v>34607</v>
          </cell>
          <cell r="H43">
            <v>34789</v>
          </cell>
          <cell r="I43">
            <v>34972</v>
          </cell>
          <cell r="J43">
            <v>35155</v>
          </cell>
          <cell r="K43" t="str">
            <v>chg</v>
          </cell>
          <cell r="O43" t="str">
            <v>Rreceivables</v>
          </cell>
          <cell r="S43">
            <v>4151.3999999999996</v>
          </cell>
          <cell r="T43">
            <v>4875.3</v>
          </cell>
          <cell r="U43">
            <v>5935.3</v>
          </cell>
          <cell r="V43">
            <v>5412</v>
          </cell>
          <cell r="W43">
            <v>3305.6</v>
          </cell>
        </row>
        <row r="44">
          <cell r="E44">
            <v>0</v>
          </cell>
          <cell r="F44">
            <v>0</v>
          </cell>
          <cell r="G44">
            <v>0</v>
          </cell>
          <cell r="H44">
            <v>0</v>
          </cell>
          <cell r="I44">
            <v>0</v>
          </cell>
          <cell r="J44">
            <v>0</v>
          </cell>
          <cell r="O44" t="str">
            <v>Inventories</v>
          </cell>
          <cell r="S44">
            <v>4049</v>
          </cell>
          <cell r="T44">
            <v>5231</v>
          </cell>
          <cell r="U44">
            <v>5846.4</v>
          </cell>
          <cell r="V44">
            <v>6625.6</v>
          </cell>
          <cell r="W44">
            <v>7596.1</v>
          </cell>
        </row>
        <row r="45">
          <cell r="B45" t="str">
            <v>Sales</v>
          </cell>
          <cell r="E45">
            <v>24690</v>
          </cell>
          <cell r="F45">
            <v>28770</v>
          </cell>
          <cell r="G45">
            <v>32940</v>
          </cell>
          <cell r="H45">
            <v>37250</v>
          </cell>
          <cell r="I45">
            <v>39660</v>
          </cell>
          <cell r="J45">
            <v>38200</v>
          </cell>
          <cell r="K45">
            <v>-3.6812909732728216E-2</v>
          </cell>
          <cell r="O45" t="str">
            <v>Others</v>
          </cell>
          <cell r="S45">
            <v>5847.5</v>
          </cell>
          <cell r="T45">
            <v>6185.9</v>
          </cell>
          <cell r="U45">
            <v>12555.4</v>
          </cell>
          <cell r="V45">
            <v>13803.7</v>
          </cell>
          <cell r="W45">
            <v>12071.2</v>
          </cell>
        </row>
        <row r="46">
          <cell r="B46" t="str">
            <v>Cost of goods sold</v>
          </cell>
          <cell r="E46">
            <v>19890</v>
          </cell>
          <cell r="F46">
            <v>24150</v>
          </cell>
          <cell r="G46">
            <v>26760</v>
          </cell>
          <cell r="H46">
            <v>30330</v>
          </cell>
          <cell r="I46">
            <v>31940</v>
          </cell>
          <cell r="J46">
            <v>31120</v>
          </cell>
          <cell r="K46">
            <v>-2.5673137132122714E-2</v>
          </cell>
          <cell r="S46">
            <v>14801.499999999998</v>
          </cell>
          <cell r="T46">
            <v>18616.399999999994</v>
          </cell>
          <cell r="U46">
            <v>25316.399999999991</v>
          </cell>
          <cell r="V46">
            <v>29509.50000000056</v>
          </cell>
          <cell r="W46">
            <v>37252.319079237219</v>
          </cell>
        </row>
        <row r="47">
          <cell r="B47" t="str">
            <v>Depreciation</v>
          </cell>
          <cell r="E47">
            <v>2070</v>
          </cell>
          <cell r="F47">
            <v>450</v>
          </cell>
          <cell r="G47">
            <v>1320</v>
          </cell>
          <cell r="H47">
            <v>1460</v>
          </cell>
          <cell r="I47">
            <v>1520</v>
          </cell>
          <cell r="J47">
            <v>1845</v>
          </cell>
          <cell r="K47">
            <v>0.21381578947368429</v>
          </cell>
          <cell r="O47" t="str">
            <v>Current Liabilities</v>
          </cell>
        </row>
        <row r="48">
          <cell r="B48" t="str">
            <v>Operating profit</v>
          </cell>
          <cell r="E48">
            <v>2730</v>
          </cell>
          <cell r="F48">
            <v>4170</v>
          </cell>
          <cell r="G48">
            <v>4860</v>
          </cell>
          <cell r="H48">
            <v>5460</v>
          </cell>
          <cell r="I48">
            <v>6200</v>
          </cell>
          <cell r="J48">
            <v>5235</v>
          </cell>
          <cell r="K48">
            <v>-0.15564516129032258</v>
          </cell>
          <cell r="O48" t="str">
            <v>Short-term debt</v>
          </cell>
          <cell r="S48">
            <v>8021.1</v>
          </cell>
          <cell r="T48">
            <v>4331.3999999999996</v>
          </cell>
          <cell r="U48">
            <v>1578.6</v>
          </cell>
          <cell r="V48">
            <v>5427.9</v>
          </cell>
          <cell r="W48">
            <v>6821.8</v>
          </cell>
        </row>
        <row r="49">
          <cell r="B49" t="str">
            <v>Other income</v>
          </cell>
          <cell r="E49">
            <v>80</v>
          </cell>
          <cell r="F49">
            <v>685</v>
          </cell>
          <cell r="G49">
            <v>930</v>
          </cell>
          <cell r="H49">
            <v>540</v>
          </cell>
          <cell r="I49">
            <v>700</v>
          </cell>
          <cell r="J49">
            <v>2018</v>
          </cell>
          <cell r="K49">
            <v>1.882857142857143</v>
          </cell>
          <cell r="O49" t="str">
            <v>Payables</v>
          </cell>
          <cell r="S49">
            <v>5754</v>
          </cell>
          <cell r="T49">
            <v>6317.8</v>
          </cell>
          <cell r="U49">
            <v>9400.1</v>
          </cell>
          <cell r="V49">
            <v>11182.3</v>
          </cell>
          <cell r="W49">
            <v>15145.4</v>
          </cell>
        </row>
        <row r="50">
          <cell r="B50" t="str">
            <v>Net interest expense</v>
          </cell>
          <cell r="E50">
            <v>740</v>
          </cell>
          <cell r="F50">
            <v>1170</v>
          </cell>
          <cell r="G50">
            <v>1020</v>
          </cell>
          <cell r="H50">
            <v>120</v>
          </cell>
          <cell r="I50">
            <v>570</v>
          </cell>
          <cell r="J50">
            <v>530</v>
          </cell>
          <cell r="K50">
            <v>-7.0175438596491224E-2</v>
          </cell>
          <cell r="O50" t="str">
            <v>Provisions &amp; others</v>
          </cell>
          <cell r="S50">
            <v>2050.1</v>
          </cell>
          <cell r="T50">
            <v>1441.2</v>
          </cell>
          <cell r="U50">
            <v>1870.6000000000001</v>
          </cell>
          <cell r="V50">
            <v>2782.4</v>
          </cell>
          <cell r="W50">
            <v>3970.9</v>
          </cell>
        </row>
        <row r="51">
          <cell r="B51" t="str">
            <v>Income tax</v>
          </cell>
          <cell r="E51">
            <v>0</v>
          </cell>
          <cell r="F51">
            <v>0</v>
          </cell>
          <cell r="G51">
            <v>0</v>
          </cell>
          <cell r="H51">
            <v>0</v>
          </cell>
          <cell r="I51">
            <v>0</v>
          </cell>
          <cell r="J51">
            <v>0</v>
          </cell>
          <cell r="S51">
            <v>15825.2</v>
          </cell>
          <cell r="T51">
            <v>12090.400000000001</v>
          </cell>
          <cell r="U51">
            <v>12849.300000000001</v>
          </cell>
          <cell r="V51">
            <v>19392.599999999999</v>
          </cell>
          <cell r="W51">
            <v>25938.100000000002</v>
          </cell>
        </row>
        <row r="52">
          <cell r="B52" t="str">
            <v>Net profit</v>
          </cell>
          <cell r="E52">
            <v>2070</v>
          </cell>
          <cell r="F52">
            <v>3685</v>
          </cell>
          <cell r="G52">
            <v>4770</v>
          </cell>
          <cell r="H52">
            <v>5880</v>
          </cell>
          <cell r="I52">
            <v>6330</v>
          </cell>
          <cell r="J52">
            <v>6723</v>
          </cell>
          <cell r="K52">
            <v>6.2085308056871957E-2</v>
          </cell>
          <cell r="O52" t="str">
            <v>Net Current Assets</v>
          </cell>
          <cell r="S52">
            <v>-1023.7000000000025</v>
          </cell>
          <cell r="T52">
            <v>6525.9999999999927</v>
          </cell>
          <cell r="U52">
            <v>12467.099999999989</v>
          </cell>
          <cell r="V52">
            <v>10116.900000000562</v>
          </cell>
          <cell r="W52">
            <v>11314.219079237217</v>
          </cell>
        </row>
        <row r="53">
          <cell r="B53" t="str">
            <v>EPS (Rs)</v>
          </cell>
          <cell r="E53">
            <v>7.2693698078197118</v>
          </cell>
          <cell r="F53">
            <v>12.911735252372335</v>
          </cell>
          <cell r="G53">
            <v>12.632612114062015</v>
          </cell>
          <cell r="H53">
            <v>15.550295293529965</v>
          </cell>
          <cell r="I53">
            <v>13.74972138079394</v>
          </cell>
          <cell r="J53">
            <v>13.995174542883941</v>
          </cell>
          <cell r="K53">
            <v>1.7851500789889396E-2</v>
          </cell>
          <cell r="O53" t="str">
            <v>Employment of capital</v>
          </cell>
          <cell r="S53">
            <v>32976.899999999994</v>
          </cell>
          <cell r="T53">
            <v>48001.099999999991</v>
          </cell>
          <cell r="U53">
            <v>68365.299999999988</v>
          </cell>
          <cell r="V53">
            <v>95898.100000000559</v>
          </cell>
          <cell r="W53">
            <v>123170.51890423722</v>
          </cell>
        </row>
        <row r="54">
          <cell r="B54" t="str">
            <v>Note: Gross sales includes of Inter divisional transfers as the break up is not provided.</v>
          </cell>
        </row>
        <row r="55">
          <cell r="O55" t="str">
            <v>Share Capital</v>
          </cell>
          <cell r="S55">
            <v>1521.4</v>
          </cell>
          <cell r="T55">
            <v>2454.8000000000002</v>
          </cell>
          <cell r="U55">
            <v>3183.2</v>
          </cell>
          <cell r="V55">
            <v>4558.6000000000004</v>
          </cell>
          <cell r="W55">
            <v>4581.6000000000004</v>
          </cell>
        </row>
        <row r="56">
          <cell r="B56" t="str">
            <v>FIVE YEAR RECORD</v>
          </cell>
          <cell r="O56" t="str">
            <v>Reserves &amp; surplus</v>
          </cell>
          <cell r="S56">
            <v>17107.400000000001</v>
          </cell>
          <cell r="T56">
            <v>23617.899999999998</v>
          </cell>
          <cell r="U56">
            <v>40110.699999999997</v>
          </cell>
          <cell r="V56">
            <v>67312.900000000576</v>
          </cell>
          <cell r="W56">
            <v>77470.952237570586</v>
          </cell>
        </row>
        <row r="57">
          <cell r="O57" t="str">
            <v>Shareholders' funds</v>
          </cell>
          <cell r="S57">
            <v>18628.800000000003</v>
          </cell>
          <cell r="T57">
            <v>26072.699999999997</v>
          </cell>
          <cell r="U57">
            <v>43293.899999999994</v>
          </cell>
          <cell r="V57">
            <v>71871.500000000582</v>
          </cell>
          <cell r="W57">
            <v>82052.552237570591</v>
          </cell>
        </row>
        <row r="58">
          <cell r="B58" t="str">
            <v>Year-end 31 Mar</v>
          </cell>
          <cell r="G58">
            <v>1992</v>
          </cell>
          <cell r="H58">
            <v>1993</v>
          </cell>
          <cell r="I58">
            <v>1994</v>
          </cell>
          <cell r="J58" t="str">
            <v>1995</v>
          </cell>
          <cell r="K58" t="str">
            <v>1996</v>
          </cell>
          <cell r="O58" t="str">
            <v>Long-term debt</v>
          </cell>
          <cell r="S58">
            <v>13540.7</v>
          </cell>
          <cell r="T58">
            <v>21873.4</v>
          </cell>
          <cell r="U58">
            <v>25016.400000000001</v>
          </cell>
          <cell r="V58">
            <v>23971.300000000003</v>
          </cell>
          <cell r="W58">
            <v>39118.666666666664</v>
          </cell>
        </row>
        <row r="59">
          <cell r="O59" t="str">
            <v>Others</v>
          </cell>
          <cell r="S59">
            <v>807.4</v>
          </cell>
          <cell r="T59">
            <v>55</v>
          </cell>
          <cell r="U59">
            <v>55</v>
          </cell>
          <cell r="V59">
            <v>55</v>
          </cell>
          <cell r="W59">
            <v>2000</v>
          </cell>
        </row>
        <row r="60">
          <cell r="B60" t="str">
            <v>Turnover (Rs. m)</v>
          </cell>
          <cell r="G60">
            <v>15468.499999999996</v>
          </cell>
          <cell r="H60">
            <v>22464.499999999996</v>
          </cell>
          <cell r="I60">
            <v>30690.099999999995</v>
          </cell>
          <cell r="J60">
            <v>38710.200000000579</v>
          </cell>
          <cell r="K60">
            <v>42193.382821320003</v>
          </cell>
          <cell r="O60" t="str">
            <v>Capital employed</v>
          </cell>
          <cell r="S60">
            <v>32976.9</v>
          </cell>
          <cell r="T60">
            <v>48001.1</v>
          </cell>
          <cell r="U60">
            <v>68365.299999999988</v>
          </cell>
          <cell r="V60">
            <v>95897.800000000585</v>
          </cell>
          <cell r="W60">
            <v>123171.21890423726</v>
          </cell>
        </row>
        <row r="61">
          <cell r="B61" t="str">
            <v>Operating margin (%)</v>
          </cell>
          <cell r="G61">
            <v>0.21968516662895535</v>
          </cell>
          <cell r="H61">
            <v>0.23710298470920771</v>
          </cell>
          <cell r="I61">
            <v>0.22582852450790308</v>
          </cell>
          <cell r="J61">
            <v>0.26653698508404561</v>
          </cell>
          <cell r="K61">
            <v>0.27101856411929798</v>
          </cell>
        </row>
        <row r="62">
          <cell r="B62" t="str">
            <v>Net profit (Rs. m)</v>
          </cell>
          <cell r="G62">
            <v>882.59999999999479</v>
          </cell>
          <cell r="H62">
            <v>3217.4999999999959</v>
          </cell>
          <cell r="I62">
            <v>5754.8999999999951</v>
          </cell>
          <cell r="J62">
            <v>10648.500000000577</v>
          </cell>
          <cell r="K62">
            <v>13052.690027570003</v>
          </cell>
        </row>
        <row r="63">
          <cell r="B63" t="str">
            <v>Tax rate (%)</v>
          </cell>
          <cell r="G63">
            <v>0</v>
          </cell>
          <cell r="H63">
            <v>0</v>
          </cell>
          <cell r="I63">
            <v>0</v>
          </cell>
          <cell r="J63">
            <v>0</v>
          </cell>
          <cell r="K63">
            <v>0</v>
          </cell>
          <cell r="O63" t="str">
            <v>CAPITAL HISTORY</v>
          </cell>
        </row>
        <row r="64">
          <cell r="B64" t="str">
            <v>EPS (Rs)</v>
          </cell>
          <cell r="G64">
            <v>10.678254305630048</v>
          </cell>
          <cell r="H64">
            <v>13.243201502470519</v>
          </cell>
          <cell r="I64">
            <v>20.180753882906625</v>
          </cell>
          <cell r="J64">
            <v>28.178934888060788</v>
          </cell>
          <cell r="K64">
            <v>27.744222616482272</v>
          </cell>
        </row>
        <row r="65">
          <cell r="B65" t="str">
            <v>DPS (Rs)</v>
          </cell>
          <cell r="G65">
            <v>3</v>
          </cell>
          <cell r="H65">
            <v>3.5</v>
          </cell>
          <cell r="I65">
            <v>5.0999999999999996</v>
          </cell>
          <cell r="J65">
            <v>5.5</v>
          </cell>
          <cell r="K65">
            <v>6</v>
          </cell>
          <cell r="L65">
            <v>6</v>
          </cell>
          <cell r="O65" t="str">
            <v>Date</v>
          </cell>
          <cell r="Q65" t="str">
            <v>Issue terms</v>
          </cell>
          <cell r="V65" t="str">
            <v>Shares (m)</v>
          </cell>
        </row>
        <row r="66">
          <cell r="V66" t="str">
            <v>New</v>
          </cell>
          <cell r="W66" t="str">
            <v>Total</v>
          </cell>
        </row>
        <row r="67">
          <cell r="B67" t="str">
            <v>Net debt/equity (%)</v>
          </cell>
          <cell r="G67">
            <v>1.0113694923988665</v>
          </cell>
          <cell r="H67">
            <v>0.80918355214458082</v>
          </cell>
          <cell r="I67">
            <v>0.48987732682895296</v>
          </cell>
          <cell r="J67">
            <v>0.1790069777310842</v>
          </cell>
          <cell r="K67">
            <v>0.19293152207965292</v>
          </cell>
          <cell r="O67">
            <v>33694</v>
          </cell>
          <cell r="W67">
            <v>227.08134799999999</v>
          </cell>
        </row>
        <row r="68">
          <cell r="B68" t="str">
            <v>Return on assets (%)</v>
          </cell>
          <cell r="G68">
            <v>4.3021232711625633E-2</v>
          </cell>
          <cell r="H68">
            <v>5.9094382038981111E-2</v>
          </cell>
          <cell r="I68">
            <v>8.1452959214074916E-2</v>
          </cell>
          <cell r="J68">
            <v>0.10837875619640332</v>
          </cell>
          <cell r="K68">
            <v>9.8734672098739623E-2</v>
          </cell>
          <cell r="O68">
            <v>33727</v>
          </cell>
          <cell r="Q68" t="str">
            <v>Issue of 9.2m GDRs at US$16</v>
          </cell>
          <cell r="V68">
            <v>18.399999999999999</v>
          </cell>
          <cell r="W68">
            <v>245.481348</v>
          </cell>
        </row>
        <row r="69">
          <cell r="B69" t="str">
            <v>Return on equity (%)</v>
          </cell>
          <cell r="G69">
            <v>0.10849916792059836</v>
          </cell>
          <cell r="H69">
            <v>0.14395490084225343</v>
          </cell>
          <cell r="I69">
            <v>0.16592711766181403</v>
          </cell>
          <cell r="J69">
            <v>0.18492533347690407</v>
          </cell>
          <cell r="K69">
            <v>0.16959909562963008</v>
          </cell>
          <cell r="O69">
            <v>34424</v>
          </cell>
          <cell r="Q69" t="str">
            <v xml:space="preserve">Issue of shares to FIs on Conversion of debt </v>
          </cell>
          <cell r="V69">
            <v>74.463708999999994</v>
          </cell>
          <cell r="W69">
            <v>319.95296500000001</v>
          </cell>
        </row>
        <row r="70">
          <cell r="B70" t="str">
            <v>Book value per share (Rs)</v>
          </cell>
          <cell r="G70">
            <v>122.44433325663034</v>
          </cell>
          <cell r="H70">
            <v>106.21051339509508</v>
          </cell>
          <cell r="I70">
            <v>135.31332644471664</v>
          </cell>
          <cell r="J70">
            <v>156.11581362081193</v>
          </cell>
          <cell r="K70">
            <v>178.23060534749379</v>
          </cell>
          <cell r="O70">
            <v>34516</v>
          </cell>
          <cell r="Q70" t="str">
            <v>Conversion of Jseries debentures</v>
          </cell>
          <cell r="V70">
            <v>8.74</v>
          </cell>
          <cell r="W70">
            <v>328.69296500000002</v>
          </cell>
        </row>
        <row r="71">
          <cell r="O71">
            <v>34628</v>
          </cell>
          <cell r="Q71" t="str">
            <v>Private placement to UTI</v>
          </cell>
          <cell r="V71">
            <v>24.55</v>
          </cell>
          <cell r="W71">
            <v>353.24296500000003</v>
          </cell>
        </row>
        <row r="72">
          <cell r="B72" t="str">
            <v>Fiscal year-end share price (Rs)</v>
          </cell>
          <cell r="G72">
            <v>437.5</v>
          </cell>
          <cell r="H72">
            <v>178.75</v>
          </cell>
          <cell r="I72">
            <v>335</v>
          </cell>
          <cell r="J72">
            <v>261.25</v>
          </cell>
          <cell r="K72">
            <v>261</v>
          </cell>
          <cell r="O72">
            <v>34700</v>
          </cell>
          <cell r="Q72" t="str">
            <v>Merger of Reliance polyethylene and</v>
          </cell>
          <cell r="V72">
            <v>99.58</v>
          </cell>
          <cell r="W72">
            <v>452.892965</v>
          </cell>
        </row>
        <row r="73">
          <cell r="B73" t="str">
            <v>Price to book (fiscal year-end)</v>
          </cell>
          <cell r="G73">
            <v>3.5730522463873142</v>
          </cell>
          <cell r="H73">
            <v>1.682978400971131</v>
          </cell>
          <cell r="I73">
            <v>2.4757354563806913</v>
          </cell>
          <cell r="J73">
            <v>1.6734371358083391</v>
          </cell>
          <cell r="K73">
            <v>1.464394958941714</v>
          </cell>
          <cell r="Q73" t="str">
            <v>Reliance Polypropylene with Reliance</v>
          </cell>
        </row>
        <row r="74">
          <cell r="O74">
            <v>34768</v>
          </cell>
          <cell r="Q74" t="str">
            <v>Exercise of warrants attached</v>
          </cell>
          <cell r="V74">
            <v>7.48</v>
          </cell>
          <cell r="W74">
            <v>460.37296500000002</v>
          </cell>
        </row>
        <row r="75">
          <cell r="Q75" t="str">
            <v>to debentures placed privately</v>
          </cell>
        </row>
      </sheetData>
      <sheetData sheetId="10" refreshError="1">
        <row r="10">
          <cell r="J10">
            <v>6893.7000000000044</v>
          </cell>
          <cell r="K10">
            <v>7245.5999999999949</v>
          </cell>
          <cell r="L10">
            <v>11229.799999999996</v>
          </cell>
          <cell r="M10">
            <v>13631.399999999994</v>
          </cell>
          <cell r="N10">
            <v>19451.800000000578</v>
          </cell>
          <cell r="O10">
            <v>22368.844027570001</v>
          </cell>
          <cell r="P10">
            <v>21380.503199250696</v>
          </cell>
          <cell r="Q10">
            <v>35008.733296573591</v>
          </cell>
          <cell r="R10">
            <v>46656.502440821612</v>
          </cell>
        </row>
        <row r="12">
          <cell r="J12">
            <v>4804.7000000000044</v>
          </cell>
          <cell r="K12">
            <v>5324.5999999999949</v>
          </cell>
          <cell r="L12">
            <v>8124.4999999999964</v>
          </cell>
          <cell r="M12">
            <v>9482.5999999999949</v>
          </cell>
          <cell r="N12">
            <v>13100.100000000577</v>
          </cell>
          <cell r="O12">
            <v>14799.744027570001</v>
          </cell>
          <cell r="P12">
            <v>13281.634865266522</v>
          </cell>
          <cell r="Q12">
            <v>22673.782186438122</v>
          </cell>
          <cell r="R12">
            <v>34591.154728572954</v>
          </cell>
        </row>
        <row r="13">
          <cell r="J13">
            <v>-1744.2</v>
          </cell>
          <cell r="K13">
            <v>-1926.4</v>
          </cell>
          <cell r="L13">
            <v>-2798.1</v>
          </cell>
          <cell r="M13">
            <v>-2551.9</v>
          </cell>
          <cell r="N13">
            <v>-2782.4</v>
          </cell>
          <cell r="O13">
            <v>-3364.5540000000001</v>
          </cell>
          <cell r="P13">
            <v>-3604.7331278125002</v>
          </cell>
          <cell r="Q13">
            <v>-6398.7691209999994</v>
          </cell>
          <cell r="R13">
            <v>-7398.7245216249994</v>
          </cell>
        </row>
        <row r="14">
          <cell r="J14">
            <v>3060.5000000000045</v>
          </cell>
          <cell r="K14">
            <v>3398.1999999999948</v>
          </cell>
          <cell r="L14">
            <v>5326.399999999996</v>
          </cell>
          <cell r="M14">
            <v>6930.6999999999953</v>
          </cell>
          <cell r="N14">
            <v>10317.700000000577</v>
          </cell>
          <cell r="O14">
            <v>11435.190027570001</v>
          </cell>
          <cell r="P14">
            <v>9676.9017374540217</v>
          </cell>
          <cell r="Q14">
            <v>16275.013065438123</v>
          </cell>
          <cell r="R14">
            <v>27192.430206947953</v>
          </cell>
        </row>
        <row r="17">
          <cell r="J17">
            <v>62.8</v>
          </cell>
          <cell r="K17">
            <v>345.6</v>
          </cell>
          <cell r="L17">
            <v>113.7</v>
          </cell>
          <cell r="M17">
            <v>774.5</v>
          </cell>
          <cell r="N17">
            <v>634.1</v>
          </cell>
          <cell r="O17">
            <v>473.7</v>
          </cell>
          <cell r="P17">
            <v>1530</v>
          </cell>
          <cell r="Q17">
            <v>600</v>
          </cell>
          <cell r="R17">
            <v>700</v>
          </cell>
        </row>
        <row r="18">
          <cell r="J18">
            <v>1255.5000000000045</v>
          </cell>
          <cell r="K18">
            <v>1633.1999999999948</v>
          </cell>
          <cell r="L18">
            <v>3217.4999999999959</v>
          </cell>
          <cell r="M18">
            <v>5754.8999999999951</v>
          </cell>
          <cell r="N18">
            <v>10648.500000000577</v>
          </cell>
          <cell r="O18">
            <v>13052.690027570003</v>
          </cell>
          <cell r="P18">
            <v>10945.374257287356</v>
          </cell>
          <cell r="Q18">
            <v>14713.141481104791</v>
          </cell>
          <cell r="R18">
            <v>24854.77064761462</v>
          </cell>
        </row>
        <row r="19">
          <cell r="J19">
            <v>0</v>
          </cell>
          <cell r="K19">
            <v>0</v>
          </cell>
          <cell r="L19">
            <v>0</v>
          </cell>
          <cell r="M19">
            <v>0</v>
          </cell>
          <cell r="N19">
            <v>0</v>
          </cell>
          <cell r="O19">
            <v>0</v>
          </cell>
          <cell r="P19">
            <v>-1411.953279190069</v>
          </cell>
          <cell r="Q19">
            <v>-1897.995251062518</v>
          </cell>
          <cell r="R19">
            <v>-3206.2654135422858</v>
          </cell>
        </row>
        <row r="20">
          <cell r="J20">
            <v>1255.5000000000045</v>
          </cell>
          <cell r="K20">
            <v>1633.1999999999948</v>
          </cell>
          <cell r="L20">
            <v>3217.4999999999959</v>
          </cell>
          <cell r="M20">
            <v>5754.8999999999951</v>
          </cell>
          <cell r="N20">
            <v>10648.500000000577</v>
          </cell>
          <cell r="O20">
            <v>13052.690027570003</v>
          </cell>
          <cell r="P20">
            <v>9533.4209780972869</v>
          </cell>
          <cell r="Q20">
            <v>12815.146230042272</v>
          </cell>
          <cell r="R20">
            <v>21648.505234072334</v>
          </cell>
        </row>
        <row r="29">
          <cell r="J29">
            <v>8.1956883501724942</v>
          </cell>
          <cell r="K29">
            <v>10.678254305630048</v>
          </cell>
          <cell r="L29">
            <v>13.243201502470519</v>
          </cell>
          <cell r="M29">
            <v>20.180753882906625</v>
          </cell>
          <cell r="N29">
            <v>28.178934888060788</v>
          </cell>
          <cell r="O29">
            <v>27.744222616482272</v>
          </cell>
          <cell r="P29">
            <v>20.099835745344617</v>
          </cell>
          <cell r="Q29">
            <v>27.228241410835825</v>
          </cell>
          <cell r="R29">
            <v>46.415638750794876</v>
          </cell>
        </row>
        <row r="30">
          <cell r="J30">
            <v>8.1956883501724942</v>
          </cell>
          <cell r="K30">
            <v>10.678254305630048</v>
          </cell>
          <cell r="L30">
            <v>13.243201502470519</v>
          </cell>
          <cell r="M30">
            <v>20.180753882906625</v>
          </cell>
          <cell r="N30">
            <v>19.865228718745634</v>
          </cell>
          <cell r="O30">
            <v>23.846582653644273</v>
          </cell>
          <cell r="P30">
            <v>17.27611550165707</v>
          </cell>
          <cell r="Q30">
            <v>23.40308893467212</v>
          </cell>
          <cell r="R30">
            <v>39.894949705131204</v>
          </cell>
        </row>
        <row r="31">
          <cell r="J31">
            <v>8.1956883501724729</v>
          </cell>
          <cell r="K31">
            <v>10.678254305630048</v>
          </cell>
          <cell r="L31">
            <v>13.071868906308906</v>
          </cell>
          <cell r="M31">
            <v>17.960764951810948</v>
          </cell>
          <cell r="N31">
            <v>23.112130400621108</v>
          </cell>
          <cell r="O31">
            <v>27.744222616482272</v>
          </cell>
          <cell r="P31">
            <v>20.099835745344617</v>
          </cell>
          <cell r="Q31">
            <v>27.228241410835825</v>
          </cell>
          <cell r="R31">
            <v>46.415638750794876</v>
          </cell>
        </row>
        <row r="33">
          <cell r="J33">
            <v>2.9998493568198752</v>
          </cell>
          <cell r="K33">
            <v>3</v>
          </cell>
          <cell r="L33">
            <v>3.5</v>
          </cell>
          <cell r="M33">
            <v>5.0999999999999996</v>
          </cell>
          <cell r="N33">
            <v>5.5</v>
          </cell>
          <cell r="O33">
            <v>6</v>
          </cell>
          <cell r="P33">
            <v>6</v>
          </cell>
          <cell r="Q33">
            <v>7.5</v>
          </cell>
          <cell r="R33">
            <v>8</v>
          </cell>
        </row>
        <row r="35">
          <cell r="J35">
            <v>152.14097299999958</v>
          </cell>
          <cell r="K35">
            <v>152.140973</v>
          </cell>
          <cell r="L35">
            <v>242.30545758904111</v>
          </cell>
          <cell r="M35">
            <v>284.75645822465748</v>
          </cell>
          <cell r="N35">
            <v>377.59411568493152</v>
          </cell>
          <cell r="O35">
            <v>460.37296500000002</v>
          </cell>
          <cell r="P35">
            <v>460.37296500000002</v>
          </cell>
          <cell r="Q35">
            <v>460.37296500000002</v>
          </cell>
          <cell r="R35">
            <v>460.37296500000002</v>
          </cell>
        </row>
        <row r="36">
          <cell r="J36">
            <v>152.14097299999958</v>
          </cell>
          <cell r="K36">
            <v>152.140973</v>
          </cell>
          <cell r="L36">
            <v>242.30545758904111</v>
          </cell>
          <cell r="M36">
            <v>284.75645822465748</v>
          </cell>
          <cell r="N36">
            <v>535.61930500000005</v>
          </cell>
          <cell r="O36">
            <v>535.61930500000005</v>
          </cell>
          <cell r="P36">
            <v>535.61930500000005</v>
          </cell>
          <cell r="Q36">
            <v>535.61930500000005</v>
          </cell>
          <cell r="R36">
            <v>535.61930500000005</v>
          </cell>
        </row>
        <row r="37">
          <cell r="J37">
            <v>152.140973</v>
          </cell>
          <cell r="K37">
            <v>152.140973</v>
          </cell>
          <cell r="L37">
            <v>245.481348</v>
          </cell>
          <cell r="M37">
            <v>319.95296500000001</v>
          </cell>
          <cell r="N37">
            <v>460.37296500000002</v>
          </cell>
          <cell r="O37">
            <v>460.37296500000002</v>
          </cell>
          <cell r="P37">
            <v>460.37296500000002</v>
          </cell>
          <cell r="Q37">
            <v>460.37296500000002</v>
          </cell>
          <cell r="R37">
            <v>460.37296500000002</v>
          </cell>
        </row>
        <row r="44">
          <cell r="J44">
            <v>0.32688814352680262</v>
          </cell>
          <cell r="K44">
            <v>0.3442221288424861</v>
          </cell>
          <cell r="L44">
            <v>0.3616595072225065</v>
          </cell>
          <cell r="M44">
            <v>0.30897911704425846</v>
          </cell>
          <cell r="N44">
            <v>0.33841468140181091</v>
          </cell>
          <cell r="O44">
            <v>0.35075983573641789</v>
          </cell>
          <cell r="P44">
            <v>0.28116833011693521</v>
          </cell>
          <cell r="Q44">
            <v>0.30081370504898325</v>
          </cell>
          <cell r="R44">
            <v>0.34537190818275931</v>
          </cell>
        </row>
        <row r="68">
          <cell r="J68">
            <v>0</v>
          </cell>
          <cell r="K68">
            <v>0</v>
          </cell>
          <cell r="L68">
            <v>0</v>
          </cell>
          <cell r="M68">
            <v>0</v>
          </cell>
          <cell r="N68">
            <v>0</v>
          </cell>
          <cell r="O68">
            <v>0</v>
          </cell>
          <cell r="P68">
            <v>-1411.953279190069</v>
          </cell>
          <cell r="Q68">
            <v>-1897.995251062518</v>
          </cell>
          <cell r="R68">
            <v>-3206.2654135422858</v>
          </cell>
        </row>
        <row r="77">
          <cell r="J77">
            <v>465</v>
          </cell>
          <cell r="K77">
            <v>465.00000000000006</v>
          </cell>
          <cell r="L77">
            <v>483.7</v>
          </cell>
          <cell r="M77">
            <v>856.7</v>
          </cell>
          <cell r="N77">
            <v>1391.8</v>
          </cell>
          <cell r="O77">
            <v>2281.7377900000001</v>
          </cell>
          <cell r="P77">
            <v>2762.2</v>
          </cell>
          <cell r="Q77">
            <v>3042.2377900000001</v>
          </cell>
          <cell r="R77">
            <v>3732.7972374999999</v>
          </cell>
        </row>
        <row r="78">
          <cell r="J78">
            <v>1879.8</v>
          </cell>
          <cell r="K78">
            <v>20481.8</v>
          </cell>
          <cell r="L78">
            <v>3095.4</v>
          </cell>
          <cell r="M78">
            <v>4869.8999999999996</v>
          </cell>
          <cell r="N78">
            <v>32633.100000000006</v>
          </cell>
          <cell r="O78">
            <v>29846.653824999998</v>
          </cell>
          <cell r="P78">
            <v>19474.533662500013</v>
          </cell>
          <cell r="Q78">
            <v>28130.018875000002</v>
          </cell>
          <cell r="R78">
            <v>26088</v>
          </cell>
        </row>
        <row r="79">
          <cell r="J79">
            <v>28.500000000001137</v>
          </cell>
          <cell r="K79">
            <v>-361.80000000000064</v>
          </cell>
          <cell r="L79">
            <v>2662.3999999999992</v>
          </cell>
          <cell r="M79">
            <v>5068.2999999999984</v>
          </cell>
          <cell r="N79">
            <v>-579.89999999999554</v>
          </cell>
          <cell r="O79">
            <v>-7259.4999999999982</v>
          </cell>
          <cell r="P79">
            <v>4855.8423365298668</v>
          </cell>
          <cell r="Q79">
            <v>2090.8676552061734</v>
          </cell>
          <cell r="R79">
            <v>4413.1660131269309</v>
          </cell>
        </row>
        <row r="80">
          <cell r="J80">
            <v>114.8</v>
          </cell>
          <cell r="K80">
            <v>-75.799999999999955</v>
          </cell>
          <cell r="L80">
            <v>7177.2</v>
          </cell>
          <cell r="M80">
            <v>12105.099999999999</v>
          </cell>
          <cell r="N80">
            <v>32.299999999999272</v>
          </cell>
          <cell r="O80">
            <v>-405</v>
          </cell>
          <cell r="P80">
            <v>-1740.9462559999999</v>
          </cell>
          <cell r="Q80">
            <v>0</v>
          </cell>
          <cell r="R80">
            <v>0</v>
          </cell>
        </row>
        <row r="86">
          <cell r="N86">
            <v>-331</v>
          </cell>
          <cell r="O86">
            <v>0</v>
          </cell>
          <cell r="P86">
            <v>0</v>
          </cell>
          <cell r="Q86">
            <v>0</v>
          </cell>
          <cell r="R86">
            <v>0</v>
          </cell>
        </row>
        <row r="94">
          <cell r="J94">
            <v>12566.5</v>
          </cell>
          <cell r="K94">
            <v>12724.3</v>
          </cell>
          <cell r="L94">
            <v>26885.7</v>
          </cell>
          <cell r="M94">
            <v>32050.400000000001</v>
          </cell>
          <cell r="N94">
            <v>35096.199999999997</v>
          </cell>
          <cell r="O94">
            <v>47442.299824999995</v>
          </cell>
          <cell r="P94">
            <v>93345.100359687509</v>
          </cell>
          <cell r="Q94">
            <v>102900.60011368751</v>
          </cell>
          <cell r="R94">
            <v>119489.87559206251</v>
          </cell>
        </row>
        <row r="96">
          <cell r="J96">
            <v>695.3</v>
          </cell>
          <cell r="K96">
            <v>619.5</v>
          </cell>
          <cell r="L96">
            <v>7796.7</v>
          </cell>
          <cell r="M96">
            <v>19901.8</v>
          </cell>
          <cell r="N96">
            <v>19934.099999999999</v>
          </cell>
          <cell r="O96">
            <v>19529.099999999999</v>
          </cell>
          <cell r="P96">
            <v>21288.153743999999</v>
          </cell>
          <cell r="Q96">
            <v>24788.153743999999</v>
          </cell>
          <cell r="R96">
            <v>24788.153743999999</v>
          </cell>
        </row>
        <row r="97">
          <cell r="J97">
            <v>0</v>
          </cell>
          <cell r="K97">
            <v>0</v>
          </cell>
          <cell r="L97">
            <v>0</v>
          </cell>
          <cell r="M97">
            <v>0</v>
          </cell>
          <cell r="N97">
            <v>0</v>
          </cell>
        </row>
        <row r="104">
          <cell r="J104">
            <v>11602.200000000004</v>
          </cell>
          <cell r="K104">
            <v>14801.499999999998</v>
          </cell>
          <cell r="L104">
            <v>18616.399999999994</v>
          </cell>
          <cell r="M104">
            <v>25316.399999999991</v>
          </cell>
          <cell r="N104">
            <v>29509.50000000056</v>
          </cell>
          <cell r="O104">
            <v>37252.319079237219</v>
          </cell>
          <cell r="P104">
            <v>50425.85456907835</v>
          </cell>
          <cell r="Q104">
            <v>59995.458491452649</v>
          </cell>
          <cell r="R104">
            <v>59446.165272410697</v>
          </cell>
        </row>
        <row r="112">
          <cell r="J112">
            <v>9009.6</v>
          </cell>
          <cell r="K112">
            <v>15825.200000000003</v>
          </cell>
          <cell r="L112">
            <v>12090.400000000001</v>
          </cell>
          <cell r="M112">
            <v>12849.300000000001</v>
          </cell>
          <cell r="N112">
            <v>19392.599999999995</v>
          </cell>
          <cell r="O112">
            <v>25938.100000000002</v>
          </cell>
          <cell r="P112">
            <v>27317.264131527409</v>
          </cell>
          <cell r="Q112">
            <v>38344.480162550317</v>
          </cell>
          <cell r="R112">
            <v>47283.331193423954</v>
          </cell>
        </row>
        <row r="117">
          <cell r="J117">
            <v>1521.2</v>
          </cell>
          <cell r="K117">
            <v>1521.4</v>
          </cell>
          <cell r="L117">
            <v>2454.8000000000002</v>
          </cell>
          <cell r="M117">
            <v>3183.2</v>
          </cell>
          <cell r="N117">
            <v>4558.6000000000004</v>
          </cell>
          <cell r="O117">
            <v>4581.6000000000004</v>
          </cell>
          <cell r="P117">
            <v>4581.6000000000004</v>
          </cell>
          <cell r="Q117">
            <v>4581.6000000000004</v>
          </cell>
          <cell r="R117">
            <v>4581.6000000000004</v>
          </cell>
        </row>
        <row r="118">
          <cell r="J118">
            <v>6726.7</v>
          </cell>
          <cell r="K118">
            <v>13479.9</v>
          </cell>
          <cell r="L118">
            <v>17629.599999999999</v>
          </cell>
          <cell r="M118">
            <v>29759.3</v>
          </cell>
          <cell r="N118">
            <v>47984</v>
          </cell>
          <cell r="O118">
            <v>48112.6</v>
          </cell>
          <cell r="P118">
            <v>48112.6</v>
          </cell>
          <cell r="Q118">
            <v>48112.6</v>
          </cell>
          <cell r="R118">
            <v>48112.6</v>
          </cell>
        </row>
        <row r="119">
          <cell r="J119">
            <v>3228.6</v>
          </cell>
          <cell r="K119">
            <v>3627.5</v>
          </cell>
          <cell r="L119">
            <v>5988.3</v>
          </cell>
          <cell r="M119">
            <v>10351.4</v>
          </cell>
          <cell r="N119">
            <v>19328.90000000058</v>
          </cell>
          <cell r="O119">
            <v>29358.352237570583</v>
          </cell>
          <cell r="P119">
            <v>35849.535425667869</v>
          </cell>
          <cell r="Q119">
            <v>44931.884418210146</v>
          </cell>
          <cell r="R119">
            <v>62617.405932282476</v>
          </cell>
        </row>
        <row r="120">
          <cell r="J120">
            <v>11476.5</v>
          </cell>
          <cell r="K120">
            <v>18628.8</v>
          </cell>
          <cell r="L120">
            <v>26072.699999999997</v>
          </cell>
          <cell r="M120">
            <v>43293.9</v>
          </cell>
          <cell r="N120">
            <v>71871.500000000582</v>
          </cell>
          <cell r="O120">
            <v>82052.552237570577</v>
          </cell>
          <cell r="P120">
            <v>88543.735425667866</v>
          </cell>
          <cell r="Q120">
            <v>97626.084418210143</v>
          </cell>
          <cell r="R120">
            <v>115311.60593228247</v>
          </cell>
        </row>
        <row r="122">
          <cell r="J122">
            <v>58</v>
          </cell>
          <cell r="K122">
            <v>807.4</v>
          </cell>
          <cell r="L122">
            <v>55</v>
          </cell>
          <cell r="M122">
            <v>55</v>
          </cell>
          <cell r="N122">
            <v>55</v>
          </cell>
          <cell r="O122">
            <v>2000</v>
          </cell>
          <cell r="P122">
            <v>2000</v>
          </cell>
          <cell r="Q122">
            <v>2000</v>
          </cell>
          <cell r="R122">
            <v>2000</v>
          </cell>
        </row>
        <row r="126">
          <cell r="K126">
            <v>1.0113694923988665</v>
          </cell>
          <cell r="L126">
            <v>0.80918355214458082</v>
          </cell>
          <cell r="M126">
            <v>0.48987732682895296</v>
          </cell>
          <cell r="N126">
            <v>0.1790069777310842</v>
          </cell>
          <cell r="O126">
            <v>0.19293152207965292</v>
          </cell>
          <cell r="P126">
            <v>0.26752046882142372</v>
          </cell>
          <cell r="Q126">
            <v>0.33251222037951184</v>
          </cell>
          <cell r="R126">
            <v>0.30400437632364552</v>
          </cell>
        </row>
        <row r="146">
          <cell r="K146">
            <v>6750</v>
          </cell>
          <cell r="L146">
            <v>8000</v>
          </cell>
          <cell r="M146">
            <v>9500</v>
          </cell>
          <cell r="N146">
            <v>12000</v>
          </cell>
          <cell r="R146">
            <v>200</v>
          </cell>
        </row>
        <row r="148">
          <cell r="J148">
            <v>533.29999999999995</v>
          </cell>
          <cell r="K148">
            <v>1967.6</v>
          </cell>
          <cell r="L148">
            <v>2783</v>
          </cell>
          <cell r="M148">
            <v>4407</v>
          </cell>
          <cell r="N148">
            <v>4424.3</v>
          </cell>
          <cell r="O148">
            <v>4809.2</v>
          </cell>
          <cell r="P148">
            <v>4809.2</v>
          </cell>
          <cell r="Q148">
            <v>4809.2</v>
          </cell>
          <cell r="R148">
            <v>4809.2</v>
          </cell>
        </row>
      </sheetData>
      <sheetData sheetId="11" refreshError="1"/>
      <sheetData sheetId="12" refreshError="1"/>
      <sheetData sheetId="13" refreshError="1"/>
      <sheetData sheetId="14" refreshError="1">
        <row r="1">
          <cell r="C1" t="str">
            <v>Control - Years To Include (1 or 0)</v>
          </cell>
          <cell r="E1"/>
          <cell r="F1"/>
          <cell r="G1"/>
          <cell r="H1"/>
          <cell r="I1"/>
          <cell r="J1" t="str">
            <v>Enter 1 to Include:</v>
          </cell>
        </row>
        <row r="2">
          <cell r="C2" t="str">
            <v>Year End - Manual (Enter Full Date)</v>
          </cell>
        </row>
        <row r="3">
          <cell r="C3" t="str">
            <v>Terminal Value Start Period - Test 1</v>
          </cell>
          <cell r="K3">
            <v>0</v>
          </cell>
          <cell r="L3">
            <v>0</v>
          </cell>
          <cell r="M3">
            <v>0</v>
          </cell>
          <cell r="N3">
            <v>0</v>
          </cell>
          <cell r="O3">
            <v>0</v>
          </cell>
          <cell r="P3">
            <v>0</v>
          </cell>
          <cell r="Q3">
            <v>0</v>
          </cell>
        </row>
        <row r="4">
          <cell r="C4" t="str">
            <v>Terminal Value Start Period - Test 2</v>
          </cell>
          <cell r="K4">
            <v>0</v>
          </cell>
          <cell r="L4">
            <v>0</v>
          </cell>
          <cell r="M4">
            <v>0</v>
          </cell>
          <cell r="N4">
            <v>0</v>
          </cell>
          <cell r="O4">
            <v>0</v>
          </cell>
          <cell r="P4">
            <v>0</v>
          </cell>
          <cell r="Q4">
            <v>0</v>
          </cell>
        </row>
        <row r="5">
          <cell r="C5" t="str">
            <v>Terminal Value Start Period - Test 3</v>
          </cell>
          <cell r="E5">
            <v>16</v>
          </cell>
          <cell r="F5">
            <v>16</v>
          </cell>
          <cell r="G5">
            <v>16</v>
          </cell>
          <cell r="H5">
            <v>16</v>
          </cell>
          <cell r="I5">
            <v>16</v>
          </cell>
          <cell r="J5">
            <v>16</v>
          </cell>
          <cell r="K5">
            <v>16</v>
          </cell>
          <cell r="L5">
            <v>16</v>
          </cell>
          <cell r="M5">
            <v>16</v>
          </cell>
          <cell r="N5">
            <v>16</v>
          </cell>
          <cell r="O5">
            <v>16</v>
          </cell>
          <cell r="P5">
            <v>16</v>
          </cell>
          <cell r="Q5">
            <v>16</v>
          </cell>
        </row>
        <row r="6">
          <cell r="C6" t="str">
            <v>Terminal Value Start Period - Test 4</v>
          </cell>
          <cell r="E6">
            <v>1</v>
          </cell>
          <cell r="F6">
            <v>1</v>
          </cell>
          <cell r="G6">
            <v>1</v>
          </cell>
          <cell r="H6">
            <v>1</v>
          </cell>
          <cell r="I6">
            <v>1</v>
          </cell>
          <cell r="J6">
            <v>1</v>
          </cell>
          <cell r="K6">
            <v>1</v>
          </cell>
          <cell r="L6">
            <v>1</v>
          </cell>
          <cell r="M6">
            <v>1</v>
          </cell>
          <cell r="N6">
            <v>1</v>
          </cell>
          <cell r="O6">
            <v>1</v>
          </cell>
          <cell r="P6">
            <v>1</v>
          </cell>
          <cell r="Q6">
            <v>0</v>
          </cell>
        </row>
        <row r="7">
          <cell r="C7" t="str">
            <v>Terminal Value Start Period - Test 5</v>
          </cell>
          <cell r="E7">
            <v>1</v>
          </cell>
          <cell r="F7">
            <v>1</v>
          </cell>
          <cell r="G7">
            <v>1</v>
          </cell>
          <cell r="H7">
            <v>1</v>
          </cell>
          <cell r="I7">
            <v>1</v>
          </cell>
          <cell r="J7">
            <v>1</v>
          </cell>
          <cell r="K7">
            <v>1</v>
          </cell>
          <cell r="L7">
            <v>1</v>
          </cell>
          <cell r="M7">
            <v>1</v>
          </cell>
          <cell r="N7">
            <v>1</v>
          </cell>
          <cell r="O7">
            <v>1</v>
          </cell>
          <cell r="P7">
            <v>0</v>
          </cell>
          <cell r="Q7">
            <v>0</v>
          </cell>
        </row>
        <row r="8">
          <cell r="C8" t="str">
            <v>IS Control</v>
          </cell>
          <cell r="E8">
            <v>0</v>
          </cell>
          <cell r="F8">
            <v>1</v>
          </cell>
          <cell r="G8">
            <v>1</v>
          </cell>
          <cell r="H8">
            <v>1</v>
          </cell>
          <cell r="I8">
            <v>1</v>
          </cell>
          <cell r="J8">
            <v>1</v>
          </cell>
          <cell r="K8">
            <v>1</v>
          </cell>
          <cell r="L8">
            <v>1</v>
          </cell>
          <cell r="M8">
            <v>1</v>
          </cell>
          <cell r="N8">
            <v>1</v>
          </cell>
          <cell r="O8">
            <v>1</v>
          </cell>
          <cell r="P8">
            <v>1</v>
          </cell>
          <cell r="Q8">
            <v>0</v>
          </cell>
        </row>
        <row r="9">
          <cell r="C9" t="str">
            <v>BS Control</v>
          </cell>
          <cell r="E9">
            <v>0</v>
          </cell>
          <cell r="F9">
            <v>0</v>
          </cell>
          <cell r="G9">
            <v>1</v>
          </cell>
          <cell r="H9">
            <v>1</v>
          </cell>
          <cell r="I9">
            <v>1</v>
          </cell>
          <cell r="J9">
            <v>1</v>
          </cell>
          <cell r="K9">
            <v>1</v>
          </cell>
          <cell r="L9">
            <v>1</v>
          </cell>
          <cell r="M9">
            <v>1</v>
          </cell>
          <cell r="N9">
            <v>1</v>
          </cell>
          <cell r="O9">
            <v>1</v>
          </cell>
          <cell r="P9">
            <v>0</v>
          </cell>
          <cell r="Q9">
            <v>0</v>
          </cell>
        </row>
        <row r="11">
          <cell r="C11" t="str">
            <v>Month of Year End (Rsm)</v>
          </cell>
          <cell r="E11">
            <v>33328</v>
          </cell>
          <cell r="F11">
            <v>33694</v>
          </cell>
          <cell r="G11">
            <v>34059</v>
          </cell>
          <cell r="H11">
            <v>34424</v>
          </cell>
          <cell r="I11">
            <v>34789</v>
          </cell>
          <cell r="J11">
            <v>35155</v>
          </cell>
          <cell r="K11">
            <v>35520</v>
          </cell>
          <cell r="L11">
            <v>35885</v>
          </cell>
          <cell r="M11">
            <v>36250</v>
          </cell>
          <cell r="N11">
            <v>36616</v>
          </cell>
          <cell r="O11">
            <v>36981</v>
          </cell>
          <cell r="P11">
            <v>37346</v>
          </cell>
          <cell r="Q11">
            <v>37711</v>
          </cell>
        </row>
        <row r="13">
          <cell r="C13" t="str">
            <v>Year Count</v>
          </cell>
          <cell r="E13">
            <v>-6</v>
          </cell>
          <cell r="F13">
            <v>-5</v>
          </cell>
          <cell r="G13">
            <v>-4</v>
          </cell>
          <cell r="H13">
            <v>-3</v>
          </cell>
          <cell r="I13">
            <v>-2</v>
          </cell>
          <cell r="J13">
            <v>-1</v>
          </cell>
          <cell r="K13">
            <v>0</v>
          </cell>
          <cell r="L13">
            <v>1</v>
          </cell>
          <cell r="M13">
            <v>2</v>
          </cell>
          <cell r="N13">
            <v>3</v>
          </cell>
          <cell r="O13">
            <v>4</v>
          </cell>
          <cell r="P13">
            <v>5</v>
          </cell>
          <cell r="Q13">
            <v>6</v>
          </cell>
        </row>
        <row r="29">
          <cell r="C29" t="str">
            <v>User Area 1</v>
          </cell>
        </row>
        <row r="37">
          <cell r="C37" t="str">
            <v>Prior Year Adjustment Factor for Year</v>
          </cell>
        </row>
        <row r="38">
          <cell r="C38" t="str">
            <v>Cumulative Prior Year Adjustment Factor</v>
          </cell>
          <cell r="E38">
            <v>0</v>
          </cell>
          <cell r="F38">
            <v>1</v>
          </cell>
          <cell r="G38">
            <v>1</v>
          </cell>
          <cell r="H38">
            <v>1</v>
          </cell>
          <cell r="I38">
            <v>1</v>
          </cell>
          <cell r="J38">
            <v>1</v>
          </cell>
          <cell r="K38">
            <v>1</v>
          </cell>
          <cell r="L38">
            <v>1</v>
          </cell>
          <cell r="M38">
            <v>1</v>
          </cell>
          <cell r="N38">
            <v>1</v>
          </cell>
          <cell r="O38">
            <v>1</v>
          </cell>
          <cell r="P38">
            <v>1</v>
          </cell>
          <cell r="Q38">
            <v>0</v>
          </cell>
        </row>
        <row r="43">
          <cell r="C43" t="str">
            <v>Shares Outstanding at Year End</v>
          </cell>
          <cell r="F43">
            <v>152.140973</v>
          </cell>
          <cell r="G43">
            <v>245.481348</v>
          </cell>
          <cell r="H43">
            <v>319.95296500000001</v>
          </cell>
          <cell r="I43">
            <v>460.37296500000002</v>
          </cell>
          <cell r="J43">
            <v>460.37296500000002</v>
          </cell>
          <cell r="K43">
            <v>460.37296500000002</v>
          </cell>
          <cell r="L43">
            <v>460.37296500000002</v>
          </cell>
          <cell r="M43">
            <v>460.37296500000002</v>
          </cell>
          <cell r="N43">
            <v>460.37296500000002</v>
          </cell>
          <cell r="O43">
            <v>460.37296500000002</v>
          </cell>
          <cell r="P43">
            <v>0</v>
          </cell>
        </row>
        <row r="44">
          <cell r="C44" t="str">
            <v>Wgt Average Shares</v>
          </cell>
          <cell r="F44">
            <v>152.140973</v>
          </cell>
          <cell r="G44">
            <v>242.30545758904111</v>
          </cell>
          <cell r="H44">
            <v>284.75645822465748</v>
          </cell>
          <cell r="I44">
            <v>377.59411568493152</v>
          </cell>
          <cell r="J44">
            <v>460.37296500000002</v>
          </cell>
          <cell r="K44">
            <v>460.37296500000002</v>
          </cell>
          <cell r="L44">
            <v>460.37296500000002</v>
          </cell>
          <cell r="M44">
            <v>460.37296500000002</v>
          </cell>
          <cell r="N44">
            <v>460.37296500000002</v>
          </cell>
          <cell r="O44">
            <v>460.37296500000002</v>
          </cell>
          <cell r="P44">
            <v>7.6914402284388892</v>
          </cell>
        </row>
        <row r="45">
          <cell r="C45" t="str">
            <v>Primary Shares</v>
          </cell>
          <cell r="F45">
            <v>152.140973</v>
          </cell>
          <cell r="G45">
            <v>245.481348</v>
          </cell>
          <cell r="H45">
            <v>319.95296500000001</v>
          </cell>
          <cell r="I45">
            <v>460.37296500000002</v>
          </cell>
          <cell r="J45">
            <v>460.37296500000002</v>
          </cell>
          <cell r="K45">
            <v>460.37296500000002</v>
          </cell>
          <cell r="L45">
            <v>460.37296500000002</v>
          </cell>
          <cell r="M45">
            <v>460.37296500000002</v>
          </cell>
          <cell r="N45">
            <v>460.37296500000002</v>
          </cell>
          <cell r="O45">
            <v>460.37296500000002</v>
          </cell>
          <cell r="P45">
            <v>0</v>
          </cell>
        </row>
        <row r="46">
          <cell r="C46" t="str">
            <v>Fully Diluted Shares</v>
          </cell>
          <cell r="F46">
            <v>152.140973</v>
          </cell>
          <cell r="G46">
            <v>242.30545758904111</v>
          </cell>
          <cell r="H46">
            <v>284.75645822465748</v>
          </cell>
          <cell r="I46">
            <v>535.61930500000005</v>
          </cell>
          <cell r="J46">
            <v>535.61930500000005</v>
          </cell>
          <cell r="K46">
            <v>535.61930500000005</v>
          </cell>
          <cell r="L46">
            <v>535.61930500000005</v>
          </cell>
          <cell r="M46">
            <v>535.61930500000005</v>
          </cell>
          <cell r="N46">
            <v>535.61930500000005</v>
          </cell>
          <cell r="O46">
            <v>535.61930500000005</v>
          </cell>
          <cell r="P46">
            <v>0</v>
          </cell>
        </row>
        <row r="49">
          <cell r="C49" t="str">
            <v>Shares Outstanding at Year End</v>
          </cell>
          <cell r="E49">
            <v>0</v>
          </cell>
          <cell r="F49">
            <v>152.140973</v>
          </cell>
          <cell r="G49">
            <v>245.481348</v>
          </cell>
          <cell r="H49">
            <v>319.95296500000001</v>
          </cell>
          <cell r="I49">
            <v>460.37296500000002</v>
          </cell>
          <cell r="J49">
            <v>460.37296500000002</v>
          </cell>
          <cell r="K49">
            <v>460.37296500000002</v>
          </cell>
          <cell r="L49">
            <v>460.37296500000002</v>
          </cell>
          <cell r="M49">
            <v>460.37296500000002</v>
          </cell>
          <cell r="N49">
            <v>460.37296500000002</v>
          </cell>
          <cell r="O49">
            <v>460.37296500000002</v>
          </cell>
          <cell r="P49">
            <v>0</v>
          </cell>
          <cell r="Q49">
            <v>0</v>
          </cell>
        </row>
        <row r="50">
          <cell r="C50" t="str">
            <v>Wgt Average Shares</v>
          </cell>
          <cell r="E50">
            <v>0</v>
          </cell>
          <cell r="F50">
            <v>152.140973</v>
          </cell>
          <cell r="G50">
            <v>242.30545758904111</v>
          </cell>
          <cell r="H50">
            <v>284.75645822465748</v>
          </cell>
          <cell r="I50">
            <v>377.59411568493152</v>
          </cell>
          <cell r="J50">
            <v>460.37296500000002</v>
          </cell>
          <cell r="K50">
            <v>460.37296500000002</v>
          </cell>
          <cell r="L50">
            <v>460.37296500000002</v>
          </cell>
          <cell r="M50">
            <v>460.37296500000002</v>
          </cell>
          <cell r="N50">
            <v>460.37296500000002</v>
          </cell>
          <cell r="O50">
            <v>460.37296500000002</v>
          </cell>
          <cell r="P50">
            <v>7.6914402284388892</v>
          </cell>
          <cell r="Q50">
            <v>0</v>
          </cell>
        </row>
        <row r="51">
          <cell r="C51" t="str">
            <v>Primary Shares</v>
          </cell>
          <cell r="E51">
            <v>0</v>
          </cell>
          <cell r="F51">
            <v>152.140973</v>
          </cell>
          <cell r="G51">
            <v>245.481348</v>
          </cell>
          <cell r="H51">
            <v>319.95296500000001</v>
          </cell>
          <cell r="I51">
            <v>460.37296500000002</v>
          </cell>
          <cell r="J51">
            <v>460.37296500000002</v>
          </cell>
          <cell r="K51">
            <v>460.37296500000002</v>
          </cell>
          <cell r="L51">
            <v>460.37296500000002</v>
          </cell>
          <cell r="M51">
            <v>460.37296500000002</v>
          </cell>
          <cell r="N51">
            <v>460.37296500000002</v>
          </cell>
          <cell r="O51">
            <v>460.37296500000002</v>
          </cell>
          <cell r="P51">
            <v>0</v>
          </cell>
          <cell r="Q51">
            <v>0</v>
          </cell>
        </row>
        <row r="52">
          <cell r="C52" t="str">
            <v>Fully Diluted Shares</v>
          </cell>
          <cell r="E52">
            <v>0</v>
          </cell>
          <cell r="F52">
            <v>152.140973</v>
          </cell>
          <cell r="G52">
            <v>242.30545758904111</v>
          </cell>
          <cell r="H52">
            <v>284.75645822465748</v>
          </cell>
          <cell r="I52">
            <v>535.61930500000005</v>
          </cell>
          <cell r="J52">
            <v>535.61930500000005</v>
          </cell>
          <cell r="K52">
            <v>535.61930500000005</v>
          </cell>
          <cell r="L52">
            <v>535.61930500000005</v>
          </cell>
          <cell r="M52">
            <v>535.61930500000005</v>
          </cell>
          <cell r="N52">
            <v>535.61930500000005</v>
          </cell>
          <cell r="O52">
            <v>535.61930500000005</v>
          </cell>
          <cell r="P52">
            <v>0</v>
          </cell>
          <cell r="Q52">
            <v>0</v>
          </cell>
        </row>
        <row r="56">
          <cell r="C56" t="str">
            <v>Year End - Manual</v>
          </cell>
        </row>
        <row r="57">
          <cell r="C57" t="str">
            <v>Year End - Used</v>
          </cell>
          <cell r="E57">
            <v>0</v>
          </cell>
          <cell r="F57">
            <v>0</v>
          </cell>
          <cell r="G57">
            <v>0</v>
          </cell>
          <cell r="H57">
            <v>0</v>
          </cell>
          <cell r="I57">
            <v>0</v>
          </cell>
          <cell r="J57">
            <v>0</v>
          </cell>
          <cell r="K57">
            <v>0</v>
          </cell>
        </row>
        <row r="59">
          <cell r="C59" t="str">
            <v>Market Capitalization</v>
          </cell>
          <cell r="E59">
            <v>0</v>
          </cell>
          <cell r="F59">
            <v>0</v>
          </cell>
          <cell r="G59">
            <v>0</v>
          </cell>
          <cell r="H59">
            <v>0</v>
          </cell>
          <cell r="I59">
            <v>0</v>
          </cell>
          <cell r="J59">
            <v>0</v>
          </cell>
          <cell r="K59">
            <v>0</v>
          </cell>
        </row>
        <row r="64">
          <cell r="C64" t="str">
            <v>Basic EPS</v>
          </cell>
          <cell r="F64">
            <v>10.678254305630048</v>
          </cell>
          <cell r="G64">
            <v>13.243201502470519</v>
          </cell>
          <cell r="H64">
            <v>20.180753882906625</v>
          </cell>
          <cell r="I64">
            <v>28.178934888060788</v>
          </cell>
          <cell r="J64">
            <v>27.744222616482272</v>
          </cell>
          <cell r="K64">
            <v>20.099835745344617</v>
          </cell>
          <cell r="L64">
            <v>27.228241410835825</v>
          </cell>
          <cell r="M64">
            <v>46.415638750794876</v>
          </cell>
          <cell r="N64">
            <v>55.822475765284892</v>
          </cell>
          <cell r="O64">
            <v>56.992932204884553</v>
          </cell>
        </row>
        <row r="65">
          <cell r="C65" t="str">
            <v>Primary EPS</v>
          </cell>
          <cell r="F65">
            <v>10.678254305630048</v>
          </cell>
          <cell r="G65">
            <v>13.071868906308906</v>
          </cell>
          <cell r="H65">
            <v>17.960764951810948</v>
          </cell>
          <cell r="I65">
            <v>23.112130400621108</v>
          </cell>
          <cell r="J65">
            <v>27.744222616482272</v>
          </cell>
          <cell r="K65">
            <v>20.099835745344617</v>
          </cell>
          <cell r="L65">
            <v>27.228241410835825</v>
          </cell>
          <cell r="M65">
            <v>46.415638750794876</v>
          </cell>
          <cell r="N65">
            <v>55.822475765284892</v>
          </cell>
          <cell r="O65">
            <v>56.992932204884553</v>
          </cell>
        </row>
        <row r="66">
          <cell r="C66" t="str">
            <v>Fuly Diluted EPS</v>
          </cell>
          <cell r="F66">
            <v>10.678254305630048</v>
          </cell>
          <cell r="G66">
            <v>13.243201502470519</v>
          </cell>
          <cell r="H66">
            <v>20.180753882906625</v>
          </cell>
          <cell r="I66">
            <v>19.865228718745634</v>
          </cell>
          <cell r="J66">
            <v>23.846582653644273</v>
          </cell>
          <cell r="K66">
            <v>17.27611550165707</v>
          </cell>
          <cell r="L66">
            <v>23.40308893467212</v>
          </cell>
          <cell r="M66">
            <v>39.894949705131204</v>
          </cell>
          <cell r="N66">
            <v>47.980269646376634</v>
          </cell>
          <cell r="O66">
            <v>48.986294814759688</v>
          </cell>
        </row>
        <row r="69">
          <cell r="C69" t="str">
            <v>Basic EPS</v>
          </cell>
          <cell r="E69">
            <v>0</v>
          </cell>
          <cell r="F69">
            <v>10.678254305630048</v>
          </cell>
          <cell r="G69">
            <v>13.243201502470519</v>
          </cell>
          <cell r="H69">
            <v>20.180753882906625</v>
          </cell>
          <cell r="I69">
            <v>28.178934888060788</v>
          </cell>
          <cell r="J69">
            <v>27.744222616482272</v>
          </cell>
          <cell r="K69">
            <v>20.099835745344617</v>
          </cell>
          <cell r="L69">
            <v>27.228241410835825</v>
          </cell>
          <cell r="M69">
            <v>46.415638750794876</v>
          </cell>
          <cell r="N69">
            <v>55.822475765284892</v>
          </cell>
          <cell r="O69">
            <v>56.992932204884553</v>
          </cell>
          <cell r="P69">
            <v>-36.404105301983321</v>
          </cell>
          <cell r="Q69">
            <v>0</v>
          </cell>
        </row>
        <row r="70">
          <cell r="C70" t="str">
            <v>Primary EPS</v>
          </cell>
          <cell r="E70">
            <v>0</v>
          </cell>
          <cell r="F70">
            <v>10.678254305630048</v>
          </cell>
          <cell r="G70">
            <v>13.071868906308906</v>
          </cell>
          <cell r="H70">
            <v>17.960764951810948</v>
          </cell>
          <cell r="I70">
            <v>23.112130400621108</v>
          </cell>
          <cell r="J70">
            <v>27.744222616482272</v>
          </cell>
          <cell r="K70">
            <v>20.099835745344617</v>
          </cell>
          <cell r="L70">
            <v>27.228241410835825</v>
          </cell>
          <cell r="M70">
            <v>46.415638750794876</v>
          </cell>
          <cell r="N70">
            <v>55.822475765284892</v>
          </cell>
          <cell r="O70">
            <v>56.992932204884553</v>
          </cell>
          <cell r="P70">
            <v>-36.404105301983321</v>
          </cell>
          <cell r="Q70">
            <v>0</v>
          </cell>
        </row>
        <row r="71">
          <cell r="C71" t="str">
            <v>Fuly Diluted EPS</v>
          </cell>
          <cell r="E71">
            <v>0</v>
          </cell>
          <cell r="F71">
            <v>10.678254305630048</v>
          </cell>
          <cell r="G71">
            <v>13.243201502470519</v>
          </cell>
          <cell r="H71">
            <v>20.180753882906625</v>
          </cell>
          <cell r="I71">
            <v>19.865228718745634</v>
          </cell>
          <cell r="J71">
            <v>23.846582653644273</v>
          </cell>
          <cell r="K71">
            <v>17.27611550165707</v>
          </cell>
          <cell r="L71">
            <v>23.40308893467212</v>
          </cell>
          <cell r="M71">
            <v>39.894949705131204</v>
          </cell>
          <cell r="N71">
            <v>47.980269646376634</v>
          </cell>
          <cell r="O71">
            <v>48.986294814759688</v>
          </cell>
          <cell r="P71">
            <v>-36.404105301983321</v>
          </cell>
          <cell r="Q71">
            <v>0</v>
          </cell>
        </row>
        <row r="75">
          <cell r="C75" t="str">
            <v>DPS Unadjusted - Manual</v>
          </cell>
          <cell r="F75">
            <v>3</v>
          </cell>
          <cell r="G75">
            <v>3.5</v>
          </cell>
          <cell r="H75">
            <v>5.0999999999999996</v>
          </cell>
          <cell r="I75">
            <v>5.5</v>
          </cell>
          <cell r="J75">
            <v>6</v>
          </cell>
          <cell r="K75">
            <v>6</v>
          </cell>
          <cell r="L75">
            <v>7.5</v>
          </cell>
          <cell r="M75">
            <v>8</v>
          </cell>
          <cell r="N75">
            <v>8</v>
          </cell>
          <cell r="O75">
            <v>8</v>
          </cell>
        </row>
        <row r="76">
          <cell r="C76" t="str">
            <v>DPS Adjusted - Calculated</v>
          </cell>
          <cell r="E76">
            <v>0</v>
          </cell>
          <cell r="F76">
            <v>3</v>
          </cell>
          <cell r="G76">
            <v>3.5</v>
          </cell>
          <cell r="H76">
            <v>5.0999999999999996</v>
          </cell>
          <cell r="I76">
            <v>5.5</v>
          </cell>
          <cell r="J76">
            <v>6</v>
          </cell>
          <cell r="K76">
            <v>6</v>
          </cell>
          <cell r="L76">
            <v>7.5</v>
          </cell>
          <cell r="M76">
            <v>8</v>
          </cell>
          <cell r="N76">
            <v>8</v>
          </cell>
          <cell r="O76">
            <v>8</v>
          </cell>
          <cell r="P76">
            <v>0</v>
          </cell>
          <cell r="Q76">
            <v>0</v>
          </cell>
        </row>
        <row r="80">
          <cell r="C80" t="str">
            <v>Gross CashFlow Per Share</v>
          </cell>
          <cell r="E80">
            <v>0</v>
          </cell>
          <cell r="F80">
            <v>0</v>
          </cell>
          <cell r="G80">
            <v>33.529991775007581</v>
          </cell>
          <cell r="H80">
            <v>33.300737265522301</v>
          </cell>
          <cell r="I80">
            <v>34.693602087092472</v>
          </cell>
          <cell r="J80">
            <v>32.147291767165349</v>
          </cell>
          <cell r="K80">
            <v>26.138186765886548</v>
          </cell>
          <cell r="L80">
            <v>44.690516309958824</v>
          </cell>
          <cell r="M80">
            <v>67.51771627570848</v>
          </cell>
          <cell r="N80">
            <v>76.962612587403314</v>
          </cell>
          <cell r="O80">
            <v>76.263735841354233</v>
          </cell>
          <cell r="P80">
            <v>0</v>
          </cell>
          <cell r="Q80">
            <v>0</v>
          </cell>
        </row>
        <row r="81">
          <cell r="C81" t="str">
            <v>Free CashFlow Per Share</v>
          </cell>
          <cell r="E81">
            <v>0</v>
          </cell>
          <cell r="F81">
            <v>0</v>
          </cell>
          <cell r="G81">
            <v>-55.497718185148258</v>
          </cell>
          <cell r="H81">
            <v>-4.9947945302714958</v>
          </cell>
          <cell r="I81">
            <v>15.289168342912273</v>
          </cell>
          <cell r="J81">
            <v>-7.6049836607296282</v>
          </cell>
          <cell r="K81">
            <v>-107.01886128278358</v>
          </cell>
          <cell r="L81">
            <v>11.444305237700503</v>
          </cell>
          <cell r="M81">
            <v>37.68786788292892</v>
          </cell>
          <cell r="N81">
            <v>15.947855250322762</v>
          </cell>
          <cell r="O81">
            <v>16.228502883930783</v>
          </cell>
          <cell r="P81">
            <v>0</v>
          </cell>
          <cell r="Q81">
            <v>0</v>
          </cell>
        </row>
        <row r="82">
          <cell r="E82">
            <v>0</v>
          </cell>
          <cell r="F82">
            <v>0</v>
          </cell>
          <cell r="G82">
            <v>15.342617690044696</v>
          </cell>
          <cell r="H82">
            <v>13.222878327238419</v>
          </cell>
          <cell r="I82">
            <v>38.699490783891243</v>
          </cell>
          <cell r="J82">
            <v>52.47537510715906</v>
          </cell>
          <cell r="K82">
            <v>17.990521140571136</v>
          </cell>
          <cell r="L82">
            <v>38.085657665271683</v>
          </cell>
          <cell r="M82">
            <v>53.400725268631724</v>
          </cell>
          <cell r="N82">
            <v>69.301363018477844</v>
          </cell>
          <cell r="O82">
            <v>70.61960731941619</v>
          </cell>
          <cell r="P82">
            <v>0</v>
          </cell>
          <cell r="Q82">
            <v>0</v>
          </cell>
        </row>
        <row r="86">
          <cell r="C86" t="str">
            <v>Book Value per Share</v>
          </cell>
          <cell r="E86">
            <v>0</v>
          </cell>
          <cell r="F86">
            <v>122.44433325663034</v>
          </cell>
          <cell r="G86">
            <v>106.21051339509508</v>
          </cell>
          <cell r="H86">
            <v>135.31332644471664</v>
          </cell>
          <cell r="I86">
            <v>156.11581362081193</v>
          </cell>
          <cell r="J86">
            <v>178.23060534749379</v>
          </cell>
          <cell r="K86">
            <v>192.33044109283841</v>
          </cell>
          <cell r="L86">
            <v>212.05868250367425</v>
          </cell>
          <cell r="M86">
            <v>250.47432125446912</v>
          </cell>
          <cell r="N86">
            <v>298.29679701975402</v>
          </cell>
          <cell r="O86">
            <v>347.28972922463856</v>
          </cell>
          <cell r="P86">
            <v>0</v>
          </cell>
          <cell r="Q86">
            <v>0</v>
          </cell>
        </row>
        <row r="87">
          <cell r="E87">
            <v>0</v>
          </cell>
          <cell r="F87">
            <v>0</v>
          </cell>
          <cell r="G87">
            <v>106.21051339509508</v>
          </cell>
          <cell r="H87">
            <v>135.31332644471664</v>
          </cell>
          <cell r="I87">
            <v>156.11581362081193</v>
          </cell>
          <cell r="J87">
            <v>178.23060534749379</v>
          </cell>
          <cell r="K87">
            <v>192.33044109283841</v>
          </cell>
          <cell r="L87">
            <v>212.05868250367425</v>
          </cell>
          <cell r="M87">
            <v>250.47432125446912</v>
          </cell>
          <cell r="N87">
            <v>298.29679701975402</v>
          </cell>
          <cell r="O87">
            <v>347.28972922463856</v>
          </cell>
          <cell r="P87">
            <v>0</v>
          </cell>
          <cell r="Q87">
            <v>0</v>
          </cell>
        </row>
        <row r="92">
          <cell r="A92" t="str">
            <v>( + )</v>
          </cell>
          <cell r="C92" t="str">
            <v>Revenue</v>
          </cell>
          <cell r="F92">
            <v>15468.499999999996</v>
          </cell>
          <cell r="G92">
            <v>22464.499999999996</v>
          </cell>
          <cell r="H92">
            <v>30690.099999999995</v>
          </cell>
          <cell r="I92">
            <v>38710.200000000579</v>
          </cell>
          <cell r="J92">
            <v>42193.382821320003</v>
          </cell>
          <cell r="K92">
            <v>47237.307486738704</v>
          </cell>
          <cell r="L92">
            <v>75374.831019570789</v>
          </cell>
          <cell r="M92">
            <v>100156.24869602443</v>
          </cell>
          <cell r="N92">
            <v>105775.29368554073</v>
          </cell>
          <cell r="O92">
            <v>114729.28961091388</v>
          </cell>
          <cell r="P92">
            <v>0</v>
          </cell>
          <cell r="Q92">
            <v>0</v>
          </cell>
        </row>
        <row r="93">
          <cell r="A93" t="str">
            <v>( - )</v>
          </cell>
          <cell r="C93" t="str">
            <v>Cost of Goods Sold</v>
          </cell>
          <cell r="F93">
            <v>-8222.9000000000015</v>
          </cell>
          <cell r="G93">
            <v>-11234.7</v>
          </cell>
          <cell r="H93">
            <v>-17058.7</v>
          </cell>
          <cell r="I93">
            <v>-19258.400000000001</v>
          </cell>
          <cell r="J93">
            <v>-19824.538793750002</v>
          </cell>
          <cell r="K93">
            <v>-25856.804287488008</v>
          </cell>
          <cell r="L93">
            <v>-40366.097722997198</v>
          </cell>
          <cell r="M93">
            <v>-53499.746255202816</v>
          </cell>
          <cell r="N93">
            <v>-54123.285910610488</v>
          </cell>
          <cell r="O93">
            <v>-62506.842224111882</v>
          </cell>
          <cell r="P93">
            <v>0</v>
          </cell>
        </row>
        <row r="94">
          <cell r="E94">
            <v>0</v>
          </cell>
          <cell r="F94">
            <v>0</v>
          </cell>
          <cell r="G94">
            <v>0</v>
          </cell>
          <cell r="H94">
            <v>0</v>
          </cell>
          <cell r="I94">
            <v>0</v>
          </cell>
          <cell r="J94">
            <v>0</v>
          </cell>
          <cell r="K94">
            <v>0</v>
          </cell>
          <cell r="L94">
            <v>0</v>
          </cell>
          <cell r="M94">
            <v>0</v>
          </cell>
          <cell r="N94">
            <v>0</v>
          </cell>
          <cell r="O94">
            <v>0</v>
          </cell>
          <cell r="P94">
            <v>0</v>
          </cell>
          <cell r="Q94">
            <v>0</v>
          </cell>
        </row>
        <row r="95">
          <cell r="C95" t="str">
            <v>Gross Profit</v>
          </cell>
          <cell r="E95">
            <v>0</v>
          </cell>
          <cell r="F95">
            <v>7245.5999999999949</v>
          </cell>
          <cell r="G95">
            <v>11229.799999999996</v>
          </cell>
          <cell r="H95">
            <v>13631.399999999994</v>
          </cell>
          <cell r="I95">
            <v>19451.800000000578</v>
          </cell>
          <cell r="J95">
            <v>22368.844027570001</v>
          </cell>
          <cell r="K95">
            <v>21380.503199250696</v>
          </cell>
          <cell r="L95">
            <v>35008.733296573591</v>
          </cell>
          <cell r="M95">
            <v>46656.502440821612</v>
          </cell>
          <cell r="N95">
            <v>51652.007774930244</v>
          </cell>
          <cell r="O95">
            <v>52222.447386802</v>
          </cell>
          <cell r="P95">
            <v>0</v>
          </cell>
          <cell r="Q95">
            <v>0</v>
          </cell>
        </row>
        <row r="96">
          <cell r="C96" t="str">
            <v>Other Operational Income</v>
          </cell>
        </row>
        <row r="97">
          <cell r="A97" t="str">
            <v>( - )</v>
          </cell>
          <cell r="C97" t="str">
            <v>Sales &amp; Admin Expenses</v>
          </cell>
          <cell r="F97">
            <v>-1921</v>
          </cell>
          <cell r="G97">
            <v>-3105.2999999999997</v>
          </cell>
          <cell r="H97">
            <v>-4148.8</v>
          </cell>
          <cell r="I97">
            <v>-6351.7</v>
          </cell>
          <cell r="J97">
            <v>-7569.1</v>
          </cell>
          <cell r="K97">
            <v>-8098.8683339841737</v>
          </cell>
          <cell r="L97">
            <v>-12334.951110135469</v>
          </cell>
          <cell r="M97">
            <v>-12065.34771224866</v>
          </cell>
          <cell r="N97">
            <v>-12068.688960097224</v>
          </cell>
          <cell r="O97">
            <v>-13008.524622196492</v>
          </cell>
          <cell r="P97" t="str">
            <v>99/96</v>
          </cell>
        </row>
        <row r="98">
          <cell r="E98">
            <v>0</v>
          </cell>
          <cell r="F98">
            <v>0</v>
          </cell>
          <cell r="G98">
            <v>0</v>
          </cell>
          <cell r="H98">
            <v>0</v>
          </cell>
          <cell r="I98">
            <v>0</v>
          </cell>
          <cell r="J98">
            <v>0</v>
          </cell>
          <cell r="K98">
            <v>0</v>
          </cell>
          <cell r="L98">
            <v>0</v>
          </cell>
          <cell r="M98">
            <v>0</v>
          </cell>
          <cell r="N98">
            <v>0</v>
          </cell>
          <cell r="O98">
            <v>0</v>
          </cell>
          <cell r="P98">
            <v>0</v>
          </cell>
          <cell r="Q98">
            <v>0</v>
          </cell>
        </row>
        <row r="99">
          <cell r="C99" t="str">
            <v>EBITDA</v>
          </cell>
          <cell r="E99">
            <v>0</v>
          </cell>
          <cell r="F99">
            <v>5324.5999999999949</v>
          </cell>
          <cell r="G99">
            <v>8124.4999999999964</v>
          </cell>
          <cell r="H99">
            <v>9482.5999999999949</v>
          </cell>
          <cell r="I99">
            <v>13100.100000000577</v>
          </cell>
          <cell r="J99">
            <v>14799.744027570001</v>
          </cell>
          <cell r="K99">
            <v>13281.634865266522</v>
          </cell>
          <cell r="L99">
            <v>22673.782186438122</v>
          </cell>
          <cell r="M99">
            <v>34591.154728572954</v>
          </cell>
          <cell r="N99">
            <v>39583.318814833023</v>
          </cell>
          <cell r="O99">
            <v>39213.922764605508</v>
          </cell>
          <cell r="P99">
            <v>0</v>
          </cell>
          <cell r="Q99">
            <v>0</v>
          </cell>
        </row>
        <row r="100">
          <cell r="A100" t="str">
            <v>( - )</v>
          </cell>
          <cell r="C100" t="str">
            <v>Depreciation</v>
          </cell>
          <cell r="F100">
            <v>-1926.4</v>
          </cell>
          <cell r="G100">
            <v>-2798.1</v>
          </cell>
          <cell r="H100">
            <v>-2551.9</v>
          </cell>
          <cell r="I100">
            <v>-2782.4</v>
          </cell>
          <cell r="J100">
            <v>-3364.5540000000001</v>
          </cell>
          <cell r="K100">
            <v>-3604.7331278125002</v>
          </cell>
          <cell r="L100">
            <v>-6398.7691209999994</v>
          </cell>
          <cell r="M100">
            <v>-7398.7245216249994</v>
          </cell>
          <cell r="N100">
            <v>-7398.7245216249994</v>
          </cell>
          <cell r="O100">
            <v>-7398.7245216249994</v>
          </cell>
          <cell r="P100">
            <v>0</v>
          </cell>
        </row>
        <row r="101">
          <cell r="A101" t="str">
            <v>( - )</v>
          </cell>
          <cell r="C101" t="str">
            <v>Amortization exc Goodwill</v>
          </cell>
        </row>
        <row r="102">
          <cell r="E102">
            <v>0</v>
          </cell>
          <cell r="F102">
            <v>0</v>
          </cell>
          <cell r="G102">
            <v>0</v>
          </cell>
          <cell r="H102">
            <v>0</v>
          </cell>
          <cell r="I102">
            <v>0</v>
          </cell>
          <cell r="J102">
            <v>0</v>
          </cell>
          <cell r="K102">
            <v>0</v>
          </cell>
          <cell r="L102">
            <v>0</v>
          </cell>
          <cell r="M102">
            <v>0</v>
          </cell>
          <cell r="N102">
            <v>0</v>
          </cell>
          <cell r="O102">
            <v>0</v>
          </cell>
          <cell r="P102">
            <v>0</v>
          </cell>
          <cell r="Q102">
            <v>0</v>
          </cell>
        </row>
        <row r="103">
          <cell r="C103" t="str">
            <v>Operating Income</v>
          </cell>
          <cell r="E103">
            <v>0</v>
          </cell>
          <cell r="F103">
            <v>3398.1999999999948</v>
          </cell>
          <cell r="G103">
            <v>5326.399999999996</v>
          </cell>
          <cell r="H103">
            <v>6930.6999999999953</v>
          </cell>
          <cell r="I103">
            <v>10317.700000000577</v>
          </cell>
          <cell r="J103">
            <v>11435.190027570001</v>
          </cell>
          <cell r="K103">
            <v>9676.9017374540217</v>
          </cell>
          <cell r="L103">
            <v>16275.013065438123</v>
          </cell>
          <cell r="M103">
            <v>27192.430206947953</v>
          </cell>
          <cell r="N103">
            <v>32184.594293208022</v>
          </cell>
          <cell r="O103">
            <v>31815.198242980507</v>
          </cell>
          <cell r="P103">
            <v>0</v>
          </cell>
          <cell r="Q103">
            <v>0</v>
          </cell>
        </row>
        <row r="104">
          <cell r="A104" t="str">
            <v>( - )</v>
          </cell>
          <cell r="C104" t="str">
            <v>Goodwill Amortization</v>
          </cell>
        </row>
        <row r="105">
          <cell r="C105" t="str">
            <v>Other Income / (Expenses)</v>
          </cell>
          <cell r="F105">
            <v>345.6</v>
          </cell>
          <cell r="G105">
            <v>113.7</v>
          </cell>
          <cell r="H105">
            <v>774.5</v>
          </cell>
          <cell r="I105">
            <v>634.1</v>
          </cell>
          <cell r="J105">
            <v>473.7</v>
          </cell>
          <cell r="K105">
            <v>1530</v>
          </cell>
          <cell r="L105">
            <v>600</v>
          </cell>
          <cell r="M105">
            <v>700</v>
          </cell>
          <cell r="N105">
            <v>700</v>
          </cell>
          <cell r="O105">
            <v>700</v>
          </cell>
          <cell r="P105">
            <v>0</v>
          </cell>
        </row>
        <row r="106">
          <cell r="A106" t="str">
            <v>( + )</v>
          </cell>
          <cell r="C106" t="str">
            <v>Interest Income</v>
          </cell>
          <cell r="F106">
            <v>75.900000000000006</v>
          </cell>
          <cell r="G106">
            <v>570.9</v>
          </cell>
          <cell r="H106">
            <v>385.5</v>
          </cell>
          <cell r="I106">
            <v>2491.6999999999998</v>
          </cell>
          <cell r="J106">
            <v>2244.8000000000002</v>
          </cell>
          <cell r="K106">
            <v>1362.858624</v>
          </cell>
          <cell r="L106">
            <v>2042.858624</v>
          </cell>
          <cell r="M106">
            <v>2042.858624</v>
          </cell>
          <cell r="N106">
            <v>1142.8586239999997</v>
          </cell>
          <cell r="O106">
            <v>2042.858624</v>
          </cell>
          <cell r="P106">
            <v>0</v>
          </cell>
        </row>
        <row r="107">
          <cell r="A107" t="str">
            <v>( + )</v>
          </cell>
          <cell r="C107" t="str">
            <v>Income From Associates</v>
          </cell>
        </row>
        <row r="108">
          <cell r="C108" t="str">
            <v>Exceptional Gains / (Losses)</v>
          </cell>
        </row>
        <row r="109">
          <cell r="E109">
            <v>0</v>
          </cell>
          <cell r="F109">
            <v>0</v>
          </cell>
          <cell r="G109">
            <v>0</v>
          </cell>
          <cell r="H109">
            <v>0</v>
          </cell>
          <cell r="I109">
            <v>0</v>
          </cell>
          <cell r="J109">
            <v>0</v>
          </cell>
          <cell r="K109">
            <v>0</v>
          </cell>
          <cell r="L109">
            <v>0</v>
          </cell>
          <cell r="M109">
            <v>0</v>
          </cell>
          <cell r="N109">
            <v>0</v>
          </cell>
          <cell r="O109">
            <v>0</v>
          </cell>
          <cell r="P109">
            <v>0</v>
          </cell>
          <cell r="Q109">
            <v>0</v>
          </cell>
        </row>
        <row r="110">
          <cell r="C110" t="str">
            <v>EBIT</v>
          </cell>
          <cell r="E110">
            <v>0</v>
          </cell>
          <cell r="F110">
            <v>3819.6999999999948</v>
          </cell>
          <cell r="G110">
            <v>6010.9999999999964</v>
          </cell>
          <cell r="H110">
            <v>8090.6999999999953</v>
          </cell>
          <cell r="I110">
            <v>13443.500000000577</v>
          </cell>
          <cell r="J110">
            <v>14153.690027570001</v>
          </cell>
          <cell r="K110">
            <v>12569.760361454022</v>
          </cell>
          <cell r="L110">
            <v>18917.871689438121</v>
          </cell>
          <cell r="M110">
            <v>29935.288830947953</v>
          </cell>
          <cell r="N110">
            <v>34027.452917208022</v>
          </cell>
          <cell r="O110">
            <v>34558.056866980507</v>
          </cell>
          <cell r="P110">
            <v>0</v>
          </cell>
          <cell r="Q110">
            <v>0</v>
          </cell>
        </row>
        <row r="111">
          <cell r="A111" t="str">
            <v>( - )</v>
          </cell>
          <cell r="C111" t="str">
            <v>Interest Expense</v>
          </cell>
          <cell r="F111">
            <v>-2186.5</v>
          </cell>
          <cell r="G111">
            <v>-2793.5</v>
          </cell>
          <cell r="H111">
            <v>-2335.8000000000002</v>
          </cell>
          <cell r="I111">
            <v>-2795</v>
          </cell>
          <cell r="J111">
            <v>-1101</v>
          </cell>
          <cell r="K111">
            <v>-1624.3861041666664</v>
          </cell>
          <cell r="L111">
            <v>-4204.7302083333325</v>
          </cell>
          <cell r="M111">
            <v>-5080.5181833333327</v>
          </cell>
          <cell r="N111">
            <v>-4200.6346833333328</v>
          </cell>
          <cell r="O111">
            <v>-4112.5859333333328</v>
          </cell>
          <cell r="P111">
            <v>0</v>
          </cell>
        </row>
        <row r="112">
          <cell r="E112">
            <v>0</v>
          </cell>
          <cell r="F112">
            <v>0</v>
          </cell>
          <cell r="G112">
            <v>0</v>
          </cell>
          <cell r="H112">
            <v>0</v>
          </cell>
          <cell r="I112">
            <v>0</v>
          </cell>
          <cell r="J112">
            <v>0</v>
          </cell>
          <cell r="K112">
            <v>0</v>
          </cell>
          <cell r="L112">
            <v>0</v>
          </cell>
          <cell r="M112">
            <v>0</v>
          </cell>
          <cell r="N112">
            <v>0</v>
          </cell>
          <cell r="O112">
            <v>0</v>
          </cell>
          <cell r="P112">
            <v>0</v>
          </cell>
          <cell r="Q112">
            <v>0</v>
          </cell>
        </row>
        <row r="113">
          <cell r="C113" t="str">
            <v>Earnings Before Tax</v>
          </cell>
          <cell r="E113">
            <v>0</v>
          </cell>
          <cell r="F113">
            <v>1633.1999999999948</v>
          </cell>
          <cell r="G113">
            <v>3217.4999999999964</v>
          </cell>
          <cell r="H113">
            <v>5754.8999999999951</v>
          </cell>
          <cell r="I113">
            <v>10648.500000000577</v>
          </cell>
          <cell r="J113">
            <v>13052.690027570001</v>
          </cell>
          <cell r="K113">
            <v>10945.374257287356</v>
          </cell>
          <cell r="L113">
            <v>14713.141481104789</v>
          </cell>
          <cell r="M113">
            <v>24854.77064761462</v>
          </cell>
          <cell r="N113">
            <v>29826.818233874688</v>
          </cell>
          <cell r="O113">
            <v>30445.470933647175</v>
          </cell>
          <cell r="P113">
            <v>0</v>
          </cell>
          <cell r="Q113">
            <v>0</v>
          </cell>
        </row>
        <row r="114">
          <cell r="A114" t="str">
            <v>( - )</v>
          </cell>
          <cell r="C114" t="str">
            <v>Income Tax</v>
          </cell>
          <cell r="F114">
            <v>0</v>
          </cell>
          <cell r="G114">
            <v>0</v>
          </cell>
          <cell r="H114">
            <v>0</v>
          </cell>
          <cell r="I114">
            <v>0</v>
          </cell>
          <cell r="J114">
            <v>0</v>
          </cell>
          <cell r="K114">
            <v>-1411.953279190069</v>
          </cell>
          <cell r="L114">
            <v>-1897.995251062518</v>
          </cell>
          <cell r="M114">
            <v>-3206.2654135422858</v>
          </cell>
          <cell r="N114">
            <v>-3847.659552169835</v>
          </cell>
          <cell r="O114">
            <v>-3927.4657504404859</v>
          </cell>
          <cell r="P114">
            <v>0</v>
          </cell>
        </row>
        <row r="115">
          <cell r="C115" t="str">
            <v>Effective Tax Rate</v>
          </cell>
          <cell r="E115">
            <v>0</v>
          </cell>
          <cell r="F115">
            <v>0</v>
          </cell>
          <cell r="G115">
            <v>0</v>
          </cell>
          <cell r="H115">
            <v>0</v>
          </cell>
          <cell r="I115">
            <v>0</v>
          </cell>
          <cell r="J115">
            <v>0</v>
          </cell>
          <cell r="K115">
            <v>0.129</v>
          </cell>
          <cell r="L115">
            <v>0.12900000000000003</v>
          </cell>
          <cell r="M115">
            <v>0.129</v>
          </cell>
          <cell r="N115">
            <v>0.129</v>
          </cell>
          <cell r="O115">
            <v>0.129</v>
          </cell>
          <cell r="P115">
            <v>0</v>
          </cell>
          <cell r="Q115">
            <v>0</v>
          </cell>
        </row>
        <row r="116">
          <cell r="E116">
            <v>0</v>
          </cell>
          <cell r="F116">
            <v>0</v>
          </cell>
          <cell r="G116">
            <v>0</v>
          </cell>
          <cell r="H116">
            <v>0</v>
          </cell>
          <cell r="I116">
            <v>0</v>
          </cell>
          <cell r="J116">
            <v>0</v>
          </cell>
          <cell r="K116">
            <v>0</v>
          </cell>
          <cell r="L116">
            <v>0</v>
          </cell>
          <cell r="M116">
            <v>0</v>
          </cell>
          <cell r="N116">
            <v>0</v>
          </cell>
          <cell r="O116">
            <v>0</v>
          </cell>
          <cell r="P116">
            <v>0</v>
          </cell>
          <cell r="Q116">
            <v>0</v>
          </cell>
        </row>
        <row r="117">
          <cell r="C117" t="str">
            <v>Earnings After Tax</v>
          </cell>
          <cell r="E117">
            <v>0</v>
          </cell>
          <cell r="F117">
            <v>1633.1999999999948</v>
          </cell>
          <cell r="G117">
            <v>3217.4999999999964</v>
          </cell>
          <cell r="H117">
            <v>5754.8999999999951</v>
          </cell>
          <cell r="I117">
            <v>10648.500000000577</v>
          </cell>
          <cell r="J117">
            <v>13052.690027570001</v>
          </cell>
          <cell r="K117">
            <v>9533.4209780972869</v>
          </cell>
          <cell r="L117">
            <v>12815.146230042272</v>
          </cell>
          <cell r="M117">
            <v>21648.505234072334</v>
          </cell>
          <cell r="N117">
            <v>25979.158681704852</v>
          </cell>
          <cell r="O117">
            <v>26518.005183206689</v>
          </cell>
          <cell r="P117">
            <v>0</v>
          </cell>
          <cell r="Q117">
            <v>0</v>
          </cell>
        </row>
        <row r="118">
          <cell r="C118" t="str">
            <v>Other After Tax Income / (Expenses)</v>
          </cell>
        </row>
        <row r="119">
          <cell r="C119" t="str">
            <v>Extraordinary Gains / (Losses)</v>
          </cell>
        </row>
        <row r="120">
          <cell r="A120" t="str">
            <v>( - )</v>
          </cell>
          <cell r="C120" t="str">
            <v>Minority Interest IS</v>
          </cell>
        </row>
        <row r="121">
          <cell r="A121" t="str">
            <v>( - )</v>
          </cell>
          <cell r="C121" t="str">
            <v>Preferred Dividends</v>
          </cell>
          <cell r="F121">
            <v>-8.6</v>
          </cell>
          <cell r="G121">
            <v>-8.6</v>
          </cell>
          <cell r="H121">
            <v>-8.3000000000000007</v>
          </cell>
          <cell r="I121">
            <v>-8.3000000000000007</v>
          </cell>
          <cell r="J121">
            <v>-280</v>
          </cell>
          <cell r="K121">
            <v>-280</v>
          </cell>
          <cell r="L121">
            <v>-280</v>
          </cell>
          <cell r="M121">
            <v>-280</v>
          </cell>
          <cell r="N121">
            <v>-280</v>
          </cell>
          <cell r="O121">
            <v>-280</v>
          </cell>
          <cell r="P121">
            <v>-280</v>
          </cell>
        </row>
        <row r="122">
          <cell r="E122">
            <v>0</v>
          </cell>
          <cell r="F122">
            <v>0</v>
          </cell>
          <cell r="G122">
            <v>0</v>
          </cell>
          <cell r="H122">
            <v>0</v>
          </cell>
          <cell r="I122">
            <v>0</v>
          </cell>
          <cell r="J122">
            <v>0</v>
          </cell>
          <cell r="K122">
            <v>0</v>
          </cell>
          <cell r="L122">
            <v>0</v>
          </cell>
          <cell r="M122">
            <v>0</v>
          </cell>
          <cell r="N122">
            <v>0</v>
          </cell>
          <cell r="O122">
            <v>0</v>
          </cell>
          <cell r="P122">
            <v>0</v>
          </cell>
          <cell r="Q122">
            <v>0</v>
          </cell>
        </row>
        <row r="123">
          <cell r="C123" t="str">
            <v>Net Income</v>
          </cell>
          <cell r="E123">
            <v>0</v>
          </cell>
          <cell r="F123">
            <v>1624.5999999999949</v>
          </cell>
          <cell r="G123">
            <v>3208.8999999999965</v>
          </cell>
          <cell r="H123">
            <v>5746.5999999999949</v>
          </cell>
          <cell r="I123">
            <v>10640.200000000577</v>
          </cell>
          <cell r="J123">
            <v>12772.690027570001</v>
          </cell>
          <cell r="K123">
            <v>9253.4209780972869</v>
          </cell>
          <cell r="L123">
            <v>12535.146230042272</v>
          </cell>
          <cell r="M123">
            <v>21368.505234072334</v>
          </cell>
          <cell r="N123">
            <v>25699.158681704852</v>
          </cell>
          <cell r="O123">
            <v>26238.005183206689</v>
          </cell>
          <cell r="P123">
            <v>-280</v>
          </cell>
          <cell r="Q123">
            <v>0</v>
          </cell>
        </row>
        <row r="124">
          <cell r="E124">
            <v>0</v>
          </cell>
          <cell r="F124">
            <v>0</v>
          </cell>
          <cell r="G124">
            <v>0</v>
          </cell>
          <cell r="H124">
            <v>0</v>
          </cell>
          <cell r="I124">
            <v>0</v>
          </cell>
          <cell r="J124">
            <v>0</v>
          </cell>
          <cell r="K124">
            <v>0</v>
          </cell>
          <cell r="L124">
            <v>0</v>
          </cell>
          <cell r="M124">
            <v>0</v>
          </cell>
          <cell r="N124">
            <v>0</v>
          </cell>
          <cell r="O124">
            <v>0</v>
          </cell>
          <cell r="P124">
            <v>0</v>
          </cell>
          <cell r="Q124">
            <v>0</v>
          </cell>
        </row>
        <row r="126">
          <cell r="A126" t="str">
            <v>( - )</v>
          </cell>
          <cell r="C126" t="str">
            <v>Common Dividends Paid</v>
          </cell>
          <cell r="F126">
            <v>-475.1</v>
          </cell>
          <cell r="G126">
            <v>-848.1</v>
          </cell>
          <cell r="H126">
            <v>-1383.5</v>
          </cell>
          <cell r="I126">
            <v>-1993.4</v>
          </cell>
          <cell r="J126">
            <v>-2762.2377900000001</v>
          </cell>
          <cell r="K126">
            <v>-2762.2377900000001</v>
          </cell>
          <cell r="L126">
            <v>-3452.7972374999999</v>
          </cell>
          <cell r="M126">
            <v>-3682.9837200000002</v>
          </cell>
          <cell r="N126">
            <v>-3682.9837200000002</v>
          </cell>
          <cell r="O126">
            <v>-3682.9837200000002</v>
          </cell>
          <cell r="P126">
            <v>-4143.3566850000007</v>
          </cell>
        </row>
        <row r="127">
          <cell r="A127" t="str">
            <v>( - )</v>
          </cell>
          <cell r="C127" t="str">
            <v>Transfer to Statutory Reserves</v>
          </cell>
        </row>
        <row r="128">
          <cell r="C128" t="str">
            <v>Retained Profit</v>
          </cell>
          <cell r="E128">
            <v>0</v>
          </cell>
          <cell r="F128">
            <v>1149.499999999995</v>
          </cell>
          <cell r="G128">
            <v>2360.7999999999965</v>
          </cell>
          <cell r="H128">
            <v>4363.0999999999949</v>
          </cell>
          <cell r="I128">
            <v>8646.8000000005777</v>
          </cell>
          <cell r="J128">
            <v>10010.45223757</v>
          </cell>
          <cell r="K128">
            <v>6491.1831880972868</v>
          </cell>
          <cell r="L128">
            <v>9082.3489925422728</v>
          </cell>
          <cell r="M128">
            <v>17685.521514072334</v>
          </cell>
          <cell r="N128">
            <v>22016.174961704852</v>
          </cell>
          <cell r="O128">
            <v>22555.021463206689</v>
          </cell>
          <cell r="P128">
            <v>-4423.3566850000007</v>
          </cell>
          <cell r="Q128">
            <v>0</v>
          </cell>
        </row>
        <row r="129">
          <cell r="E129">
            <v>0</v>
          </cell>
          <cell r="F129">
            <v>0</v>
          </cell>
          <cell r="G129">
            <v>0</v>
          </cell>
          <cell r="H129">
            <v>0</v>
          </cell>
          <cell r="I129">
            <v>0</v>
          </cell>
          <cell r="J129">
            <v>0</v>
          </cell>
          <cell r="K129">
            <v>0</v>
          </cell>
          <cell r="L129">
            <v>0</v>
          </cell>
          <cell r="M129">
            <v>0</v>
          </cell>
          <cell r="N129">
            <v>0</v>
          </cell>
          <cell r="O129">
            <v>0</v>
          </cell>
          <cell r="P129">
            <v>0</v>
          </cell>
          <cell r="Q129">
            <v>0</v>
          </cell>
        </row>
        <row r="133">
          <cell r="C133" t="str">
            <v>Beginning Retained Earnings</v>
          </cell>
          <cell r="E133">
            <v>0</v>
          </cell>
          <cell r="F133">
            <v>0</v>
          </cell>
          <cell r="G133">
            <v>3627.5</v>
          </cell>
          <cell r="H133">
            <v>5988.3</v>
          </cell>
          <cell r="I133">
            <v>10351.4</v>
          </cell>
          <cell r="J133">
            <v>19328.90000000058</v>
          </cell>
          <cell r="K133">
            <v>29358.352237570583</v>
          </cell>
          <cell r="L133">
            <v>35849.535425667869</v>
          </cell>
          <cell r="M133">
            <v>44931.884418210146</v>
          </cell>
          <cell r="N133">
            <v>62617.405932282476</v>
          </cell>
          <cell r="O133">
            <v>84633.580893987324</v>
          </cell>
          <cell r="P133">
            <v>107188.60235719402</v>
          </cell>
          <cell r="Q133">
            <v>0</v>
          </cell>
        </row>
        <row r="134">
          <cell r="E134">
            <v>0</v>
          </cell>
          <cell r="F134">
            <v>1149.499999999995</v>
          </cell>
          <cell r="G134">
            <v>2360.7999999999965</v>
          </cell>
          <cell r="H134">
            <v>4363.0999999999949</v>
          </cell>
          <cell r="I134">
            <v>8646.8000000005777</v>
          </cell>
          <cell r="J134">
            <v>10010.45223757</v>
          </cell>
          <cell r="K134">
            <v>6491.1831880972868</v>
          </cell>
          <cell r="L134">
            <v>9082.3489925422728</v>
          </cell>
          <cell r="M134">
            <v>17685.521514072334</v>
          </cell>
          <cell r="N134">
            <v>22016.174961704852</v>
          </cell>
          <cell r="O134">
            <v>22555.021463206689</v>
          </cell>
          <cell r="P134">
            <v>-4423.3566850000007</v>
          </cell>
          <cell r="Q134">
            <v>0</v>
          </cell>
        </row>
        <row r="135">
          <cell r="C135" t="str">
            <v>Adj to Retained Earnings</v>
          </cell>
          <cell r="E135">
            <v>0</v>
          </cell>
          <cell r="F135">
            <v>2478.000000000005</v>
          </cell>
          <cell r="G135">
            <v>3.637978807091713E-12</v>
          </cell>
          <cell r="H135">
            <v>0</v>
          </cell>
          <cell r="I135">
            <v>330.70000000000255</v>
          </cell>
          <cell r="J135">
            <v>19.000000000003638</v>
          </cell>
          <cell r="K135">
            <v>0</v>
          </cell>
          <cell r="L135">
            <v>0</v>
          </cell>
          <cell r="M135">
            <v>0</v>
          </cell>
          <cell r="N135">
            <v>0</v>
          </cell>
          <cell r="O135">
            <v>0</v>
          </cell>
          <cell r="P135">
            <v>-102765.24567219401</v>
          </cell>
          <cell r="Q135">
            <v>0</v>
          </cell>
        </row>
        <row r="136">
          <cell r="E136">
            <v>0</v>
          </cell>
          <cell r="F136">
            <v>3627.5</v>
          </cell>
          <cell r="G136">
            <v>5988.3</v>
          </cell>
          <cell r="H136">
            <v>10351.4</v>
          </cell>
          <cell r="I136">
            <v>19328.90000000058</v>
          </cell>
          <cell r="J136">
            <v>29358.352237570583</v>
          </cell>
          <cell r="K136">
            <v>35849.535425667869</v>
          </cell>
          <cell r="L136">
            <v>44931.884418210146</v>
          </cell>
          <cell r="M136">
            <v>62617.405932282476</v>
          </cell>
          <cell r="N136">
            <v>84633.580893987324</v>
          </cell>
          <cell r="O136">
            <v>107188.60235719402</v>
          </cell>
          <cell r="P136">
            <v>0</v>
          </cell>
          <cell r="Q136">
            <v>0</v>
          </cell>
        </row>
        <row r="142">
          <cell r="E142">
            <v>0</v>
          </cell>
          <cell r="F142">
            <v>345.6</v>
          </cell>
          <cell r="G142">
            <v>113.7</v>
          </cell>
          <cell r="H142">
            <v>774.5</v>
          </cell>
          <cell r="I142">
            <v>634.1</v>
          </cell>
          <cell r="J142">
            <v>473.7</v>
          </cell>
          <cell r="K142">
            <v>1530</v>
          </cell>
          <cell r="L142">
            <v>600</v>
          </cell>
          <cell r="M142">
            <v>700</v>
          </cell>
          <cell r="N142">
            <v>700</v>
          </cell>
          <cell r="O142">
            <v>700</v>
          </cell>
          <cell r="P142">
            <v>0</v>
          </cell>
          <cell r="Q142">
            <v>0</v>
          </cell>
        </row>
        <row r="143">
          <cell r="E143">
            <v>0</v>
          </cell>
          <cell r="F143">
            <v>75.900000000000006</v>
          </cell>
          <cell r="G143">
            <v>570.9</v>
          </cell>
          <cell r="H143">
            <v>385.5</v>
          </cell>
          <cell r="I143">
            <v>2491.6999999999998</v>
          </cell>
          <cell r="J143">
            <v>2244.8000000000002</v>
          </cell>
          <cell r="K143">
            <v>1362.858624</v>
          </cell>
          <cell r="L143">
            <v>2042.858624</v>
          </cell>
          <cell r="M143">
            <v>2042.858624</v>
          </cell>
          <cell r="N143">
            <v>1142.8586239999997</v>
          </cell>
          <cell r="O143">
            <v>2042.858624</v>
          </cell>
          <cell r="P143">
            <v>0</v>
          </cell>
          <cell r="Q143">
            <v>0</v>
          </cell>
        </row>
        <row r="144">
          <cell r="E144">
            <v>0</v>
          </cell>
          <cell r="F144">
            <v>0</v>
          </cell>
          <cell r="G144">
            <v>0</v>
          </cell>
          <cell r="H144">
            <v>0</v>
          </cell>
          <cell r="I144">
            <v>0</v>
          </cell>
          <cell r="J144">
            <v>0</v>
          </cell>
          <cell r="K144">
            <v>0</v>
          </cell>
          <cell r="L144">
            <v>0</v>
          </cell>
          <cell r="M144">
            <v>0</v>
          </cell>
          <cell r="N144">
            <v>0</v>
          </cell>
          <cell r="O144">
            <v>0</v>
          </cell>
          <cell r="P144">
            <v>0</v>
          </cell>
          <cell r="Q144">
            <v>0</v>
          </cell>
        </row>
        <row r="145">
          <cell r="E145">
            <v>0</v>
          </cell>
          <cell r="F145">
            <v>0</v>
          </cell>
          <cell r="G145">
            <v>0</v>
          </cell>
          <cell r="H145">
            <v>0</v>
          </cell>
          <cell r="I145">
            <v>0</v>
          </cell>
          <cell r="J145">
            <v>0</v>
          </cell>
          <cell r="K145">
            <v>0</v>
          </cell>
          <cell r="L145">
            <v>0</v>
          </cell>
          <cell r="M145">
            <v>0</v>
          </cell>
          <cell r="N145">
            <v>0</v>
          </cell>
          <cell r="O145">
            <v>0</v>
          </cell>
          <cell r="P145">
            <v>0</v>
          </cell>
          <cell r="Q145">
            <v>0</v>
          </cell>
        </row>
        <row r="146">
          <cell r="E146">
            <v>0</v>
          </cell>
          <cell r="F146">
            <v>0</v>
          </cell>
          <cell r="G146">
            <v>0</v>
          </cell>
          <cell r="H146">
            <v>0</v>
          </cell>
          <cell r="I146">
            <v>0</v>
          </cell>
          <cell r="J146">
            <v>0</v>
          </cell>
          <cell r="K146">
            <v>0</v>
          </cell>
          <cell r="L146">
            <v>0</v>
          </cell>
          <cell r="M146">
            <v>0</v>
          </cell>
          <cell r="N146">
            <v>0</v>
          </cell>
          <cell r="O146">
            <v>0</v>
          </cell>
          <cell r="P146">
            <v>0</v>
          </cell>
          <cell r="Q146">
            <v>0</v>
          </cell>
        </row>
        <row r="147">
          <cell r="E147">
            <v>0</v>
          </cell>
          <cell r="F147">
            <v>0</v>
          </cell>
          <cell r="G147">
            <v>0</v>
          </cell>
          <cell r="H147">
            <v>0</v>
          </cell>
          <cell r="I147">
            <v>0</v>
          </cell>
          <cell r="J147">
            <v>0</v>
          </cell>
          <cell r="K147">
            <v>0</v>
          </cell>
          <cell r="L147">
            <v>0</v>
          </cell>
          <cell r="M147">
            <v>0</v>
          </cell>
          <cell r="N147">
            <v>0</v>
          </cell>
          <cell r="O147">
            <v>0</v>
          </cell>
          <cell r="P147">
            <v>0</v>
          </cell>
          <cell r="Q147">
            <v>0</v>
          </cell>
        </row>
        <row r="148">
          <cell r="C148" t="str">
            <v>Total Non-Op Income / (Expenses)</v>
          </cell>
          <cell r="E148">
            <v>0</v>
          </cell>
          <cell r="F148">
            <v>421.5</v>
          </cell>
          <cell r="G148">
            <v>684.6</v>
          </cell>
          <cell r="H148">
            <v>1160</v>
          </cell>
          <cell r="I148">
            <v>3125.7999999999997</v>
          </cell>
          <cell r="J148">
            <v>2718.5</v>
          </cell>
          <cell r="K148">
            <v>2892.858624</v>
          </cell>
          <cell r="L148">
            <v>2642.858624</v>
          </cell>
          <cell r="M148">
            <v>2742.858624</v>
          </cell>
          <cell r="N148">
            <v>1842.8586239999997</v>
          </cell>
          <cell r="O148">
            <v>2742.858624</v>
          </cell>
          <cell r="P148">
            <v>0</v>
          </cell>
          <cell r="Q148">
            <v>0</v>
          </cell>
        </row>
        <row r="149">
          <cell r="E149">
            <v>0</v>
          </cell>
          <cell r="F149">
            <v>0</v>
          </cell>
          <cell r="G149">
            <v>0</v>
          </cell>
          <cell r="H149">
            <v>0</v>
          </cell>
          <cell r="I149">
            <v>0</v>
          </cell>
          <cell r="J149">
            <v>0</v>
          </cell>
          <cell r="K149">
            <v>0</v>
          </cell>
          <cell r="L149">
            <v>0</v>
          </cell>
          <cell r="M149">
            <v>0</v>
          </cell>
          <cell r="N149">
            <v>0</v>
          </cell>
          <cell r="O149">
            <v>0</v>
          </cell>
          <cell r="P149">
            <v>0</v>
          </cell>
          <cell r="Q149">
            <v>0</v>
          </cell>
        </row>
        <row r="157">
          <cell r="A157" t="str">
            <v>( + )</v>
          </cell>
          <cell r="C157" t="str">
            <v>Operating Cash &amp; Equiv</v>
          </cell>
          <cell r="F157">
            <v>753.59999999999854</v>
          </cell>
          <cell r="G157">
            <v>2324.1999999999935</v>
          </cell>
          <cell r="H157">
            <v>979.29999999999154</v>
          </cell>
          <cell r="I157">
            <v>3668.2000000005573</v>
          </cell>
          <cell r="J157">
            <v>14279.419079237221</v>
          </cell>
          <cell r="K157">
            <v>21497.985891021071</v>
          </cell>
          <cell r="L157">
            <v>19449.065574666296</v>
          </cell>
          <cell r="M157">
            <v>5010.9417941237771</v>
          </cell>
          <cell r="N157">
            <v>7919.0773061791988</v>
          </cell>
          <cell r="O157">
            <v>17440.803811197598</v>
          </cell>
          <cell r="P157">
            <v>0</v>
          </cell>
        </row>
        <row r="158">
          <cell r="A158" t="str">
            <v>( + )</v>
          </cell>
          <cell r="C158" t="str">
            <v>Non-Operating Cash &amp; Equiv</v>
          </cell>
        </row>
        <row r="159">
          <cell r="A159" t="str">
            <v>( + )</v>
          </cell>
          <cell r="C159" t="str">
            <v>Accounts Receivable</v>
          </cell>
          <cell r="F159">
            <v>4151.3999999999996</v>
          </cell>
          <cell r="G159">
            <v>4875.3</v>
          </cell>
          <cell r="H159">
            <v>5935.3</v>
          </cell>
          <cell r="I159">
            <v>5412</v>
          </cell>
          <cell r="J159">
            <v>3305.6</v>
          </cell>
          <cell r="K159">
            <v>8068.4622426540145</v>
          </cell>
          <cell r="L159">
            <v>10136.81207531781</v>
          </cell>
          <cell r="M159">
            <v>13417.3312466635</v>
          </cell>
          <cell r="N159">
            <v>14150.376333862441</v>
          </cell>
          <cell r="O159">
            <v>15320.838109538472</v>
          </cell>
          <cell r="P159">
            <v>0</v>
          </cell>
        </row>
        <row r="160">
          <cell r="A160" t="str">
            <v>( + )</v>
          </cell>
          <cell r="C160" t="str">
            <v>Inventories</v>
          </cell>
          <cell r="F160">
            <v>4049</v>
          </cell>
          <cell r="G160">
            <v>5231</v>
          </cell>
          <cell r="H160">
            <v>5846.4</v>
          </cell>
          <cell r="I160">
            <v>6625.6</v>
          </cell>
          <cell r="J160">
            <v>7596.1</v>
          </cell>
          <cell r="K160">
            <v>9917.6783568447154</v>
          </cell>
          <cell r="L160">
            <v>13824.006069519588</v>
          </cell>
          <cell r="M160">
            <v>18321.830909316031</v>
          </cell>
          <cell r="N160">
            <v>18535.371887195372</v>
          </cell>
          <cell r="O160">
            <v>21406.452816476674</v>
          </cell>
          <cell r="P160">
            <v>0</v>
          </cell>
        </row>
        <row r="161">
          <cell r="A161" t="str">
            <v>( + )</v>
          </cell>
          <cell r="C161" t="str">
            <v>Other Current Assets</v>
          </cell>
          <cell r="F161">
            <v>5847.5</v>
          </cell>
          <cell r="G161">
            <v>6185.9</v>
          </cell>
          <cell r="H161">
            <v>12555.4</v>
          </cell>
          <cell r="I161">
            <v>13803.7</v>
          </cell>
          <cell r="J161">
            <v>12071.2</v>
          </cell>
          <cell r="K161">
            <v>10941.728078558548</v>
          </cell>
          <cell r="L161">
            <v>16585.574771948963</v>
          </cell>
          <cell r="M161">
            <v>22696.061322307392</v>
          </cell>
          <cell r="N161">
            <v>24081.579264927848</v>
          </cell>
          <cell r="O161">
            <v>26289.413876663693</v>
          </cell>
          <cell r="P161">
            <v>0</v>
          </cell>
        </row>
        <row r="162">
          <cell r="C162" t="str">
            <v>Total Current Assets</v>
          </cell>
          <cell r="E162">
            <v>0</v>
          </cell>
          <cell r="F162">
            <v>14801.499999999998</v>
          </cell>
          <cell r="G162">
            <v>18616.399999999994</v>
          </cell>
          <cell r="H162">
            <v>25316.399999999991</v>
          </cell>
          <cell r="I162">
            <v>29509.50000000056</v>
          </cell>
          <cell r="J162">
            <v>37252.319079237219</v>
          </cell>
          <cell r="K162">
            <v>50425.85456907835</v>
          </cell>
          <cell r="L162">
            <v>59995.458491452649</v>
          </cell>
          <cell r="M162">
            <v>59446.165272410697</v>
          </cell>
          <cell r="N162">
            <v>64686.40479216486</v>
          </cell>
          <cell r="O162">
            <v>80457.508613876431</v>
          </cell>
          <cell r="P162">
            <v>0</v>
          </cell>
          <cell r="Q162">
            <v>0</v>
          </cell>
        </row>
        <row r="164">
          <cell r="A164" t="str">
            <v>( + )</v>
          </cell>
          <cell r="C164" t="str">
            <v>Net Fixed Assets</v>
          </cell>
          <cell r="F164">
            <v>12724.3</v>
          </cell>
          <cell r="G164">
            <v>26885.7</v>
          </cell>
          <cell r="H164">
            <v>32050.400000000001</v>
          </cell>
          <cell r="I164">
            <v>35096.199999999997</v>
          </cell>
          <cell r="J164">
            <v>47442.299824999995</v>
          </cell>
          <cell r="K164">
            <v>93345.100359687509</v>
          </cell>
          <cell r="L164">
            <v>102900.60011368751</v>
          </cell>
          <cell r="M164">
            <v>119489.87559206251</v>
          </cell>
          <cell r="N164">
            <v>136079.15107043751</v>
          </cell>
          <cell r="O164">
            <v>145671.92654881251</v>
          </cell>
          <cell r="P164">
            <v>0</v>
          </cell>
        </row>
        <row r="165">
          <cell r="A165" t="str">
            <v>( + )</v>
          </cell>
          <cell r="C165" t="str">
            <v>Construction In Progress</v>
          </cell>
          <cell r="F165">
            <v>20656.8</v>
          </cell>
          <cell r="G165">
            <v>6792.7</v>
          </cell>
          <cell r="H165">
            <v>3946</v>
          </cell>
          <cell r="I165">
            <v>30750.9</v>
          </cell>
          <cell r="J165">
            <v>44886.9</v>
          </cell>
          <cell r="K165">
            <v>14853.900000000001</v>
          </cell>
          <cell r="L165">
            <v>27029.65</v>
          </cell>
          <cell r="M165">
            <v>29129.65</v>
          </cell>
          <cell r="N165">
            <v>25829.65</v>
          </cell>
          <cell r="O165">
            <v>24429.65</v>
          </cell>
          <cell r="P165">
            <v>0</v>
          </cell>
        </row>
        <row r="166">
          <cell r="A166" t="str">
            <v>( + )</v>
          </cell>
          <cell r="C166" t="str">
            <v>Intangibles &amp; Capitalised Assets</v>
          </cell>
        </row>
        <row r="167">
          <cell r="A167" t="str">
            <v>( + )</v>
          </cell>
          <cell r="C167" t="str">
            <v>Goodwill</v>
          </cell>
        </row>
        <row r="168">
          <cell r="A168" t="str">
            <v>( + )</v>
          </cell>
          <cell r="C168" t="str">
            <v>Investments &amp; Advances</v>
          </cell>
          <cell r="F168">
            <v>619.5</v>
          </cell>
          <cell r="G168">
            <v>7796.7</v>
          </cell>
          <cell r="H168">
            <v>19901.8</v>
          </cell>
          <cell r="I168">
            <v>19934.099999999999</v>
          </cell>
          <cell r="J168">
            <v>19529.099999999999</v>
          </cell>
          <cell r="K168">
            <v>21288.153743999999</v>
          </cell>
          <cell r="L168">
            <v>24788.153743999999</v>
          </cell>
          <cell r="M168">
            <v>24788.153743999999</v>
          </cell>
          <cell r="N168">
            <v>29788.153743999999</v>
          </cell>
          <cell r="O168">
            <v>34788.153743999996</v>
          </cell>
          <cell r="P168">
            <v>0</v>
          </cell>
        </row>
        <row r="169">
          <cell r="A169" t="str">
            <v>( + )</v>
          </cell>
          <cell r="C169" t="str">
            <v>Other Non-Op Assets</v>
          </cell>
        </row>
        <row r="170">
          <cell r="E170">
            <v>0</v>
          </cell>
          <cell r="F170">
            <v>0</v>
          </cell>
          <cell r="G170">
            <v>0</v>
          </cell>
          <cell r="H170">
            <v>0</v>
          </cell>
          <cell r="I170">
            <v>0</v>
          </cell>
          <cell r="J170">
            <v>0</v>
          </cell>
          <cell r="K170">
            <v>0</v>
          </cell>
          <cell r="L170">
            <v>0</v>
          </cell>
          <cell r="M170">
            <v>0</v>
          </cell>
          <cell r="N170">
            <v>0</v>
          </cell>
          <cell r="O170">
            <v>0</v>
          </cell>
          <cell r="P170">
            <v>0</v>
          </cell>
          <cell r="Q170">
            <v>0</v>
          </cell>
        </row>
        <row r="171">
          <cell r="C171" t="str">
            <v>Total Assets</v>
          </cell>
          <cell r="E171">
            <v>0</v>
          </cell>
          <cell r="F171">
            <v>48802.1</v>
          </cell>
          <cell r="G171">
            <v>60091.499999999993</v>
          </cell>
          <cell r="H171">
            <v>81214.599999999991</v>
          </cell>
          <cell r="I171">
            <v>115290.70000000056</v>
          </cell>
          <cell r="J171">
            <v>149110.61890423723</v>
          </cell>
          <cell r="K171">
            <v>179913.00867276586</v>
          </cell>
          <cell r="L171">
            <v>214713.86234914017</v>
          </cell>
          <cell r="M171">
            <v>232853.84460847321</v>
          </cell>
          <cell r="N171">
            <v>256383.35960660237</v>
          </cell>
          <cell r="O171">
            <v>285347.23890668893</v>
          </cell>
          <cell r="P171">
            <v>0</v>
          </cell>
          <cell r="Q171">
            <v>0</v>
          </cell>
        </row>
        <row r="172">
          <cell r="E172">
            <v>0</v>
          </cell>
          <cell r="F172">
            <v>0</v>
          </cell>
          <cell r="G172">
            <v>0</v>
          </cell>
          <cell r="H172">
            <v>0</v>
          </cell>
          <cell r="I172">
            <v>0</v>
          </cell>
          <cell r="J172">
            <v>0</v>
          </cell>
          <cell r="K172">
            <v>0</v>
          </cell>
          <cell r="L172">
            <v>0</v>
          </cell>
          <cell r="M172">
            <v>0</v>
          </cell>
          <cell r="N172">
            <v>0</v>
          </cell>
          <cell r="O172">
            <v>0</v>
          </cell>
          <cell r="P172">
            <v>0</v>
          </cell>
          <cell r="Q172">
            <v>0</v>
          </cell>
        </row>
        <row r="177">
          <cell r="A177" t="str">
            <v>( + )</v>
          </cell>
          <cell r="C177" t="str">
            <v>Short Term Debt</v>
          </cell>
          <cell r="F177">
            <v>8021.1</v>
          </cell>
          <cell r="G177">
            <v>4331.3999999999996</v>
          </cell>
          <cell r="H177">
            <v>1578.6</v>
          </cell>
          <cell r="I177">
            <v>5427.9</v>
          </cell>
          <cell r="J177">
            <v>6821.8</v>
          </cell>
          <cell r="K177">
            <v>6821.8</v>
          </cell>
          <cell r="L177">
            <v>7630.8</v>
          </cell>
          <cell r="M177">
            <v>6863.8</v>
          </cell>
          <cell r="N177">
            <v>6864.8</v>
          </cell>
          <cell r="O177">
            <v>6865.8</v>
          </cell>
          <cell r="P177">
            <v>0</v>
          </cell>
        </row>
        <row r="178">
          <cell r="A178" t="str">
            <v>( + )</v>
          </cell>
          <cell r="C178" t="str">
            <v>Accounts Payable</v>
          </cell>
          <cell r="F178">
            <v>5754</v>
          </cell>
          <cell r="G178">
            <v>6317.8</v>
          </cell>
          <cell r="H178">
            <v>9400.1</v>
          </cell>
          <cell r="I178">
            <v>11182.3</v>
          </cell>
          <cell r="J178">
            <v>15145.4</v>
          </cell>
          <cell r="K178">
            <v>14876.517535267074</v>
          </cell>
          <cell r="L178">
            <v>23224.330196792907</v>
          </cell>
          <cell r="M178">
            <v>30780.675927650933</v>
          </cell>
          <cell r="N178">
            <v>31139.424770488229</v>
          </cell>
          <cell r="O178">
            <v>35962.840731680808</v>
          </cell>
          <cell r="P178" t="str">
            <v>FY96</v>
          </cell>
        </row>
        <row r="179">
          <cell r="A179" t="str">
            <v>( + )</v>
          </cell>
          <cell r="C179" t="str">
            <v>Other Current Liabilities</v>
          </cell>
          <cell r="F179">
            <v>2050.1</v>
          </cell>
          <cell r="G179">
            <v>1441.2</v>
          </cell>
          <cell r="H179">
            <v>1870.6000000000001</v>
          </cell>
          <cell r="I179">
            <v>2782.7000000000003</v>
          </cell>
          <cell r="J179">
            <v>3972.2000000000003</v>
          </cell>
          <cell r="K179">
            <v>5620.2465962603392</v>
          </cell>
          <cell r="L179">
            <v>7490.6499657574141</v>
          </cell>
          <cell r="M179">
            <v>9640.1552657730244</v>
          </cell>
          <cell r="N179">
            <v>10420.10119866262</v>
          </cell>
          <cell r="O179">
            <v>10720.690858106855</v>
          </cell>
          <cell r="P179">
            <v>-25.651064360148261</v>
          </cell>
        </row>
        <row r="180">
          <cell r="C180" t="str">
            <v>Total Current Liabilities</v>
          </cell>
          <cell r="E180">
            <v>0</v>
          </cell>
          <cell r="F180">
            <v>15825.2</v>
          </cell>
          <cell r="G180">
            <v>12090.400000000001</v>
          </cell>
          <cell r="H180">
            <v>12849.300000000001</v>
          </cell>
          <cell r="I180">
            <v>19392.899999999998</v>
          </cell>
          <cell r="J180">
            <v>25939.4</v>
          </cell>
          <cell r="K180">
            <v>27318.564131527412</v>
          </cell>
          <cell r="L180">
            <v>38345.78016255032</v>
          </cell>
          <cell r="M180">
            <v>47284.631193423964</v>
          </cell>
          <cell r="N180">
            <v>48424.32596915085</v>
          </cell>
          <cell r="O180">
            <v>53549.331589787667</v>
          </cell>
          <cell r="P180">
            <v>-25.651064360148261</v>
          </cell>
          <cell r="Q180">
            <v>0</v>
          </cell>
        </row>
        <row r="182">
          <cell r="A182" t="str">
            <v>( + )</v>
          </cell>
          <cell r="C182" t="str">
            <v>Long Term Debt</v>
          </cell>
          <cell r="F182">
            <v>13540.7</v>
          </cell>
          <cell r="G182">
            <v>21873.4</v>
          </cell>
          <cell r="H182">
            <v>25016.400000000001</v>
          </cell>
          <cell r="I182">
            <v>23971.300000000003</v>
          </cell>
          <cell r="J182">
            <v>39118.666666666664</v>
          </cell>
          <cell r="K182">
            <v>62050.709115570608</v>
          </cell>
          <cell r="L182">
            <v>76741.997768379733</v>
          </cell>
          <cell r="M182">
            <v>68257.607482766805</v>
          </cell>
          <cell r="N182">
            <v>68631.252743464225</v>
          </cell>
          <cell r="O182">
            <v>69915.1049597073</v>
          </cell>
          <cell r="P182">
            <v>0</v>
          </cell>
          <cell r="Q182">
            <v>0</v>
          </cell>
        </row>
        <row r="183">
          <cell r="A183" t="str">
            <v>( + )</v>
          </cell>
          <cell r="C183" t="str">
            <v>Deferred Taxes</v>
          </cell>
        </row>
        <row r="184">
          <cell r="A184" t="str">
            <v>( + )</v>
          </cell>
          <cell r="C184" t="str">
            <v>Other Long Term Liabilities</v>
          </cell>
          <cell r="F184">
            <v>752.4</v>
          </cell>
        </row>
        <row r="185">
          <cell r="C185" t="str">
            <v>Total Long Term Liabilities</v>
          </cell>
          <cell r="E185">
            <v>0</v>
          </cell>
          <cell r="F185">
            <v>14293.1</v>
          </cell>
          <cell r="G185">
            <v>21873.4</v>
          </cell>
          <cell r="H185">
            <v>25016.400000000001</v>
          </cell>
          <cell r="I185">
            <v>23971.300000000003</v>
          </cell>
          <cell r="J185">
            <v>39118.666666666664</v>
          </cell>
          <cell r="K185">
            <v>62050.709115570608</v>
          </cell>
          <cell r="L185">
            <v>76741.997768379733</v>
          </cell>
          <cell r="M185">
            <v>68257.607482766805</v>
          </cell>
          <cell r="N185">
            <v>68631.252743464225</v>
          </cell>
          <cell r="O185">
            <v>69915.1049597073</v>
          </cell>
          <cell r="P185">
            <v>0</v>
          </cell>
          <cell r="Q185">
            <v>0</v>
          </cell>
        </row>
        <row r="186">
          <cell r="E186">
            <v>0</v>
          </cell>
          <cell r="F186">
            <v>0</v>
          </cell>
          <cell r="G186">
            <v>0</v>
          </cell>
          <cell r="H186">
            <v>0</v>
          </cell>
          <cell r="I186">
            <v>0</v>
          </cell>
          <cell r="J186">
            <v>0</v>
          </cell>
          <cell r="K186">
            <v>0</v>
          </cell>
          <cell r="L186">
            <v>0</v>
          </cell>
          <cell r="M186">
            <v>0</v>
          </cell>
          <cell r="N186">
            <v>0</v>
          </cell>
          <cell r="O186">
            <v>0</v>
          </cell>
          <cell r="P186">
            <v>0</v>
          </cell>
          <cell r="Q186">
            <v>0</v>
          </cell>
        </row>
        <row r="187">
          <cell r="C187" t="str">
            <v>Total  Liabilities</v>
          </cell>
          <cell r="E187">
            <v>0</v>
          </cell>
          <cell r="F187">
            <v>30118.300000000003</v>
          </cell>
          <cell r="G187">
            <v>33963.800000000003</v>
          </cell>
          <cell r="H187">
            <v>37865.700000000004</v>
          </cell>
          <cell r="I187">
            <v>43364.2</v>
          </cell>
          <cell r="J187">
            <v>65058.066666666666</v>
          </cell>
          <cell r="K187">
            <v>89369.273247098026</v>
          </cell>
          <cell r="L187">
            <v>115087.77793093005</v>
          </cell>
          <cell r="M187">
            <v>115542.23867619077</v>
          </cell>
          <cell r="N187">
            <v>117055.57871261507</v>
          </cell>
          <cell r="O187">
            <v>123464.43654949497</v>
          </cell>
          <cell r="P187">
            <v>-25.651064360148261</v>
          </cell>
          <cell r="Q187">
            <v>0</v>
          </cell>
        </row>
        <row r="188">
          <cell r="E188">
            <v>0</v>
          </cell>
          <cell r="F188">
            <v>0</v>
          </cell>
          <cell r="G188">
            <v>0</v>
          </cell>
          <cell r="H188">
            <v>0</v>
          </cell>
          <cell r="I188">
            <v>0</v>
          </cell>
          <cell r="J188">
            <v>0</v>
          </cell>
          <cell r="K188">
            <v>0</v>
          </cell>
          <cell r="L188">
            <v>0</v>
          </cell>
          <cell r="M188">
            <v>0</v>
          </cell>
          <cell r="N188">
            <v>0</v>
          </cell>
          <cell r="O188">
            <v>0</v>
          </cell>
          <cell r="P188">
            <v>0</v>
          </cell>
          <cell r="Q188">
            <v>0</v>
          </cell>
        </row>
        <row r="190">
          <cell r="A190" t="str">
            <v>( + )</v>
          </cell>
          <cell r="C190" t="str">
            <v>Minority Interest</v>
          </cell>
        </row>
        <row r="191">
          <cell r="A191" t="str">
            <v>( + )</v>
          </cell>
          <cell r="C191" t="str">
            <v>Preferred Equity</v>
          </cell>
          <cell r="F191">
            <v>55</v>
          </cell>
          <cell r="G191">
            <v>55</v>
          </cell>
          <cell r="H191">
            <v>55</v>
          </cell>
          <cell r="I191">
            <v>55</v>
          </cell>
          <cell r="J191">
            <v>2000</v>
          </cell>
          <cell r="K191">
            <v>2000</v>
          </cell>
          <cell r="L191">
            <v>2000</v>
          </cell>
          <cell r="M191">
            <v>2000</v>
          </cell>
          <cell r="N191">
            <v>2000</v>
          </cell>
          <cell r="O191">
            <v>2000</v>
          </cell>
          <cell r="P191">
            <v>0</v>
          </cell>
        </row>
        <row r="193">
          <cell r="A193" t="str">
            <v>( + )</v>
          </cell>
          <cell r="C193" t="str">
            <v>Common Shares</v>
          </cell>
          <cell r="F193">
            <v>1521.4</v>
          </cell>
          <cell r="G193">
            <v>2454.8000000000002</v>
          </cell>
          <cell r="H193">
            <v>3183.2</v>
          </cell>
          <cell r="I193">
            <v>4558.6000000000004</v>
          </cell>
          <cell r="J193">
            <v>4581.6000000000004</v>
          </cell>
          <cell r="K193">
            <v>4581.6000000000004</v>
          </cell>
          <cell r="L193">
            <v>4581.6000000000004</v>
          </cell>
          <cell r="M193">
            <v>4581.6000000000004</v>
          </cell>
          <cell r="N193">
            <v>4581.6000000000004</v>
          </cell>
          <cell r="O193">
            <v>4581.6000000000004</v>
          </cell>
          <cell r="P193">
            <v>0</v>
          </cell>
          <cell r="Q193">
            <v>0</v>
          </cell>
        </row>
        <row r="194">
          <cell r="A194" t="str">
            <v>( + )</v>
          </cell>
          <cell r="C194" t="str">
            <v>Share Premium</v>
          </cell>
          <cell r="F194">
            <v>13479.9</v>
          </cell>
          <cell r="G194">
            <v>17629.599999999999</v>
          </cell>
          <cell r="H194">
            <v>29759.3</v>
          </cell>
          <cell r="I194">
            <v>47984</v>
          </cell>
          <cell r="J194">
            <v>48112.6</v>
          </cell>
          <cell r="K194">
            <v>48112.6</v>
          </cell>
          <cell r="L194">
            <v>48112.6</v>
          </cell>
          <cell r="M194">
            <v>48112.6</v>
          </cell>
          <cell r="N194">
            <v>48112.6</v>
          </cell>
          <cell r="O194">
            <v>48112.6</v>
          </cell>
          <cell r="P194">
            <v>0</v>
          </cell>
          <cell r="Q194">
            <v>0</v>
          </cell>
        </row>
        <row r="195">
          <cell r="A195" t="str">
            <v>( + )</v>
          </cell>
          <cell r="C195" t="str">
            <v>Revaluation Reserve</v>
          </cell>
        </row>
        <row r="196">
          <cell r="A196" t="str">
            <v>( + )</v>
          </cell>
          <cell r="C196" t="str">
            <v>Other Reserves</v>
          </cell>
        </row>
        <row r="197">
          <cell r="A197" t="str">
            <v>( + )</v>
          </cell>
          <cell r="C197" t="str">
            <v>Retained Earnings</v>
          </cell>
          <cell r="F197">
            <v>3627.5</v>
          </cell>
          <cell r="G197">
            <v>5988.3</v>
          </cell>
          <cell r="H197">
            <v>10351.4</v>
          </cell>
          <cell r="I197">
            <v>19328.90000000058</v>
          </cell>
          <cell r="J197">
            <v>29358.352237570583</v>
          </cell>
          <cell r="K197">
            <v>35849.535425667869</v>
          </cell>
          <cell r="L197">
            <v>44931.884418210146</v>
          </cell>
          <cell r="M197">
            <v>62617.405932282476</v>
          </cell>
          <cell r="N197">
            <v>84633.580893987324</v>
          </cell>
          <cell r="O197">
            <v>107188.60235719402</v>
          </cell>
          <cell r="P197">
            <v>0</v>
          </cell>
          <cell r="Q197">
            <v>0</v>
          </cell>
        </row>
        <row r="198">
          <cell r="C198" t="str">
            <v>Total Reserves</v>
          </cell>
          <cell r="E198">
            <v>0</v>
          </cell>
          <cell r="F198">
            <v>3627.5</v>
          </cell>
          <cell r="G198">
            <v>5988.3</v>
          </cell>
          <cell r="H198">
            <v>10351.4</v>
          </cell>
          <cell r="I198">
            <v>19328.90000000058</v>
          </cell>
          <cell r="J198">
            <v>29358.352237570583</v>
          </cell>
          <cell r="K198">
            <v>35849.535425667869</v>
          </cell>
          <cell r="L198">
            <v>44931.884418210146</v>
          </cell>
          <cell r="M198">
            <v>62617.405932282476</v>
          </cell>
          <cell r="N198">
            <v>84633.580893987324</v>
          </cell>
          <cell r="O198">
            <v>107188.60235719402</v>
          </cell>
          <cell r="P198">
            <v>0</v>
          </cell>
          <cell r="Q198">
            <v>0</v>
          </cell>
        </row>
        <row r="199">
          <cell r="C199" t="str">
            <v>Total Common Equity</v>
          </cell>
          <cell r="E199">
            <v>0</v>
          </cell>
          <cell r="F199">
            <v>18628.8</v>
          </cell>
          <cell r="G199">
            <v>26072.699999999997</v>
          </cell>
          <cell r="H199">
            <v>43293.9</v>
          </cell>
          <cell r="I199">
            <v>71871.500000000582</v>
          </cell>
          <cell r="J199">
            <v>82052.552237570577</v>
          </cell>
          <cell r="K199">
            <v>88543.735425667866</v>
          </cell>
          <cell r="L199">
            <v>97626.084418210143</v>
          </cell>
          <cell r="M199">
            <v>115311.60593228247</v>
          </cell>
          <cell r="N199">
            <v>137327.78089398734</v>
          </cell>
          <cell r="O199">
            <v>159882.80235719401</v>
          </cell>
          <cell r="P199">
            <v>0</v>
          </cell>
          <cell r="Q199">
            <v>0</v>
          </cell>
        </row>
        <row r="200">
          <cell r="E200">
            <v>0</v>
          </cell>
          <cell r="F200">
            <v>0</v>
          </cell>
          <cell r="G200">
            <v>0</v>
          </cell>
          <cell r="H200">
            <v>0</v>
          </cell>
          <cell r="I200">
            <v>0</v>
          </cell>
          <cell r="J200">
            <v>0</v>
          </cell>
          <cell r="K200">
            <v>0</v>
          </cell>
          <cell r="L200">
            <v>0</v>
          </cell>
          <cell r="M200">
            <v>0</v>
          </cell>
          <cell r="N200">
            <v>0</v>
          </cell>
          <cell r="O200">
            <v>0</v>
          </cell>
          <cell r="P200">
            <v>0</v>
          </cell>
          <cell r="Q200">
            <v>0</v>
          </cell>
        </row>
        <row r="201">
          <cell r="A201" t="str">
            <v>( + )</v>
          </cell>
          <cell r="C201" t="str">
            <v>Statutory Reserves</v>
          </cell>
        </row>
        <row r="202">
          <cell r="C202" t="str">
            <v>Total Equity</v>
          </cell>
          <cell r="E202">
            <v>0</v>
          </cell>
          <cell r="F202">
            <v>18683.8</v>
          </cell>
          <cell r="G202">
            <v>26127.699999999997</v>
          </cell>
          <cell r="H202">
            <v>43348.9</v>
          </cell>
          <cell r="I202">
            <v>71926.500000000582</v>
          </cell>
          <cell r="J202">
            <v>84052.552237570577</v>
          </cell>
          <cell r="K202">
            <v>90543.735425667866</v>
          </cell>
          <cell r="L202">
            <v>99626.084418210143</v>
          </cell>
          <cell r="M202">
            <v>117311.60593228247</v>
          </cell>
          <cell r="N202">
            <v>139327.78089398734</v>
          </cell>
          <cell r="O202">
            <v>161882.80235719401</v>
          </cell>
          <cell r="P202">
            <v>0</v>
          </cell>
          <cell r="Q202">
            <v>0</v>
          </cell>
        </row>
        <row r="203">
          <cell r="E203">
            <v>0</v>
          </cell>
          <cell r="F203">
            <v>0</v>
          </cell>
          <cell r="G203">
            <v>0</v>
          </cell>
          <cell r="H203">
            <v>0</v>
          </cell>
          <cell r="I203">
            <v>0</v>
          </cell>
          <cell r="J203">
            <v>0</v>
          </cell>
          <cell r="K203">
            <v>0</v>
          </cell>
          <cell r="L203">
            <v>0</v>
          </cell>
          <cell r="M203">
            <v>0</v>
          </cell>
          <cell r="N203">
            <v>0</v>
          </cell>
          <cell r="O203">
            <v>0</v>
          </cell>
          <cell r="P203">
            <v>0</v>
          </cell>
          <cell r="Q203">
            <v>0</v>
          </cell>
        </row>
        <row r="204">
          <cell r="C204" t="str">
            <v>Total Liabilities &amp; Equity</v>
          </cell>
          <cell r="E204">
            <v>0</v>
          </cell>
          <cell r="F204">
            <v>48802.100000000006</v>
          </cell>
          <cell r="G204">
            <v>60091.5</v>
          </cell>
          <cell r="H204">
            <v>81214.600000000006</v>
          </cell>
          <cell r="I204">
            <v>115290.70000000058</v>
          </cell>
          <cell r="J204">
            <v>149110.61890423723</v>
          </cell>
          <cell r="K204">
            <v>179913.00867276589</v>
          </cell>
          <cell r="L204">
            <v>214713.8623491402</v>
          </cell>
          <cell r="M204">
            <v>232853.84460847324</v>
          </cell>
          <cell r="N204">
            <v>256383.3596066024</v>
          </cell>
          <cell r="O204">
            <v>285347.23890668899</v>
          </cell>
          <cell r="P204">
            <v>-25.651064360148261</v>
          </cell>
          <cell r="Q204">
            <v>0</v>
          </cell>
        </row>
        <row r="205">
          <cell r="E205">
            <v>0</v>
          </cell>
          <cell r="F205">
            <v>0</v>
          </cell>
          <cell r="G205">
            <v>0</v>
          </cell>
          <cell r="H205">
            <v>0</v>
          </cell>
          <cell r="I205">
            <v>0</v>
          </cell>
          <cell r="J205">
            <v>0</v>
          </cell>
          <cell r="K205">
            <v>0</v>
          </cell>
          <cell r="L205">
            <v>0</v>
          </cell>
          <cell r="M205">
            <v>0</v>
          </cell>
          <cell r="N205">
            <v>0</v>
          </cell>
          <cell r="O205">
            <v>0</v>
          </cell>
          <cell r="P205">
            <v>0</v>
          </cell>
          <cell r="Q205">
            <v>0</v>
          </cell>
        </row>
        <row r="206">
          <cell r="C206" t="str">
            <v>Assets - (Liabilities + Equity) [Balance]</v>
          </cell>
          <cell r="E206">
            <v>0</v>
          </cell>
          <cell r="F206">
            <v>0</v>
          </cell>
          <cell r="G206">
            <v>0</v>
          </cell>
          <cell r="H206">
            <v>0</v>
          </cell>
          <cell r="I206">
            <v>0</v>
          </cell>
          <cell r="J206">
            <v>0</v>
          </cell>
          <cell r="K206">
            <v>0</v>
          </cell>
          <cell r="L206">
            <v>0</v>
          </cell>
          <cell r="M206">
            <v>0</v>
          </cell>
          <cell r="N206">
            <v>0</v>
          </cell>
          <cell r="O206">
            <v>0</v>
          </cell>
          <cell r="P206">
            <v>25.7</v>
          </cell>
          <cell r="Q206">
            <v>0</v>
          </cell>
        </row>
        <row r="208">
          <cell r="C208" t="str">
            <v>PV of Non Capitalized Leases</v>
          </cell>
        </row>
        <row r="209">
          <cell r="C209" t="str">
            <v>Other Off Balance Sheert Items</v>
          </cell>
        </row>
        <row r="213">
          <cell r="C213" t="str">
            <v>Net Working Capital</v>
          </cell>
          <cell r="E213">
            <v>0</v>
          </cell>
          <cell r="F213">
            <v>6997.3999999999978</v>
          </cell>
          <cell r="G213">
            <v>10857.399999999992</v>
          </cell>
          <cell r="H213">
            <v>14045.69999999999</v>
          </cell>
          <cell r="I213">
            <v>15544.500000000562</v>
          </cell>
          <cell r="J213">
            <v>18134.719079237217</v>
          </cell>
          <cell r="K213">
            <v>29929.090437550938</v>
          </cell>
          <cell r="L213">
            <v>29280.478328902329</v>
          </cell>
          <cell r="M213">
            <v>19025.334078986736</v>
          </cell>
          <cell r="N213">
            <v>23126.878823014013</v>
          </cell>
          <cell r="O213">
            <v>33773.977024088766</v>
          </cell>
          <cell r="P213">
            <v>25.651064360148261</v>
          </cell>
          <cell r="Q213">
            <v>0</v>
          </cell>
        </row>
        <row r="214">
          <cell r="C214" t="str">
            <v>Net Current Assets</v>
          </cell>
          <cell r="E214">
            <v>0</v>
          </cell>
          <cell r="F214">
            <v>-1023.7000000000025</v>
          </cell>
          <cell r="G214">
            <v>6525.9999999999927</v>
          </cell>
          <cell r="H214">
            <v>12467.099999999989</v>
          </cell>
          <cell r="I214">
            <v>10116.600000000562</v>
          </cell>
          <cell r="J214">
            <v>11312.919079237217</v>
          </cell>
          <cell r="K214">
            <v>23107.290437550939</v>
          </cell>
          <cell r="L214">
            <v>21649.67832890233</v>
          </cell>
          <cell r="M214">
            <v>12161.534078986733</v>
          </cell>
          <cell r="N214">
            <v>16262.07882301401</v>
          </cell>
          <cell r="O214">
            <v>26908.177024088764</v>
          </cell>
          <cell r="P214">
            <v>25.651064360148261</v>
          </cell>
          <cell r="Q214">
            <v>0</v>
          </cell>
        </row>
        <row r="215">
          <cell r="C215" t="str">
            <v>Net Assets</v>
          </cell>
          <cell r="E215">
            <v>0</v>
          </cell>
          <cell r="F215">
            <v>40245.599999999999</v>
          </cell>
          <cell r="G215">
            <v>52332.499999999993</v>
          </cell>
          <cell r="H215">
            <v>69943.899999999994</v>
          </cell>
          <cell r="I215">
            <v>101325.70000000056</v>
          </cell>
          <cell r="J215">
            <v>129993.01890423725</v>
          </cell>
          <cell r="K215">
            <v>159416.24454123844</v>
          </cell>
          <cell r="L215">
            <v>183998.88218658982</v>
          </cell>
          <cell r="M215">
            <v>192433.01341504924</v>
          </cell>
          <cell r="N215">
            <v>214823.83363745152</v>
          </cell>
          <cell r="O215">
            <v>238663.70731690124</v>
          </cell>
          <cell r="P215">
            <v>25.651064360148261</v>
          </cell>
          <cell r="Q215">
            <v>0</v>
          </cell>
        </row>
        <row r="216">
          <cell r="C216" t="str">
            <v>Net Debt / (Cash)</v>
          </cell>
          <cell r="E216">
            <v>0</v>
          </cell>
          <cell r="F216">
            <v>20808.200000000004</v>
          </cell>
          <cell r="G216">
            <v>23880.600000000009</v>
          </cell>
          <cell r="H216">
            <v>25615.700000000008</v>
          </cell>
          <cell r="I216">
            <v>25730.999999999447</v>
          </cell>
          <cell r="J216">
            <v>31661.047587429446</v>
          </cell>
          <cell r="K216">
            <v>47374.523224549528</v>
          </cell>
          <cell r="L216">
            <v>64923.73219371344</v>
          </cell>
          <cell r="M216">
            <v>70110.465688643031</v>
          </cell>
          <cell r="N216">
            <v>67576.975437285029</v>
          </cell>
          <cell r="O216">
            <v>59340.101148509704</v>
          </cell>
          <cell r="P216">
            <v>0</v>
          </cell>
          <cell r="Q216">
            <v>0</v>
          </cell>
        </row>
        <row r="217">
          <cell r="C217" t="str">
            <v>Total Debt</v>
          </cell>
          <cell r="E217">
            <v>0</v>
          </cell>
          <cell r="F217">
            <v>21561.800000000003</v>
          </cell>
          <cell r="G217">
            <v>26204.800000000003</v>
          </cell>
          <cell r="H217">
            <v>26595</v>
          </cell>
          <cell r="I217">
            <v>29399.200000000004</v>
          </cell>
          <cell r="J217">
            <v>45940.466666666667</v>
          </cell>
          <cell r="K217">
            <v>68872.509115570603</v>
          </cell>
          <cell r="L217">
            <v>84372.797768379736</v>
          </cell>
          <cell r="M217">
            <v>75121.407482766808</v>
          </cell>
          <cell r="N217">
            <v>75496.052743464228</v>
          </cell>
          <cell r="O217">
            <v>76780.904959707303</v>
          </cell>
          <cell r="P217">
            <v>0</v>
          </cell>
          <cell r="Q217">
            <v>0</v>
          </cell>
        </row>
        <row r="218">
          <cell r="C218" t="str">
            <v>Average Total Assets</v>
          </cell>
          <cell r="E218">
            <v>0</v>
          </cell>
          <cell r="F218">
            <v>0</v>
          </cell>
          <cell r="G218">
            <v>54446.799999999996</v>
          </cell>
          <cell r="H218">
            <v>70653.049999999988</v>
          </cell>
          <cell r="I218">
            <v>98252.650000000285</v>
          </cell>
          <cell r="J218">
            <v>132200.65945211891</v>
          </cell>
          <cell r="K218">
            <v>164511.81378850155</v>
          </cell>
          <cell r="L218">
            <v>197313.43551095302</v>
          </cell>
          <cell r="M218">
            <v>223783.85347880668</v>
          </cell>
          <cell r="N218">
            <v>244618.60210753779</v>
          </cell>
          <cell r="O218">
            <v>270865.29925664567</v>
          </cell>
          <cell r="P218">
            <v>0</v>
          </cell>
          <cell r="Q218">
            <v>0</v>
          </cell>
        </row>
        <row r="219">
          <cell r="C219" t="str">
            <v>Average Net Assets</v>
          </cell>
          <cell r="E219">
            <v>0</v>
          </cell>
          <cell r="F219">
            <v>0</v>
          </cell>
          <cell r="G219">
            <v>46289.049999999996</v>
          </cell>
          <cell r="H219">
            <v>61138.2</v>
          </cell>
          <cell r="I219">
            <v>85634.800000000279</v>
          </cell>
          <cell r="J219">
            <v>115659.35945211891</v>
          </cell>
          <cell r="K219">
            <v>144704.63172273786</v>
          </cell>
          <cell r="L219">
            <v>171707.56336391415</v>
          </cell>
          <cell r="M219">
            <v>188215.94780081953</v>
          </cell>
          <cell r="N219">
            <v>203628.42352625038</v>
          </cell>
          <cell r="O219">
            <v>226743.77047717638</v>
          </cell>
          <cell r="P219">
            <v>0</v>
          </cell>
          <cell r="Q219">
            <v>0</v>
          </cell>
        </row>
        <row r="220">
          <cell r="C220" t="str">
            <v>Average Total Debt</v>
          </cell>
          <cell r="E220">
            <v>0</v>
          </cell>
          <cell r="F220">
            <v>0</v>
          </cell>
          <cell r="G220">
            <v>23883.300000000003</v>
          </cell>
          <cell r="H220">
            <v>26399.9</v>
          </cell>
          <cell r="I220">
            <v>27997.100000000002</v>
          </cell>
          <cell r="J220">
            <v>37669.833333333336</v>
          </cell>
          <cell r="K220">
            <v>57406.487891118639</v>
          </cell>
          <cell r="L220">
            <v>76622.65344197517</v>
          </cell>
          <cell r="M220">
            <v>79747.102625573272</v>
          </cell>
          <cell r="N220">
            <v>75308.730113115511</v>
          </cell>
          <cell r="O220">
            <v>76138.478851585765</v>
          </cell>
          <cell r="P220">
            <v>0</v>
          </cell>
          <cell r="Q220">
            <v>0</v>
          </cell>
        </row>
        <row r="221">
          <cell r="C221" t="str">
            <v>Average Common Equity</v>
          </cell>
          <cell r="E221">
            <v>0</v>
          </cell>
          <cell r="F221">
            <v>0</v>
          </cell>
          <cell r="G221">
            <v>22350.75</v>
          </cell>
          <cell r="H221">
            <v>34683.300000000003</v>
          </cell>
          <cell r="I221">
            <v>57582.700000000288</v>
          </cell>
          <cell r="J221">
            <v>76962.026118785579</v>
          </cell>
          <cell r="K221">
            <v>85298.143831619222</v>
          </cell>
          <cell r="L221">
            <v>93084.909921939005</v>
          </cell>
          <cell r="M221">
            <v>106468.8451752463</v>
          </cell>
          <cell r="N221">
            <v>126319.6934131349</v>
          </cell>
          <cell r="O221">
            <v>148605.29162559067</v>
          </cell>
          <cell r="P221">
            <v>0</v>
          </cell>
          <cell r="Q221">
            <v>0</v>
          </cell>
        </row>
        <row r="229">
          <cell r="E229">
            <v>0</v>
          </cell>
          <cell r="F229">
            <v>0</v>
          </cell>
          <cell r="G229">
            <v>3217.4999999999964</v>
          </cell>
          <cell r="H229">
            <v>5754.8999999999951</v>
          </cell>
          <cell r="I229">
            <v>10648.500000000577</v>
          </cell>
          <cell r="J229">
            <v>13052.690027570001</v>
          </cell>
          <cell r="K229">
            <v>10945.374257287356</v>
          </cell>
          <cell r="L229">
            <v>14713.141481104789</v>
          </cell>
          <cell r="M229">
            <v>24854.77064761462</v>
          </cell>
          <cell r="N229">
            <v>29826.818233874688</v>
          </cell>
          <cell r="O229">
            <v>30445.470933647175</v>
          </cell>
          <cell r="P229">
            <v>0</v>
          </cell>
          <cell r="Q229">
            <v>0</v>
          </cell>
        </row>
        <row r="230">
          <cell r="E230">
            <v>0</v>
          </cell>
          <cell r="F230">
            <v>0</v>
          </cell>
          <cell r="G230">
            <v>0</v>
          </cell>
          <cell r="H230">
            <v>0</v>
          </cell>
          <cell r="I230">
            <v>0</v>
          </cell>
          <cell r="J230">
            <v>0</v>
          </cell>
          <cell r="K230">
            <v>-1411.953279190069</v>
          </cell>
          <cell r="L230">
            <v>-1897.995251062518</v>
          </cell>
          <cell r="M230">
            <v>-3206.2654135422858</v>
          </cell>
          <cell r="N230">
            <v>-3847.659552169835</v>
          </cell>
          <cell r="O230">
            <v>-3927.4657504404859</v>
          </cell>
          <cell r="P230">
            <v>0</v>
          </cell>
          <cell r="Q230">
            <v>0</v>
          </cell>
        </row>
        <row r="231">
          <cell r="E231">
            <v>0</v>
          </cell>
          <cell r="F231">
            <v>0</v>
          </cell>
          <cell r="G231">
            <v>-8.5999999999999091</v>
          </cell>
          <cell r="H231">
            <v>-8.3000000000001819</v>
          </cell>
          <cell r="I231">
            <v>-8.2999999999992724</v>
          </cell>
          <cell r="J231">
            <v>-280</v>
          </cell>
          <cell r="K231">
            <v>-280</v>
          </cell>
          <cell r="L231">
            <v>-280</v>
          </cell>
          <cell r="M231">
            <v>-280</v>
          </cell>
          <cell r="N231">
            <v>-280</v>
          </cell>
          <cell r="O231">
            <v>-280</v>
          </cell>
          <cell r="P231">
            <v>0</v>
          </cell>
          <cell r="Q231">
            <v>0</v>
          </cell>
        </row>
        <row r="232">
          <cell r="E232">
            <v>0</v>
          </cell>
          <cell r="F232">
            <v>0</v>
          </cell>
          <cell r="G232">
            <v>2798.1</v>
          </cell>
          <cell r="H232">
            <v>2551.9</v>
          </cell>
          <cell r="I232">
            <v>2782.4</v>
          </cell>
          <cell r="J232">
            <v>3364.5540000000001</v>
          </cell>
          <cell r="K232">
            <v>3604.7331278125002</v>
          </cell>
          <cell r="L232">
            <v>6398.7691209999994</v>
          </cell>
          <cell r="M232">
            <v>7398.7245216249994</v>
          </cell>
          <cell r="N232">
            <v>7398.7245216249994</v>
          </cell>
          <cell r="O232">
            <v>7398.7245216249994</v>
          </cell>
          <cell r="P232">
            <v>0</v>
          </cell>
          <cell r="Q232">
            <v>0</v>
          </cell>
        </row>
        <row r="233">
          <cell r="E233">
            <v>0</v>
          </cell>
          <cell r="F233">
            <v>0</v>
          </cell>
          <cell r="G233">
            <v>0</v>
          </cell>
          <cell r="H233">
            <v>0</v>
          </cell>
          <cell r="I233">
            <v>0</v>
          </cell>
          <cell r="J233">
            <v>0</v>
          </cell>
          <cell r="K233">
            <v>0</v>
          </cell>
          <cell r="L233">
            <v>0</v>
          </cell>
          <cell r="M233">
            <v>0</v>
          </cell>
          <cell r="N233">
            <v>0</v>
          </cell>
          <cell r="O233">
            <v>0</v>
          </cell>
          <cell r="P233">
            <v>0</v>
          </cell>
          <cell r="Q233">
            <v>0</v>
          </cell>
        </row>
        <row r="234">
          <cell r="E234">
            <v>0</v>
          </cell>
          <cell r="F234">
            <v>0</v>
          </cell>
          <cell r="G234">
            <v>0</v>
          </cell>
          <cell r="H234">
            <v>0</v>
          </cell>
          <cell r="I234">
            <v>0</v>
          </cell>
          <cell r="J234">
            <v>0</v>
          </cell>
          <cell r="K234">
            <v>0</v>
          </cell>
          <cell r="L234">
            <v>0</v>
          </cell>
          <cell r="M234">
            <v>0</v>
          </cell>
          <cell r="N234">
            <v>0</v>
          </cell>
          <cell r="O234">
            <v>0</v>
          </cell>
          <cell r="P234">
            <v>0</v>
          </cell>
          <cell r="Q234">
            <v>0</v>
          </cell>
        </row>
        <row r="235">
          <cell r="C235" t="str">
            <v>Decr / (Incr) In Net Working Capital *</v>
          </cell>
          <cell r="E235">
            <v>0</v>
          </cell>
          <cell r="F235">
            <v>0</v>
          </cell>
          <cell r="G235">
            <v>-2289.3999999999996</v>
          </cell>
          <cell r="H235">
            <v>-4533.1999999999989</v>
          </cell>
          <cell r="I235">
            <v>1190.0999999999935</v>
          </cell>
          <cell r="J235">
            <v>8021.0000000000091</v>
          </cell>
          <cell r="K235">
            <v>-4575.804546529871</v>
          </cell>
          <cell r="L235">
            <v>-1400.3082077061663</v>
          </cell>
          <cell r="M235">
            <v>-4182.9795306269261</v>
          </cell>
          <cell r="N235">
            <v>-1193.4092319718548</v>
          </cell>
          <cell r="O235">
            <v>-1125.3716960563543</v>
          </cell>
          <cell r="P235">
            <v>0</v>
          </cell>
          <cell r="Q235">
            <v>0</v>
          </cell>
        </row>
        <row r="236">
          <cell r="E236">
            <v>0</v>
          </cell>
          <cell r="F236">
            <v>0</v>
          </cell>
          <cell r="G236">
            <v>0</v>
          </cell>
          <cell r="H236">
            <v>0</v>
          </cell>
          <cell r="I236">
            <v>0</v>
          </cell>
          <cell r="J236">
            <v>0</v>
          </cell>
          <cell r="K236">
            <v>0</v>
          </cell>
          <cell r="L236">
            <v>0</v>
          </cell>
          <cell r="M236">
            <v>0</v>
          </cell>
          <cell r="N236">
            <v>0</v>
          </cell>
          <cell r="O236">
            <v>0</v>
          </cell>
          <cell r="P236">
            <v>0</v>
          </cell>
          <cell r="Q236">
            <v>0</v>
          </cell>
        </row>
        <row r="237">
          <cell r="C237" t="str">
            <v>Total Operational CashFlow</v>
          </cell>
          <cell r="E237">
            <v>0</v>
          </cell>
          <cell r="F237">
            <v>0</v>
          </cell>
          <cell r="G237">
            <v>3717.5999999999967</v>
          </cell>
          <cell r="H237">
            <v>3765.2999999999956</v>
          </cell>
          <cell r="I237">
            <v>14612.70000000057</v>
          </cell>
          <cell r="J237">
            <v>24158.24402757001</v>
          </cell>
          <cell r="K237">
            <v>8282.3495593799162</v>
          </cell>
          <cell r="L237">
            <v>17533.607143336103</v>
          </cell>
          <cell r="M237">
            <v>24584.250225070409</v>
          </cell>
          <cell r="N237">
            <v>31904.473971357998</v>
          </cell>
          <cell r="O237">
            <v>32511.358008775336</v>
          </cell>
          <cell r="P237">
            <v>0</v>
          </cell>
          <cell r="Q237">
            <v>0</v>
          </cell>
        </row>
        <row r="240">
          <cell r="C240" t="str">
            <v>Disposals / (Additions) of Fixed Assets</v>
          </cell>
          <cell r="E240">
            <v>0</v>
          </cell>
          <cell r="F240">
            <v>0</v>
          </cell>
          <cell r="G240">
            <v>-16959.5</v>
          </cell>
          <cell r="H240">
            <v>-7716.6</v>
          </cell>
          <cell r="I240">
            <v>-5828.1999999999953</v>
          </cell>
          <cell r="J240">
            <v>-15710.653824999998</v>
          </cell>
          <cell r="K240">
            <v>-49507.533662500013</v>
          </cell>
          <cell r="L240">
            <v>-15954.268875000003</v>
          </cell>
          <cell r="M240">
            <v>-23988</v>
          </cell>
          <cell r="N240">
            <v>-23988</v>
          </cell>
          <cell r="O240">
            <v>-16991.5</v>
          </cell>
          <cell r="P240">
            <v>0</v>
          </cell>
          <cell r="Q240">
            <v>0</v>
          </cell>
        </row>
        <row r="241">
          <cell r="C241" t="str">
            <v>Plus Incr / (Decr) in Revaluation Reserve</v>
          </cell>
          <cell r="E241">
            <v>0</v>
          </cell>
          <cell r="F241">
            <v>0</v>
          </cell>
          <cell r="G241">
            <v>0</v>
          </cell>
          <cell r="H241">
            <v>0</v>
          </cell>
          <cell r="I241">
            <v>0</v>
          </cell>
          <cell r="J241">
            <v>0</v>
          </cell>
          <cell r="K241">
            <v>0</v>
          </cell>
          <cell r="L241">
            <v>0</v>
          </cell>
          <cell r="M241">
            <v>0</v>
          </cell>
          <cell r="N241">
            <v>0</v>
          </cell>
          <cell r="O241">
            <v>0</v>
          </cell>
          <cell r="P241">
            <v>0</v>
          </cell>
          <cell r="Q241">
            <v>0</v>
          </cell>
        </row>
        <row r="242">
          <cell r="C242" t="str">
            <v>Decr / (Incr) In Construction In Progress</v>
          </cell>
          <cell r="E242">
            <v>0</v>
          </cell>
          <cell r="F242">
            <v>0</v>
          </cell>
          <cell r="G242">
            <v>13864.099999999999</v>
          </cell>
          <cell r="H242">
            <v>2846.7</v>
          </cell>
          <cell r="I242">
            <v>-26804.9</v>
          </cell>
          <cell r="J242">
            <v>-14136</v>
          </cell>
          <cell r="K242">
            <v>30033</v>
          </cell>
          <cell r="L242">
            <v>-12175.75</v>
          </cell>
          <cell r="M242">
            <v>-2100</v>
          </cell>
          <cell r="N242">
            <v>3300</v>
          </cell>
          <cell r="O242">
            <v>1400</v>
          </cell>
          <cell r="P242">
            <v>0</v>
          </cell>
          <cell r="Q242">
            <v>0</v>
          </cell>
        </row>
        <row r="243">
          <cell r="C243" t="str">
            <v>Decr / (Incr) In Intangibles &amp; Capitalised Assets</v>
          </cell>
          <cell r="E243">
            <v>0</v>
          </cell>
          <cell r="F243">
            <v>0</v>
          </cell>
          <cell r="G243">
            <v>0</v>
          </cell>
          <cell r="H243">
            <v>0</v>
          </cell>
          <cell r="I243">
            <v>0</v>
          </cell>
          <cell r="J243">
            <v>0</v>
          </cell>
          <cell r="K243">
            <v>0</v>
          </cell>
          <cell r="L243">
            <v>0</v>
          </cell>
          <cell r="M243">
            <v>0</v>
          </cell>
          <cell r="N243">
            <v>0</v>
          </cell>
          <cell r="O243">
            <v>0</v>
          </cell>
          <cell r="P243">
            <v>0</v>
          </cell>
          <cell r="Q243">
            <v>0</v>
          </cell>
        </row>
        <row r="244">
          <cell r="C244" t="str">
            <v>(Incr) In Goodwill</v>
          </cell>
          <cell r="E244">
            <v>0</v>
          </cell>
          <cell r="F244">
            <v>0</v>
          </cell>
          <cell r="G244">
            <v>0</v>
          </cell>
          <cell r="H244">
            <v>0</v>
          </cell>
          <cell r="I244">
            <v>0</v>
          </cell>
          <cell r="J244">
            <v>0</v>
          </cell>
          <cell r="K244">
            <v>0</v>
          </cell>
          <cell r="L244">
            <v>0</v>
          </cell>
          <cell r="M244">
            <v>0</v>
          </cell>
          <cell r="N244">
            <v>0</v>
          </cell>
          <cell r="O244">
            <v>0</v>
          </cell>
          <cell r="P244">
            <v>0</v>
          </cell>
          <cell r="Q244">
            <v>0</v>
          </cell>
        </row>
        <row r="245">
          <cell r="C245" t="str">
            <v>Decr / (Incr) In Investments &amp; Advances</v>
          </cell>
          <cell r="E245">
            <v>0</v>
          </cell>
          <cell r="F245">
            <v>0</v>
          </cell>
          <cell r="G245">
            <v>-7177.2</v>
          </cell>
          <cell r="H245">
            <v>-12105.099999999999</v>
          </cell>
          <cell r="I245">
            <v>-32.299999999999272</v>
          </cell>
          <cell r="J245">
            <v>405</v>
          </cell>
          <cell r="K245">
            <v>-1759.0537440000007</v>
          </cell>
          <cell r="L245">
            <v>-3500</v>
          </cell>
          <cell r="M245">
            <v>0</v>
          </cell>
          <cell r="N245">
            <v>-5000</v>
          </cell>
          <cell r="O245">
            <v>-4999.9999999999964</v>
          </cell>
          <cell r="P245">
            <v>0</v>
          </cell>
          <cell r="Q245">
            <v>0</v>
          </cell>
        </row>
        <row r="246">
          <cell r="C246" t="str">
            <v>Decr / (Incr) In Other Non-Op Assets</v>
          </cell>
          <cell r="E246">
            <v>0</v>
          </cell>
          <cell r="F246">
            <v>0</v>
          </cell>
          <cell r="G246">
            <v>0</v>
          </cell>
          <cell r="H246">
            <v>0</v>
          </cell>
          <cell r="I246">
            <v>0</v>
          </cell>
          <cell r="J246">
            <v>0</v>
          </cell>
          <cell r="K246">
            <v>0</v>
          </cell>
          <cell r="L246">
            <v>0</v>
          </cell>
          <cell r="M246">
            <v>0</v>
          </cell>
          <cell r="N246">
            <v>0</v>
          </cell>
          <cell r="O246">
            <v>0</v>
          </cell>
          <cell r="P246">
            <v>0</v>
          </cell>
          <cell r="Q246">
            <v>0</v>
          </cell>
        </row>
        <row r="247">
          <cell r="E247">
            <v>0</v>
          </cell>
          <cell r="F247">
            <v>0</v>
          </cell>
          <cell r="G247">
            <v>0</v>
          </cell>
          <cell r="H247">
            <v>0</v>
          </cell>
          <cell r="I247">
            <v>0</v>
          </cell>
          <cell r="J247">
            <v>0</v>
          </cell>
          <cell r="K247">
            <v>0</v>
          </cell>
          <cell r="L247">
            <v>0</v>
          </cell>
          <cell r="M247">
            <v>0</v>
          </cell>
          <cell r="N247">
            <v>0</v>
          </cell>
          <cell r="O247">
            <v>0</v>
          </cell>
          <cell r="P247">
            <v>0</v>
          </cell>
          <cell r="Q247">
            <v>0</v>
          </cell>
        </row>
        <row r="248">
          <cell r="C248" t="str">
            <v>Total Investment CashFlow</v>
          </cell>
          <cell r="E248">
            <v>0</v>
          </cell>
          <cell r="F248">
            <v>0</v>
          </cell>
          <cell r="G248">
            <v>-10272.600000000002</v>
          </cell>
          <cell r="H248">
            <v>-16975</v>
          </cell>
          <cell r="I248">
            <v>-32665.399999999998</v>
          </cell>
          <cell r="J248">
            <v>-29441.653824999998</v>
          </cell>
          <cell r="K248">
            <v>-21233.587406500013</v>
          </cell>
          <cell r="L248">
            <v>-31630.018875000002</v>
          </cell>
          <cell r="M248">
            <v>-26088</v>
          </cell>
          <cell r="N248">
            <v>-25688</v>
          </cell>
          <cell r="O248">
            <v>-20591.499999999996</v>
          </cell>
          <cell r="P248">
            <v>0</v>
          </cell>
          <cell r="Q248">
            <v>0</v>
          </cell>
        </row>
        <row r="251">
          <cell r="C251" t="str">
            <v>Incr / (Decr) In Other Long Term Liabilities</v>
          </cell>
          <cell r="E251">
            <v>0</v>
          </cell>
          <cell r="F251">
            <v>0</v>
          </cell>
          <cell r="G251">
            <v>-752.4</v>
          </cell>
          <cell r="H251">
            <v>0</v>
          </cell>
          <cell r="I251">
            <v>0</v>
          </cell>
          <cell r="J251">
            <v>0</v>
          </cell>
          <cell r="K251">
            <v>0</v>
          </cell>
          <cell r="L251">
            <v>0</v>
          </cell>
          <cell r="M251">
            <v>0</v>
          </cell>
          <cell r="N251">
            <v>0</v>
          </cell>
          <cell r="O251">
            <v>0</v>
          </cell>
          <cell r="P251">
            <v>0</v>
          </cell>
          <cell r="Q251">
            <v>0</v>
          </cell>
        </row>
        <row r="252">
          <cell r="C252" t="str">
            <v>Incr / (Decr) In Minority Interest</v>
          </cell>
          <cell r="E252">
            <v>0</v>
          </cell>
          <cell r="F252">
            <v>0</v>
          </cell>
          <cell r="G252">
            <v>0</v>
          </cell>
          <cell r="H252">
            <v>0</v>
          </cell>
          <cell r="I252">
            <v>0</v>
          </cell>
          <cell r="J252">
            <v>0</v>
          </cell>
          <cell r="K252">
            <v>0</v>
          </cell>
          <cell r="L252">
            <v>0</v>
          </cell>
          <cell r="M252">
            <v>0</v>
          </cell>
          <cell r="N252">
            <v>0</v>
          </cell>
          <cell r="O252">
            <v>0</v>
          </cell>
          <cell r="P252">
            <v>0</v>
          </cell>
          <cell r="Q252">
            <v>0</v>
          </cell>
        </row>
        <row r="253">
          <cell r="C253" t="str">
            <v>Incr / (Decr) In Preferred Equity</v>
          </cell>
          <cell r="E253">
            <v>0</v>
          </cell>
          <cell r="F253">
            <v>0</v>
          </cell>
          <cell r="G253">
            <v>0</v>
          </cell>
          <cell r="H253">
            <v>0</v>
          </cell>
          <cell r="I253">
            <v>0</v>
          </cell>
          <cell r="J253">
            <v>1945</v>
          </cell>
          <cell r="K253">
            <v>0</v>
          </cell>
          <cell r="L253">
            <v>0</v>
          </cell>
          <cell r="M253">
            <v>0</v>
          </cell>
          <cell r="N253">
            <v>0</v>
          </cell>
          <cell r="O253">
            <v>0</v>
          </cell>
          <cell r="P253">
            <v>0</v>
          </cell>
          <cell r="Q253">
            <v>0</v>
          </cell>
        </row>
        <row r="254">
          <cell r="C254" t="str">
            <v>Incr / (Decr) In Common Shares</v>
          </cell>
          <cell r="E254">
            <v>0</v>
          </cell>
          <cell r="F254">
            <v>0</v>
          </cell>
          <cell r="G254">
            <v>933.40000000000009</v>
          </cell>
          <cell r="H254">
            <v>728.39999999999964</v>
          </cell>
          <cell r="I254">
            <v>1375.4000000000005</v>
          </cell>
          <cell r="J254">
            <v>23</v>
          </cell>
          <cell r="K254">
            <v>0</v>
          </cell>
          <cell r="L254">
            <v>0</v>
          </cell>
          <cell r="M254">
            <v>0</v>
          </cell>
          <cell r="N254">
            <v>0</v>
          </cell>
          <cell r="O254">
            <v>0</v>
          </cell>
          <cell r="P254">
            <v>0</v>
          </cell>
          <cell r="Q254">
            <v>0</v>
          </cell>
        </row>
        <row r="255">
          <cell r="C255" t="str">
            <v>Incr / (Decr) In Share Premium</v>
          </cell>
          <cell r="E255">
            <v>0</v>
          </cell>
          <cell r="F255">
            <v>0</v>
          </cell>
          <cell r="G255">
            <v>4149.6999999999989</v>
          </cell>
          <cell r="H255">
            <v>12129.7</v>
          </cell>
          <cell r="I255">
            <v>18224.7</v>
          </cell>
          <cell r="J255">
            <v>128.59999999999854</v>
          </cell>
          <cell r="K255">
            <v>0</v>
          </cell>
          <cell r="L255">
            <v>0</v>
          </cell>
          <cell r="M255">
            <v>0</v>
          </cell>
          <cell r="N255">
            <v>0</v>
          </cell>
          <cell r="O255">
            <v>0</v>
          </cell>
          <cell r="P255">
            <v>0</v>
          </cell>
          <cell r="Q255">
            <v>0</v>
          </cell>
        </row>
        <row r="256">
          <cell r="C256" t="str">
            <v>Incr / (Decr) In Other Reserves</v>
          </cell>
          <cell r="E256">
            <v>0</v>
          </cell>
          <cell r="F256">
            <v>0</v>
          </cell>
          <cell r="G256">
            <v>0</v>
          </cell>
          <cell r="H256">
            <v>0</v>
          </cell>
          <cell r="I256">
            <v>0</v>
          </cell>
          <cell r="J256">
            <v>0</v>
          </cell>
          <cell r="K256">
            <v>0</v>
          </cell>
          <cell r="L256">
            <v>0</v>
          </cell>
          <cell r="M256">
            <v>0</v>
          </cell>
          <cell r="N256">
            <v>0</v>
          </cell>
          <cell r="O256">
            <v>0</v>
          </cell>
          <cell r="P256">
            <v>0</v>
          </cell>
          <cell r="Q256">
            <v>0</v>
          </cell>
        </row>
        <row r="257">
          <cell r="C257" t="str">
            <v>Incr / (Decr) In Statutory Reserves</v>
          </cell>
          <cell r="E257">
            <v>0</v>
          </cell>
          <cell r="F257">
            <v>0</v>
          </cell>
          <cell r="G257">
            <v>0</v>
          </cell>
          <cell r="H257">
            <v>0</v>
          </cell>
          <cell r="I257">
            <v>0</v>
          </cell>
          <cell r="J257">
            <v>0</v>
          </cell>
          <cell r="K257">
            <v>0</v>
          </cell>
          <cell r="L257">
            <v>0</v>
          </cell>
          <cell r="M257">
            <v>0</v>
          </cell>
          <cell r="N257">
            <v>0</v>
          </cell>
          <cell r="O257">
            <v>0</v>
          </cell>
          <cell r="P257">
            <v>0</v>
          </cell>
          <cell r="Q257">
            <v>0</v>
          </cell>
        </row>
        <row r="258">
          <cell r="E258">
            <v>0</v>
          </cell>
          <cell r="F258">
            <v>0</v>
          </cell>
          <cell r="G258">
            <v>0</v>
          </cell>
          <cell r="H258">
            <v>0</v>
          </cell>
          <cell r="I258">
            <v>0</v>
          </cell>
          <cell r="J258">
            <v>0</v>
          </cell>
          <cell r="K258">
            <v>0</v>
          </cell>
          <cell r="L258">
            <v>0</v>
          </cell>
          <cell r="M258">
            <v>0</v>
          </cell>
          <cell r="N258">
            <v>0</v>
          </cell>
          <cell r="O258">
            <v>0</v>
          </cell>
          <cell r="P258">
            <v>0</v>
          </cell>
          <cell r="Q258">
            <v>0</v>
          </cell>
        </row>
        <row r="259">
          <cell r="E259">
            <v>0</v>
          </cell>
          <cell r="F259">
            <v>0</v>
          </cell>
          <cell r="G259">
            <v>-848.1</v>
          </cell>
          <cell r="H259">
            <v>-1383.5</v>
          </cell>
          <cell r="I259">
            <v>-1993.4</v>
          </cell>
          <cell r="J259">
            <v>-2762.2377900000001</v>
          </cell>
          <cell r="K259">
            <v>-2762.2377900000001</v>
          </cell>
          <cell r="L259">
            <v>-3452.7972374999999</v>
          </cell>
          <cell r="M259">
            <v>-3682.9837200000002</v>
          </cell>
          <cell r="N259">
            <v>-3682.9837200000002</v>
          </cell>
          <cell r="O259">
            <v>-3682.9837200000002</v>
          </cell>
          <cell r="P259">
            <v>0</v>
          </cell>
          <cell r="Q259">
            <v>0</v>
          </cell>
        </row>
        <row r="260">
          <cell r="E260">
            <v>0</v>
          </cell>
          <cell r="F260">
            <v>0</v>
          </cell>
          <cell r="G260">
            <v>3.637978807091713E-12</v>
          </cell>
          <cell r="H260">
            <v>0</v>
          </cell>
          <cell r="I260">
            <v>330.70000000000255</v>
          </cell>
          <cell r="J260">
            <v>19.000000000003638</v>
          </cell>
          <cell r="K260">
            <v>0</v>
          </cell>
          <cell r="L260">
            <v>0</v>
          </cell>
          <cell r="M260">
            <v>0</v>
          </cell>
          <cell r="N260">
            <v>0</v>
          </cell>
          <cell r="O260">
            <v>0</v>
          </cell>
          <cell r="P260">
            <v>0</v>
          </cell>
          <cell r="Q260">
            <v>0</v>
          </cell>
        </row>
        <row r="261">
          <cell r="E261">
            <v>0</v>
          </cell>
          <cell r="F261">
            <v>0</v>
          </cell>
          <cell r="G261">
            <v>0</v>
          </cell>
          <cell r="H261">
            <v>0</v>
          </cell>
          <cell r="I261">
            <v>0</v>
          </cell>
          <cell r="J261">
            <v>0</v>
          </cell>
          <cell r="K261">
            <v>0</v>
          </cell>
          <cell r="L261">
            <v>0</v>
          </cell>
          <cell r="M261">
            <v>0</v>
          </cell>
          <cell r="N261">
            <v>0</v>
          </cell>
          <cell r="O261">
            <v>0</v>
          </cell>
          <cell r="P261">
            <v>0</v>
          </cell>
          <cell r="Q261">
            <v>0</v>
          </cell>
        </row>
        <row r="262">
          <cell r="E262">
            <v>0</v>
          </cell>
          <cell r="F262">
            <v>0</v>
          </cell>
          <cell r="G262">
            <v>3482.6000000000026</v>
          </cell>
          <cell r="H262">
            <v>11474.6</v>
          </cell>
          <cell r="I262">
            <v>17937.400000000001</v>
          </cell>
          <cell r="J262">
            <v>-646.63778999999795</v>
          </cell>
          <cell r="K262">
            <v>-2762.2377900000001</v>
          </cell>
          <cell r="L262">
            <v>-3452.7972374999999</v>
          </cell>
          <cell r="M262">
            <v>-3682.9837200000002</v>
          </cell>
          <cell r="N262">
            <v>-3682.9837200000002</v>
          </cell>
          <cell r="O262">
            <v>-3682.9837200000002</v>
          </cell>
          <cell r="P262">
            <v>0</v>
          </cell>
          <cell r="Q262">
            <v>0</v>
          </cell>
        </row>
        <row r="263">
          <cell r="C263" t="str">
            <v>Incr / (Decr) In Short Term Debt</v>
          </cell>
          <cell r="E263">
            <v>0</v>
          </cell>
          <cell r="F263">
            <v>0</v>
          </cell>
          <cell r="G263">
            <v>-3689.7000000000007</v>
          </cell>
          <cell r="H263">
            <v>-2752.7999999999997</v>
          </cell>
          <cell r="I263">
            <v>3849.2999999999997</v>
          </cell>
          <cell r="J263">
            <v>1393.9000000000005</v>
          </cell>
          <cell r="K263">
            <v>0</v>
          </cell>
          <cell r="L263">
            <v>809</v>
          </cell>
          <cell r="M263">
            <v>-767</v>
          </cell>
          <cell r="N263">
            <v>1</v>
          </cell>
          <cell r="O263">
            <v>1</v>
          </cell>
          <cell r="P263">
            <v>0</v>
          </cell>
          <cell r="Q263">
            <v>0</v>
          </cell>
        </row>
        <row r="264">
          <cell r="C264" t="str">
            <v>Incr / (Decr) In Long Term Debt</v>
          </cell>
          <cell r="E264">
            <v>0</v>
          </cell>
          <cell r="F264">
            <v>0</v>
          </cell>
          <cell r="G264">
            <v>8332.7000000000007</v>
          </cell>
          <cell r="H264">
            <v>3143</v>
          </cell>
          <cell r="I264">
            <v>-1045.0999999999985</v>
          </cell>
          <cell r="J264">
            <v>15147.366666666661</v>
          </cell>
          <cell r="K264">
            <v>22932.042448903943</v>
          </cell>
          <cell r="L264">
            <v>14691.288652809126</v>
          </cell>
          <cell r="M264">
            <v>-8484.390285612928</v>
          </cell>
          <cell r="N264">
            <v>373.64526069741987</v>
          </cell>
          <cell r="O264">
            <v>1283.8522162430745</v>
          </cell>
          <cell r="P264">
            <v>0</v>
          </cell>
          <cell r="Q264">
            <v>0</v>
          </cell>
        </row>
        <row r="265">
          <cell r="E265">
            <v>0</v>
          </cell>
          <cell r="F265">
            <v>0</v>
          </cell>
          <cell r="G265">
            <v>0</v>
          </cell>
          <cell r="H265">
            <v>0</v>
          </cell>
          <cell r="I265">
            <v>0</v>
          </cell>
          <cell r="J265">
            <v>0</v>
          </cell>
          <cell r="K265">
            <v>0</v>
          </cell>
          <cell r="L265">
            <v>0</v>
          </cell>
          <cell r="M265">
            <v>0</v>
          </cell>
          <cell r="N265">
            <v>0</v>
          </cell>
          <cell r="O265">
            <v>0</v>
          </cell>
          <cell r="P265">
            <v>0</v>
          </cell>
          <cell r="Q265">
            <v>0</v>
          </cell>
        </row>
        <row r="266">
          <cell r="C266" t="str">
            <v>Total Financing CashFlow</v>
          </cell>
          <cell r="E266">
            <v>0</v>
          </cell>
          <cell r="F266">
            <v>0</v>
          </cell>
          <cell r="G266">
            <v>8125.6000000000022</v>
          </cell>
          <cell r="H266">
            <v>11864.800000000001</v>
          </cell>
          <cell r="I266">
            <v>20741.600000000002</v>
          </cell>
          <cell r="J266">
            <v>15894.628876666664</v>
          </cell>
          <cell r="K266">
            <v>20169.804658903944</v>
          </cell>
          <cell r="L266">
            <v>12047.491415309127</v>
          </cell>
          <cell r="M266">
            <v>-12934.374005612928</v>
          </cell>
          <cell r="N266">
            <v>-3308.3384593025803</v>
          </cell>
          <cell r="O266">
            <v>-2398.1315037569257</v>
          </cell>
          <cell r="P266">
            <v>0</v>
          </cell>
          <cell r="Q266">
            <v>0</v>
          </cell>
        </row>
        <row r="267">
          <cell r="E267">
            <v>0</v>
          </cell>
          <cell r="F267">
            <v>0</v>
          </cell>
          <cell r="G267">
            <v>0</v>
          </cell>
          <cell r="H267">
            <v>0</v>
          </cell>
          <cell r="I267">
            <v>0</v>
          </cell>
          <cell r="J267">
            <v>0</v>
          </cell>
          <cell r="K267">
            <v>0</v>
          </cell>
          <cell r="L267">
            <v>0</v>
          </cell>
          <cell r="M267">
            <v>0</v>
          </cell>
          <cell r="N267">
            <v>0</v>
          </cell>
          <cell r="O267">
            <v>0</v>
          </cell>
          <cell r="P267">
            <v>0</v>
          </cell>
          <cell r="Q267">
            <v>0</v>
          </cell>
        </row>
        <row r="268">
          <cell r="C268" t="str">
            <v>Net CashFlow</v>
          </cell>
          <cell r="E268">
            <v>0</v>
          </cell>
          <cell r="F268">
            <v>0</v>
          </cell>
          <cell r="G268">
            <v>1570.5999999999967</v>
          </cell>
          <cell r="H268">
            <v>-1344.9000000000033</v>
          </cell>
          <cell r="I268">
            <v>2688.9000000005726</v>
          </cell>
          <cell r="J268">
            <v>10611.219079236676</v>
          </cell>
          <cell r="K268">
            <v>7218.5668117838468</v>
          </cell>
          <cell r="L268">
            <v>-2048.9203163547718</v>
          </cell>
          <cell r="M268">
            <v>-14438.123780542519</v>
          </cell>
          <cell r="N268">
            <v>2908.1355120554181</v>
          </cell>
          <cell r="O268">
            <v>9521.7265050184142</v>
          </cell>
          <cell r="P268">
            <v>0</v>
          </cell>
          <cell r="Q268">
            <v>0</v>
          </cell>
        </row>
        <row r="269">
          <cell r="E269">
            <v>0</v>
          </cell>
          <cell r="F269">
            <v>0</v>
          </cell>
          <cell r="G269">
            <v>0</v>
          </cell>
          <cell r="H269">
            <v>0</v>
          </cell>
          <cell r="I269">
            <v>0</v>
          </cell>
          <cell r="J269">
            <v>0</v>
          </cell>
          <cell r="K269">
            <v>0</v>
          </cell>
          <cell r="L269">
            <v>0</v>
          </cell>
          <cell r="M269">
            <v>0</v>
          </cell>
          <cell r="N269">
            <v>0</v>
          </cell>
          <cell r="O269">
            <v>0</v>
          </cell>
          <cell r="P269">
            <v>0</v>
          </cell>
          <cell r="Q269">
            <v>0</v>
          </cell>
        </row>
        <row r="271">
          <cell r="E271">
            <v>0</v>
          </cell>
          <cell r="F271">
            <v>0</v>
          </cell>
          <cell r="G271">
            <v>1570.5999999999949</v>
          </cell>
          <cell r="H271">
            <v>-1344.9000000000019</v>
          </cell>
          <cell r="I271">
            <v>2688.9000000005658</v>
          </cell>
          <cell r="J271">
            <v>10611.219079236664</v>
          </cell>
          <cell r="K271">
            <v>7218.5668117838504</v>
          </cell>
          <cell r="L271">
            <v>-2048.9203163547754</v>
          </cell>
          <cell r="M271">
            <v>-14438.123780542519</v>
          </cell>
          <cell r="N271">
            <v>2908.1355120554217</v>
          </cell>
          <cell r="O271">
            <v>9521.7265050183996</v>
          </cell>
          <cell r="P271">
            <v>0</v>
          </cell>
          <cell r="Q271">
            <v>0</v>
          </cell>
        </row>
        <row r="272">
          <cell r="C272" t="str">
            <v>Incr / (Decr) In Non-Operating Cash &amp; Equiv</v>
          </cell>
          <cell r="E272">
            <v>0</v>
          </cell>
          <cell r="F272">
            <v>0</v>
          </cell>
          <cell r="G272">
            <v>0</v>
          </cell>
          <cell r="H272">
            <v>0</v>
          </cell>
          <cell r="I272">
            <v>0</v>
          </cell>
          <cell r="J272">
            <v>0</v>
          </cell>
          <cell r="K272">
            <v>0</v>
          </cell>
          <cell r="L272">
            <v>0</v>
          </cell>
          <cell r="M272">
            <v>0</v>
          </cell>
          <cell r="N272">
            <v>0</v>
          </cell>
          <cell r="O272">
            <v>0</v>
          </cell>
          <cell r="P272">
            <v>0</v>
          </cell>
          <cell r="Q272">
            <v>0</v>
          </cell>
        </row>
        <row r="273">
          <cell r="E273">
            <v>0</v>
          </cell>
          <cell r="F273">
            <v>0</v>
          </cell>
          <cell r="G273">
            <v>0</v>
          </cell>
          <cell r="H273">
            <v>0</v>
          </cell>
          <cell r="I273">
            <v>0</v>
          </cell>
          <cell r="J273">
            <v>0</v>
          </cell>
          <cell r="K273">
            <v>0</v>
          </cell>
          <cell r="L273">
            <v>0</v>
          </cell>
          <cell r="M273">
            <v>0</v>
          </cell>
          <cell r="N273">
            <v>0</v>
          </cell>
          <cell r="O273">
            <v>0</v>
          </cell>
          <cell r="P273">
            <v>0</v>
          </cell>
          <cell r="Q273">
            <v>0</v>
          </cell>
        </row>
        <row r="274">
          <cell r="C274" t="str">
            <v>Net CashFlow</v>
          </cell>
          <cell r="E274">
            <v>0</v>
          </cell>
          <cell r="F274">
            <v>0</v>
          </cell>
          <cell r="G274">
            <v>1570.5999999999949</v>
          </cell>
          <cell r="H274">
            <v>-1344.9000000000019</v>
          </cell>
          <cell r="I274">
            <v>2688.9000000005658</v>
          </cell>
          <cell r="J274">
            <v>10611.219079236664</v>
          </cell>
          <cell r="K274">
            <v>7218.5668117838504</v>
          </cell>
          <cell r="L274">
            <v>-2048.9203163547754</v>
          </cell>
          <cell r="M274">
            <v>-14438.123780542519</v>
          </cell>
          <cell r="N274">
            <v>2908.1355120554217</v>
          </cell>
          <cell r="O274">
            <v>9521.7265050183996</v>
          </cell>
          <cell r="P274">
            <v>0</v>
          </cell>
          <cell r="Q274">
            <v>0</v>
          </cell>
        </row>
        <row r="275">
          <cell r="E275">
            <v>0</v>
          </cell>
          <cell r="F275">
            <v>0</v>
          </cell>
          <cell r="G275">
            <v>0</v>
          </cell>
          <cell r="H275">
            <v>0</v>
          </cell>
          <cell r="I275">
            <v>0</v>
          </cell>
          <cell r="J275">
            <v>0</v>
          </cell>
          <cell r="K275">
            <v>0</v>
          </cell>
          <cell r="L275">
            <v>0</v>
          </cell>
          <cell r="M275">
            <v>0</v>
          </cell>
          <cell r="N275">
            <v>0</v>
          </cell>
          <cell r="O275">
            <v>0</v>
          </cell>
          <cell r="P275">
            <v>0</v>
          </cell>
          <cell r="Q275">
            <v>0</v>
          </cell>
        </row>
        <row r="276">
          <cell r="C276" t="str">
            <v>CashFlows [Balance]</v>
          </cell>
          <cell r="E276">
            <v>0</v>
          </cell>
          <cell r="F276">
            <v>0</v>
          </cell>
          <cell r="G276">
            <v>0</v>
          </cell>
          <cell r="H276">
            <v>0</v>
          </cell>
          <cell r="I276">
            <v>0</v>
          </cell>
          <cell r="J276">
            <v>0</v>
          </cell>
          <cell r="K276">
            <v>0</v>
          </cell>
          <cell r="L276">
            <v>0</v>
          </cell>
          <cell r="M276">
            <v>0</v>
          </cell>
          <cell r="N276">
            <v>0</v>
          </cell>
          <cell r="O276">
            <v>0</v>
          </cell>
          <cell r="P276">
            <v>0</v>
          </cell>
          <cell r="Q276">
            <v>0</v>
          </cell>
        </row>
        <row r="280">
          <cell r="E280">
            <v>0</v>
          </cell>
          <cell r="F280">
            <v>0</v>
          </cell>
          <cell r="G280">
            <v>753.59999999999854</v>
          </cell>
          <cell r="H280">
            <v>2324.1999999999935</v>
          </cell>
          <cell r="I280">
            <v>979.29999999999154</v>
          </cell>
          <cell r="J280">
            <v>3668.2000000005573</v>
          </cell>
          <cell r="K280">
            <v>14279.419079237221</v>
          </cell>
          <cell r="L280">
            <v>21497.985891021071</v>
          </cell>
          <cell r="M280">
            <v>19449.065574666296</v>
          </cell>
          <cell r="N280">
            <v>5010.9417941237771</v>
          </cell>
          <cell r="O280">
            <v>7919.0773061791988</v>
          </cell>
          <cell r="P280">
            <v>0</v>
          </cell>
          <cell r="Q280">
            <v>0</v>
          </cell>
        </row>
        <row r="281">
          <cell r="E281">
            <v>0</v>
          </cell>
          <cell r="F281">
            <v>0</v>
          </cell>
          <cell r="G281">
            <v>1570.5999999999967</v>
          </cell>
          <cell r="H281">
            <v>-1344.9000000000033</v>
          </cell>
          <cell r="I281">
            <v>2688.9000000005726</v>
          </cell>
          <cell r="J281">
            <v>10611.219079236676</v>
          </cell>
          <cell r="K281">
            <v>7218.5668117838468</v>
          </cell>
          <cell r="L281">
            <v>-2048.9203163547718</v>
          </cell>
          <cell r="M281">
            <v>-14438.123780542519</v>
          </cell>
          <cell r="N281">
            <v>2908.1355120554181</v>
          </cell>
          <cell r="O281">
            <v>9521.7265050184142</v>
          </cell>
          <cell r="P281">
            <v>0</v>
          </cell>
          <cell r="Q281">
            <v>0</v>
          </cell>
        </row>
        <row r="282">
          <cell r="E282">
            <v>0</v>
          </cell>
          <cell r="F282">
            <v>0</v>
          </cell>
          <cell r="G282">
            <v>0</v>
          </cell>
          <cell r="H282">
            <v>0</v>
          </cell>
          <cell r="I282">
            <v>0</v>
          </cell>
          <cell r="J282">
            <v>0</v>
          </cell>
          <cell r="K282">
            <v>0</v>
          </cell>
          <cell r="L282">
            <v>0</v>
          </cell>
          <cell r="M282">
            <v>0</v>
          </cell>
          <cell r="N282">
            <v>0</v>
          </cell>
          <cell r="O282">
            <v>0</v>
          </cell>
          <cell r="P282">
            <v>0</v>
          </cell>
          <cell r="Q282">
            <v>0</v>
          </cell>
        </row>
        <row r="283">
          <cell r="E283">
            <v>0</v>
          </cell>
          <cell r="F283">
            <v>0</v>
          </cell>
          <cell r="G283">
            <v>2324.1999999999953</v>
          </cell>
          <cell r="H283">
            <v>979.29999999999018</v>
          </cell>
          <cell r="I283">
            <v>3668.2000000005642</v>
          </cell>
          <cell r="J283">
            <v>14279.419079237234</v>
          </cell>
          <cell r="K283">
            <v>21497.985891021068</v>
          </cell>
          <cell r="L283">
            <v>19449.0655746663</v>
          </cell>
          <cell r="M283">
            <v>5010.9417941237771</v>
          </cell>
          <cell r="N283">
            <v>7919.0773061791951</v>
          </cell>
          <cell r="O283">
            <v>17440.803811197613</v>
          </cell>
          <cell r="P283">
            <v>0</v>
          </cell>
          <cell r="Q283">
            <v>0</v>
          </cell>
        </row>
        <row r="284">
          <cell r="E284">
            <v>0</v>
          </cell>
          <cell r="F284">
            <v>0</v>
          </cell>
          <cell r="G284">
            <v>0</v>
          </cell>
          <cell r="H284">
            <v>0</v>
          </cell>
          <cell r="I284">
            <v>0</v>
          </cell>
          <cell r="J284">
            <v>0</v>
          </cell>
          <cell r="K284">
            <v>0</v>
          </cell>
          <cell r="L284">
            <v>0</v>
          </cell>
          <cell r="M284">
            <v>0</v>
          </cell>
          <cell r="N284">
            <v>0</v>
          </cell>
          <cell r="O284">
            <v>0</v>
          </cell>
          <cell r="P284">
            <v>0</v>
          </cell>
          <cell r="Q284">
            <v>0</v>
          </cell>
        </row>
        <row r="288">
          <cell r="E288">
            <v>0</v>
          </cell>
          <cell r="F288">
            <v>0</v>
          </cell>
          <cell r="G288">
            <v>-723.90000000000055</v>
          </cell>
          <cell r="H288">
            <v>-1060</v>
          </cell>
          <cell r="I288">
            <v>523.30000000000018</v>
          </cell>
          <cell r="J288">
            <v>2106.4</v>
          </cell>
          <cell r="K288">
            <v>-4762.8622426540151</v>
          </cell>
          <cell r="L288">
            <v>-2068.3498326637955</v>
          </cell>
          <cell r="M288">
            <v>-3280.5191713456898</v>
          </cell>
          <cell r="N288">
            <v>-733.04508719894147</v>
          </cell>
          <cell r="O288">
            <v>-1170.4617756760308</v>
          </cell>
          <cell r="P288">
            <v>0</v>
          </cell>
          <cell r="Q288">
            <v>0</v>
          </cell>
        </row>
        <row r="289">
          <cell r="E289">
            <v>0</v>
          </cell>
          <cell r="F289">
            <v>0</v>
          </cell>
          <cell r="G289">
            <v>-1182</v>
          </cell>
          <cell r="H289">
            <v>-615.39999999999964</v>
          </cell>
          <cell r="I289">
            <v>-779.20000000000073</v>
          </cell>
          <cell r="J289">
            <v>-970.5</v>
          </cell>
          <cell r="K289">
            <v>-2321.578356844715</v>
          </cell>
          <cell r="L289">
            <v>-3906.3277126748726</v>
          </cell>
          <cell r="M289">
            <v>-4497.8248397964435</v>
          </cell>
          <cell r="N289">
            <v>-213.54097787934006</v>
          </cell>
          <cell r="O289">
            <v>-2871.0809292813028</v>
          </cell>
          <cell r="P289">
            <v>0</v>
          </cell>
          <cell r="Q289">
            <v>0</v>
          </cell>
        </row>
        <row r="290">
          <cell r="E290">
            <v>0</v>
          </cell>
          <cell r="F290">
            <v>0</v>
          </cell>
          <cell r="G290">
            <v>338.39999999999964</v>
          </cell>
          <cell r="H290">
            <v>6369.5</v>
          </cell>
          <cell r="I290">
            <v>1248.3000000000011</v>
          </cell>
          <cell r="J290">
            <v>-1732.5</v>
          </cell>
          <cell r="K290">
            <v>-1129.4719214414527</v>
          </cell>
          <cell r="L290">
            <v>5643.8466933904147</v>
          </cell>
          <cell r="M290">
            <v>6110.4865503584297</v>
          </cell>
          <cell r="N290">
            <v>1385.5179426204559</v>
          </cell>
          <cell r="O290">
            <v>2207.8346117358451</v>
          </cell>
          <cell r="P290">
            <v>0</v>
          </cell>
          <cell r="Q290">
            <v>0</v>
          </cell>
        </row>
        <row r="291">
          <cell r="E291">
            <v>0</v>
          </cell>
          <cell r="F291">
            <v>0</v>
          </cell>
          <cell r="G291">
            <v>563.80000000000018</v>
          </cell>
          <cell r="H291">
            <v>3082.3</v>
          </cell>
          <cell r="I291">
            <v>1782.1999999999989</v>
          </cell>
          <cell r="J291">
            <v>3963.1000000000004</v>
          </cell>
          <cell r="K291">
            <v>-268.88246473292565</v>
          </cell>
          <cell r="L291">
            <v>8347.8126615258334</v>
          </cell>
          <cell r="M291">
            <v>7556.3457308580255</v>
          </cell>
          <cell r="N291">
            <v>358.74884283729625</v>
          </cell>
          <cell r="O291">
            <v>4823.4159611925788</v>
          </cell>
          <cell r="P291" t="e">
            <v>#VALUE!</v>
          </cell>
          <cell r="Q291" t="e">
            <v>#VALUE!</v>
          </cell>
        </row>
        <row r="292">
          <cell r="E292">
            <v>0</v>
          </cell>
          <cell r="F292">
            <v>0</v>
          </cell>
          <cell r="G292">
            <v>-608.89999999999986</v>
          </cell>
          <cell r="H292">
            <v>429.40000000000009</v>
          </cell>
          <cell r="I292">
            <v>912.10000000000014</v>
          </cell>
          <cell r="J292">
            <v>1189.5</v>
          </cell>
          <cell r="K292">
            <v>1648.0465962603389</v>
          </cell>
          <cell r="L292">
            <v>1870.4033694970749</v>
          </cell>
          <cell r="M292">
            <v>2149.5053000156104</v>
          </cell>
          <cell r="N292">
            <v>779.9459328895955</v>
          </cell>
          <cell r="O292">
            <v>300.58965944423471</v>
          </cell>
          <cell r="P292">
            <v>0</v>
          </cell>
          <cell r="Q292">
            <v>0</v>
          </cell>
        </row>
        <row r="293">
          <cell r="E293">
            <v>0</v>
          </cell>
          <cell r="F293">
            <v>0</v>
          </cell>
          <cell r="G293">
            <v>0</v>
          </cell>
          <cell r="H293">
            <v>0</v>
          </cell>
          <cell r="I293">
            <v>0</v>
          </cell>
          <cell r="J293">
            <v>0</v>
          </cell>
          <cell r="K293">
            <v>0</v>
          </cell>
          <cell r="L293">
            <v>0</v>
          </cell>
          <cell r="M293">
            <v>0</v>
          </cell>
          <cell r="N293">
            <v>0</v>
          </cell>
          <cell r="O293">
            <v>0</v>
          </cell>
          <cell r="P293">
            <v>0</v>
          </cell>
          <cell r="Q293">
            <v>0</v>
          </cell>
        </row>
        <row r="294">
          <cell r="E294">
            <v>0</v>
          </cell>
          <cell r="F294">
            <v>0</v>
          </cell>
          <cell r="G294">
            <v>-1612.6000000000006</v>
          </cell>
          <cell r="H294">
            <v>8205.8000000000011</v>
          </cell>
          <cell r="I294">
            <v>3686.7</v>
          </cell>
          <cell r="J294">
            <v>4556</v>
          </cell>
          <cell r="K294">
            <v>-6834.748389412769</v>
          </cell>
          <cell r="L294">
            <v>9887.3851790746558</v>
          </cell>
          <cell r="M294">
            <v>8037.9935700899323</v>
          </cell>
          <cell r="N294">
            <v>1577.6266532690661</v>
          </cell>
          <cell r="O294">
            <v>3290.297527415325</v>
          </cell>
          <cell r="P294" t="e">
            <v>#VALUE!</v>
          </cell>
          <cell r="Q294" t="e">
            <v>#VALUE!</v>
          </cell>
        </row>
        <row r="301">
          <cell r="E301">
            <v>0</v>
          </cell>
          <cell r="F301">
            <v>6997.3999999999978</v>
          </cell>
          <cell r="G301">
            <v>10857.399999999992</v>
          </cell>
          <cell r="H301">
            <v>14045.69999999999</v>
          </cell>
          <cell r="I301">
            <v>15544.500000000562</v>
          </cell>
          <cell r="J301">
            <v>18134.719079237217</v>
          </cell>
          <cell r="K301">
            <v>29929.090437550938</v>
          </cell>
          <cell r="L301">
            <v>29280.478328902329</v>
          </cell>
          <cell r="M301">
            <v>19025.334078986736</v>
          </cell>
          <cell r="N301">
            <v>23126.878823014013</v>
          </cell>
          <cell r="O301">
            <v>33773.977024088766</v>
          </cell>
          <cell r="P301">
            <v>25.651064360148261</v>
          </cell>
          <cell r="Q301">
            <v>0</v>
          </cell>
        </row>
        <row r="302">
          <cell r="E302">
            <v>0</v>
          </cell>
          <cell r="F302">
            <v>0</v>
          </cell>
          <cell r="G302">
            <v>0</v>
          </cell>
          <cell r="H302">
            <v>0</v>
          </cell>
          <cell r="I302">
            <v>0</v>
          </cell>
          <cell r="J302">
            <v>0</v>
          </cell>
          <cell r="K302">
            <v>0</v>
          </cell>
          <cell r="L302">
            <v>0</v>
          </cell>
          <cell r="M302">
            <v>0</v>
          </cell>
          <cell r="N302">
            <v>0</v>
          </cell>
          <cell r="O302">
            <v>0</v>
          </cell>
          <cell r="P302">
            <v>0</v>
          </cell>
          <cell r="Q302">
            <v>0</v>
          </cell>
        </row>
        <row r="303">
          <cell r="E303">
            <v>0</v>
          </cell>
          <cell r="F303">
            <v>0</v>
          </cell>
          <cell r="G303">
            <v>0</v>
          </cell>
          <cell r="H303">
            <v>0</v>
          </cell>
          <cell r="I303">
            <v>0</v>
          </cell>
          <cell r="J303">
            <v>0</v>
          </cell>
          <cell r="K303">
            <v>0</v>
          </cell>
          <cell r="L303">
            <v>0</v>
          </cell>
          <cell r="M303">
            <v>0</v>
          </cell>
          <cell r="N303">
            <v>0</v>
          </cell>
          <cell r="O303">
            <v>0</v>
          </cell>
          <cell r="P303">
            <v>0</v>
          </cell>
          <cell r="Q303">
            <v>0</v>
          </cell>
        </row>
        <row r="304">
          <cell r="C304" t="str">
            <v>Adjusted Net Working Capital</v>
          </cell>
          <cell r="E304">
            <v>0</v>
          </cell>
          <cell r="F304">
            <v>6997.3999999999978</v>
          </cell>
          <cell r="G304">
            <v>10857.399999999992</v>
          </cell>
          <cell r="H304">
            <v>14045.69999999999</v>
          </cell>
          <cell r="I304">
            <v>15544.500000000562</v>
          </cell>
          <cell r="J304">
            <v>18134.719079237217</v>
          </cell>
          <cell r="K304">
            <v>29929.090437550938</v>
          </cell>
          <cell r="L304">
            <v>29280.478328902329</v>
          </cell>
          <cell r="M304">
            <v>19025.334078986736</v>
          </cell>
          <cell r="N304">
            <v>23126.878823014013</v>
          </cell>
          <cell r="O304">
            <v>33773.977024088766</v>
          </cell>
          <cell r="P304">
            <v>25.651064360148261</v>
          </cell>
          <cell r="Q304">
            <v>0</v>
          </cell>
        </row>
        <row r="305">
          <cell r="E305">
            <v>0</v>
          </cell>
          <cell r="F305">
            <v>12724.3</v>
          </cell>
          <cell r="G305">
            <v>26885.7</v>
          </cell>
          <cell r="H305">
            <v>32050.400000000001</v>
          </cell>
          <cell r="I305">
            <v>35096.199999999997</v>
          </cell>
          <cell r="J305">
            <v>47442.299824999995</v>
          </cell>
          <cell r="K305">
            <v>93345.100359687509</v>
          </cell>
          <cell r="L305">
            <v>102900.60011368751</v>
          </cell>
          <cell r="M305">
            <v>119489.87559206251</v>
          </cell>
          <cell r="N305">
            <v>136079.15107043751</v>
          </cell>
          <cell r="O305">
            <v>145671.92654881251</v>
          </cell>
          <cell r="P305">
            <v>0</v>
          </cell>
          <cell r="Q305">
            <v>0</v>
          </cell>
        </row>
        <row r="306">
          <cell r="E306">
            <v>0</v>
          </cell>
          <cell r="F306">
            <v>0</v>
          </cell>
          <cell r="G306">
            <v>0</v>
          </cell>
          <cell r="H306">
            <v>0</v>
          </cell>
          <cell r="I306">
            <v>0</v>
          </cell>
          <cell r="J306">
            <v>0</v>
          </cell>
          <cell r="K306">
            <v>0</v>
          </cell>
          <cell r="L306">
            <v>0</v>
          </cell>
          <cell r="M306">
            <v>0</v>
          </cell>
          <cell r="N306">
            <v>0</v>
          </cell>
          <cell r="O306">
            <v>0</v>
          </cell>
          <cell r="P306">
            <v>0</v>
          </cell>
          <cell r="Q306">
            <v>0</v>
          </cell>
        </row>
        <row r="307">
          <cell r="E307">
            <v>0</v>
          </cell>
          <cell r="F307">
            <v>0</v>
          </cell>
          <cell r="G307">
            <v>0</v>
          </cell>
          <cell r="H307">
            <v>0</v>
          </cell>
          <cell r="I307">
            <v>0</v>
          </cell>
          <cell r="J307">
            <v>0</v>
          </cell>
          <cell r="K307">
            <v>0</v>
          </cell>
          <cell r="L307">
            <v>0</v>
          </cell>
          <cell r="M307">
            <v>0</v>
          </cell>
          <cell r="N307">
            <v>0</v>
          </cell>
          <cell r="O307">
            <v>0</v>
          </cell>
          <cell r="P307">
            <v>0</v>
          </cell>
          <cell r="Q307">
            <v>0</v>
          </cell>
        </row>
        <row r="308">
          <cell r="E308">
            <v>0</v>
          </cell>
          <cell r="F308">
            <v>0</v>
          </cell>
          <cell r="G308">
            <v>0</v>
          </cell>
          <cell r="H308">
            <v>0</v>
          </cell>
          <cell r="I308">
            <v>0</v>
          </cell>
          <cell r="J308">
            <v>0</v>
          </cell>
          <cell r="K308">
            <v>0</v>
          </cell>
          <cell r="L308">
            <v>0</v>
          </cell>
          <cell r="M308">
            <v>0</v>
          </cell>
          <cell r="N308">
            <v>0</v>
          </cell>
          <cell r="O308">
            <v>0</v>
          </cell>
          <cell r="P308">
            <v>0</v>
          </cell>
          <cell r="Q308">
            <v>0</v>
          </cell>
        </row>
        <row r="309">
          <cell r="E309">
            <v>0</v>
          </cell>
          <cell r="F309">
            <v>0</v>
          </cell>
          <cell r="G309">
            <v>0</v>
          </cell>
          <cell r="H309">
            <v>0</v>
          </cell>
          <cell r="I309">
            <v>0</v>
          </cell>
          <cell r="J309">
            <v>0</v>
          </cell>
          <cell r="K309">
            <v>0</v>
          </cell>
          <cell r="L309">
            <v>0</v>
          </cell>
          <cell r="M309">
            <v>0</v>
          </cell>
          <cell r="N309">
            <v>0</v>
          </cell>
          <cell r="O309">
            <v>0</v>
          </cell>
          <cell r="P309">
            <v>0</v>
          </cell>
          <cell r="Q309">
            <v>0</v>
          </cell>
        </row>
        <row r="310">
          <cell r="C310" t="str">
            <v>Plus PV of Non Capitalized Leases</v>
          </cell>
          <cell r="E310">
            <v>0</v>
          </cell>
          <cell r="F310">
            <v>0</v>
          </cell>
          <cell r="G310">
            <v>0</v>
          </cell>
          <cell r="H310">
            <v>0</v>
          </cell>
          <cell r="I310">
            <v>0</v>
          </cell>
          <cell r="J310">
            <v>0</v>
          </cell>
          <cell r="K310">
            <v>0</v>
          </cell>
          <cell r="L310">
            <v>0</v>
          </cell>
          <cell r="M310">
            <v>0</v>
          </cell>
          <cell r="N310">
            <v>0</v>
          </cell>
          <cell r="O310">
            <v>0</v>
          </cell>
          <cell r="P310">
            <v>0</v>
          </cell>
          <cell r="Q310">
            <v>0</v>
          </cell>
        </row>
        <row r="311">
          <cell r="E311">
            <v>0</v>
          </cell>
          <cell r="F311">
            <v>-752.4</v>
          </cell>
          <cell r="G311">
            <v>0</v>
          </cell>
          <cell r="H311">
            <v>0</v>
          </cell>
          <cell r="I311">
            <v>0</v>
          </cell>
          <cell r="J311">
            <v>0</v>
          </cell>
          <cell r="K311">
            <v>0</v>
          </cell>
          <cell r="L311">
            <v>0</v>
          </cell>
          <cell r="M311">
            <v>0</v>
          </cell>
          <cell r="N311">
            <v>0</v>
          </cell>
          <cell r="O311">
            <v>0</v>
          </cell>
          <cell r="P311">
            <v>0</v>
          </cell>
          <cell r="Q311">
            <v>0</v>
          </cell>
        </row>
        <row r="312">
          <cell r="C312" t="str">
            <v>Plus Adjustments to Operating Capital</v>
          </cell>
        </row>
        <row r="313">
          <cell r="E313">
            <v>0</v>
          </cell>
          <cell r="F313">
            <v>0</v>
          </cell>
          <cell r="G313">
            <v>0</v>
          </cell>
          <cell r="H313">
            <v>0</v>
          </cell>
          <cell r="I313">
            <v>0</v>
          </cell>
          <cell r="J313">
            <v>0</v>
          </cell>
          <cell r="K313">
            <v>0</v>
          </cell>
          <cell r="L313">
            <v>0</v>
          </cell>
          <cell r="M313">
            <v>0</v>
          </cell>
          <cell r="N313">
            <v>0</v>
          </cell>
          <cell r="O313">
            <v>0</v>
          </cell>
          <cell r="P313">
            <v>0</v>
          </cell>
          <cell r="Q313">
            <v>0</v>
          </cell>
        </row>
        <row r="314">
          <cell r="C314" t="str">
            <v>Operating Capital</v>
          </cell>
          <cell r="E314">
            <v>0</v>
          </cell>
          <cell r="F314">
            <v>18969.299999999996</v>
          </cell>
          <cell r="G314">
            <v>37743.099999999991</v>
          </cell>
          <cell r="H314">
            <v>46096.099999999991</v>
          </cell>
          <cell r="I314">
            <v>50640.700000000557</v>
          </cell>
          <cell r="J314">
            <v>65577.018904237208</v>
          </cell>
          <cell r="K314">
            <v>123274.19079723845</v>
          </cell>
          <cell r="L314">
            <v>132181.07844258985</v>
          </cell>
          <cell r="M314">
            <v>138515.20967104926</v>
          </cell>
          <cell r="N314">
            <v>159206.02989345152</v>
          </cell>
          <cell r="O314">
            <v>179445.90357290127</v>
          </cell>
          <cell r="P314">
            <v>25.651064360148261</v>
          </cell>
          <cell r="Q314">
            <v>0</v>
          </cell>
        </row>
        <row r="315">
          <cell r="E315">
            <v>0</v>
          </cell>
          <cell r="F315">
            <v>0</v>
          </cell>
          <cell r="G315">
            <v>0</v>
          </cell>
          <cell r="H315">
            <v>0</v>
          </cell>
          <cell r="I315">
            <v>0</v>
          </cell>
          <cell r="J315">
            <v>0</v>
          </cell>
          <cell r="K315">
            <v>0</v>
          </cell>
          <cell r="L315">
            <v>0</v>
          </cell>
          <cell r="M315">
            <v>0</v>
          </cell>
          <cell r="N315">
            <v>0</v>
          </cell>
          <cell r="O315">
            <v>0</v>
          </cell>
          <cell r="P315">
            <v>0</v>
          </cell>
          <cell r="Q315">
            <v>0</v>
          </cell>
        </row>
        <row r="317">
          <cell r="E317">
            <v>0</v>
          </cell>
          <cell r="F317">
            <v>0</v>
          </cell>
          <cell r="G317">
            <v>0</v>
          </cell>
          <cell r="H317">
            <v>0</v>
          </cell>
          <cell r="I317">
            <v>0</v>
          </cell>
          <cell r="J317">
            <v>0</v>
          </cell>
          <cell r="K317">
            <v>0</v>
          </cell>
          <cell r="L317">
            <v>0</v>
          </cell>
          <cell r="M317">
            <v>0</v>
          </cell>
          <cell r="N317">
            <v>0</v>
          </cell>
          <cell r="O317">
            <v>0</v>
          </cell>
          <cell r="P317">
            <v>0</v>
          </cell>
          <cell r="Q317">
            <v>0</v>
          </cell>
        </row>
        <row r="318">
          <cell r="E318">
            <v>0</v>
          </cell>
          <cell r="F318">
            <v>20656.8</v>
          </cell>
          <cell r="G318">
            <v>6792.7</v>
          </cell>
          <cell r="H318">
            <v>3946</v>
          </cell>
          <cell r="I318">
            <v>30750.9</v>
          </cell>
          <cell r="J318">
            <v>44886.9</v>
          </cell>
          <cell r="K318">
            <v>14853.900000000001</v>
          </cell>
          <cell r="L318">
            <v>27029.65</v>
          </cell>
          <cell r="M318">
            <v>29129.65</v>
          </cell>
          <cell r="N318">
            <v>25829.65</v>
          </cell>
          <cell r="O318">
            <v>24429.65</v>
          </cell>
          <cell r="P318">
            <v>0</v>
          </cell>
          <cell r="Q318">
            <v>0</v>
          </cell>
        </row>
        <row r="319">
          <cell r="E319">
            <v>0</v>
          </cell>
          <cell r="F319">
            <v>619.5</v>
          </cell>
          <cell r="G319">
            <v>7796.7</v>
          </cell>
          <cell r="H319">
            <v>19901.8</v>
          </cell>
          <cell r="I319">
            <v>19934.099999999999</v>
          </cell>
          <cell r="J319">
            <v>19529.099999999999</v>
          </cell>
          <cell r="K319">
            <v>21288.153743999999</v>
          </cell>
          <cell r="L319">
            <v>24788.153743999999</v>
          </cell>
          <cell r="M319">
            <v>24788.153743999999</v>
          </cell>
          <cell r="N319">
            <v>29788.153743999999</v>
          </cell>
          <cell r="O319">
            <v>34788.153743999996</v>
          </cell>
          <cell r="P319">
            <v>0</v>
          </cell>
          <cell r="Q319">
            <v>0</v>
          </cell>
        </row>
        <row r="320">
          <cell r="E320">
            <v>0</v>
          </cell>
          <cell r="F320">
            <v>0</v>
          </cell>
          <cell r="G320">
            <v>0</v>
          </cell>
          <cell r="H320">
            <v>0</v>
          </cell>
          <cell r="I320">
            <v>0</v>
          </cell>
          <cell r="J320">
            <v>0</v>
          </cell>
          <cell r="K320">
            <v>0</v>
          </cell>
          <cell r="L320">
            <v>0</v>
          </cell>
          <cell r="M320">
            <v>0</v>
          </cell>
          <cell r="N320">
            <v>0</v>
          </cell>
          <cell r="O320">
            <v>0</v>
          </cell>
          <cell r="P320">
            <v>0</v>
          </cell>
          <cell r="Q320">
            <v>0</v>
          </cell>
        </row>
        <row r="321">
          <cell r="E321">
            <v>0</v>
          </cell>
          <cell r="F321">
            <v>0</v>
          </cell>
          <cell r="G321">
            <v>0</v>
          </cell>
          <cell r="H321">
            <v>0</v>
          </cell>
          <cell r="I321">
            <v>0</v>
          </cell>
          <cell r="J321">
            <v>0</v>
          </cell>
          <cell r="K321">
            <v>0</v>
          </cell>
          <cell r="L321">
            <v>0</v>
          </cell>
          <cell r="M321">
            <v>0</v>
          </cell>
          <cell r="N321">
            <v>0</v>
          </cell>
          <cell r="O321">
            <v>0</v>
          </cell>
          <cell r="P321">
            <v>0</v>
          </cell>
          <cell r="Q321">
            <v>0</v>
          </cell>
        </row>
        <row r="322">
          <cell r="E322">
            <v>0</v>
          </cell>
          <cell r="F322">
            <v>0</v>
          </cell>
          <cell r="G322">
            <v>0</v>
          </cell>
          <cell r="H322">
            <v>0</v>
          </cell>
          <cell r="I322">
            <v>0</v>
          </cell>
          <cell r="J322">
            <v>0</v>
          </cell>
          <cell r="K322">
            <v>0</v>
          </cell>
          <cell r="L322">
            <v>0</v>
          </cell>
          <cell r="M322">
            <v>0</v>
          </cell>
          <cell r="N322">
            <v>0</v>
          </cell>
          <cell r="O322">
            <v>0</v>
          </cell>
          <cell r="P322">
            <v>0</v>
          </cell>
          <cell r="Q322">
            <v>0</v>
          </cell>
        </row>
        <row r="323">
          <cell r="C323" t="str">
            <v>Non-Operating Capital</v>
          </cell>
          <cell r="E323">
            <v>0</v>
          </cell>
          <cell r="F323">
            <v>21276.3</v>
          </cell>
          <cell r="G323">
            <v>14589.4</v>
          </cell>
          <cell r="H323">
            <v>23847.8</v>
          </cell>
          <cell r="I323">
            <v>50685</v>
          </cell>
          <cell r="J323">
            <v>64416</v>
          </cell>
          <cell r="K323">
            <v>36142.053744000004</v>
          </cell>
          <cell r="L323">
            <v>51817.803744000004</v>
          </cell>
          <cell r="M323">
            <v>53917.803744000004</v>
          </cell>
          <cell r="N323">
            <v>55617.803744000004</v>
          </cell>
          <cell r="O323">
            <v>59217.803743999997</v>
          </cell>
          <cell r="P323">
            <v>0</v>
          </cell>
          <cell r="Q323">
            <v>0</v>
          </cell>
        </row>
        <row r="324">
          <cell r="E324">
            <v>0</v>
          </cell>
          <cell r="F324">
            <v>0</v>
          </cell>
          <cell r="G324">
            <v>0</v>
          </cell>
          <cell r="H324">
            <v>0</v>
          </cell>
          <cell r="I324">
            <v>0</v>
          </cell>
          <cell r="J324">
            <v>0</v>
          </cell>
          <cell r="K324">
            <v>0</v>
          </cell>
          <cell r="L324">
            <v>0</v>
          </cell>
          <cell r="M324">
            <v>0</v>
          </cell>
          <cell r="N324">
            <v>0</v>
          </cell>
          <cell r="O324">
            <v>0</v>
          </cell>
          <cell r="P324">
            <v>0</v>
          </cell>
          <cell r="Q324">
            <v>0</v>
          </cell>
        </row>
        <row r="325">
          <cell r="C325" t="str">
            <v>Total Capital</v>
          </cell>
          <cell r="E325">
            <v>0</v>
          </cell>
          <cell r="F325">
            <v>40245.599999999991</v>
          </cell>
          <cell r="G325">
            <v>52332.499999999993</v>
          </cell>
          <cell r="H325">
            <v>69943.899999999994</v>
          </cell>
          <cell r="I325">
            <v>101325.70000000056</v>
          </cell>
          <cell r="J325">
            <v>129993.01890423721</v>
          </cell>
          <cell r="K325">
            <v>159416.24454123847</v>
          </cell>
          <cell r="L325">
            <v>183998.88218658985</v>
          </cell>
          <cell r="M325">
            <v>192433.01341504927</v>
          </cell>
          <cell r="N325">
            <v>214823.83363745152</v>
          </cell>
          <cell r="O325">
            <v>238663.70731690127</v>
          </cell>
          <cell r="P325">
            <v>25.651064360148261</v>
          </cell>
          <cell r="Q325">
            <v>0</v>
          </cell>
        </row>
        <row r="326">
          <cell r="E326">
            <v>0</v>
          </cell>
          <cell r="F326">
            <v>0</v>
          </cell>
          <cell r="G326">
            <v>0</v>
          </cell>
          <cell r="H326">
            <v>0</v>
          </cell>
          <cell r="I326">
            <v>0</v>
          </cell>
          <cell r="J326">
            <v>0</v>
          </cell>
          <cell r="K326">
            <v>0</v>
          </cell>
          <cell r="L326">
            <v>0</v>
          </cell>
          <cell r="M326">
            <v>0</v>
          </cell>
          <cell r="N326">
            <v>0</v>
          </cell>
          <cell r="O326">
            <v>0</v>
          </cell>
          <cell r="P326">
            <v>0</v>
          </cell>
          <cell r="Q326">
            <v>0</v>
          </cell>
        </row>
        <row r="330">
          <cell r="E330">
            <v>0</v>
          </cell>
          <cell r="F330">
            <v>18628.8</v>
          </cell>
          <cell r="G330">
            <v>26072.699999999997</v>
          </cell>
          <cell r="H330">
            <v>43293.9</v>
          </cell>
          <cell r="I330">
            <v>71871.500000000582</v>
          </cell>
          <cell r="J330">
            <v>82052.552237570577</v>
          </cell>
          <cell r="K330">
            <v>88543.735425667866</v>
          </cell>
          <cell r="L330">
            <v>97626.084418210143</v>
          </cell>
          <cell r="M330">
            <v>115311.60593228247</v>
          </cell>
          <cell r="N330">
            <v>137327.78089398734</v>
          </cell>
          <cell r="O330">
            <v>159882.80235719401</v>
          </cell>
          <cell r="P330">
            <v>0</v>
          </cell>
          <cell r="Q330">
            <v>0</v>
          </cell>
        </row>
        <row r="331">
          <cell r="E331">
            <v>0</v>
          </cell>
          <cell r="F331">
            <v>0</v>
          </cell>
          <cell r="G331">
            <v>0</v>
          </cell>
          <cell r="H331">
            <v>0</v>
          </cell>
          <cell r="I331">
            <v>0</v>
          </cell>
          <cell r="J331">
            <v>0</v>
          </cell>
          <cell r="K331">
            <v>0</v>
          </cell>
          <cell r="L331">
            <v>0</v>
          </cell>
          <cell r="M331">
            <v>0</v>
          </cell>
          <cell r="N331">
            <v>0</v>
          </cell>
          <cell r="O331">
            <v>0</v>
          </cell>
          <cell r="P331">
            <v>0</v>
          </cell>
          <cell r="Q331">
            <v>0</v>
          </cell>
        </row>
        <row r="332">
          <cell r="E332">
            <v>0</v>
          </cell>
          <cell r="F332">
            <v>0</v>
          </cell>
          <cell r="G332">
            <v>0</v>
          </cell>
          <cell r="H332">
            <v>0</v>
          </cell>
          <cell r="I332">
            <v>0</v>
          </cell>
          <cell r="J332">
            <v>0</v>
          </cell>
          <cell r="K332">
            <v>0</v>
          </cell>
          <cell r="L332">
            <v>0</v>
          </cell>
          <cell r="M332">
            <v>0</v>
          </cell>
          <cell r="N332">
            <v>0</v>
          </cell>
          <cell r="O332">
            <v>0</v>
          </cell>
          <cell r="P332">
            <v>0</v>
          </cell>
          <cell r="Q332">
            <v>0</v>
          </cell>
        </row>
        <row r="333">
          <cell r="E333">
            <v>0</v>
          </cell>
          <cell r="F333">
            <v>0</v>
          </cell>
          <cell r="G333">
            <v>0</v>
          </cell>
          <cell r="H333">
            <v>0</v>
          </cell>
          <cell r="I333">
            <v>0</v>
          </cell>
          <cell r="J333">
            <v>0</v>
          </cell>
          <cell r="K333">
            <v>0</v>
          </cell>
          <cell r="L333">
            <v>0</v>
          </cell>
          <cell r="M333">
            <v>0</v>
          </cell>
          <cell r="N333">
            <v>0</v>
          </cell>
          <cell r="O333">
            <v>0</v>
          </cell>
          <cell r="P333">
            <v>0</v>
          </cell>
          <cell r="Q333">
            <v>0</v>
          </cell>
        </row>
        <row r="334">
          <cell r="C334" t="str">
            <v>Adjusted Common Equity</v>
          </cell>
          <cell r="E334">
            <v>0</v>
          </cell>
          <cell r="F334">
            <v>18628.8</v>
          </cell>
          <cell r="G334">
            <v>26072.699999999997</v>
          </cell>
          <cell r="H334">
            <v>43293.9</v>
          </cell>
          <cell r="I334">
            <v>71871.500000000582</v>
          </cell>
          <cell r="J334">
            <v>82052.552237570577</v>
          </cell>
          <cell r="K334">
            <v>88543.735425667866</v>
          </cell>
          <cell r="L334">
            <v>97626.084418210143</v>
          </cell>
          <cell r="M334">
            <v>115311.60593228247</v>
          </cell>
          <cell r="N334">
            <v>137327.78089398734</v>
          </cell>
          <cell r="O334">
            <v>159882.80235719401</v>
          </cell>
          <cell r="P334">
            <v>0</v>
          </cell>
          <cell r="Q334">
            <v>0</v>
          </cell>
        </row>
        <row r="335">
          <cell r="E335">
            <v>0</v>
          </cell>
          <cell r="F335">
            <v>0</v>
          </cell>
          <cell r="G335">
            <v>0</v>
          </cell>
          <cell r="H335">
            <v>0</v>
          </cell>
          <cell r="I335">
            <v>0</v>
          </cell>
          <cell r="J335">
            <v>0</v>
          </cell>
          <cell r="K335">
            <v>0</v>
          </cell>
          <cell r="L335">
            <v>0</v>
          </cell>
          <cell r="M335">
            <v>0</v>
          </cell>
          <cell r="N335">
            <v>0</v>
          </cell>
          <cell r="O335">
            <v>0</v>
          </cell>
          <cell r="P335">
            <v>0</v>
          </cell>
          <cell r="Q335">
            <v>0</v>
          </cell>
        </row>
        <row r="336">
          <cell r="E336">
            <v>0</v>
          </cell>
          <cell r="F336">
            <v>55</v>
          </cell>
          <cell r="G336">
            <v>55</v>
          </cell>
          <cell r="H336">
            <v>55</v>
          </cell>
          <cell r="I336">
            <v>55</v>
          </cell>
          <cell r="J336">
            <v>2000</v>
          </cell>
          <cell r="K336">
            <v>2000</v>
          </cell>
          <cell r="L336">
            <v>2000</v>
          </cell>
          <cell r="M336">
            <v>2000</v>
          </cell>
          <cell r="N336">
            <v>2000</v>
          </cell>
          <cell r="O336">
            <v>2000</v>
          </cell>
          <cell r="P336">
            <v>0</v>
          </cell>
          <cell r="Q336">
            <v>0</v>
          </cell>
        </row>
        <row r="337">
          <cell r="E337">
            <v>0</v>
          </cell>
          <cell r="F337">
            <v>0</v>
          </cell>
          <cell r="G337">
            <v>0</v>
          </cell>
          <cell r="H337">
            <v>0</v>
          </cell>
          <cell r="I337">
            <v>0</v>
          </cell>
          <cell r="J337">
            <v>0</v>
          </cell>
          <cell r="K337">
            <v>0</v>
          </cell>
          <cell r="L337">
            <v>0</v>
          </cell>
          <cell r="M337">
            <v>0</v>
          </cell>
          <cell r="N337">
            <v>0</v>
          </cell>
          <cell r="O337">
            <v>0</v>
          </cell>
          <cell r="P337">
            <v>0</v>
          </cell>
          <cell r="Q337">
            <v>0</v>
          </cell>
        </row>
        <row r="338">
          <cell r="E338">
            <v>0</v>
          </cell>
          <cell r="F338">
            <v>13540.7</v>
          </cell>
          <cell r="G338">
            <v>21873.4</v>
          </cell>
          <cell r="H338">
            <v>25016.400000000001</v>
          </cell>
          <cell r="I338">
            <v>23971.300000000003</v>
          </cell>
          <cell r="J338">
            <v>39118.666666666664</v>
          </cell>
          <cell r="K338">
            <v>62050.709115570608</v>
          </cell>
          <cell r="L338">
            <v>76741.997768379733</v>
          </cell>
          <cell r="M338">
            <v>68257.607482766805</v>
          </cell>
          <cell r="N338">
            <v>68631.252743464225</v>
          </cell>
          <cell r="O338">
            <v>69915.1049597073</v>
          </cell>
          <cell r="P338">
            <v>0</v>
          </cell>
          <cell r="Q338">
            <v>0</v>
          </cell>
        </row>
        <row r="339">
          <cell r="E339">
            <v>0</v>
          </cell>
          <cell r="F339">
            <v>8021.1</v>
          </cell>
          <cell r="G339">
            <v>4331.3999999999996</v>
          </cell>
          <cell r="H339">
            <v>1578.6</v>
          </cell>
          <cell r="I339">
            <v>5427.9</v>
          </cell>
          <cell r="J339">
            <v>6821.8</v>
          </cell>
          <cell r="K339">
            <v>6821.8</v>
          </cell>
          <cell r="L339">
            <v>7630.8</v>
          </cell>
          <cell r="M339">
            <v>6863.8</v>
          </cell>
          <cell r="N339">
            <v>6864.8</v>
          </cell>
          <cell r="O339">
            <v>6865.8</v>
          </cell>
          <cell r="P339">
            <v>0</v>
          </cell>
          <cell r="Q339">
            <v>0</v>
          </cell>
        </row>
        <row r="340">
          <cell r="E340">
            <v>0</v>
          </cell>
          <cell r="F340">
            <v>0</v>
          </cell>
          <cell r="G340">
            <v>0</v>
          </cell>
          <cell r="H340">
            <v>0</v>
          </cell>
          <cell r="I340">
            <v>0</v>
          </cell>
          <cell r="J340">
            <v>0</v>
          </cell>
          <cell r="K340">
            <v>0</v>
          </cell>
          <cell r="L340">
            <v>0</v>
          </cell>
          <cell r="M340">
            <v>0</v>
          </cell>
          <cell r="N340">
            <v>0</v>
          </cell>
          <cell r="O340">
            <v>0</v>
          </cell>
          <cell r="P340">
            <v>0</v>
          </cell>
          <cell r="Q340">
            <v>0</v>
          </cell>
        </row>
        <row r="341">
          <cell r="E341">
            <v>0</v>
          </cell>
          <cell r="F341">
            <v>0</v>
          </cell>
          <cell r="G341">
            <v>0</v>
          </cell>
          <cell r="H341">
            <v>0</v>
          </cell>
          <cell r="I341">
            <v>0</v>
          </cell>
          <cell r="J341">
            <v>0</v>
          </cell>
          <cell r="K341">
            <v>0</v>
          </cell>
          <cell r="L341">
            <v>0</v>
          </cell>
          <cell r="M341">
            <v>0</v>
          </cell>
          <cell r="N341">
            <v>0</v>
          </cell>
          <cell r="O341">
            <v>0</v>
          </cell>
          <cell r="P341">
            <v>0</v>
          </cell>
          <cell r="Q341">
            <v>0</v>
          </cell>
        </row>
        <row r="342">
          <cell r="C342" t="str">
            <v>Total Capital</v>
          </cell>
          <cell r="E342">
            <v>0</v>
          </cell>
          <cell r="F342">
            <v>40245.599999999999</v>
          </cell>
          <cell r="G342">
            <v>52332.5</v>
          </cell>
          <cell r="H342">
            <v>69943.900000000009</v>
          </cell>
          <cell r="I342">
            <v>101325.70000000058</v>
          </cell>
          <cell r="J342">
            <v>129993.01890423724</v>
          </cell>
          <cell r="K342">
            <v>159416.24454123847</v>
          </cell>
          <cell r="L342">
            <v>183998.88218658988</v>
          </cell>
          <cell r="M342">
            <v>192433.01341504927</v>
          </cell>
          <cell r="N342">
            <v>214823.83363745155</v>
          </cell>
          <cell r="O342">
            <v>238663.7073169013</v>
          </cell>
          <cell r="P342">
            <v>0</v>
          </cell>
          <cell r="Q342">
            <v>0</v>
          </cell>
        </row>
        <row r="343">
          <cell r="E343">
            <v>0</v>
          </cell>
          <cell r="F343">
            <v>0</v>
          </cell>
          <cell r="G343">
            <v>0</v>
          </cell>
          <cell r="H343">
            <v>0</v>
          </cell>
          <cell r="I343">
            <v>0</v>
          </cell>
          <cell r="J343">
            <v>0</v>
          </cell>
          <cell r="K343">
            <v>0</v>
          </cell>
          <cell r="L343">
            <v>0</v>
          </cell>
          <cell r="M343">
            <v>0</v>
          </cell>
          <cell r="N343">
            <v>0</v>
          </cell>
          <cell r="O343">
            <v>0</v>
          </cell>
          <cell r="P343">
            <v>0</v>
          </cell>
          <cell r="Q343">
            <v>0</v>
          </cell>
        </row>
        <row r="344">
          <cell r="C344" t="str">
            <v>Total Capital [Balance]</v>
          </cell>
          <cell r="E344">
            <v>0</v>
          </cell>
          <cell r="F344">
            <v>0</v>
          </cell>
          <cell r="G344">
            <v>0</v>
          </cell>
          <cell r="H344">
            <v>0</v>
          </cell>
          <cell r="I344">
            <v>0</v>
          </cell>
          <cell r="J344">
            <v>0</v>
          </cell>
          <cell r="K344">
            <v>0</v>
          </cell>
          <cell r="L344">
            <v>0</v>
          </cell>
          <cell r="M344">
            <v>0</v>
          </cell>
          <cell r="N344">
            <v>0</v>
          </cell>
          <cell r="O344">
            <v>0</v>
          </cell>
          <cell r="P344">
            <v>25.7</v>
          </cell>
          <cell r="Q344">
            <v>0</v>
          </cell>
        </row>
        <row r="346">
          <cell r="C346" t="str">
            <v>Average Operating Capital</v>
          </cell>
          <cell r="E346">
            <v>0</v>
          </cell>
          <cell r="F346">
            <v>0</v>
          </cell>
          <cell r="G346">
            <v>28356.199999999993</v>
          </cell>
          <cell r="H346">
            <v>41919.599999999991</v>
          </cell>
          <cell r="I346">
            <v>48368.400000000271</v>
          </cell>
          <cell r="J346">
            <v>58108.859452118879</v>
          </cell>
          <cell r="K346">
            <v>94425.604850737829</v>
          </cell>
          <cell r="L346">
            <v>127727.63461991414</v>
          </cell>
          <cell r="M346">
            <v>135348.14405681955</v>
          </cell>
          <cell r="N346">
            <v>148860.61978225037</v>
          </cell>
          <cell r="O346">
            <v>169325.96673317638</v>
          </cell>
          <cell r="P346">
            <v>0</v>
          </cell>
          <cell r="Q346">
            <v>0</v>
          </cell>
        </row>
        <row r="347">
          <cell r="C347" t="str">
            <v>Average Total Capital</v>
          </cell>
          <cell r="E347">
            <v>0</v>
          </cell>
          <cell r="F347">
            <v>0</v>
          </cell>
          <cell r="G347">
            <v>46289.049999999988</v>
          </cell>
          <cell r="H347">
            <v>61138.2</v>
          </cell>
          <cell r="I347">
            <v>85634.800000000279</v>
          </cell>
          <cell r="J347">
            <v>115659.35945211889</v>
          </cell>
          <cell r="K347">
            <v>144704.63172273783</v>
          </cell>
          <cell r="L347">
            <v>171707.56336391415</v>
          </cell>
          <cell r="M347">
            <v>188215.94780081956</v>
          </cell>
          <cell r="N347">
            <v>203628.42352625041</v>
          </cell>
          <cell r="O347">
            <v>226743.77047717641</v>
          </cell>
          <cell r="P347">
            <v>0</v>
          </cell>
          <cell r="Q347">
            <v>0</v>
          </cell>
        </row>
        <row r="348">
          <cell r="C348" t="str">
            <v>Incr / (Decr) in Operating Capital  [ I ]</v>
          </cell>
          <cell r="E348">
            <v>0</v>
          </cell>
          <cell r="F348">
            <v>0</v>
          </cell>
          <cell r="G348">
            <v>18773.799999999996</v>
          </cell>
          <cell r="H348">
            <v>8353</v>
          </cell>
          <cell r="I348">
            <v>4544.6000000005661</v>
          </cell>
          <cell r="J348">
            <v>14936.31890423665</v>
          </cell>
          <cell r="K348">
            <v>57697.171893001243</v>
          </cell>
          <cell r="L348">
            <v>8906.8876453513949</v>
          </cell>
          <cell r="M348">
            <v>6334.1312284594169</v>
          </cell>
          <cell r="N348">
            <v>20690.820222402253</v>
          </cell>
          <cell r="O348">
            <v>20239.873679449753</v>
          </cell>
          <cell r="P348">
            <v>0</v>
          </cell>
          <cell r="Q348">
            <v>0</v>
          </cell>
        </row>
        <row r="349">
          <cell r="C349" t="str">
            <v>Adjusted Total Debt</v>
          </cell>
          <cell r="E349">
            <v>0</v>
          </cell>
          <cell r="F349">
            <v>0</v>
          </cell>
          <cell r="G349">
            <v>26204.800000000003</v>
          </cell>
          <cell r="H349">
            <v>26595</v>
          </cell>
          <cell r="I349">
            <v>29399.200000000004</v>
          </cell>
          <cell r="J349">
            <v>45940.466666666667</v>
          </cell>
          <cell r="K349">
            <v>68872.509115570603</v>
          </cell>
          <cell r="L349">
            <v>84372.797768379736</v>
          </cell>
          <cell r="M349">
            <v>75121.407482766808</v>
          </cell>
          <cell r="N349">
            <v>75496.052743464228</v>
          </cell>
          <cell r="O349">
            <v>76780.904959707303</v>
          </cell>
          <cell r="P349">
            <v>0</v>
          </cell>
          <cell r="Q349">
            <v>0</v>
          </cell>
        </row>
        <row r="353">
          <cell r="A353" t="str">
            <v>( + )</v>
          </cell>
          <cell r="C353" t="str">
            <v>Accumulated Goodwill Amortization - Input</v>
          </cell>
        </row>
        <row r="354">
          <cell r="A354" t="str">
            <v>( + )</v>
          </cell>
          <cell r="C354" t="str">
            <v>LIFO Reserve</v>
          </cell>
        </row>
        <row r="355">
          <cell r="C355" t="str">
            <v>Accumulated Goodwill Amortization</v>
          </cell>
          <cell r="E355">
            <v>0</v>
          </cell>
          <cell r="F355">
            <v>0</v>
          </cell>
          <cell r="G355">
            <v>0</v>
          </cell>
          <cell r="H355">
            <v>0</v>
          </cell>
          <cell r="I355">
            <v>0</v>
          </cell>
          <cell r="J355">
            <v>0</v>
          </cell>
          <cell r="K355">
            <v>0</v>
          </cell>
          <cell r="L355">
            <v>0</v>
          </cell>
          <cell r="M355">
            <v>0</v>
          </cell>
          <cell r="N355">
            <v>0</v>
          </cell>
          <cell r="O355">
            <v>0</v>
          </cell>
          <cell r="P355">
            <v>0</v>
          </cell>
          <cell r="Q355">
            <v>0</v>
          </cell>
        </row>
        <row r="356">
          <cell r="E356">
            <v>0</v>
          </cell>
          <cell r="F356">
            <v>0</v>
          </cell>
          <cell r="G356">
            <v>0</v>
          </cell>
          <cell r="H356">
            <v>0</v>
          </cell>
          <cell r="I356">
            <v>0</v>
          </cell>
          <cell r="J356">
            <v>0</v>
          </cell>
          <cell r="K356">
            <v>0</v>
          </cell>
          <cell r="L356">
            <v>0</v>
          </cell>
          <cell r="M356">
            <v>0</v>
          </cell>
          <cell r="N356">
            <v>0</v>
          </cell>
          <cell r="O356">
            <v>0</v>
          </cell>
          <cell r="P356">
            <v>0</v>
          </cell>
          <cell r="Q356">
            <v>0</v>
          </cell>
        </row>
        <row r="357">
          <cell r="E357">
            <v>0</v>
          </cell>
          <cell r="F357">
            <v>0</v>
          </cell>
          <cell r="G357">
            <v>0</v>
          </cell>
          <cell r="H357">
            <v>0</v>
          </cell>
          <cell r="I357">
            <v>0</v>
          </cell>
          <cell r="J357">
            <v>0</v>
          </cell>
          <cell r="K357">
            <v>0</v>
          </cell>
          <cell r="L357">
            <v>0</v>
          </cell>
          <cell r="M357">
            <v>0</v>
          </cell>
          <cell r="N357">
            <v>0</v>
          </cell>
          <cell r="O357">
            <v>0</v>
          </cell>
          <cell r="P357">
            <v>0</v>
          </cell>
          <cell r="Q357">
            <v>0</v>
          </cell>
        </row>
        <row r="358">
          <cell r="C358" t="str">
            <v>Total Equity Equivalents</v>
          </cell>
          <cell r="E358">
            <v>0</v>
          </cell>
          <cell r="F358">
            <v>0</v>
          </cell>
          <cell r="G358">
            <v>0</v>
          </cell>
          <cell r="H358">
            <v>0</v>
          </cell>
          <cell r="I358">
            <v>0</v>
          </cell>
          <cell r="J358">
            <v>0</v>
          </cell>
          <cell r="K358">
            <v>0</v>
          </cell>
          <cell r="L358">
            <v>0</v>
          </cell>
          <cell r="M358">
            <v>0</v>
          </cell>
          <cell r="N358">
            <v>0</v>
          </cell>
          <cell r="O358">
            <v>0</v>
          </cell>
          <cell r="P358">
            <v>0</v>
          </cell>
          <cell r="Q358">
            <v>0</v>
          </cell>
        </row>
        <row r="359">
          <cell r="E359">
            <v>0</v>
          </cell>
          <cell r="F359">
            <v>0</v>
          </cell>
          <cell r="G359">
            <v>0</v>
          </cell>
          <cell r="H359">
            <v>0</v>
          </cell>
          <cell r="I359">
            <v>0</v>
          </cell>
          <cell r="J359">
            <v>0</v>
          </cell>
          <cell r="K359">
            <v>0</v>
          </cell>
          <cell r="L359">
            <v>0</v>
          </cell>
          <cell r="M359">
            <v>0</v>
          </cell>
          <cell r="N359">
            <v>0</v>
          </cell>
          <cell r="O359">
            <v>0</v>
          </cell>
          <cell r="P359">
            <v>0</v>
          </cell>
          <cell r="Q359">
            <v>0</v>
          </cell>
        </row>
        <row r="366">
          <cell r="E366">
            <v>0</v>
          </cell>
          <cell r="F366">
            <v>0</v>
          </cell>
          <cell r="G366">
            <v>5326.399999999996</v>
          </cell>
          <cell r="H366">
            <v>6930.6999999999953</v>
          </cell>
          <cell r="I366">
            <v>10317.700000000577</v>
          </cell>
          <cell r="J366">
            <v>11435.190027570001</v>
          </cell>
          <cell r="K366">
            <v>9676.9017374540217</v>
          </cell>
          <cell r="L366">
            <v>16275.013065438123</v>
          </cell>
          <cell r="M366">
            <v>27192.430206947953</v>
          </cell>
          <cell r="N366">
            <v>32184.594293208022</v>
          </cell>
          <cell r="O366">
            <v>31815.198242980507</v>
          </cell>
          <cell r="P366">
            <v>0</v>
          </cell>
          <cell r="Q366">
            <v>0</v>
          </cell>
        </row>
        <row r="367">
          <cell r="A367" t="str">
            <v>( + )</v>
          </cell>
          <cell r="C367" t="str">
            <v>Plus Interest on Non Capitalized Leases</v>
          </cell>
        </row>
        <row r="368">
          <cell r="C368" t="str">
            <v>Plus Adjustments To Operating Income</v>
          </cell>
        </row>
        <row r="369">
          <cell r="C369" t="str">
            <v>Incr / (Decr) In LIFO Reserve</v>
          </cell>
          <cell r="E369">
            <v>0</v>
          </cell>
          <cell r="F369">
            <v>0</v>
          </cell>
          <cell r="G369">
            <v>0</v>
          </cell>
          <cell r="H369">
            <v>0</v>
          </cell>
          <cell r="I369">
            <v>0</v>
          </cell>
          <cell r="J369">
            <v>0</v>
          </cell>
          <cell r="K369">
            <v>0</v>
          </cell>
          <cell r="L369">
            <v>0</v>
          </cell>
          <cell r="M369">
            <v>0</v>
          </cell>
          <cell r="N369">
            <v>0</v>
          </cell>
          <cell r="O369">
            <v>0</v>
          </cell>
          <cell r="P369">
            <v>0</v>
          </cell>
          <cell r="Q369">
            <v>0</v>
          </cell>
        </row>
        <row r="370">
          <cell r="E370">
            <v>0</v>
          </cell>
          <cell r="F370">
            <v>0</v>
          </cell>
          <cell r="G370">
            <v>0</v>
          </cell>
          <cell r="H370">
            <v>0</v>
          </cell>
          <cell r="I370">
            <v>0</v>
          </cell>
          <cell r="J370">
            <v>0</v>
          </cell>
          <cell r="K370">
            <v>0</v>
          </cell>
          <cell r="L370">
            <v>0</v>
          </cell>
          <cell r="M370">
            <v>0</v>
          </cell>
          <cell r="N370">
            <v>0</v>
          </cell>
          <cell r="O370">
            <v>0</v>
          </cell>
          <cell r="P370">
            <v>0</v>
          </cell>
          <cell r="Q370">
            <v>0</v>
          </cell>
        </row>
        <row r="371">
          <cell r="C371" t="str">
            <v>NOPBT</v>
          </cell>
          <cell r="E371">
            <v>0</v>
          </cell>
          <cell r="F371">
            <v>0</v>
          </cell>
          <cell r="G371">
            <v>5326.399999999996</v>
          </cell>
          <cell r="H371">
            <v>6930.6999999999953</v>
          </cell>
          <cell r="I371">
            <v>10317.700000000577</v>
          </cell>
          <cell r="J371">
            <v>11435.190027570001</v>
          </cell>
          <cell r="K371">
            <v>9676.9017374540217</v>
          </cell>
          <cell r="L371">
            <v>16275.013065438123</v>
          </cell>
          <cell r="M371">
            <v>27192.430206947953</v>
          </cell>
          <cell r="N371">
            <v>32184.594293208022</v>
          </cell>
          <cell r="O371">
            <v>31815.198242980507</v>
          </cell>
          <cell r="P371">
            <v>0</v>
          </cell>
          <cell r="Q371">
            <v>0</v>
          </cell>
        </row>
        <row r="372">
          <cell r="E372">
            <v>0</v>
          </cell>
          <cell r="F372">
            <v>0</v>
          </cell>
          <cell r="G372">
            <v>0</v>
          </cell>
          <cell r="H372">
            <v>0</v>
          </cell>
          <cell r="I372">
            <v>0</v>
          </cell>
          <cell r="J372">
            <v>0</v>
          </cell>
          <cell r="K372">
            <v>-1248.3203241315689</v>
          </cell>
          <cell r="L372">
            <v>-2099.4766854415179</v>
          </cell>
          <cell r="M372">
            <v>-3507.8234966962859</v>
          </cell>
          <cell r="N372">
            <v>-4151.8126638238346</v>
          </cell>
          <cell r="O372">
            <v>-4104.1605733444858</v>
          </cell>
          <cell r="P372">
            <v>0</v>
          </cell>
          <cell r="Q372">
            <v>0</v>
          </cell>
        </row>
        <row r="373">
          <cell r="E373">
            <v>0</v>
          </cell>
          <cell r="F373">
            <v>0</v>
          </cell>
          <cell r="G373">
            <v>0</v>
          </cell>
          <cell r="H373">
            <v>0</v>
          </cell>
          <cell r="I373">
            <v>0</v>
          </cell>
          <cell r="J373">
            <v>0</v>
          </cell>
          <cell r="K373">
            <v>0</v>
          </cell>
          <cell r="L373">
            <v>0</v>
          </cell>
          <cell r="M373">
            <v>0</v>
          </cell>
          <cell r="N373">
            <v>0</v>
          </cell>
          <cell r="O373">
            <v>0</v>
          </cell>
          <cell r="P373">
            <v>0</v>
          </cell>
          <cell r="Q373">
            <v>0</v>
          </cell>
        </row>
        <row r="374">
          <cell r="C374" t="str">
            <v>NOPAT</v>
          </cell>
          <cell r="E374">
            <v>0</v>
          </cell>
          <cell r="F374">
            <v>0</v>
          </cell>
          <cell r="G374">
            <v>5326.399999999996</v>
          </cell>
          <cell r="H374">
            <v>6930.6999999999953</v>
          </cell>
          <cell r="I374">
            <v>10317.700000000577</v>
          </cell>
          <cell r="J374">
            <v>11435.190027570001</v>
          </cell>
          <cell r="K374">
            <v>8428.5814133224521</v>
          </cell>
          <cell r="L374">
            <v>14175.536379996605</v>
          </cell>
          <cell r="M374">
            <v>23684.606710251668</v>
          </cell>
          <cell r="N374">
            <v>28032.781629384186</v>
          </cell>
          <cell r="O374">
            <v>27711.037669636022</v>
          </cell>
          <cell r="P374">
            <v>0</v>
          </cell>
          <cell r="Q374">
            <v>0</v>
          </cell>
        </row>
        <row r="375">
          <cell r="E375">
            <v>0</v>
          </cell>
          <cell r="F375">
            <v>0</v>
          </cell>
          <cell r="G375">
            <v>0</v>
          </cell>
          <cell r="H375">
            <v>0</v>
          </cell>
          <cell r="I375">
            <v>0</v>
          </cell>
          <cell r="J375">
            <v>0</v>
          </cell>
          <cell r="K375">
            <v>0</v>
          </cell>
          <cell r="L375">
            <v>0</v>
          </cell>
          <cell r="M375">
            <v>0</v>
          </cell>
          <cell r="N375">
            <v>0</v>
          </cell>
          <cell r="O375">
            <v>0</v>
          </cell>
          <cell r="P375">
            <v>0</v>
          </cell>
          <cell r="Q375">
            <v>0</v>
          </cell>
        </row>
        <row r="379">
          <cell r="E379">
            <v>0</v>
          </cell>
          <cell r="F379">
            <v>0</v>
          </cell>
          <cell r="G379">
            <v>3208.8999999999965</v>
          </cell>
          <cell r="H379">
            <v>5746.5999999999949</v>
          </cell>
          <cell r="I379">
            <v>10640.200000000577</v>
          </cell>
          <cell r="J379">
            <v>12772.690027570001</v>
          </cell>
          <cell r="K379">
            <v>9253.4209780972869</v>
          </cell>
          <cell r="L379">
            <v>12535.146230042272</v>
          </cell>
          <cell r="M379">
            <v>21368.505234072334</v>
          </cell>
          <cell r="N379">
            <v>25699.158681704852</v>
          </cell>
          <cell r="O379">
            <v>26238.005183206689</v>
          </cell>
          <cell r="P379">
            <v>0</v>
          </cell>
          <cell r="Q379">
            <v>0</v>
          </cell>
        </row>
        <row r="380">
          <cell r="E380">
            <v>0</v>
          </cell>
          <cell r="F380">
            <v>0</v>
          </cell>
          <cell r="G380">
            <v>0</v>
          </cell>
          <cell r="H380">
            <v>0</v>
          </cell>
          <cell r="I380">
            <v>0</v>
          </cell>
          <cell r="J380">
            <v>0</v>
          </cell>
          <cell r="K380">
            <v>0</v>
          </cell>
          <cell r="L380">
            <v>0</v>
          </cell>
          <cell r="M380">
            <v>0</v>
          </cell>
          <cell r="N380">
            <v>0</v>
          </cell>
          <cell r="O380">
            <v>0</v>
          </cell>
          <cell r="P380">
            <v>0</v>
          </cell>
          <cell r="Q380">
            <v>0</v>
          </cell>
        </row>
        <row r="381">
          <cell r="E381">
            <v>0</v>
          </cell>
          <cell r="F381">
            <v>0</v>
          </cell>
          <cell r="G381">
            <v>0</v>
          </cell>
          <cell r="H381">
            <v>0</v>
          </cell>
          <cell r="I381">
            <v>0</v>
          </cell>
          <cell r="J381">
            <v>0</v>
          </cell>
          <cell r="K381">
            <v>0</v>
          </cell>
          <cell r="L381">
            <v>0</v>
          </cell>
          <cell r="M381">
            <v>0</v>
          </cell>
          <cell r="N381">
            <v>0</v>
          </cell>
          <cell r="O381">
            <v>0</v>
          </cell>
          <cell r="P381">
            <v>0</v>
          </cell>
          <cell r="Q381">
            <v>0</v>
          </cell>
        </row>
        <row r="382">
          <cell r="E382">
            <v>0</v>
          </cell>
          <cell r="F382">
            <v>0</v>
          </cell>
          <cell r="G382">
            <v>3208.8999999999965</v>
          </cell>
          <cell r="H382">
            <v>5746.5999999999949</v>
          </cell>
          <cell r="I382">
            <v>10640.200000000577</v>
          </cell>
          <cell r="J382">
            <v>12772.690027570001</v>
          </cell>
          <cell r="K382">
            <v>9253.4209780972869</v>
          </cell>
          <cell r="L382">
            <v>12535.146230042272</v>
          </cell>
          <cell r="M382">
            <v>21368.505234072334</v>
          </cell>
          <cell r="N382">
            <v>25699.158681704852</v>
          </cell>
          <cell r="O382">
            <v>26238.005183206689</v>
          </cell>
          <cell r="P382">
            <v>0</v>
          </cell>
          <cell r="Q382">
            <v>0</v>
          </cell>
        </row>
        <row r="383">
          <cell r="E383">
            <v>0</v>
          </cell>
          <cell r="F383">
            <v>0</v>
          </cell>
          <cell r="G383">
            <v>8.6</v>
          </cell>
          <cell r="H383">
            <v>8.3000000000000007</v>
          </cell>
          <cell r="I383">
            <v>8.3000000000000007</v>
          </cell>
          <cell r="J383">
            <v>280</v>
          </cell>
          <cell r="K383">
            <v>280</v>
          </cell>
          <cell r="L383">
            <v>280</v>
          </cell>
          <cell r="M383">
            <v>280</v>
          </cell>
          <cell r="N383">
            <v>280</v>
          </cell>
          <cell r="O383">
            <v>280</v>
          </cell>
          <cell r="P383">
            <v>0</v>
          </cell>
          <cell r="Q383">
            <v>0</v>
          </cell>
        </row>
        <row r="384">
          <cell r="E384">
            <v>0</v>
          </cell>
          <cell r="F384">
            <v>0</v>
          </cell>
          <cell r="G384">
            <v>0</v>
          </cell>
          <cell r="H384">
            <v>0</v>
          </cell>
          <cell r="I384">
            <v>0</v>
          </cell>
          <cell r="J384">
            <v>0</v>
          </cell>
          <cell r="K384">
            <v>0</v>
          </cell>
          <cell r="L384">
            <v>0</v>
          </cell>
          <cell r="M384">
            <v>0</v>
          </cell>
          <cell r="N384">
            <v>0</v>
          </cell>
          <cell r="O384">
            <v>0</v>
          </cell>
          <cell r="P384">
            <v>0</v>
          </cell>
          <cell r="Q384">
            <v>0</v>
          </cell>
        </row>
        <row r="385">
          <cell r="C385" t="str">
            <v>Plus AT Interest Expense</v>
          </cell>
          <cell r="E385">
            <v>0</v>
          </cell>
          <cell r="F385">
            <v>0</v>
          </cell>
          <cell r="G385">
            <v>2793.5</v>
          </cell>
          <cell r="H385">
            <v>2335.8000000000002</v>
          </cell>
          <cell r="I385">
            <v>2795</v>
          </cell>
          <cell r="J385">
            <v>1101</v>
          </cell>
          <cell r="K385">
            <v>1414.8402967291665</v>
          </cell>
          <cell r="L385">
            <v>3662.3200114583324</v>
          </cell>
          <cell r="M385">
            <v>4425.1313376833332</v>
          </cell>
          <cell r="N385">
            <v>3658.7528091833328</v>
          </cell>
          <cell r="O385">
            <v>3582.0623479333331</v>
          </cell>
          <cell r="P385">
            <v>0</v>
          </cell>
          <cell r="Q385">
            <v>0</v>
          </cell>
        </row>
        <row r="386">
          <cell r="C386" t="str">
            <v>Plus AT Interest On Non Capitalised Leases</v>
          </cell>
          <cell r="E386">
            <v>0</v>
          </cell>
          <cell r="F386">
            <v>0</v>
          </cell>
          <cell r="G386">
            <v>0</v>
          </cell>
          <cell r="H386">
            <v>0</v>
          </cell>
          <cell r="I386">
            <v>0</v>
          </cell>
          <cell r="J386">
            <v>0</v>
          </cell>
          <cell r="K386">
            <v>0</v>
          </cell>
          <cell r="L386">
            <v>0</v>
          </cell>
          <cell r="M386">
            <v>0</v>
          </cell>
          <cell r="N386">
            <v>0</v>
          </cell>
          <cell r="O386">
            <v>0</v>
          </cell>
          <cell r="P386">
            <v>0</v>
          </cell>
          <cell r="Q386">
            <v>0</v>
          </cell>
        </row>
        <row r="387">
          <cell r="E387">
            <v>0</v>
          </cell>
          <cell r="F387">
            <v>0</v>
          </cell>
          <cell r="G387">
            <v>0</v>
          </cell>
          <cell r="H387">
            <v>0</v>
          </cell>
          <cell r="I387">
            <v>0</v>
          </cell>
          <cell r="J387">
            <v>0</v>
          </cell>
          <cell r="K387">
            <v>0</v>
          </cell>
          <cell r="L387">
            <v>0</v>
          </cell>
          <cell r="M387">
            <v>0</v>
          </cell>
          <cell r="N387">
            <v>0</v>
          </cell>
          <cell r="O387">
            <v>0</v>
          </cell>
          <cell r="P387">
            <v>0</v>
          </cell>
          <cell r="Q387">
            <v>0</v>
          </cell>
        </row>
        <row r="388">
          <cell r="C388" t="str">
            <v>Total Income Available to Investors</v>
          </cell>
          <cell r="E388">
            <v>0</v>
          </cell>
          <cell r="F388">
            <v>0</v>
          </cell>
          <cell r="G388">
            <v>6010.9999999999964</v>
          </cell>
          <cell r="H388">
            <v>8090.6999999999953</v>
          </cell>
          <cell r="I388">
            <v>13443.500000000577</v>
          </cell>
          <cell r="J388">
            <v>14153.690027570001</v>
          </cell>
          <cell r="K388">
            <v>10948.261274826453</v>
          </cell>
          <cell r="L388">
            <v>16477.466241500602</v>
          </cell>
          <cell r="M388">
            <v>26073.636571755669</v>
          </cell>
          <cell r="N388">
            <v>29637.911490888186</v>
          </cell>
          <cell r="O388">
            <v>30100.067531140023</v>
          </cell>
          <cell r="P388">
            <v>0</v>
          </cell>
          <cell r="Q388">
            <v>0</v>
          </cell>
        </row>
        <row r="389">
          <cell r="E389">
            <v>0</v>
          </cell>
          <cell r="F389">
            <v>0</v>
          </cell>
          <cell r="G389">
            <v>0</v>
          </cell>
          <cell r="H389">
            <v>0</v>
          </cell>
          <cell r="I389">
            <v>0</v>
          </cell>
          <cell r="J389">
            <v>0</v>
          </cell>
          <cell r="K389">
            <v>0</v>
          </cell>
          <cell r="L389">
            <v>0</v>
          </cell>
          <cell r="M389">
            <v>0</v>
          </cell>
          <cell r="N389">
            <v>0</v>
          </cell>
          <cell r="O389">
            <v>0</v>
          </cell>
          <cell r="P389">
            <v>0</v>
          </cell>
          <cell r="Q389">
            <v>0</v>
          </cell>
        </row>
        <row r="390">
          <cell r="E390">
            <v>0</v>
          </cell>
          <cell r="F390">
            <v>0</v>
          </cell>
          <cell r="G390">
            <v>0</v>
          </cell>
          <cell r="H390">
            <v>0</v>
          </cell>
          <cell r="I390">
            <v>0</v>
          </cell>
          <cell r="J390">
            <v>0</v>
          </cell>
          <cell r="K390">
            <v>0</v>
          </cell>
          <cell r="L390">
            <v>0</v>
          </cell>
          <cell r="M390">
            <v>0</v>
          </cell>
          <cell r="N390">
            <v>0</v>
          </cell>
          <cell r="O390">
            <v>0</v>
          </cell>
          <cell r="P390">
            <v>0</v>
          </cell>
          <cell r="Q390">
            <v>0</v>
          </cell>
        </row>
        <row r="391">
          <cell r="C391" t="str">
            <v>Less AT Non Operating Income</v>
          </cell>
          <cell r="E391">
            <v>0</v>
          </cell>
          <cell r="F391">
            <v>0</v>
          </cell>
          <cell r="G391">
            <v>-684.6</v>
          </cell>
          <cell r="H391">
            <v>-1160</v>
          </cell>
          <cell r="I391">
            <v>-3125.7999999999997</v>
          </cell>
          <cell r="J391">
            <v>-2718.5</v>
          </cell>
          <cell r="K391">
            <v>-2519.6798615039997</v>
          </cell>
          <cell r="L391">
            <v>-2301.9298615039997</v>
          </cell>
          <cell r="M391">
            <v>-2389.0298615040001</v>
          </cell>
          <cell r="N391">
            <v>-1605.1298615039998</v>
          </cell>
          <cell r="O391">
            <v>-2389.0298615040001</v>
          </cell>
          <cell r="P391">
            <v>0</v>
          </cell>
          <cell r="Q391">
            <v>0</v>
          </cell>
        </row>
        <row r="392">
          <cell r="E392">
            <v>0</v>
          </cell>
          <cell r="F392">
            <v>0</v>
          </cell>
          <cell r="G392">
            <v>0</v>
          </cell>
          <cell r="H392">
            <v>0</v>
          </cell>
          <cell r="I392">
            <v>0</v>
          </cell>
          <cell r="J392">
            <v>0</v>
          </cell>
          <cell r="K392">
            <v>0</v>
          </cell>
          <cell r="L392">
            <v>0</v>
          </cell>
          <cell r="M392">
            <v>0</v>
          </cell>
          <cell r="N392">
            <v>0</v>
          </cell>
          <cell r="O392">
            <v>0</v>
          </cell>
          <cell r="P392">
            <v>0</v>
          </cell>
          <cell r="Q392">
            <v>0</v>
          </cell>
        </row>
        <row r="393">
          <cell r="C393" t="str">
            <v>NOPAT</v>
          </cell>
          <cell r="E393">
            <v>0</v>
          </cell>
          <cell r="F393">
            <v>0</v>
          </cell>
          <cell r="G393">
            <v>5326.399999999996</v>
          </cell>
          <cell r="H393">
            <v>6930.6999999999953</v>
          </cell>
          <cell r="I393">
            <v>10317.700000000577</v>
          </cell>
          <cell r="J393">
            <v>11435.190027570001</v>
          </cell>
          <cell r="K393">
            <v>8428.5814133224521</v>
          </cell>
          <cell r="L393">
            <v>14175.536379996604</v>
          </cell>
          <cell r="M393">
            <v>23684.606710251668</v>
          </cell>
          <cell r="N393">
            <v>28032.781629384186</v>
          </cell>
          <cell r="O393">
            <v>27711.037669636022</v>
          </cell>
          <cell r="P393">
            <v>0</v>
          </cell>
          <cell r="Q393">
            <v>0</v>
          </cell>
        </row>
        <row r="394">
          <cell r="E394">
            <v>0</v>
          </cell>
          <cell r="F394">
            <v>0</v>
          </cell>
          <cell r="G394">
            <v>0</v>
          </cell>
          <cell r="H394">
            <v>0</v>
          </cell>
          <cell r="I394">
            <v>0</v>
          </cell>
          <cell r="J394">
            <v>0</v>
          </cell>
          <cell r="K394">
            <v>0</v>
          </cell>
          <cell r="L394">
            <v>0</v>
          </cell>
          <cell r="M394">
            <v>0</v>
          </cell>
          <cell r="N394">
            <v>0</v>
          </cell>
          <cell r="O394">
            <v>0</v>
          </cell>
          <cell r="P394">
            <v>0</v>
          </cell>
          <cell r="Q394">
            <v>0</v>
          </cell>
        </row>
        <row r="395">
          <cell r="C395" t="str">
            <v>NOPAT [Balance]</v>
          </cell>
          <cell r="E395">
            <v>0</v>
          </cell>
          <cell r="F395">
            <v>0</v>
          </cell>
          <cell r="G395">
            <v>0</v>
          </cell>
          <cell r="H395">
            <v>0</v>
          </cell>
          <cell r="I395">
            <v>0</v>
          </cell>
          <cell r="J395">
            <v>0</v>
          </cell>
          <cell r="K395">
            <v>0</v>
          </cell>
          <cell r="L395">
            <v>0</v>
          </cell>
          <cell r="M395">
            <v>0</v>
          </cell>
          <cell r="N395">
            <v>0</v>
          </cell>
          <cell r="O395">
            <v>0</v>
          </cell>
          <cell r="P395">
            <v>0</v>
          </cell>
          <cell r="Q395">
            <v>0</v>
          </cell>
        </row>
        <row r="399">
          <cell r="E399">
            <v>0</v>
          </cell>
          <cell r="F399">
            <v>0</v>
          </cell>
          <cell r="G399">
            <v>0</v>
          </cell>
          <cell r="H399">
            <v>0</v>
          </cell>
          <cell r="I399">
            <v>0</v>
          </cell>
          <cell r="J399">
            <v>0</v>
          </cell>
          <cell r="K399">
            <v>0</v>
          </cell>
          <cell r="L399">
            <v>0</v>
          </cell>
          <cell r="M399">
            <v>0</v>
          </cell>
          <cell r="N399">
            <v>0</v>
          </cell>
          <cell r="O399">
            <v>0</v>
          </cell>
          <cell r="P399">
            <v>0</v>
          </cell>
          <cell r="Q399">
            <v>0</v>
          </cell>
        </row>
        <row r="400">
          <cell r="E400">
            <v>0</v>
          </cell>
          <cell r="F400">
            <v>0</v>
          </cell>
          <cell r="G400">
            <v>0</v>
          </cell>
          <cell r="H400">
            <v>0</v>
          </cell>
          <cell r="I400">
            <v>0</v>
          </cell>
          <cell r="J400">
            <v>0</v>
          </cell>
          <cell r="K400">
            <v>0</v>
          </cell>
          <cell r="L400">
            <v>0</v>
          </cell>
          <cell r="M400">
            <v>0</v>
          </cell>
          <cell r="N400">
            <v>0</v>
          </cell>
          <cell r="O400">
            <v>0</v>
          </cell>
          <cell r="P400">
            <v>0</v>
          </cell>
          <cell r="Q400">
            <v>0</v>
          </cell>
        </row>
        <row r="401">
          <cell r="C401" t="str">
            <v>Incr / (Decr) In Deferred Taxes</v>
          </cell>
          <cell r="E401">
            <v>0</v>
          </cell>
          <cell r="F401">
            <v>0</v>
          </cell>
          <cell r="G401">
            <v>0</v>
          </cell>
          <cell r="H401">
            <v>0</v>
          </cell>
          <cell r="I401">
            <v>0</v>
          </cell>
          <cell r="J401">
            <v>0</v>
          </cell>
          <cell r="K401">
            <v>0</v>
          </cell>
          <cell r="L401">
            <v>0</v>
          </cell>
          <cell r="M401">
            <v>0</v>
          </cell>
          <cell r="N401">
            <v>0</v>
          </cell>
          <cell r="O401">
            <v>0</v>
          </cell>
          <cell r="P401">
            <v>0</v>
          </cell>
          <cell r="Q401">
            <v>0</v>
          </cell>
        </row>
        <row r="402">
          <cell r="E402">
            <v>0</v>
          </cell>
          <cell r="F402">
            <v>0</v>
          </cell>
          <cell r="G402">
            <v>0</v>
          </cell>
          <cell r="H402">
            <v>0</v>
          </cell>
          <cell r="I402">
            <v>0</v>
          </cell>
          <cell r="J402">
            <v>0</v>
          </cell>
          <cell r="K402">
            <v>0</v>
          </cell>
          <cell r="L402">
            <v>0</v>
          </cell>
          <cell r="M402">
            <v>0</v>
          </cell>
          <cell r="N402">
            <v>0</v>
          </cell>
          <cell r="O402">
            <v>0</v>
          </cell>
          <cell r="P402">
            <v>0</v>
          </cell>
          <cell r="Q402">
            <v>0</v>
          </cell>
        </row>
        <row r="403">
          <cell r="C403" t="str">
            <v>Incr / (Decr) in Equity Equivalents</v>
          </cell>
          <cell r="E403">
            <v>0</v>
          </cell>
          <cell r="F403">
            <v>0</v>
          </cell>
          <cell r="G403">
            <v>0</v>
          </cell>
          <cell r="H403">
            <v>0</v>
          </cell>
          <cell r="I403">
            <v>0</v>
          </cell>
          <cell r="J403">
            <v>0</v>
          </cell>
          <cell r="K403">
            <v>0</v>
          </cell>
          <cell r="L403">
            <v>0</v>
          </cell>
          <cell r="M403">
            <v>0</v>
          </cell>
          <cell r="N403">
            <v>0</v>
          </cell>
          <cell r="O403">
            <v>0</v>
          </cell>
          <cell r="P403">
            <v>0</v>
          </cell>
          <cell r="Q403">
            <v>0</v>
          </cell>
        </row>
        <row r="404">
          <cell r="E404">
            <v>0</v>
          </cell>
          <cell r="F404">
            <v>0</v>
          </cell>
          <cell r="G404">
            <v>0</v>
          </cell>
          <cell r="H404">
            <v>0</v>
          </cell>
          <cell r="I404">
            <v>0</v>
          </cell>
          <cell r="J404">
            <v>0</v>
          </cell>
          <cell r="K404">
            <v>0</v>
          </cell>
          <cell r="L404">
            <v>0</v>
          </cell>
          <cell r="M404">
            <v>0</v>
          </cell>
          <cell r="N404">
            <v>0</v>
          </cell>
          <cell r="O404">
            <v>0</v>
          </cell>
          <cell r="P404">
            <v>0</v>
          </cell>
          <cell r="Q404">
            <v>0</v>
          </cell>
        </row>
        <row r="408">
          <cell r="C408" t="str">
            <v>Marginal Tax Rate Manual</v>
          </cell>
        </row>
        <row r="409">
          <cell r="C409" t="str">
            <v>Marginal Tax Rate</v>
          </cell>
          <cell r="E409">
            <v>0</v>
          </cell>
          <cell r="F409">
            <v>0</v>
          </cell>
          <cell r="G409">
            <v>0</v>
          </cell>
          <cell r="H409">
            <v>0</v>
          </cell>
          <cell r="I409">
            <v>0</v>
          </cell>
          <cell r="J409">
            <v>0</v>
          </cell>
          <cell r="K409">
            <v>0.129</v>
          </cell>
          <cell r="L409">
            <v>0.12900000000000003</v>
          </cell>
          <cell r="M409">
            <v>0.129</v>
          </cell>
          <cell r="N409">
            <v>0.129</v>
          </cell>
          <cell r="O409">
            <v>0.129</v>
          </cell>
          <cell r="P409">
            <v>0</v>
          </cell>
          <cell r="Q409">
            <v>0</v>
          </cell>
        </row>
        <row r="411">
          <cell r="E411">
            <v>0</v>
          </cell>
          <cell r="F411">
            <v>0</v>
          </cell>
          <cell r="G411">
            <v>0</v>
          </cell>
          <cell r="H411">
            <v>0</v>
          </cell>
          <cell r="I411">
            <v>0</v>
          </cell>
          <cell r="J411">
            <v>0</v>
          </cell>
          <cell r="K411">
            <v>1411.953279190069</v>
          </cell>
          <cell r="L411">
            <v>1897.995251062518</v>
          </cell>
          <cell r="M411">
            <v>3206.2654135422858</v>
          </cell>
          <cell r="N411">
            <v>3847.659552169835</v>
          </cell>
          <cell r="O411">
            <v>3927.4657504404859</v>
          </cell>
          <cell r="P411">
            <v>0</v>
          </cell>
          <cell r="Q411">
            <v>0</v>
          </cell>
        </row>
        <row r="412">
          <cell r="E412">
            <v>0</v>
          </cell>
          <cell r="F412">
            <v>0</v>
          </cell>
          <cell r="G412">
            <v>0</v>
          </cell>
          <cell r="H412">
            <v>0</v>
          </cell>
          <cell r="I412">
            <v>0</v>
          </cell>
          <cell r="J412">
            <v>0</v>
          </cell>
          <cell r="K412">
            <v>0</v>
          </cell>
          <cell r="L412">
            <v>0</v>
          </cell>
          <cell r="M412">
            <v>0</v>
          </cell>
          <cell r="N412">
            <v>0</v>
          </cell>
          <cell r="O412">
            <v>0</v>
          </cell>
          <cell r="P412">
            <v>0</v>
          </cell>
          <cell r="Q412">
            <v>0</v>
          </cell>
        </row>
        <row r="413">
          <cell r="E413">
            <v>0</v>
          </cell>
          <cell r="F413">
            <v>0</v>
          </cell>
          <cell r="G413">
            <v>0</v>
          </cell>
          <cell r="H413">
            <v>0</v>
          </cell>
          <cell r="I413">
            <v>0</v>
          </cell>
          <cell r="J413">
            <v>0</v>
          </cell>
          <cell r="K413">
            <v>0</v>
          </cell>
          <cell r="L413">
            <v>0</v>
          </cell>
          <cell r="M413">
            <v>0</v>
          </cell>
          <cell r="N413">
            <v>0</v>
          </cell>
          <cell r="O413">
            <v>0</v>
          </cell>
          <cell r="P413">
            <v>0</v>
          </cell>
          <cell r="Q413">
            <v>0</v>
          </cell>
        </row>
        <row r="414">
          <cell r="C414" t="str">
            <v>Cash Taxes Paid</v>
          </cell>
          <cell r="E414">
            <v>0</v>
          </cell>
          <cell r="F414">
            <v>0</v>
          </cell>
          <cell r="G414">
            <v>0</v>
          </cell>
          <cell r="H414">
            <v>0</v>
          </cell>
          <cell r="I414">
            <v>0</v>
          </cell>
          <cell r="J414">
            <v>0</v>
          </cell>
          <cell r="K414">
            <v>1411.953279190069</v>
          </cell>
          <cell r="L414">
            <v>1897.995251062518</v>
          </cell>
          <cell r="M414">
            <v>3206.2654135422858</v>
          </cell>
          <cell r="N414">
            <v>3847.659552169835</v>
          </cell>
          <cell r="O414">
            <v>3927.4657504404859</v>
          </cell>
          <cell r="P414">
            <v>0</v>
          </cell>
          <cell r="Q414">
            <v>0</v>
          </cell>
        </row>
        <row r="415">
          <cell r="C415" t="str">
            <v>Plus Tax on Interest Expense</v>
          </cell>
          <cell r="E415">
            <v>0</v>
          </cell>
          <cell r="F415">
            <v>0</v>
          </cell>
          <cell r="G415">
            <v>0</v>
          </cell>
          <cell r="H415">
            <v>0</v>
          </cell>
          <cell r="I415">
            <v>0</v>
          </cell>
          <cell r="J415">
            <v>0</v>
          </cell>
          <cell r="K415">
            <v>209.54580743749997</v>
          </cell>
          <cell r="L415">
            <v>542.410196875</v>
          </cell>
          <cell r="M415">
            <v>655.38684564999994</v>
          </cell>
          <cell r="N415">
            <v>541.88187414999993</v>
          </cell>
          <cell r="O415">
            <v>530.5235854</v>
          </cell>
          <cell r="P415">
            <v>0</v>
          </cell>
          <cell r="Q415">
            <v>0</v>
          </cell>
        </row>
        <row r="416">
          <cell r="C416" t="str">
            <v>Plus Tax on Total Non-Op Income / (Expenses)</v>
          </cell>
          <cell r="E416">
            <v>0</v>
          </cell>
          <cell r="F416">
            <v>0</v>
          </cell>
          <cell r="G416">
            <v>0</v>
          </cell>
          <cell r="H416">
            <v>0</v>
          </cell>
          <cell r="I416">
            <v>0</v>
          </cell>
          <cell r="J416">
            <v>0</v>
          </cell>
          <cell r="K416">
            <v>-373.17876249599999</v>
          </cell>
          <cell r="L416">
            <v>-340.9287624960001</v>
          </cell>
          <cell r="M416">
            <v>-353.82876249600002</v>
          </cell>
          <cell r="N416">
            <v>-237.72876249599997</v>
          </cell>
          <cell r="O416">
            <v>-353.82876249600002</v>
          </cell>
          <cell r="P416">
            <v>0</v>
          </cell>
          <cell r="Q416">
            <v>0</v>
          </cell>
        </row>
        <row r="417">
          <cell r="E417">
            <v>0</v>
          </cell>
          <cell r="F417">
            <v>0</v>
          </cell>
          <cell r="G417">
            <v>0</v>
          </cell>
          <cell r="H417">
            <v>0</v>
          </cell>
          <cell r="I417">
            <v>0</v>
          </cell>
          <cell r="J417">
            <v>0</v>
          </cell>
          <cell r="K417">
            <v>0</v>
          </cell>
          <cell r="L417">
            <v>0</v>
          </cell>
          <cell r="M417">
            <v>0</v>
          </cell>
          <cell r="N417">
            <v>0</v>
          </cell>
          <cell r="O417">
            <v>0</v>
          </cell>
          <cell r="P417">
            <v>0</v>
          </cell>
          <cell r="Q417">
            <v>0</v>
          </cell>
        </row>
        <row r="418">
          <cell r="E418">
            <v>0</v>
          </cell>
          <cell r="F418">
            <v>0</v>
          </cell>
          <cell r="G418">
            <v>0</v>
          </cell>
          <cell r="H418">
            <v>0</v>
          </cell>
          <cell r="I418">
            <v>0</v>
          </cell>
          <cell r="J418">
            <v>0</v>
          </cell>
          <cell r="K418">
            <v>0</v>
          </cell>
          <cell r="L418">
            <v>0</v>
          </cell>
          <cell r="M418">
            <v>0</v>
          </cell>
          <cell r="N418">
            <v>0</v>
          </cell>
          <cell r="O418">
            <v>0</v>
          </cell>
          <cell r="P418">
            <v>0</v>
          </cell>
          <cell r="Q418">
            <v>0</v>
          </cell>
        </row>
        <row r="419">
          <cell r="C419" t="str">
            <v>Cash Taxes Paid on NOPBT</v>
          </cell>
          <cell r="E419">
            <v>0</v>
          </cell>
          <cell r="F419">
            <v>0</v>
          </cell>
          <cell r="G419">
            <v>0</v>
          </cell>
          <cell r="H419">
            <v>0</v>
          </cell>
          <cell r="I419">
            <v>0</v>
          </cell>
          <cell r="J419">
            <v>0</v>
          </cell>
          <cell r="K419">
            <v>1248.3203241315689</v>
          </cell>
          <cell r="L419">
            <v>2099.4766854415179</v>
          </cell>
          <cell r="M419">
            <v>3507.8234966962859</v>
          </cell>
          <cell r="N419">
            <v>4151.8126638238346</v>
          </cell>
          <cell r="O419">
            <v>4104.1605733444858</v>
          </cell>
          <cell r="P419">
            <v>0</v>
          </cell>
          <cell r="Q419">
            <v>0</v>
          </cell>
        </row>
        <row r="420">
          <cell r="E420">
            <v>0</v>
          </cell>
          <cell r="F420">
            <v>0</v>
          </cell>
          <cell r="G420">
            <v>0</v>
          </cell>
          <cell r="H420">
            <v>0</v>
          </cell>
          <cell r="I420">
            <v>0</v>
          </cell>
          <cell r="J420">
            <v>0</v>
          </cell>
          <cell r="K420">
            <v>0</v>
          </cell>
          <cell r="L420">
            <v>0</v>
          </cell>
          <cell r="M420">
            <v>0</v>
          </cell>
          <cell r="N420">
            <v>0</v>
          </cell>
          <cell r="O420">
            <v>0</v>
          </cell>
          <cell r="P420">
            <v>0</v>
          </cell>
          <cell r="Q420">
            <v>0</v>
          </cell>
        </row>
        <row r="427">
          <cell r="C427" t="str">
            <v>NOPAT</v>
          </cell>
          <cell r="E427">
            <v>0</v>
          </cell>
          <cell r="F427">
            <v>0</v>
          </cell>
          <cell r="G427">
            <v>5326.399999999996</v>
          </cell>
          <cell r="H427">
            <v>6930.6999999999953</v>
          </cell>
          <cell r="I427">
            <v>10317.700000000577</v>
          </cell>
          <cell r="J427">
            <v>11435.190027570001</v>
          </cell>
          <cell r="K427">
            <v>8428.5814133224521</v>
          </cell>
          <cell r="L427">
            <v>14175.536379996605</v>
          </cell>
          <cell r="M427">
            <v>23684.606710251668</v>
          </cell>
          <cell r="N427">
            <v>28032.781629384186</v>
          </cell>
          <cell r="O427">
            <v>27711.037669636022</v>
          </cell>
          <cell r="P427">
            <v>0</v>
          </cell>
          <cell r="Q427">
            <v>0</v>
          </cell>
        </row>
        <row r="428">
          <cell r="C428" t="str">
            <v>Plus Depreciation</v>
          </cell>
          <cell r="E428">
            <v>0</v>
          </cell>
          <cell r="F428">
            <v>0</v>
          </cell>
          <cell r="G428">
            <v>2798.1</v>
          </cell>
          <cell r="H428">
            <v>2551.9</v>
          </cell>
          <cell r="I428">
            <v>2782.4</v>
          </cell>
          <cell r="J428">
            <v>3364.5540000000001</v>
          </cell>
          <cell r="K428">
            <v>3604.7331278125002</v>
          </cell>
          <cell r="L428">
            <v>6398.7691209999994</v>
          </cell>
          <cell r="M428">
            <v>7398.7245216249994</v>
          </cell>
          <cell r="N428">
            <v>7398.7245216249994</v>
          </cell>
          <cell r="O428">
            <v>7398.7245216249994</v>
          </cell>
          <cell r="P428">
            <v>0</v>
          </cell>
          <cell r="Q428">
            <v>0</v>
          </cell>
        </row>
        <row r="429">
          <cell r="C429" t="str">
            <v>Plus Amortization exc Goodwill</v>
          </cell>
          <cell r="E429">
            <v>0</v>
          </cell>
          <cell r="F429">
            <v>0</v>
          </cell>
          <cell r="G429">
            <v>0</v>
          </cell>
          <cell r="H429">
            <v>0</v>
          </cell>
          <cell r="I429">
            <v>0</v>
          </cell>
          <cell r="J429">
            <v>0</v>
          </cell>
          <cell r="K429">
            <v>0</v>
          </cell>
          <cell r="L429">
            <v>0</v>
          </cell>
          <cell r="M429">
            <v>0</v>
          </cell>
          <cell r="N429">
            <v>0</v>
          </cell>
          <cell r="O429">
            <v>0</v>
          </cell>
          <cell r="P429">
            <v>0</v>
          </cell>
          <cell r="Q429">
            <v>0</v>
          </cell>
        </row>
        <row r="430">
          <cell r="E430">
            <v>0</v>
          </cell>
          <cell r="F430">
            <v>0</v>
          </cell>
          <cell r="G430">
            <v>0</v>
          </cell>
          <cell r="H430">
            <v>0</v>
          </cell>
          <cell r="I430">
            <v>0</v>
          </cell>
          <cell r="J430">
            <v>0</v>
          </cell>
          <cell r="K430">
            <v>0</v>
          </cell>
          <cell r="L430">
            <v>0</v>
          </cell>
          <cell r="M430">
            <v>0</v>
          </cell>
          <cell r="N430">
            <v>0</v>
          </cell>
          <cell r="O430">
            <v>0</v>
          </cell>
          <cell r="P430">
            <v>0</v>
          </cell>
          <cell r="Q430">
            <v>0</v>
          </cell>
        </row>
        <row r="431">
          <cell r="C431" t="str">
            <v>Gross CashFlow</v>
          </cell>
          <cell r="E431">
            <v>0</v>
          </cell>
          <cell r="F431">
            <v>0</v>
          </cell>
          <cell r="G431">
            <v>8124.4999999999964</v>
          </cell>
          <cell r="H431">
            <v>9482.5999999999949</v>
          </cell>
          <cell r="I431">
            <v>13100.100000000577</v>
          </cell>
          <cell r="J431">
            <v>14799.744027570001</v>
          </cell>
          <cell r="K431">
            <v>12033.314541134952</v>
          </cell>
          <cell r="L431">
            <v>20574.305500996605</v>
          </cell>
          <cell r="M431">
            <v>31083.331231876669</v>
          </cell>
          <cell r="N431">
            <v>35431.506151009184</v>
          </cell>
          <cell r="O431">
            <v>35109.762191261019</v>
          </cell>
          <cell r="P431">
            <v>0</v>
          </cell>
          <cell r="Q431">
            <v>0</v>
          </cell>
        </row>
        <row r="432">
          <cell r="E432">
            <v>0</v>
          </cell>
          <cell r="F432">
            <v>0</v>
          </cell>
          <cell r="G432">
            <v>0</v>
          </cell>
          <cell r="H432">
            <v>0</v>
          </cell>
          <cell r="I432">
            <v>0</v>
          </cell>
          <cell r="J432">
            <v>0</v>
          </cell>
          <cell r="K432">
            <v>0</v>
          </cell>
          <cell r="L432">
            <v>0</v>
          </cell>
          <cell r="M432">
            <v>0</v>
          </cell>
          <cell r="N432">
            <v>0</v>
          </cell>
          <cell r="O432">
            <v>0</v>
          </cell>
          <cell r="P432">
            <v>0</v>
          </cell>
          <cell r="Q432">
            <v>0</v>
          </cell>
        </row>
        <row r="433">
          <cell r="E433">
            <v>0</v>
          </cell>
          <cell r="F433">
            <v>0</v>
          </cell>
          <cell r="G433">
            <v>-3859.9999999999945</v>
          </cell>
          <cell r="H433">
            <v>-3188.2999999999975</v>
          </cell>
          <cell r="I433">
            <v>-1498.8000000005723</v>
          </cell>
          <cell r="J433">
            <v>-2590.2190792366546</v>
          </cell>
          <cell r="K433">
            <v>-11794.371358313721</v>
          </cell>
          <cell r="L433">
            <v>648.61210864860914</v>
          </cell>
          <cell r="M433">
            <v>10255.144249915593</v>
          </cell>
          <cell r="N433">
            <v>-4101.5447440272765</v>
          </cell>
          <cell r="O433">
            <v>-10647.098201074754</v>
          </cell>
          <cell r="P433">
            <v>0</v>
          </cell>
          <cell r="Q433">
            <v>0</v>
          </cell>
        </row>
        <row r="434">
          <cell r="E434">
            <v>0</v>
          </cell>
          <cell r="F434">
            <v>0</v>
          </cell>
          <cell r="G434">
            <v>-16959.5</v>
          </cell>
          <cell r="H434">
            <v>-7716.6</v>
          </cell>
          <cell r="I434">
            <v>-5828.1999999999953</v>
          </cell>
          <cell r="J434">
            <v>-15710.653824999998</v>
          </cell>
          <cell r="K434">
            <v>-49507.533662500013</v>
          </cell>
          <cell r="L434">
            <v>-15954.268875000003</v>
          </cell>
          <cell r="M434">
            <v>-23988</v>
          </cell>
          <cell r="N434">
            <v>-23988</v>
          </cell>
          <cell r="O434">
            <v>-16991.5</v>
          </cell>
          <cell r="P434">
            <v>0</v>
          </cell>
          <cell r="Q434">
            <v>0</v>
          </cell>
        </row>
        <row r="435">
          <cell r="E435">
            <v>0</v>
          </cell>
          <cell r="F435">
            <v>0</v>
          </cell>
          <cell r="G435">
            <v>0</v>
          </cell>
          <cell r="H435">
            <v>0</v>
          </cell>
          <cell r="I435">
            <v>0</v>
          </cell>
          <cell r="J435">
            <v>0</v>
          </cell>
          <cell r="K435">
            <v>0</v>
          </cell>
          <cell r="L435">
            <v>0</v>
          </cell>
          <cell r="M435">
            <v>0</v>
          </cell>
          <cell r="N435">
            <v>0</v>
          </cell>
          <cell r="O435">
            <v>0</v>
          </cell>
          <cell r="P435">
            <v>0</v>
          </cell>
          <cell r="Q435">
            <v>0</v>
          </cell>
        </row>
        <row r="436">
          <cell r="E436">
            <v>0</v>
          </cell>
          <cell r="F436">
            <v>0</v>
          </cell>
          <cell r="G436">
            <v>0</v>
          </cell>
          <cell r="H436">
            <v>0</v>
          </cell>
          <cell r="I436">
            <v>0</v>
          </cell>
          <cell r="J436">
            <v>0</v>
          </cell>
          <cell r="K436">
            <v>0</v>
          </cell>
          <cell r="L436">
            <v>0</v>
          </cell>
          <cell r="M436">
            <v>0</v>
          </cell>
          <cell r="N436">
            <v>0</v>
          </cell>
          <cell r="O436">
            <v>0</v>
          </cell>
          <cell r="P436">
            <v>0</v>
          </cell>
          <cell r="Q436">
            <v>0</v>
          </cell>
        </row>
        <row r="437">
          <cell r="E437">
            <v>0</v>
          </cell>
          <cell r="F437">
            <v>0</v>
          </cell>
          <cell r="G437">
            <v>0</v>
          </cell>
          <cell r="H437">
            <v>0</v>
          </cell>
          <cell r="I437">
            <v>0</v>
          </cell>
          <cell r="J437">
            <v>0</v>
          </cell>
          <cell r="K437">
            <v>0</v>
          </cell>
          <cell r="L437">
            <v>0</v>
          </cell>
          <cell r="M437">
            <v>0</v>
          </cell>
          <cell r="N437">
            <v>0</v>
          </cell>
          <cell r="O437">
            <v>0</v>
          </cell>
          <cell r="P437">
            <v>0</v>
          </cell>
          <cell r="Q437">
            <v>0</v>
          </cell>
        </row>
        <row r="438">
          <cell r="E438">
            <v>0</v>
          </cell>
          <cell r="F438">
            <v>0</v>
          </cell>
          <cell r="G438">
            <v>0</v>
          </cell>
          <cell r="H438">
            <v>0</v>
          </cell>
          <cell r="I438">
            <v>0</v>
          </cell>
          <cell r="J438">
            <v>0</v>
          </cell>
          <cell r="K438">
            <v>0</v>
          </cell>
          <cell r="L438">
            <v>0</v>
          </cell>
          <cell r="M438">
            <v>0</v>
          </cell>
          <cell r="N438">
            <v>0</v>
          </cell>
          <cell r="O438">
            <v>0</v>
          </cell>
          <cell r="P438">
            <v>0</v>
          </cell>
          <cell r="Q438">
            <v>0</v>
          </cell>
        </row>
        <row r="439">
          <cell r="E439">
            <v>0</v>
          </cell>
          <cell r="F439">
            <v>0</v>
          </cell>
          <cell r="G439">
            <v>-752.4</v>
          </cell>
          <cell r="H439">
            <v>0</v>
          </cell>
          <cell r="I439">
            <v>0</v>
          </cell>
          <cell r="J439">
            <v>0</v>
          </cell>
          <cell r="K439">
            <v>0</v>
          </cell>
          <cell r="L439">
            <v>0</v>
          </cell>
          <cell r="M439">
            <v>0</v>
          </cell>
          <cell r="N439">
            <v>0</v>
          </cell>
          <cell r="O439">
            <v>0</v>
          </cell>
          <cell r="P439">
            <v>0</v>
          </cell>
          <cell r="Q439">
            <v>0</v>
          </cell>
        </row>
        <row r="440">
          <cell r="C440" t="str">
            <v>Decr / (Incr) in Adj to Op Inv Capital</v>
          </cell>
          <cell r="E440">
            <v>0</v>
          </cell>
          <cell r="F440">
            <v>0</v>
          </cell>
          <cell r="G440">
            <v>0</v>
          </cell>
          <cell r="H440">
            <v>0</v>
          </cell>
          <cell r="I440">
            <v>0</v>
          </cell>
          <cell r="J440">
            <v>0</v>
          </cell>
          <cell r="K440">
            <v>0</v>
          </cell>
          <cell r="L440">
            <v>0</v>
          </cell>
          <cell r="M440">
            <v>0</v>
          </cell>
          <cell r="N440">
            <v>0</v>
          </cell>
          <cell r="O440">
            <v>0</v>
          </cell>
          <cell r="P440">
            <v>0</v>
          </cell>
          <cell r="Q440">
            <v>0</v>
          </cell>
        </row>
        <row r="441">
          <cell r="E441">
            <v>0</v>
          </cell>
          <cell r="F441">
            <v>0</v>
          </cell>
          <cell r="G441">
            <v>0</v>
          </cell>
          <cell r="H441">
            <v>0</v>
          </cell>
          <cell r="I441">
            <v>0</v>
          </cell>
          <cell r="J441">
            <v>0</v>
          </cell>
          <cell r="K441">
            <v>0</v>
          </cell>
          <cell r="L441">
            <v>0</v>
          </cell>
          <cell r="M441">
            <v>0</v>
          </cell>
          <cell r="N441">
            <v>0</v>
          </cell>
          <cell r="O441">
            <v>0</v>
          </cell>
          <cell r="P441">
            <v>0</v>
          </cell>
          <cell r="Q441">
            <v>0</v>
          </cell>
        </row>
        <row r="442">
          <cell r="C442" t="str">
            <v>Gross Investment</v>
          </cell>
          <cell r="E442">
            <v>0</v>
          </cell>
          <cell r="F442">
            <v>0</v>
          </cell>
          <cell r="G442">
            <v>-21571.899999999994</v>
          </cell>
          <cell r="H442">
            <v>-10904.899999999998</v>
          </cell>
          <cell r="I442">
            <v>-7327.0000000005675</v>
          </cell>
          <cell r="J442">
            <v>-18300.872904236654</v>
          </cell>
          <cell r="K442">
            <v>-61301.905020813734</v>
          </cell>
          <cell r="L442">
            <v>-15305.656766351394</v>
          </cell>
          <cell r="M442">
            <v>-13732.855750084407</v>
          </cell>
          <cell r="N442">
            <v>-28089.544744027276</v>
          </cell>
          <cell r="O442">
            <v>-27638.598201074754</v>
          </cell>
          <cell r="P442">
            <v>0</v>
          </cell>
          <cell r="Q442">
            <v>0</v>
          </cell>
        </row>
        <row r="443">
          <cell r="E443">
            <v>0</v>
          </cell>
          <cell r="F443">
            <v>0</v>
          </cell>
          <cell r="G443">
            <v>0</v>
          </cell>
          <cell r="H443">
            <v>0</v>
          </cell>
          <cell r="I443">
            <v>0</v>
          </cell>
          <cell r="J443">
            <v>0</v>
          </cell>
          <cell r="K443">
            <v>0</v>
          </cell>
          <cell r="L443">
            <v>0</v>
          </cell>
          <cell r="M443">
            <v>0</v>
          </cell>
          <cell r="N443">
            <v>0</v>
          </cell>
          <cell r="O443">
            <v>0</v>
          </cell>
          <cell r="P443">
            <v>0</v>
          </cell>
          <cell r="Q443">
            <v>0</v>
          </cell>
        </row>
        <row r="444">
          <cell r="C444" t="str">
            <v>Free CashFlow</v>
          </cell>
          <cell r="E444">
            <v>0</v>
          </cell>
          <cell r="F444">
            <v>0</v>
          </cell>
          <cell r="G444">
            <v>-13447.399999999998</v>
          </cell>
          <cell r="H444">
            <v>-1422.3000000000029</v>
          </cell>
          <cell r="I444">
            <v>5773.1000000000095</v>
          </cell>
          <cell r="J444">
            <v>-3501.128876666653</v>
          </cell>
          <cell r="K444">
            <v>-49268.59047967878</v>
          </cell>
          <cell r="L444">
            <v>5268.6487346452104</v>
          </cell>
          <cell r="M444">
            <v>17350.475481792262</v>
          </cell>
          <cell r="N444">
            <v>7341.9614069819072</v>
          </cell>
          <cell r="O444">
            <v>7471.1639901862654</v>
          </cell>
          <cell r="P444">
            <v>0</v>
          </cell>
          <cell r="Q444">
            <v>0</v>
          </cell>
        </row>
        <row r="445">
          <cell r="E445">
            <v>0</v>
          </cell>
          <cell r="F445">
            <v>0</v>
          </cell>
          <cell r="G445">
            <v>0</v>
          </cell>
          <cell r="H445">
            <v>0</v>
          </cell>
          <cell r="I445">
            <v>0</v>
          </cell>
          <cell r="J445">
            <v>0</v>
          </cell>
          <cell r="K445">
            <v>0</v>
          </cell>
          <cell r="L445">
            <v>0</v>
          </cell>
          <cell r="M445">
            <v>0</v>
          </cell>
          <cell r="N445">
            <v>0</v>
          </cell>
          <cell r="O445">
            <v>0</v>
          </cell>
          <cell r="P445">
            <v>0</v>
          </cell>
          <cell r="Q445">
            <v>0</v>
          </cell>
        </row>
        <row r="447">
          <cell r="E447">
            <v>0</v>
          </cell>
          <cell r="F447">
            <v>0</v>
          </cell>
          <cell r="G447">
            <v>5326.399999999996</v>
          </cell>
          <cell r="H447">
            <v>6930.6999999999953</v>
          </cell>
          <cell r="I447">
            <v>10317.700000000577</v>
          </cell>
          <cell r="J447">
            <v>11435.190027570001</v>
          </cell>
          <cell r="K447">
            <v>8428.5814133224521</v>
          </cell>
          <cell r="L447">
            <v>14175.536379996605</v>
          </cell>
          <cell r="M447">
            <v>23684.606710251668</v>
          </cell>
          <cell r="N447">
            <v>28032.781629384186</v>
          </cell>
          <cell r="O447">
            <v>27711.037669636022</v>
          </cell>
          <cell r="P447">
            <v>0</v>
          </cell>
          <cell r="Q447">
            <v>0</v>
          </cell>
        </row>
        <row r="448">
          <cell r="C448" t="str">
            <v>Less Net Investment [ I ]</v>
          </cell>
          <cell r="E448">
            <v>0</v>
          </cell>
          <cell r="F448">
            <v>0</v>
          </cell>
          <cell r="G448">
            <v>-18773.799999999996</v>
          </cell>
          <cell r="H448">
            <v>-8352.9999999999982</v>
          </cell>
          <cell r="I448">
            <v>-4544.6000000005679</v>
          </cell>
          <cell r="J448">
            <v>-14936.318904236654</v>
          </cell>
          <cell r="K448">
            <v>-57697.171893001236</v>
          </cell>
          <cell r="L448">
            <v>-8906.8876453513949</v>
          </cell>
          <cell r="M448">
            <v>-6334.1312284594078</v>
          </cell>
          <cell r="N448">
            <v>-20690.820222402275</v>
          </cell>
          <cell r="O448">
            <v>-20239.873679449753</v>
          </cell>
          <cell r="P448">
            <v>0</v>
          </cell>
          <cell r="Q448">
            <v>0</v>
          </cell>
        </row>
        <row r="449">
          <cell r="E449">
            <v>0</v>
          </cell>
          <cell r="F449">
            <v>0</v>
          </cell>
          <cell r="G449">
            <v>0</v>
          </cell>
          <cell r="H449">
            <v>0</v>
          </cell>
          <cell r="I449">
            <v>0</v>
          </cell>
          <cell r="J449">
            <v>0</v>
          </cell>
          <cell r="K449">
            <v>0</v>
          </cell>
          <cell r="L449">
            <v>0</v>
          </cell>
          <cell r="M449">
            <v>0</v>
          </cell>
          <cell r="N449">
            <v>0</v>
          </cell>
          <cell r="O449">
            <v>0</v>
          </cell>
          <cell r="P449">
            <v>0</v>
          </cell>
          <cell r="Q449">
            <v>0</v>
          </cell>
        </row>
        <row r="450">
          <cell r="C450" t="str">
            <v>Free CashFlow</v>
          </cell>
          <cell r="E450">
            <v>0</v>
          </cell>
          <cell r="F450">
            <v>0</v>
          </cell>
          <cell r="G450">
            <v>-13447.4</v>
          </cell>
          <cell r="H450">
            <v>-1422.3000000000029</v>
          </cell>
          <cell r="I450">
            <v>5773.1000000000095</v>
          </cell>
          <cell r="J450">
            <v>-3501.128876666653</v>
          </cell>
          <cell r="K450">
            <v>-49268.59047967878</v>
          </cell>
          <cell r="L450">
            <v>5268.6487346452104</v>
          </cell>
          <cell r="M450">
            <v>17350.475481792259</v>
          </cell>
          <cell r="N450">
            <v>7341.9614069819108</v>
          </cell>
          <cell r="O450">
            <v>7471.1639901862691</v>
          </cell>
          <cell r="P450">
            <v>0</v>
          </cell>
          <cell r="Q450">
            <v>0</v>
          </cell>
        </row>
        <row r="451">
          <cell r="E451">
            <v>0</v>
          </cell>
          <cell r="F451">
            <v>0</v>
          </cell>
          <cell r="G451">
            <v>0</v>
          </cell>
          <cell r="H451">
            <v>0</v>
          </cell>
          <cell r="I451">
            <v>0</v>
          </cell>
          <cell r="J451">
            <v>0</v>
          </cell>
          <cell r="K451">
            <v>0</v>
          </cell>
          <cell r="L451">
            <v>0</v>
          </cell>
          <cell r="M451">
            <v>0</v>
          </cell>
          <cell r="N451">
            <v>0</v>
          </cell>
          <cell r="O451">
            <v>0</v>
          </cell>
          <cell r="P451">
            <v>0</v>
          </cell>
          <cell r="Q451">
            <v>0</v>
          </cell>
        </row>
        <row r="452">
          <cell r="C452" t="str">
            <v>Free CashFlow [Balance 1]</v>
          </cell>
          <cell r="E452">
            <v>0</v>
          </cell>
          <cell r="F452">
            <v>0</v>
          </cell>
          <cell r="G452">
            <v>0</v>
          </cell>
          <cell r="H452">
            <v>0</v>
          </cell>
          <cell r="I452">
            <v>0</v>
          </cell>
          <cell r="J452">
            <v>0</v>
          </cell>
          <cell r="K452">
            <v>0</v>
          </cell>
          <cell r="L452">
            <v>0</v>
          </cell>
          <cell r="M452">
            <v>0</v>
          </cell>
          <cell r="N452">
            <v>0</v>
          </cell>
          <cell r="O452">
            <v>0</v>
          </cell>
          <cell r="P452">
            <v>0</v>
          </cell>
          <cell r="Q452">
            <v>0</v>
          </cell>
        </row>
        <row r="456">
          <cell r="E456">
            <v>0</v>
          </cell>
          <cell r="F456">
            <v>0</v>
          </cell>
          <cell r="G456">
            <v>848.1</v>
          </cell>
          <cell r="H456">
            <v>1383.5</v>
          </cell>
          <cell r="I456">
            <v>1993.4</v>
          </cell>
          <cell r="J456">
            <v>2762.2377900000001</v>
          </cell>
          <cell r="K456">
            <v>2762.2377900000001</v>
          </cell>
          <cell r="L456">
            <v>3452.7972374999999</v>
          </cell>
          <cell r="M456">
            <v>3682.9837200000002</v>
          </cell>
          <cell r="N456">
            <v>3682.9837200000002</v>
          </cell>
          <cell r="O456">
            <v>3682.9837200000002</v>
          </cell>
          <cell r="P456">
            <v>0</v>
          </cell>
          <cell r="Q456">
            <v>0</v>
          </cell>
        </row>
        <row r="457">
          <cell r="E457">
            <v>0</v>
          </cell>
          <cell r="F457">
            <v>0</v>
          </cell>
          <cell r="G457">
            <v>8.6</v>
          </cell>
          <cell r="H457">
            <v>8.3000000000000007</v>
          </cell>
          <cell r="I457">
            <v>8.3000000000000007</v>
          </cell>
          <cell r="J457">
            <v>280</v>
          </cell>
          <cell r="K457">
            <v>280</v>
          </cell>
          <cell r="L457">
            <v>280</v>
          </cell>
          <cell r="M457">
            <v>280</v>
          </cell>
          <cell r="N457">
            <v>280</v>
          </cell>
          <cell r="O457">
            <v>280</v>
          </cell>
          <cell r="P457">
            <v>0</v>
          </cell>
          <cell r="Q457">
            <v>0</v>
          </cell>
        </row>
        <row r="458">
          <cell r="E458">
            <v>0</v>
          </cell>
          <cell r="F458">
            <v>0</v>
          </cell>
          <cell r="G458">
            <v>0</v>
          </cell>
          <cell r="H458">
            <v>0</v>
          </cell>
          <cell r="I458">
            <v>0</v>
          </cell>
          <cell r="J458">
            <v>0</v>
          </cell>
          <cell r="K458">
            <v>0</v>
          </cell>
          <cell r="L458">
            <v>0</v>
          </cell>
          <cell r="M458">
            <v>0</v>
          </cell>
          <cell r="N458">
            <v>0</v>
          </cell>
          <cell r="O458">
            <v>0</v>
          </cell>
          <cell r="P458">
            <v>0</v>
          </cell>
          <cell r="Q458">
            <v>0</v>
          </cell>
        </row>
        <row r="459">
          <cell r="E459">
            <v>0</v>
          </cell>
          <cell r="F459">
            <v>0</v>
          </cell>
          <cell r="G459">
            <v>2793.5</v>
          </cell>
          <cell r="H459">
            <v>2335.8000000000002</v>
          </cell>
          <cell r="I459">
            <v>2795</v>
          </cell>
          <cell r="J459">
            <v>1101</v>
          </cell>
          <cell r="K459">
            <v>1414.8402967291665</v>
          </cell>
          <cell r="L459">
            <v>3662.3200114583324</v>
          </cell>
          <cell r="M459">
            <v>4425.1313376833332</v>
          </cell>
          <cell r="N459">
            <v>3658.7528091833328</v>
          </cell>
          <cell r="O459">
            <v>3582.0623479333331</v>
          </cell>
          <cell r="P459">
            <v>0</v>
          </cell>
          <cell r="Q459">
            <v>0</v>
          </cell>
        </row>
        <row r="460">
          <cell r="E460">
            <v>0</v>
          </cell>
          <cell r="F460">
            <v>0</v>
          </cell>
          <cell r="G460">
            <v>0</v>
          </cell>
          <cell r="H460">
            <v>0</v>
          </cell>
          <cell r="I460">
            <v>0</v>
          </cell>
          <cell r="J460">
            <v>0</v>
          </cell>
          <cell r="K460">
            <v>0</v>
          </cell>
          <cell r="L460">
            <v>0</v>
          </cell>
          <cell r="M460">
            <v>0</v>
          </cell>
          <cell r="N460">
            <v>0</v>
          </cell>
          <cell r="O460">
            <v>0</v>
          </cell>
          <cell r="P460">
            <v>0</v>
          </cell>
          <cell r="Q460">
            <v>0</v>
          </cell>
        </row>
        <row r="461">
          <cell r="E461">
            <v>0</v>
          </cell>
          <cell r="F461">
            <v>0</v>
          </cell>
          <cell r="G461">
            <v>0</v>
          </cell>
          <cell r="H461">
            <v>0</v>
          </cell>
          <cell r="I461">
            <v>0</v>
          </cell>
          <cell r="J461">
            <v>0</v>
          </cell>
          <cell r="K461">
            <v>0</v>
          </cell>
          <cell r="L461">
            <v>0</v>
          </cell>
          <cell r="M461">
            <v>0</v>
          </cell>
          <cell r="N461">
            <v>0</v>
          </cell>
          <cell r="O461">
            <v>0</v>
          </cell>
          <cell r="P461">
            <v>0</v>
          </cell>
          <cell r="Q461">
            <v>0</v>
          </cell>
        </row>
        <row r="462">
          <cell r="C462" t="str">
            <v>Total Payments to Investors</v>
          </cell>
          <cell r="E462">
            <v>0</v>
          </cell>
          <cell r="F462">
            <v>0</v>
          </cell>
          <cell r="G462">
            <v>3650.2</v>
          </cell>
          <cell r="H462">
            <v>3727.6000000000004</v>
          </cell>
          <cell r="I462">
            <v>4796.7</v>
          </cell>
          <cell r="J462">
            <v>4143.2377900000001</v>
          </cell>
          <cell r="K462">
            <v>4457.0780867291669</v>
          </cell>
          <cell r="L462">
            <v>7395.1172489583323</v>
          </cell>
          <cell r="M462">
            <v>8388.1150576833334</v>
          </cell>
          <cell r="N462">
            <v>7621.736529183333</v>
          </cell>
          <cell r="O462">
            <v>7545.0460679333337</v>
          </cell>
          <cell r="P462">
            <v>0</v>
          </cell>
          <cell r="Q462">
            <v>0</v>
          </cell>
        </row>
        <row r="463">
          <cell r="E463">
            <v>0</v>
          </cell>
          <cell r="F463">
            <v>0</v>
          </cell>
          <cell r="G463">
            <v>0</v>
          </cell>
          <cell r="H463">
            <v>0</v>
          </cell>
          <cell r="I463">
            <v>0</v>
          </cell>
          <cell r="J463">
            <v>0</v>
          </cell>
          <cell r="K463">
            <v>0</v>
          </cell>
          <cell r="L463">
            <v>0</v>
          </cell>
          <cell r="M463">
            <v>0</v>
          </cell>
          <cell r="N463">
            <v>0</v>
          </cell>
          <cell r="O463">
            <v>0</v>
          </cell>
          <cell r="P463">
            <v>0</v>
          </cell>
          <cell r="Q463">
            <v>0</v>
          </cell>
        </row>
        <row r="464">
          <cell r="E464">
            <v>0</v>
          </cell>
          <cell r="F464">
            <v>0</v>
          </cell>
          <cell r="G464">
            <v>-5083.0999999999985</v>
          </cell>
          <cell r="H464">
            <v>-12858.1</v>
          </cell>
          <cell r="I464">
            <v>-19600.100000000002</v>
          </cell>
          <cell r="J464">
            <v>-151.59999999999854</v>
          </cell>
          <cell r="K464">
            <v>0</v>
          </cell>
          <cell r="L464">
            <v>0</v>
          </cell>
          <cell r="M464">
            <v>0</v>
          </cell>
          <cell r="N464">
            <v>0</v>
          </cell>
          <cell r="O464">
            <v>0</v>
          </cell>
          <cell r="P464">
            <v>0</v>
          </cell>
          <cell r="Q464">
            <v>0</v>
          </cell>
        </row>
        <row r="465">
          <cell r="E465">
            <v>0</v>
          </cell>
          <cell r="F465">
            <v>0</v>
          </cell>
          <cell r="G465">
            <v>0</v>
          </cell>
          <cell r="H465">
            <v>0</v>
          </cell>
          <cell r="I465">
            <v>0</v>
          </cell>
          <cell r="J465">
            <v>0</v>
          </cell>
          <cell r="K465">
            <v>0</v>
          </cell>
          <cell r="L465">
            <v>0</v>
          </cell>
          <cell r="M465">
            <v>0</v>
          </cell>
          <cell r="N465">
            <v>0</v>
          </cell>
          <cell r="O465">
            <v>0</v>
          </cell>
          <cell r="P465">
            <v>0</v>
          </cell>
          <cell r="Q465">
            <v>0</v>
          </cell>
        </row>
        <row r="466">
          <cell r="E466">
            <v>0</v>
          </cell>
          <cell r="F466">
            <v>0</v>
          </cell>
          <cell r="G466">
            <v>0</v>
          </cell>
          <cell r="H466">
            <v>0</v>
          </cell>
          <cell r="I466">
            <v>0</v>
          </cell>
          <cell r="J466">
            <v>0</v>
          </cell>
          <cell r="K466">
            <v>0</v>
          </cell>
          <cell r="L466">
            <v>0</v>
          </cell>
          <cell r="M466">
            <v>0</v>
          </cell>
          <cell r="N466">
            <v>0</v>
          </cell>
          <cell r="O466">
            <v>0</v>
          </cell>
          <cell r="P466">
            <v>0</v>
          </cell>
          <cell r="Q466">
            <v>0</v>
          </cell>
        </row>
        <row r="467">
          <cell r="E467">
            <v>0</v>
          </cell>
          <cell r="F467">
            <v>0</v>
          </cell>
          <cell r="G467">
            <v>0</v>
          </cell>
          <cell r="H467">
            <v>0</v>
          </cell>
          <cell r="I467">
            <v>0</v>
          </cell>
          <cell r="J467">
            <v>-1945</v>
          </cell>
          <cell r="K467">
            <v>0</v>
          </cell>
          <cell r="L467">
            <v>0</v>
          </cell>
          <cell r="M467">
            <v>0</v>
          </cell>
          <cell r="N467">
            <v>0</v>
          </cell>
          <cell r="O467">
            <v>0</v>
          </cell>
          <cell r="P467">
            <v>0</v>
          </cell>
          <cell r="Q467">
            <v>0</v>
          </cell>
        </row>
        <row r="468">
          <cell r="E468">
            <v>0</v>
          </cell>
          <cell r="F468">
            <v>0</v>
          </cell>
          <cell r="G468">
            <v>0</v>
          </cell>
          <cell r="H468">
            <v>0</v>
          </cell>
          <cell r="I468">
            <v>0</v>
          </cell>
          <cell r="J468">
            <v>0</v>
          </cell>
          <cell r="K468">
            <v>0</v>
          </cell>
          <cell r="L468">
            <v>0</v>
          </cell>
          <cell r="M468">
            <v>0</v>
          </cell>
          <cell r="N468">
            <v>0</v>
          </cell>
          <cell r="O468">
            <v>0</v>
          </cell>
          <cell r="P468">
            <v>0</v>
          </cell>
          <cell r="Q468">
            <v>0</v>
          </cell>
        </row>
        <row r="469">
          <cell r="E469">
            <v>0</v>
          </cell>
          <cell r="F469">
            <v>0</v>
          </cell>
          <cell r="G469">
            <v>-4643</v>
          </cell>
          <cell r="H469">
            <v>-390.19999999999709</v>
          </cell>
          <cell r="I469">
            <v>-2804.2000000000044</v>
          </cell>
          <cell r="J469">
            <v>-16541.266666666663</v>
          </cell>
          <cell r="K469">
            <v>-22932.042448903936</v>
          </cell>
          <cell r="L469">
            <v>-15500.288652809133</v>
          </cell>
          <cell r="M469">
            <v>9251.390285612928</v>
          </cell>
          <cell r="N469">
            <v>-374.64526069741987</v>
          </cell>
          <cell r="O469">
            <v>-1284.8522162430745</v>
          </cell>
          <cell r="P469">
            <v>0</v>
          </cell>
          <cell r="Q469">
            <v>0</v>
          </cell>
        </row>
        <row r="470">
          <cell r="E470">
            <v>0</v>
          </cell>
          <cell r="F470">
            <v>0</v>
          </cell>
          <cell r="G470">
            <v>0</v>
          </cell>
          <cell r="H470">
            <v>0</v>
          </cell>
          <cell r="I470">
            <v>0</v>
          </cell>
          <cell r="J470">
            <v>0</v>
          </cell>
          <cell r="K470">
            <v>0</v>
          </cell>
          <cell r="L470">
            <v>0</v>
          </cell>
          <cell r="M470">
            <v>0</v>
          </cell>
          <cell r="N470">
            <v>0</v>
          </cell>
          <cell r="O470">
            <v>0</v>
          </cell>
          <cell r="P470">
            <v>0</v>
          </cell>
          <cell r="Q470">
            <v>0</v>
          </cell>
        </row>
        <row r="471">
          <cell r="E471">
            <v>0</v>
          </cell>
          <cell r="F471">
            <v>0</v>
          </cell>
          <cell r="G471">
            <v>0</v>
          </cell>
          <cell r="H471">
            <v>0</v>
          </cell>
          <cell r="I471">
            <v>0</v>
          </cell>
          <cell r="J471">
            <v>0</v>
          </cell>
          <cell r="K471">
            <v>0</v>
          </cell>
          <cell r="L471">
            <v>0</v>
          </cell>
          <cell r="M471">
            <v>0</v>
          </cell>
          <cell r="N471">
            <v>0</v>
          </cell>
          <cell r="O471">
            <v>0</v>
          </cell>
          <cell r="P471">
            <v>0</v>
          </cell>
          <cell r="Q471">
            <v>0</v>
          </cell>
        </row>
        <row r="472">
          <cell r="C472" t="str">
            <v>Net Capital Additions / (Reductions)</v>
          </cell>
          <cell r="E472">
            <v>0</v>
          </cell>
          <cell r="F472">
            <v>0</v>
          </cell>
          <cell r="G472">
            <v>-9726.0999999999985</v>
          </cell>
          <cell r="H472">
            <v>-13248.299999999997</v>
          </cell>
          <cell r="I472">
            <v>-22404.300000000007</v>
          </cell>
          <cell r="J472">
            <v>-18637.866666666661</v>
          </cell>
          <cell r="K472">
            <v>-22932.042448903936</v>
          </cell>
          <cell r="L472">
            <v>-15500.288652809133</v>
          </cell>
          <cell r="M472">
            <v>9251.390285612928</v>
          </cell>
          <cell r="N472">
            <v>-374.64526069741987</v>
          </cell>
          <cell r="O472">
            <v>-1284.8522162430745</v>
          </cell>
          <cell r="P472">
            <v>0</v>
          </cell>
          <cell r="Q472">
            <v>0</v>
          </cell>
        </row>
        <row r="473">
          <cell r="E473">
            <v>0</v>
          </cell>
          <cell r="F473">
            <v>0</v>
          </cell>
          <cell r="G473">
            <v>0</v>
          </cell>
          <cell r="H473">
            <v>0</v>
          </cell>
          <cell r="I473">
            <v>0</v>
          </cell>
          <cell r="J473">
            <v>0</v>
          </cell>
          <cell r="K473">
            <v>0</v>
          </cell>
          <cell r="L473">
            <v>0</v>
          </cell>
          <cell r="M473">
            <v>0</v>
          </cell>
          <cell r="N473">
            <v>0</v>
          </cell>
          <cell r="O473">
            <v>0</v>
          </cell>
          <cell r="P473">
            <v>0</v>
          </cell>
          <cell r="Q473">
            <v>0</v>
          </cell>
        </row>
        <row r="474">
          <cell r="E474">
            <v>0</v>
          </cell>
          <cell r="F474">
            <v>0</v>
          </cell>
          <cell r="G474">
            <v>0</v>
          </cell>
          <cell r="H474">
            <v>0</v>
          </cell>
          <cell r="I474">
            <v>0</v>
          </cell>
          <cell r="J474">
            <v>0</v>
          </cell>
          <cell r="K474">
            <v>0</v>
          </cell>
          <cell r="L474">
            <v>0</v>
          </cell>
          <cell r="M474">
            <v>0</v>
          </cell>
          <cell r="N474">
            <v>0</v>
          </cell>
          <cell r="O474">
            <v>0</v>
          </cell>
          <cell r="P474">
            <v>0</v>
          </cell>
          <cell r="Q474">
            <v>0</v>
          </cell>
        </row>
        <row r="475">
          <cell r="E475">
            <v>0</v>
          </cell>
          <cell r="F475">
            <v>0</v>
          </cell>
          <cell r="G475">
            <v>0</v>
          </cell>
          <cell r="H475">
            <v>0</v>
          </cell>
          <cell r="I475">
            <v>0</v>
          </cell>
          <cell r="J475">
            <v>0</v>
          </cell>
          <cell r="K475">
            <v>0</v>
          </cell>
          <cell r="L475">
            <v>0</v>
          </cell>
          <cell r="M475">
            <v>0</v>
          </cell>
          <cell r="N475">
            <v>0</v>
          </cell>
          <cell r="O475">
            <v>0</v>
          </cell>
          <cell r="P475">
            <v>0</v>
          </cell>
          <cell r="Q475">
            <v>0</v>
          </cell>
        </row>
        <row r="476">
          <cell r="E476">
            <v>0</v>
          </cell>
          <cell r="F476">
            <v>0</v>
          </cell>
          <cell r="G476">
            <v>-684.6</v>
          </cell>
          <cell r="H476">
            <v>-1160</v>
          </cell>
          <cell r="I476">
            <v>-3125.7999999999997</v>
          </cell>
          <cell r="J476">
            <v>-2718.5</v>
          </cell>
          <cell r="K476">
            <v>-2519.6798615039997</v>
          </cell>
          <cell r="L476">
            <v>-2301.9298615039997</v>
          </cell>
          <cell r="M476">
            <v>-2389.0298615040001</v>
          </cell>
          <cell r="N476">
            <v>-1605.1298615039998</v>
          </cell>
          <cell r="O476">
            <v>-2389.0298615040001</v>
          </cell>
          <cell r="P476">
            <v>0</v>
          </cell>
          <cell r="Q476">
            <v>0</v>
          </cell>
        </row>
        <row r="477">
          <cell r="E477">
            <v>0</v>
          </cell>
          <cell r="F477">
            <v>0</v>
          </cell>
          <cell r="G477">
            <v>0</v>
          </cell>
          <cell r="H477">
            <v>0</v>
          </cell>
          <cell r="I477">
            <v>0</v>
          </cell>
          <cell r="J477">
            <v>0</v>
          </cell>
          <cell r="K477">
            <v>0</v>
          </cell>
          <cell r="L477">
            <v>0</v>
          </cell>
          <cell r="M477">
            <v>0</v>
          </cell>
          <cell r="N477">
            <v>0</v>
          </cell>
          <cell r="O477">
            <v>0</v>
          </cell>
          <cell r="P477">
            <v>0</v>
          </cell>
          <cell r="Q477">
            <v>0</v>
          </cell>
        </row>
        <row r="478">
          <cell r="E478">
            <v>0</v>
          </cell>
          <cell r="F478">
            <v>0</v>
          </cell>
          <cell r="G478">
            <v>-13864.099999999999</v>
          </cell>
          <cell r="H478">
            <v>-2846.7</v>
          </cell>
          <cell r="I478">
            <v>26804.9</v>
          </cell>
          <cell r="J478">
            <v>14136</v>
          </cell>
          <cell r="K478">
            <v>-30033</v>
          </cell>
          <cell r="L478">
            <v>12175.75</v>
          </cell>
          <cell r="M478">
            <v>2100</v>
          </cell>
          <cell r="N478">
            <v>-3300</v>
          </cell>
          <cell r="O478">
            <v>-1400</v>
          </cell>
          <cell r="P478">
            <v>0</v>
          </cell>
          <cell r="Q478">
            <v>0</v>
          </cell>
        </row>
        <row r="479">
          <cell r="E479">
            <v>0</v>
          </cell>
          <cell r="F479">
            <v>0</v>
          </cell>
          <cell r="G479">
            <v>7177.2</v>
          </cell>
          <cell r="H479">
            <v>12105.099999999999</v>
          </cell>
          <cell r="I479">
            <v>32.299999999999272</v>
          </cell>
          <cell r="J479">
            <v>-405</v>
          </cell>
          <cell r="K479">
            <v>1759.0537440000007</v>
          </cell>
          <cell r="L479">
            <v>3500</v>
          </cell>
          <cell r="M479">
            <v>0</v>
          </cell>
          <cell r="N479">
            <v>5000</v>
          </cell>
          <cell r="O479">
            <v>4999.9999999999964</v>
          </cell>
          <cell r="P479">
            <v>0</v>
          </cell>
          <cell r="Q479">
            <v>0</v>
          </cell>
        </row>
        <row r="480">
          <cell r="E480">
            <v>0</v>
          </cell>
          <cell r="F480">
            <v>0</v>
          </cell>
          <cell r="G480">
            <v>0</v>
          </cell>
          <cell r="H480">
            <v>0</v>
          </cell>
          <cell r="I480">
            <v>0</v>
          </cell>
          <cell r="J480">
            <v>0</v>
          </cell>
          <cell r="K480">
            <v>0</v>
          </cell>
          <cell r="L480">
            <v>0</v>
          </cell>
          <cell r="M480">
            <v>0</v>
          </cell>
          <cell r="N480">
            <v>0</v>
          </cell>
          <cell r="O480">
            <v>0</v>
          </cell>
          <cell r="P480">
            <v>0</v>
          </cell>
          <cell r="Q480">
            <v>0</v>
          </cell>
        </row>
        <row r="481">
          <cell r="E481">
            <v>0</v>
          </cell>
          <cell r="F481">
            <v>0</v>
          </cell>
          <cell r="G481">
            <v>0</v>
          </cell>
          <cell r="H481">
            <v>0</v>
          </cell>
          <cell r="I481">
            <v>0</v>
          </cell>
          <cell r="J481">
            <v>0</v>
          </cell>
          <cell r="K481">
            <v>0</v>
          </cell>
          <cell r="L481">
            <v>0</v>
          </cell>
          <cell r="M481">
            <v>0</v>
          </cell>
          <cell r="N481">
            <v>0</v>
          </cell>
          <cell r="O481">
            <v>0</v>
          </cell>
          <cell r="P481">
            <v>0</v>
          </cell>
          <cell r="Q481">
            <v>0</v>
          </cell>
        </row>
        <row r="482">
          <cell r="E482">
            <v>0</v>
          </cell>
          <cell r="F482">
            <v>0</v>
          </cell>
          <cell r="G482">
            <v>-3.637978807091713E-12</v>
          </cell>
          <cell r="H482">
            <v>0</v>
          </cell>
          <cell r="I482">
            <v>-330.70000000000255</v>
          </cell>
          <cell r="J482">
            <v>-19.000000000003638</v>
          </cell>
          <cell r="K482">
            <v>0</v>
          </cell>
          <cell r="L482">
            <v>0</v>
          </cell>
          <cell r="M482">
            <v>0</v>
          </cell>
          <cell r="N482">
            <v>0</v>
          </cell>
          <cell r="O482">
            <v>0</v>
          </cell>
          <cell r="P482">
            <v>0</v>
          </cell>
          <cell r="Q482">
            <v>0</v>
          </cell>
        </row>
        <row r="483">
          <cell r="E483">
            <v>0</v>
          </cell>
          <cell r="F483">
            <v>0</v>
          </cell>
          <cell r="G483">
            <v>0</v>
          </cell>
          <cell r="H483">
            <v>0</v>
          </cell>
          <cell r="I483">
            <v>0</v>
          </cell>
          <cell r="J483">
            <v>0</v>
          </cell>
          <cell r="K483">
            <v>0</v>
          </cell>
          <cell r="L483">
            <v>0</v>
          </cell>
          <cell r="M483">
            <v>0</v>
          </cell>
          <cell r="N483">
            <v>0</v>
          </cell>
          <cell r="O483">
            <v>0</v>
          </cell>
          <cell r="P483">
            <v>0</v>
          </cell>
          <cell r="Q483">
            <v>0</v>
          </cell>
        </row>
        <row r="484">
          <cell r="C484" t="str">
            <v>Free CashFlow</v>
          </cell>
          <cell r="E484">
            <v>0</v>
          </cell>
          <cell r="F484">
            <v>0</v>
          </cell>
          <cell r="G484">
            <v>-13447.400000000001</v>
          </cell>
          <cell r="H484">
            <v>-1422.2999999999984</v>
          </cell>
          <cell r="I484">
            <v>5773.0999999999913</v>
          </cell>
          <cell r="J484">
            <v>-3501.1288766666657</v>
          </cell>
          <cell r="K484">
            <v>-49268.590479678765</v>
          </cell>
          <cell r="L484">
            <v>5268.6487346452004</v>
          </cell>
          <cell r="M484">
            <v>17350.475481792259</v>
          </cell>
          <cell r="N484">
            <v>7341.9614069819136</v>
          </cell>
          <cell r="O484">
            <v>7471.1639901862554</v>
          </cell>
          <cell r="P484">
            <v>0</v>
          </cell>
          <cell r="Q484">
            <v>0</v>
          </cell>
        </row>
        <row r="485">
          <cell r="E485">
            <v>0</v>
          </cell>
          <cell r="F485">
            <v>0</v>
          </cell>
          <cell r="G485">
            <v>0</v>
          </cell>
          <cell r="H485">
            <v>0</v>
          </cell>
          <cell r="I485">
            <v>0</v>
          </cell>
          <cell r="J485">
            <v>0</v>
          </cell>
          <cell r="K485">
            <v>0</v>
          </cell>
          <cell r="L485">
            <v>0</v>
          </cell>
          <cell r="M485">
            <v>0</v>
          </cell>
          <cell r="N485">
            <v>0</v>
          </cell>
          <cell r="O485">
            <v>0</v>
          </cell>
          <cell r="P485">
            <v>0</v>
          </cell>
          <cell r="Q485">
            <v>0</v>
          </cell>
        </row>
        <row r="486">
          <cell r="C486" t="str">
            <v>Free CashFlow [Balance 2]</v>
          </cell>
          <cell r="E486">
            <v>0</v>
          </cell>
          <cell r="F486">
            <v>0</v>
          </cell>
          <cell r="G486">
            <v>0</v>
          </cell>
          <cell r="H486">
            <v>0</v>
          </cell>
          <cell r="I486">
            <v>0</v>
          </cell>
          <cell r="J486">
            <v>0</v>
          </cell>
          <cell r="K486">
            <v>0</v>
          </cell>
          <cell r="L486">
            <v>0</v>
          </cell>
          <cell r="M486">
            <v>0</v>
          </cell>
          <cell r="N486">
            <v>0</v>
          </cell>
          <cell r="O486">
            <v>0</v>
          </cell>
          <cell r="P486">
            <v>0</v>
          </cell>
          <cell r="Q486">
            <v>0</v>
          </cell>
        </row>
        <row r="488">
          <cell r="E488">
            <v>0</v>
          </cell>
          <cell r="F488">
            <v>0</v>
          </cell>
          <cell r="G488">
            <v>2.6551664717828793</v>
          </cell>
          <cell r="H488">
            <v>1.1499905089321498</v>
          </cell>
          <cell r="I488">
            <v>0.55930870756713646</v>
          </cell>
          <cell r="J488">
            <v>1.2365668534634453</v>
          </cell>
          <cell r="K488">
            <v>5.0943490931993782</v>
          </cell>
          <cell r="L488">
            <v>0.74392094380099483</v>
          </cell>
          <cell r="M488">
            <v>0.44180772156109988</v>
          </cell>
          <cell r="N488">
            <v>0.79278438303778431</v>
          </cell>
          <cell r="O488">
            <v>0.78720550855665228</v>
          </cell>
          <cell r="P488">
            <v>0</v>
          </cell>
          <cell r="Q488">
            <v>0</v>
          </cell>
        </row>
        <row r="489">
          <cell r="C489" t="str">
            <v>Net Investment Rate</v>
          </cell>
          <cell r="E489">
            <v>0</v>
          </cell>
          <cell r="F489">
            <v>0</v>
          </cell>
          <cell r="G489">
            <v>3.524669570441576</v>
          </cell>
          <cell r="H489">
            <v>1.2052173662112058</v>
          </cell>
          <cell r="I489">
            <v>0.44046638301174812</v>
          </cell>
          <cell r="J489">
            <v>1.3061714644203992</v>
          </cell>
          <cell r="K489">
            <v>6.8454190644470101</v>
          </cell>
          <cell r="L489">
            <v>0.62832808625993786</v>
          </cell>
          <cell r="M489">
            <v>0.26743662269543772</v>
          </cell>
          <cell r="N489">
            <v>0.73809372526606465</v>
          </cell>
          <cell r="O489">
            <v>0.73039032030284845</v>
          </cell>
          <cell r="P489">
            <v>0</v>
          </cell>
          <cell r="Q489">
            <v>0</v>
          </cell>
        </row>
        <row r="497">
          <cell r="A497" t="str">
            <v>( + )</v>
          </cell>
          <cell r="C497" t="str">
            <v>Common Equity</v>
          </cell>
          <cell r="K497">
            <v>0</v>
          </cell>
        </row>
        <row r="498">
          <cell r="A498" t="str">
            <v>( + )</v>
          </cell>
          <cell r="C498" t="str">
            <v>Total Debt</v>
          </cell>
        </row>
        <row r="499">
          <cell r="A499" t="str">
            <v>( + )</v>
          </cell>
          <cell r="C499" t="str">
            <v>Preferred Equity</v>
          </cell>
        </row>
        <row r="500">
          <cell r="C500" t="str">
            <v>Total Capital</v>
          </cell>
          <cell r="E500">
            <v>0</v>
          </cell>
          <cell r="F500">
            <v>0</v>
          </cell>
          <cell r="G500">
            <v>0</v>
          </cell>
          <cell r="H500">
            <v>0</v>
          </cell>
          <cell r="I500">
            <v>0</v>
          </cell>
          <cell r="J500">
            <v>0</v>
          </cell>
          <cell r="K500">
            <v>0</v>
          </cell>
        </row>
        <row r="503">
          <cell r="C503" t="str">
            <v>Adjusted Common Equity</v>
          </cell>
          <cell r="E503">
            <v>0</v>
          </cell>
          <cell r="F503">
            <v>0</v>
          </cell>
          <cell r="G503">
            <v>26072.699999999997</v>
          </cell>
          <cell r="H503">
            <v>43293.9</v>
          </cell>
          <cell r="I503">
            <v>71871.500000000582</v>
          </cell>
          <cell r="J503">
            <v>82052.552237570577</v>
          </cell>
          <cell r="K503">
            <v>88543.735425667866</v>
          </cell>
          <cell r="L503">
            <v>97626.084418210143</v>
          </cell>
          <cell r="M503">
            <v>115311.60593228247</v>
          </cell>
          <cell r="N503">
            <v>137327.78089398734</v>
          </cell>
          <cell r="O503">
            <v>159882.80235719401</v>
          </cell>
          <cell r="P503">
            <v>0</v>
          </cell>
          <cell r="Q503">
            <v>0</v>
          </cell>
        </row>
        <row r="504">
          <cell r="C504" t="str">
            <v>Adjusted Total Debt</v>
          </cell>
          <cell r="E504">
            <v>0</v>
          </cell>
          <cell r="F504">
            <v>0</v>
          </cell>
          <cell r="G504">
            <v>26204.800000000003</v>
          </cell>
          <cell r="H504">
            <v>26595</v>
          </cell>
          <cell r="I504">
            <v>29399.200000000004</v>
          </cell>
          <cell r="J504">
            <v>45940.466666666667</v>
          </cell>
          <cell r="K504">
            <v>68872.509115570603</v>
          </cell>
          <cell r="L504">
            <v>84372.797768379736</v>
          </cell>
          <cell r="M504">
            <v>75121.407482766808</v>
          </cell>
          <cell r="N504">
            <v>75496.052743464228</v>
          </cell>
          <cell r="O504">
            <v>76780.904959707303</v>
          </cell>
          <cell r="P504">
            <v>0</v>
          </cell>
          <cell r="Q504">
            <v>0</v>
          </cell>
        </row>
        <row r="505">
          <cell r="C505" t="str">
            <v>Preferred Equity</v>
          </cell>
          <cell r="E505">
            <v>0</v>
          </cell>
          <cell r="F505">
            <v>0</v>
          </cell>
          <cell r="G505">
            <v>55</v>
          </cell>
          <cell r="H505">
            <v>55</v>
          </cell>
          <cell r="I505">
            <v>55</v>
          </cell>
          <cell r="J505">
            <v>2000</v>
          </cell>
          <cell r="K505">
            <v>2000</v>
          </cell>
          <cell r="L505">
            <v>2000</v>
          </cell>
          <cell r="M505">
            <v>2000</v>
          </cell>
          <cell r="N505">
            <v>2000</v>
          </cell>
          <cell r="O505">
            <v>2000</v>
          </cell>
          <cell r="P505">
            <v>0</v>
          </cell>
          <cell r="Q505">
            <v>0</v>
          </cell>
        </row>
        <row r="506">
          <cell r="C506" t="str">
            <v>Total Capital</v>
          </cell>
          <cell r="E506">
            <v>0</v>
          </cell>
          <cell r="F506">
            <v>0</v>
          </cell>
          <cell r="G506">
            <v>52332.5</v>
          </cell>
          <cell r="H506">
            <v>69943.899999999994</v>
          </cell>
          <cell r="I506">
            <v>101325.70000000059</v>
          </cell>
          <cell r="J506">
            <v>129993.01890423725</v>
          </cell>
          <cell r="K506">
            <v>159416.24454123847</v>
          </cell>
          <cell r="L506">
            <v>183998.88218658988</v>
          </cell>
          <cell r="M506">
            <v>192433.0134150493</v>
          </cell>
          <cell r="N506">
            <v>214823.83363745158</v>
          </cell>
          <cell r="O506">
            <v>238663.7073169013</v>
          </cell>
          <cell r="P506">
            <v>0</v>
          </cell>
          <cell r="Q506">
            <v>0</v>
          </cell>
        </row>
        <row r="508">
          <cell r="B508">
            <v>1</v>
          </cell>
        </row>
        <row r="509">
          <cell r="A509" t="str">
            <v>%</v>
          </cell>
          <cell r="C509" t="str">
            <v>Target Debt / Capital - Manual</v>
          </cell>
          <cell r="L509"/>
          <cell r="M509"/>
          <cell r="N509"/>
          <cell r="O509"/>
          <cell r="P509"/>
          <cell r="Q509"/>
        </row>
        <row r="511">
          <cell r="C511" t="str">
            <v>Common Equity / Total Capital</v>
          </cell>
          <cell r="E511">
            <v>0</v>
          </cell>
          <cell r="F511">
            <v>0</v>
          </cell>
          <cell r="G511">
            <v>0.49821239191706868</v>
          </cell>
          <cell r="H511">
            <v>0.61898035425533904</v>
          </cell>
          <cell r="I511">
            <v>0.70931165538456842</v>
          </cell>
          <cell r="J511">
            <v>0.63120737505155355</v>
          </cell>
          <cell r="K511">
            <v>0.55542479802152789</v>
          </cell>
          <cell r="L511">
            <v>0.5305797690619084</v>
          </cell>
          <cell r="M511">
            <v>0.5992298508758086</v>
          </cell>
          <cell r="N511">
            <v>0.63925765856012606</v>
          </cell>
          <cell r="O511">
            <v>0.66990831641150694</v>
          </cell>
          <cell r="P511">
            <v>0</v>
          </cell>
          <cell r="Q511">
            <v>0</v>
          </cell>
        </row>
        <row r="512">
          <cell r="C512" t="str">
            <v>Total Debt / Total Capital</v>
          </cell>
          <cell r="E512">
            <v>0</v>
          </cell>
          <cell r="F512">
            <v>0</v>
          </cell>
          <cell r="G512">
            <v>0.50073663593369322</v>
          </cell>
          <cell r="H512">
            <v>0.38023330126000981</v>
          </cell>
          <cell r="I512">
            <v>0.29014554056867936</v>
          </cell>
          <cell r="J512">
            <v>0.35340718335428389</v>
          </cell>
          <cell r="K512">
            <v>0.43202942908214331</v>
          </cell>
          <cell r="L512">
            <v>0.45855059968689826</v>
          </cell>
          <cell r="M512">
            <v>0.39037692207594932</v>
          </cell>
          <cell r="N512">
            <v>0.35143238748301775</v>
          </cell>
          <cell r="O512">
            <v>0.32171169141253825</v>
          </cell>
          <cell r="P512">
            <v>0</v>
          </cell>
          <cell r="Q512">
            <v>0</v>
          </cell>
        </row>
        <row r="513">
          <cell r="C513" t="str">
            <v>Preferred Equity / Total Capital</v>
          </cell>
          <cell r="E513">
            <v>0</v>
          </cell>
          <cell r="F513">
            <v>0</v>
          </cell>
          <cell r="G513">
            <v>1.0509721492380452E-3</v>
          </cell>
          <cell r="H513">
            <v>7.8634448465127063E-4</v>
          </cell>
          <cell r="I513">
            <v>5.4280404675220283E-4</v>
          </cell>
          <cell r="J513">
            <v>1.5385441594162469E-2</v>
          </cell>
          <cell r="K513">
            <v>1.2545772896328839E-2</v>
          </cell>
          <cell r="L513">
            <v>1.0869631251193347E-2</v>
          </cell>
          <cell r="M513">
            <v>1.0393227048241969E-2</v>
          </cell>
          <cell r="N513">
            <v>9.3099539568561526E-3</v>
          </cell>
          <cell r="O513">
            <v>8.3799921759548038E-3</v>
          </cell>
          <cell r="P513">
            <v>0</v>
          </cell>
          <cell r="Q513">
            <v>0</v>
          </cell>
        </row>
        <row r="514">
          <cell r="E514">
            <v>0</v>
          </cell>
          <cell r="F514">
            <v>0</v>
          </cell>
          <cell r="G514">
            <v>0.99999999999999989</v>
          </cell>
          <cell r="H514">
            <v>1</v>
          </cell>
          <cell r="I514">
            <v>1</v>
          </cell>
          <cell r="J514">
            <v>0.99999999999999989</v>
          </cell>
          <cell r="K514">
            <v>1</v>
          </cell>
          <cell r="L514">
            <v>1</v>
          </cell>
          <cell r="M514">
            <v>0.99999999999999989</v>
          </cell>
          <cell r="N514">
            <v>1</v>
          </cell>
          <cell r="O514">
            <v>0.99999999999999989</v>
          </cell>
          <cell r="P514">
            <v>0</v>
          </cell>
          <cell r="Q514">
            <v>0</v>
          </cell>
        </row>
        <row r="519">
          <cell r="A519" t="str">
            <v>%</v>
          </cell>
          <cell r="C519" t="str">
            <v>Required Return - Manual</v>
          </cell>
        </row>
        <row r="521">
          <cell r="A521" t="str">
            <v>%</v>
          </cell>
          <cell r="C521" t="str">
            <v>Risk Free Rate</v>
          </cell>
          <cell r="F521">
            <v>0.13750000000000001</v>
          </cell>
          <cell r="G521">
            <v>0.13750000000000001</v>
          </cell>
          <cell r="H521">
            <v>0.13750000000000001</v>
          </cell>
          <cell r="I521">
            <v>0.13750000000000001</v>
          </cell>
          <cell r="J521">
            <v>0.13750000000000001</v>
          </cell>
          <cell r="K521">
            <v>0.13750000000000001</v>
          </cell>
          <cell r="L521">
            <v>0.13750000000000001</v>
          </cell>
          <cell r="M521">
            <v>0.13750000000000001</v>
          </cell>
          <cell r="N521">
            <v>0.13750000000000001</v>
          </cell>
          <cell r="O521">
            <v>0.13750000000000001</v>
          </cell>
          <cell r="P521">
            <v>0.13750000000000001</v>
          </cell>
        </row>
        <row r="522">
          <cell r="C522" t="str">
            <v>Company Beta</v>
          </cell>
          <cell r="F522">
            <v>1.44</v>
          </cell>
          <cell r="G522">
            <v>1.44</v>
          </cell>
          <cell r="H522">
            <v>1.44</v>
          </cell>
          <cell r="I522">
            <v>1.44</v>
          </cell>
          <cell r="J522">
            <v>1.44</v>
          </cell>
          <cell r="K522">
            <v>1.44</v>
          </cell>
          <cell r="L522">
            <v>1.44</v>
          </cell>
          <cell r="M522">
            <v>1.44</v>
          </cell>
          <cell r="N522">
            <v>1.44</v>
          </cell>
          <cell r="O522">
            <v>1.44</v>
          </cell>
          <cell r="P522">
            <v>1.44</v>
          </cell>
        </row>
        <row r="523">
          <cell r="A523" t="str">
            <v>%</v>
          </cell>
          <cell r="C523" t="str">
            <v>Equity Risk Premium</v>
          </cell>
          <cell r="F523">
            <v>6.25E-2</v>
          </cell>
          <cell r="G523">
            <v>6.25E-2</v>
          </cell>
          <cell r="H523">
            <v>6.25E-2</v>
          </cell>
          <cell r="I523">
            <v>6.25E-2</v>
          </cell>
          <cell r="J523">
            <v>6.25E-2</v>
          </cell>
          <cell r="K523">
            <v>6.25E-2</v>
          </cell>
          <cell r="L523">
            <v>6.25E-2</v>
          </cell>
          <cell r="M523">
            <v>6.25E-2</v>
          </cell>
          <cell r="N523">
            <v>6.25E-2</v>
          </cell>
          <cell r="O523">
            <v>6.25E-2</v>
          </cell>
          <cell r="P523">
            <v>6.25E-2</v>
          </cell>
          <cell r="Q523">
            <v>0.2</v>
          </cell>
        </row>
        <row r="524">
          <cell r="C524" t="str">
            <v>Giving Required Return (CAPM)</v>
          </cell>
          <cell r="E524">
            <v>0</v>
          </cell>
          <cell r="F524">
            <v>0</v>
          </cell>
          <cell r="G524">
            <v>0.22750000000000001</v>
          </cell>
          <cell r="H524">
            <v>0.22750000000000001</v>
          </cell>
          <cell r="I524">
            <v>0.22750000000000001</v>
          </cell>
          <cell r="J524">
            <v>0.22750000000000001</v>
          </cell>
          <cell r="K524">
            <v>0.22750000000000001</v>
          </cell>
          <cell r="L524">
            <v>0.22750000000000001</v>
          </cell>
          <cell r="M524">
            <v>0.22750000000000001</v>
          </cell>
          <cell r="N524">
            <v>0.22750000000000001</v>
          </cell>
          <cell r="O524">
            <v>0.22750000000000001</v>
          </cell>
          <cell r="P524">
            <v>0</v>
          </cell>
          <cell r="Q524">
            <v>0</v>
          </cell>
        </row>
        <row r="525">
          <cell r="E525">
            <v>0</v>
          </cell>
          <cell r="F525">
            <v>0</v>
          </cell>
          <cell r="G525">
            <v>0</v>
          </cell>
          <cell r="H525">
            <v>0</v>
          </cell>
          <cell r="I525">
            <v>0</v>
          </cell>
          <cell r="J525">
            <v>0</v>
          </cell>
          <cell r="K525">
            <v>0</v>
          </cell>
          <cell r="L525">
            <v>0</v>
          </cell>
          <cell r="M525">
            <v>0</v>
          </cell>
          <cell r="N525">
            <v>0</v>
          </cell>
          <cell r="O525">
            <v>0</v>
          </cell>
          <cell r="P525">
            <v>0</v>
          </cell>
          <cell r="Q525">
            <v>0</v>
          </cell>
        </row>
        <row r="526">
          <cell r="C526" t="str">
            <v>Cost of Common Equity</v>
          </cell>
          <cell r="E526">
            <v>0</v>
          </cell>
          <cell r="F526">
            <v>0</v>
          </cell>
          <cell r="G526">
            <v>0.22750000000000001</v>
          </cell>
          <cell r="H526">
            <v>0.22750000000000001</v>
          </cell>
          <cell r="I526">
            <v>0.22750000000000001</v>
          </cell>
          <cell r="J526">
            <v>0.22750000000000001</v>
          </cell>
          <cell r="K526">
            <v>0.22750000000000001</v>
          </cell>
          <cell r="L526">
            <v>0.22750000000000001</v>
          </cell>
          <cell r="M526">
            <v>0.22750000000000001</v>
          </cell>
          <cell r="N526">
            <v>0.22750000000000001</v>
          </cell>
          <cell r="O526">
            <v>0.22750000000000001</v>
          </cell>
          <cell r="P526">
            <v>0</v>
          </cell>
          <cell r="Q526">
            <v>0</v>
          </cell>
        </row>
        <row r="527">
          <cell r="E527">
            <v>0</v>
          </cell>
          <cell r="F527">
            <v>0</v>
          </cell>
          <cell r="G527">
            <v>0</v>
          </cell>
          <cell r="H527">
            <v>0</v>
          </cell>
          <cell r="I527">
            <v>0</v>
          </cell>
          <cell r="J527">
            <v>0</v>
          </cell>
          <cell r="K527">
            <v>0</v>
          </cell>
          <cell r="L527">
            <v>0</v>
          </cell>
          <cell r="M527">
            <v>0</v>
          </cell>
          <cell r="N527">
            <v>0</v>
          </cell>
          <cell r="O527">
            <v>0</v>
          </cell>
          <cell r="P527">
            <v>0</v>
          </cell>
          <cell r="Q527">
            <v>0</v>
          </cell>
        </row>
        <row r="529">
          <cell r="A529" t="str">
            <v>%</v>
          </cell>
          <cell r="C529" t="str">
            <v>Average Pre-Tax Cost of Debt</v>
          </cell>
          <cell r="F529">
            <v>0.1</v>
          </cell>
          <cell r="G529">
            <v>0.1</v>
          </cell>
          <cell r="H529">
            <v>0.1</v>
          </cell>
          <cell r="I529">
            <v>0.1</v>
          </cell>
          <cell r="J529">
            <v>9.1546984831504905E-2</v>
          </cell>
          <cell r="K529">
            <v>8.9095610828300767E-2</v>
          </cell>
          <cell r="L529">
            <v>0.1044485292380789</v>
          </cell>
          <cell r="M529">
            <v>0.10424424521908379</v>
          </cell>
          <cell r="N529">
            <v>0.10230032653352081</v>
          </cell>
          <cell r="O529">
            <v>0.1053805698621417</v>
          </cell>
          <cell r="P529">
            <v>0</v>
          </cell>
        </row>
        <row r="530">
          <cell r="E530">
            <v>0</v>
          </cell>
          <cell r="F530">
            <v>0</v>
          </cell>
          <cell r="G530">
            <v>0</v>
          </cell>
          <cell r="H530">
            <v>0</v>
          </cell>
          <cell r="I530">
            <v>0</v>
          </cell>
          <cell r="J530">
            <v>0</v>
          </cell>
          <cell r="K530">
            <v>0.129</v>
          </cell>
          <cell r="L530">
            <v>0.12900000000000003</v>
          </cell>
          <cell r="M530">
            <v>0.129</v>
          </cell>
          <cell r="N530">
            <v>0.129</v>
          </cell>
          <cell r="O530">
            <v>0.129</v>
          </cell>
          <cell r="P530">
            <v>0</v>
          </cell>
          <cell r="Q530">
            <v>0</v>
          </cell>
        </row>
        <row r="531">
          <cell r="E531">
            <v>0</v>
          </cell>
          <cell r="F531">
            <v>0</v>
          </cell>
          <cell r="G531">
            <v>0</v>
          </cell>
          <cell r="H531">
            <v>0</v>
          </cell>
          <cell r="I531">
            <v>0</v>
          </cell>
          <cell r="J531">
            <v>0</v>
          </cell>
          <cell r="K531">
            <v>0</v>
          </cell>
          <cell r="L531">
            <v>0</v>
          </cell>
          <cell r="M531">
            <v>0</v>
          </cell>
          <cell r="N531">
            <v>0</v>
          </cell>
          <cell r="O531">
            <v>0</v>
          </cell>
          <cell r="P531">
            <v>0</v>
          </cell>
          <cell r="Q531">
            <v>0</v>
          </cell>
        </row>
        <row r="532">
          <cell r="C532" t="str">
            <v>Cost of Debt - Post Tax</v>
          </cell>
          <cell r="E532">
            <v>0</v>
          </cell>
          <cell r="F532">
            <v>0</v>
          </cell>
          <cell r="G532">
            <v>0.1</v>
          </cell>
          <cell r="H532">
            <v>0.1</v>
          </cell>
          <cell r="I532">
            <v>0.1</v>
          </cell>
          <cell r="J532">
            <v>9.1546984831504905E-2</v>
          </cell>
          <cell r="K532">
            <v>7.7602277031449965E-2</v>
          </cell>
          <cell r="L532">
            <v>9.0974668966366717E-2</v>
          </cell>
          <cell r="M532">
            <v>9.0796737585821977E-2</v>
          </cell>
          <cell r="N532">
            <v>8.9103584410696629E-2</v>
          </cell>
          <cell r="O532">
            <v>9.1786476349925414E-2</v>
          </cell>
          <cell r="P532">
            <v>0</v>
          </cell>
          <cell r="Q532">
            <v>0</v>
          </cell>
        </row>
        <row r="533">
          <cell r="E533">
            <v>0</v>
          </cell>
          <cell r="F533">
            <v>0</v>
          </cell>
          <cell r="G533">
            <v>0</v>
          </cell>
          <cell r="H533">
            <v>0</v>
          </cell>
          <cell r="I533">
            <v>0</v>
          </cell>
          <cell r="J533">
            <v>0</v>
          </cell>
          <cell r="K533">
            <v>0</v>
          </cell>
          <cell r="L533">
            <v>0</v>
          </cell>
          <cell r="M533">
            <v>0</v>
          </cell>
          <cell r="N533">
            <v>0</v>
          </cell>
          <cell r="O533">
            <v>0</v>
          </cell>
          <cell r="P533">
            <v>0</v>
          </cell>
          <cell r="Q533">
            <v>0</v>
          </cell>
        </row>
        <row r="535">
          <cell r="A535" t="str">
            <v>%</v>
          </cell>
          <cell r="C535" t="str">
            <v>Cost</v>
          </cell>
        </row>
        <row r="536">
          <cell r="E536">
            <v>0</v>
          </cell>
          <cell r="F536">
            <v>0</v>
          </cell>
          <cell r="G536">
            <v>0</v>
          </cell>
          <cell r="H536">
            <v>0</v>
          </cell>
          <cell r="I536">
            <v>0</v>
          </cell>
          <cell r="J536">
            <v>0</v>
          </cell>
          <cell r="K536">
            <v>0</v>
          </cell>
          <cell r="L536">
            <v>0</v>
          </cell>
          <cell r="M536">
            <v>0</v>
          </cell>
          <cell r="N536">
            <v>0</v>
          </cell>
          <cell r="O536">
            <v>0</v>
          </cell>
          <cell r="P536">
            <v>0</v>
          </cell>
          <cell r="Q536">
            <v>0</v>
          </cell>
        </row>
        <row r="539">
          <cell r="A539" t="str">
            <v>%</v>
          </cell>
          <cell r="C539" t="str">
            <v>Weighted Average Cost of Capital - Manual</v>
          </cell>
        </row>
        <row r="540">
          <cell r="C540" t="str">
            <v>WACC [ c* ]</v>
          </cell>
          <cell r="E540">
            <v>0</v>
          </cell>
          <cell r="F540">
            <v>0</v>
          </cell>
          <cell r="G540">
            <v>0.16341698275450245</v>
          </cell>
          <cell r="H540">
            <v>0.17884136071909063</v>
          </cell>
          <cell r="I540">
            <v>0.19038295565685726</v>
          </cell>
          <cell r="J540">
            <v>0.17595303987810795</v>
          </cell>
          <cell r="K540">
            <v>0.15988560899126925</v>
          </cell>
          <cell r="L540">
            <v>0.15988560899126925</v>
          </cell>
          <cell r="M540">
            <v>0.15988560899126925</v>
          </cell>
          <cell r="N540">
            <v>0.15988560899126925</v>
          </cell>
          <cell r="O540">
            <v>0.15988560899126925</v>
          </cell>
          <cell r="P540">
            <v>0</v>
          </cell>
          <cell r="Q540">
            <v>0</v>
          </cell>
        </row>
        <row r="542">
          <cell r="C542" t="str">
            <v>WACC Actual</v>
          </cell>
          <cell r="E542">
            <v>0</v>
          </cell>
          <cell r="F542">
            <v>0</v>
          </cell>
          <cell r="G542">
            <v>0.16341698275450245</v>
          </cell>
          <cell r="H542">
            <v>0.17884136071909063</v>
          </cell>
          <cell r="I542">
            <v>0.19038295565685726</v>
          </cell>
          <cell r="J542">
            <v>0.17595303987810795</v>
          </cell>
          <cell r="K542">
            <v>0.15988560899126925</v>
          </cell>
          <cell r="L542">
            <v>0.16242338647242868</v>
          </cell>
          <cell r="M542">
            <v>0.17176974202753731</v>
          </cell>
          <cell r="N542">
            <v>0.1767450027251744</v>
          </cell>
          <cell r="O542">
            <v>0.1819329245389493</v>
          </cell>
          <cell r="P542">
            <v>0</v>
          </cell>
          <cell r="Q542">
            <v>0</v>
          </cell>
        </row>
        <row r="543">
          <cell r="C543" t="str">
            <v>Unleveraged Cost Of Capital [ c ]</v>
          </cell>
          <cell r="K543">
            <v>0.16932224168251497</v>
          </cell>
          <cell r="L543">
            <v>0.16932224168251497</v>
          </cell>
          <cell r="M543">
            <v>0.16932224168251497</v>
          </cell>
          <cell r="N543">
            <v>0.16932224168251497</v>
          </cell>
          <cell r="O543">
            <v>0.16932224168251497</v>
          </cell>
          <cell r="P543">
            <v>0</v>
          </cell>
          <cell r="Q543">
            <v>0</v>
          </cell>
        </row>
        <row r="544">
          <cell r="K544">
            <v>0.5091558669202394</v>
          </cell>
          <cell r="L544">
            <v>0.5091558669202394</v>
          </cell>
          <cell r="M544">
            <v>0.5091558669202394</v>
          </cell>
          <cell r="N544">
            <v>0.5091558669202394</v>
          </cell>
          <cell r="O544">
            <v>0.5091558669202394</v>
          </cell>
          <cell r="P544">
            <v>0</v>
          </cell>
          <cell r="Q544">
            <v>0</v>
          </cell>
        </row>
        <row r="551">
          <cell r="E551">
            <v>0</v>
          </cell>
          <cell r="F551">
            <v>0</v>
          </cell>
          <cell r="G551">
            <v>22464.499999999996</v>
          </cell>
          <cell r="H551">
            <v>30690.099999999995</v>
          </cell>
          <cell r="I551">
            <v>38710.200000000579</v>
          </cell>
          <cell r="J551">
            <v>42193.382821320003</v>
          </cell>
          <cell r="K551">
            <v>47237.307486738704</v>
          </cell>
          <cell r="L551">
            <v>75374.831019570789</v>
          </cell>
          <cell r="M551">
            <v>100156.24869602443</v>
          </cell>
          <cell r="N551">
            <v>105775.29368554073</v>
          </cell>
          <cell r="O551">
            <v>114729.28961091388</v>
          </cell>
          <cell r="P551">
            <v>0</v>
          </cell>
          <cell r="Q551">
            <v>0</v>
          </cell>
        </row>
        <row r="552">
          <cell r="E552">
            <v>0</v>
          </cell>
          <cell r="F552">
            <v>0</v>
          </cell>
          <cell r="G552">
            <v>0.45227397614506915</v>
          </cell>
          <cell r="H552">
            <v>0.36615994124062401</v>
          </cell>
          <cell r="I552">
            <v>0.26132531337469045</v>
          </cell>
          <cell r="J552">
            <v>8.9981008140473939E-2</v>
          </cell>
          <cell r="K552">
            <v>0.11954302613702827</v>
          </cell>
          <cell r="L552">
            <v>0.59566315333979092</v>
          </cell>
          <cell r="M552">
            <v>0.3287757642868776</v>
          </cell>
          <cell r="N552">
            <v>5.6102790017327653E-2</v>
          </cell>
          <cell r="O552">
            <v>8.465110909540452E-2</v>
          </cell>
          <cell r="P552">
            <v>0</v>
          </cell>
          <cell r="Q552">
            <v>0</v>
          </cell>
        </row>
        <row r="554">
          <cell r="E554">
            <v>0</v>
          </cell>
          <cell r="F554">
            <v>0</v>
          </cell>
          <cell r="G554">
            <v>5326.399999999996</v>
          </cell>
          <cell r="H554">
            <v>6930.6999999999953</v>
          </cell>
          <cell r="I554">
            <v>10317.700000000577</v>
          </cell>
          <cell r="J554">
            <v>11435.190027570001</v>
          </cell>
          <cell r="K554">
            <v>9676.9017374540217</v>
          </cell>
          <cell r="L554">
            <v>16275.013065438123</v>
          </cell>
          <cell r="M554">
            <v>27192.430206947953</v>
          </cell>
          <cell r="N554">
            <v>32184.594293208022</v>
          </cell>
          <cell r="O554">
            <v>31815.198242980507</v>
          </cell>
          <cell r="P554">
            <v>0</v>
          </cell>
          <cell r="Q554">
            <v>0</v>
          </cell>
        </row>
        <row r="555">
          <cell r="E555">
            <v>0</v>
          </cell>
          <cell r="F555">
            <v>0</v>
          </cell>
          <cell r="G555">
            <v>0.23710298470920771</v>
          </cell>
          <cell r="H555">
            <v>0.22582852450790308</v>
          </cell>
          <cell r="I555">
            <v>0.26653698508404561</v>
          </cell>
          <cell r="J555">
            <v>0.27101856411929798</v>
          </cell>
          <cell r="K555">
            <v>0.20485718285638302</v>
          </cell>
          <cell r="L555">
            <v>0.21592105541453721</v>
          </cell>
          <cell r="M555">
            <v>0.27150008672426768</v>
          </cell>
          <cell r="N555">
            <v>0.30427326809311039</v>
          </cell>
          <cell r="O555">
            <v>0.27730667862475822</v>
          </cell>
          <cell r="P555">
            <v>0</v>
          </cell>
          <cell r="Q555">
            <v>0</v>
          </cell>
        </row>
        <row r="557">
          <cell r="E557">
            <v>0</v>
          </cell>
          <cell r="F557">
            <v>0</v>
          </cell>
          <cell r="G557">
            <v>5326.399999999996</v>
          </cell>
          <cell r="H557">
            <v>6930.6999999999953</v>
          </cell>
          <cell r="I557">
            <v>10317.700000000577</v>
          </cell>
          <cell r="J557">
            <v>11435.190027570001</v>
          </cell>
          <cell r="K557">
            <v>8428.5814133224521</v>
          </cell>
          <cell r="L557">
            <v>14175.536379996605</v>
          </cell>
          <cell r="M557">
            <v>23684.606710251668</v>
          </cell>
          <cell r="N557">
            <v>28032.781629384186</v>
          </cell>
          <cell r="O557">
            <v>27711.037669636022</v>
          </cell>
          <cell r="P557">
            <v>0</v>
          </cell>
          <cell r="Q557">
            <v>0</v>
          </cell>
        </row>
        <row r="558">
          <cell r="E558">
            <v>0</v>
          </cell>
          <cell r="F558">
            <v>0</v>
          </cell>
          <cell r="G558">
            <v>0</v>
          </cell>
          <cell r="H558">
            <v>0</v>
          </cell>
          <cell r="I558">
            <v>0</v>
          </cell>
          <cell r="J558">
            <v>0</v>
          </cell>
          <cell r="K558">
            <v>0.129</v>
          </cell>
          <cell r="L558">
            <v>0.129</v>
          </cell>
          <cell r="M558">
            <v>0.129</v>
          </cell>
          <cell r="N558">
            <v>0.129</v>
          </cell>
          <cell r="O558">
            <v>0.129</v>
          </cell>
          <cell r="P558">
            <v>0</v>
          </cell>
          <cell r="Q558">
            <v>0</v>
          </cell>
        </row>
        <row r="560">
          <cell r="E560">
            <v>0</v>
          </cell>
          <cell r="F560">
            <v>0</v>
          </cell>
          <cell r="G560">
            <v>37743.099999999991</v>
          </cell>
          <cell r="H560">
            <v>46096.099999999991</v>
          </cell>
          <cell r="I560">
            <v>50640.700000000557</v>
          </cell>
          <cell r="J560">
            <v>65577.018904237208</v>
          </cell>
          <cell r="K560">
            <v>123274.19079723845</v>
          </cell>
          <cell r="L560">
            <v>132181.07844258985</v>
          </cell>
          <cell r="M560">
            <v>138515.20967104926</v>
          </cell>
          <cell r="N560">
            <v>159206.02989345152</v>
          </cell>
          <cell r="O560">
            <v>179445.90357290127</v>
          </cell>
          <cell r="P560">
            <v>0</v>
          </cell>
          <cell r="Q560">
            <v>0</v>
          </cell>
        </row>
        <row r="561">
          <cell r="E561">
            <v>0</v>
          </cell>
          <cell r="F561">
            <v>0</v>
          </cell>
          <cell r="G561">
            <v>1.184255613016822</v>
          </cell>
          <cell r="H561">
            <v>0.81313140680018337</v>
          </cell>
          <cell r="I561">
            <v>0.8397716943515956</v>
          </cell>
          <cell r="J561">
            <v>0.83319114509316694</v>
          </cell>
          <cell r="K561">
            <v>0.72033325509535329</v>
          </cell>
          <cell r="L561">
            <v>0.61144048508537696</v>
          </cell>
          <cell r="M561">
            <v>0.75772001466552752</v>
          </cell>
          <cell r="N561">
            <v>0.76363667164594828</v>
          </cell>
          <cell r="O561">
            <v>0.72063407201157115</v>
          </cell>
          <cell r="P561">
            <v>0</v>
          </cell>
          <cell r="Q561">
            <v>0</v>
          </cell>
        </row>
        <row r="562">
          <cell r="E562">
            <v>0</v>
          </cell>
          <cell r="F562">
            <v>0</v>
          </cell>
          <cell r="G562">
            <v>16959.5</v>
          </cell>
          <cell r="H562">
            <v>7716.6</v>
          </cell>
          <cell r="I562">
            <v>5828.1999999999953</v>
          </cell>
          <cell r="J562">
            <v>15710.653824999998</v>
          </cell>
          <cell r="K562">
            <v>49507.533662500013</v>
          </cell>
          <cell r="L562">
            <v>15954.268875000003</v>
          </cell>
          <cell r="M562">
            <v>23988</v>
          </cell>
          <cell r="N562">
            <v>23988</v>
          </cell>
          <cell r="O562">
            <v>16991.5</v>
          </cell>
          <cell r="P562">
            <v>0</v>
          </cell>
          <cell r="Q562">
            <v>0</v>
          </cell>
        </row>
        <row r="563">
          <cell r="E563">
            <v>0</v>
          </cell>
          <cell r="F563">
            <v>0</v>
          </cell>
          <cell r="G563">
            <v>0.48331367268356712</v>
          </cell>
          <cell r="H563">
            <v>0.45766224287310864</v>
          </cell>
          <cell r="I563">
            <v>0.40156082892881795</v>
          </cell>
          <cell r="J563">
            <v>0.42980007448167623</v>
          </cell>
          <cell r="K563">
            <v>0.63359010133998772</v>
          </cell>
          <cell r="L563">
            <v>0.38846492831671842</v>
          </cell>
          <cell r="M563">
            <v>0.18995653617907438</v>
          </cell>
          <cell r="N563">
            <v>0.2186415940547316</v>
          </cell>
          <cell r="O563">
            <v>0.29437972760598302</v>
          </cell>
          <cell r="P563">
            <v>0</v>
          </cell>
          <cell r="Q563">
            <v>0</v>
          </cell>
        </row>
        <row r="567">
          <cell r="E567">
            <v>0</v>
          </cell>
          <cell r="F567">
            <v>0</v>
          </cell>
          <cell r="G567">
            <v>5326.399999999996</v>
          </cell>
          <cell r="H567">
            <v>6930.6999999999953</v>
          </cell>
          <cell r="I567">
            <v>10317.700000000577</v>
          </cell>
          <cell r="J567">
            <v>11435.190027570001</v>
          </cell>
          <cell r="K567">
            <v>8428.5814133224521</v>
          </cell>
          <cell r="L567">
            <v>14175.536379996605</v>
          </cell>
          <cell r="M567">
            <v>23684.606710251668</v>
          </cell>
          <cell r="N567">
            <v>28032.781629384186</v>
          </cell>
          <cell r="O567">
            <v>27711.037669636022</v>
          </cell>
          <cell r="P567">
            <v>0</v>
          </cell>
          <cell r="Q567">
            <v>0</v>
          </cell>
        </row>
        <row r="568">
          <cell r="E568">
            <v>0</v>
          </cell>
          <cell r="F568">
            <v>0</v>
          </cell>
          <cell r="G568">
            <v>18773.799999999996</v>
          </cell>
          <cell r="H568">
            <v>8353</v>
          </cell>
          <cell r="I568">
            <v>4544.6000000005661</v>
          </cell>
          <cell r="J568">
            <v>14936.31890423665</v>
          </cell>
          <cell r="K568">
            <v>57697.171893001243</v>
          </cell>
          <cell r="L568">
            <v>8906.8876453513949</v>
          </cell>
          <cell r="M568">
            <v>6334.1312284594169</v>
          </cell>
          <cell r="N568">
            <v>20690.820222402253</v>
          </cell>
          <cell r="O568">
            <v>20239.873679449753</v>
          </cell>
          <cell r="P568">
            <v>0</v>
          </cell>
          <cell r="Q568">
            <v>0</v>
          </cell>
        </row>
        <row r="569">
          <cell r="E569">
            <v>0</v>
          </cell>
          <cell r="F569">
            <v>0</v>
          </cell>
          <cell r="G569">
            <v>-13447.399999999998</v>
          </cell>
          <cell r="H569">
            <v>-1422.3000000000029</v>
          </cell>
          <cell r="I569">
            <v>5773.1000000000095</v>
          </cell>
          <cell r="J569">
            <v>-3501.128876666653</v>
          </cell>
          <cell r="K569">
            <v>-49268.59047967878</v>
          </cell>
          <cell r="L569">
            <v>5268.6487346452104</v>
          </cell>
          <cell r="M569">
            <v>17350.475481792262</v>
          </cell>
          <cell r="N569">
            <v>7341.9614069819072</v>
          </cell>
          <cell r="O569">
            <v>7471.1639901862654</v>
          </cell>
          <cell r="P569">
            <v>0</v>
          </cell>
          <cell r="Q569">
            <v>0</v>
          </cell>
        </row>
        <row r="570">
          <cell r="E570">
            <v>0</v>
          </cell>
          <cell r="F570">
            <v>0</v>
          </cell>
          <cell r="G570">
            <v>3.524669570441576</v>
          </cell>
          <cell r="H570">
            <v>1.2052173662112058</v>
          </cell>
          <cell r="I570">
            <v>0.44046638301174812</v>
          </cell>
          <cell r="J570">
            <v>1.3061714644203992</v>
          </cell>
          <cell r="K570">
            <v>6.8454190644470101</v>
          </cell>
          <cell r="L570">
            <v>0.62832808625993786</v>
          </cell>
          <cell r="M570">
            <v>0.26743662269543772</v>
          </cell>
          <cell r="N570">
            <v>0.73809372526606465</v>
          </cell>
          <cell r="O570">
            <v>0.73039032030284845</v>
          </cell>
          <cell r="P570">
            <v>0</v>
          </cell>
          <cell r="Q570">
            <v>0</v>
          </cell>
        </row>
        <row r="574">
          <cell r="C574" t="str">
            <v>NOPAT / Operating Capital (Beg of Year)  [ r ]</v>
          </cell>
          <cell r="E574">
            <v>0</v>
          </cell>
          <cell r="F574">
            <v>0</v>
          </cell>
          <cell r="G574">
            <v>0.28079054050492097</v>
          </cell>
          <cell r="H574">
            <v>0.18362826582872094</v>
          </cell>
          <cell r="I574">
            <v>0.22383021557139496</v>
          </cell>
          <cell r="J574">
            <v>0.22581026778006377</v>
          </cell>
          <cell r="K574">
            <v>0.12852949942160066</v>
          </cell>
          <cell r="L574">
            <v>0.11499192400550855</v>
          </cell>
          <cell r="M574">
            <v>0.17918303428382598</v>
          </cell>
          <cell r="N574">
            <v>0.20238053059990604</v>
          </cell>
          <cell r="O574">
            <v>0.17405771432263972</v>
          </cell>
          <cell r="P574">
            <v>0</v>
          </cell>
          <cell r="Q574">
            <v>0</v>
          </cell>
        </row>
        <row r="575">
          <cell r="E575">
            <v>0</v>
          </cell>
          <cell r="F575">
            <v>0</v>
          </cell>
          <cell r="G575">
            <v>0.16341698275450245</v>
          </cell>
          <cell r="H575">
            <v>0.17884136071909063</v>
          </cell>
          <cell r="I575">
            <v>0.19038295565685726</v>
          </cell>
          <cell r="J575">
            <v>0.17595303987810795</v>
          </cell>
          <cell r="K575">
            <v>0.15988560899126925</v>
          </cell>
          <cell r="L575">
            <v>0.15988560899126925</v>
          </cell>
          <cell r="M575">
            <v>0.15988560899126925</v>
          </cell>
          <cell r="N575">
            <v>0.15988560899126925</v>
          </cell>
          <cell r="O575">
            <v>0.15988560899126925</v>
          </cell>
          <cell r="P575">
            <v>0</v>
          </cell>
          <cell r="Q575">
            <v>0</v>
          </cell>
        </row>
        <row r="576">
          <cell r="E576">
            <v>0</v>
          </cell>
          <cell r="F576">
            <v>0</v>
          </cell>
          <cell r="G576">
            <v>1.7182457769811239</v>
          </cell>
          <cell r="H576">
            <v>1.0267662082774531</v>
          </cell>
          <cell r="I576">
            <v>1.1756841089011267</v>
          </cell>
          <cell r="J576">
            <v>1.2833553085328595</v>
          </cell>
          <cell r="K576">
            <v>0.80388410334428018</v>
          </cell>
          <cell r="L576">
            <v>0.71921372242943904</v>
          </cell>
          <cell r="M576">
            <v>1.1206951983627902</v>
          </cell>
          <cell r="N576">
            <v>1.2657832801634905</v>
          </cell>
          <cell r="O576">
            <v>1.0886390302465832</v>
          </cell>
          <cell r="P576">
            <v>0</v>
          </cell>
          <cell r="Q576">
            <v>0</v>
          </cell>
        </row>
        <row r="577">
          <cell r="C577" t="str">
            <v>Operating Growth [ g ]</v>
          </cell>
          <cell r="E577">
            <v>0</v>
          </cell>
          <cell r="F577">
            <v>0</v>
          </cell>
          <cell r="G577">
            <v>0.98969387378553775</v>
          </cell>
          <cell r="H577">
            <v>0.22131197490402221</v>
          </cell>
          <cell r="I577">
            <v>9.8589685461472204E-2</v>
          </cell>
          <cell r="J577">
            <v>0.29494692814744838</v>
          </cell>
          <cell r="K577">
            <v>0.8798382856844561</v>
          </cell>
          <cell r="L577">
            <v>7.2252655545729391E-2</v>
          </cell>
          <cell r="M577">
            <v>4.7920105533187249E-2</v>
          </cell>
          <cell r="N577">
            <v>0.14937579975180745</v>
          </cell>
          <cell r="O577">
            <v>0.12713006971529453</v>
          </cell>
          <cell r="P577">
            <v>0</v>
          </cell>
          <cell r="Q577">
            <v>0</v>
          </cell>
        </row>
        <row r="582">
          <cell r="C582" t="str">
            <v>Spread [ r - c* ]</v>
          </cell>
          <cell r="E582">
            <v>0</v>
          </cell>
          <cell r="F582">
            <v>0</v>
          </cell>
          <cell r="G582">
            <v>0.11737355775041852</v>
          </cell>
          <cell r="H582">
            <v>4.7869051096303128E-3</v>
          </cell>
          <cell r="I582">
            <v>3.3447259914537703E-2</v>
          </cell>
          <cell r="J582">
            <v>4.985722790195582E-2</v>
          </cell>
          <cell r="K582">
            <v>-3.1356109569668583E-2</v>
          </cell>
          <cell r="L582">
            <v>-4.4893684985760698E-2</v>
          </cell>
          <cell r="M582">
            <v>1.9297425292556736E-2</v>
          </cell>
          <cell r="N582">
            <v>4.2494921608636799E-2</v>
          </cell>
          <cell r="O582">
            <v>1.4172105331370477E-2</v>
          </cell>
          <cell r="P582">
            <v>0</v>
          </cell>
          <cell r="Q582">
            <v>0</v>
          </cell>
        </row>
        <row r="583">
          <cell r="C583" t="str">
            <v>Operating Capital (Beg of Year)</v>
          </cell>
          <cell r="E583">
            <v>0</v>
          </cell>
          <cell r="F583">
            <v>0</v>
          </cell>
          <cell r="G583">
            <v>18969.299999999996</v>
          </cell>
          <cell r="H583">
            <v>37743.099999999991</v>
          </cell>
          <cell r="I583">
            <v>46096.099999999991</v>
          </cell>
          <cell r="J583">
            <v>50640.700000000557</v>
          </cell>
          <cell r="K583">
            <v>65577.018904237208</v>
          </cell>
          <cell r="L583">
            <v>123274.19079723845</v>
          </cell>
          <cell r="M583">
            <v>132181.07844258985</v>
          </cell>
          <cell r="N583">
            <v>138515.20967104926</v>
          </cell>
          <cell r="O583">
            <v>159206.02989345152</v>
          </cell>
          <cell r="P583">
            <v>0</v>
          </cell>
          <cell r="Q583">
            <v>0</v>
          </cell>
        </row>
        <row r="584">
          <cell r="E584">
            <v>0</v>
          </cell>
          <cell r="F584">
            <v>0</v>
          </cell>
          <cell r="G584">
            <v>0</v>
          </cell>
          <cell r="H584">
            <v>0</v>
          </cell>
          <cell r="I584">
            <v>0</v>
          </cell>
          <cell r="J584">
            <v>0</v>
          </cell>
          <cell r="K584">
            <v>0</v>
          </cell>
          <cell r="L584">
            <v>0</v>
          </cell>
          <cell r="M584">
            <v>0</v>
          </cell>
          <cell r="N584">
            <v>0</v>
          </cell>
          <cell r="O584">
            <v>0</v>
          </cell>
          <cell r="P584">
            <v>0</v>
          </cell>
          <cell r="Q584">
            <v>0</v>
          </cell>
        </row>
        <row r="585">
          <cell r="C585" t="str">
            <v>EVA [Spread * Operating Capital ]</v>
          </cell>
          <cell r="E585">
            <v>0</v>
          </cell>
          <cell r="F585">
            <v>0</v>
          </cell>
          <cell r="G585">
            <v>2226.4942290350136</v>
          </cell>
          <cell r="H585">
            <v>180.67263824328782</v>
          </cell>
          <cell r="I585">
            <v>1541.7882377465212</v>
          </cell>
          <cell r="J585">
            <v>2524.8049210146019</v>
          </cell>
          <cell r="K585">
            <v>-2056.2401900134901</v>
          </cell>
          <cell r="L585">
            <v>-5534.2326885257835</v>
          </cell>
          <cell r="M585">
            <v>2550.7544863354592</v>
          </cell>
          <cell r="N585">
            <v>5886.1929765751283</v>
          </cell>
          <cell r="O585">
            <v>2256.2846250393118</v>
          </cell>
          <cell r="P585">
            <v>0</v>
          </cell>
          <cell r="Q585">
            <v>0</v>
          </cell>
        </row>
        <row r="586">
          <cell r="E586">
            <v>0</v>
          </cell>
          <cell r="F586">
            <v>0</v>
          </cell>
          <cell r="G586">
            <v>0</v>
          </cell>
          <cell r="H586">
            <v>0</v>
          </cell>
          <cell r="I586">
            <v>0</v>
          </cell>
          <cell r="J586">
            <v>0</v>
          </cell>
          <cell r="K586">
            <v>0</v>
          </cell>
          <cell r="L586">
            <v>0</v>
          </cell>
          <cell r="M586">
            <v>0</v>
          </cell>
          <cell r="N586">
            <v>0</v>
          </cell>
          <cell r="O586">
            <v>0</v>
          </cell>
          <cell r="P586">
            <v>0</v>
          </cell>
          <cell r="Q586">
            <v>0</v>
          </cell>
        </row>
        <row r="588">
          <cell r="E588">
            <v>0</v>
          </cell>
          <cell r="F588">
            <v>0</v>
          </cell>
          <cell r="G588">
            <v>5326.399999999996</v>
          </cell>
          <cell r="H588">
            <v>6930.6999999999953</v>
          </cell>
          <cell r="I588">
            <v>10317.700000000577</v>
          </cell>
          <cell r="J588">
            <v>11435.190027570001</v>
          </cell>
          <cell r="K588">
            <v>8428.5814133224521</v>
          </cell>
          <cell r="L588">
            <v>14175.536379996605</v>
          </cell>
          <cell r="M588">
            <v>23684.606710251668</v>
          </cell>
          <cell r="N588">
            <v>28032.781629384186</v>
          </cell>
          <cell r="O588">
            <v>27711.037669636022</v>
          </cell>
          <cell r="P588">
            <v>0</v>
          </cell>
          <cell r="Q588">
            <v>0</v>
          </cell>
        </row>
        <row r="589">
          <cell r="C589" t="str">
            <v>Less Capital Charge</v>
          </cell>
          <cell r="E589">
            <v>0</v>
          </cell>
          <cell r="F589">
            <v>0</v>
          </cell>
          <cell r="G589">
            <v>-3099.9057709649824</v>
          </cell>
          <cell r="H589">
            <v>-6750.0273617567082</v>
          </cell>
          <cell r="I589">
            <v>-8775.9117622540562</v>
          </cell>
          <cell r="J589">
            <v>-8910.385106555399</v>
          </cell>
          <cell r="K589">
            <v>-10484.821603335942</v>
          </cell>
          <cell r="L589">
            <v>-19709.76906852239</v>
          </cell>
          <cell r="M589">
            <v>-21133.852223916208</v>
          </cell>
          <cell r="N589">
            <v>-22146.58865280906</v>
          </cell>
          <cell r="O589">
            <v>-25454.753044596713</v>
          </cell>
          <cell r="P589">
            <v>0</v>
          </cell>
          <cell r="Q589">
            <v>0</v>
          </cell>
        </row>
        <row r="590">
          <cell r="E590">
            <v>0</v>
          </cell>
          <cell r="F590">
            <v>0</v>
          </cell>
          <cell r="G590">
            <v>0</v>
          </cell>
          <cell r="H590">
            <v>0</v>
          </cell>
          <cell r="I590">
            <v>0</v>
          </cell>
          <cell r="J590">
            <v>0</v>
          </cell>
          <cell r="K590">
            <v>0</v>
          </cell>
          <cell r="L590">
            <v>0</v>
          </cell>
          <cell r="M590">
            <v>0</v>
          </cell>
          <cell r="N590">
            <v>0</v>
          </cell>
          <cell r="O590">
            <v>0</v>
          </cell>
          <cell r="P590">
            <v>0</v>
          </cell>
          <cell r="Q590">
            <v>0</v>
          </cell>
        </row>
        <row r="591">
          <cell r="E591">
            <v>0</v>
          </cell>
          <cell r="F591">
            <v>0</v>
          </cell>
          <cell r="G591">
            <v>2226.4942290350136</v>
          </cell>
          <cell r="H591">
            <v>180.67263824328711</v>
          </cell>
          <cell r="I591">
            <v>1541.7882377465212</v>
          </cell>
          <cell r="J591">
            <v>2524.8049210146019</v>
          </cell>
          <cell r="K591">
            <v>-2056.2401900134901</v>
          </cell>
          <cell r="L591">
            <v>-5534.2326885257844</v>
          </cell>
          <cell r="M591">
            <v>2550.7544863354597</v>
          </cell>
          <cell r="N591">
            <v>5886.1929765751265</v>
          </cell>
          <cell r="O591">
            <v>2256.2846250393086</v>
          </cell>
          <cell r="P591">
            <v>0</v>
          </cell>
          <cell r="Q591">
            <v>0</v>
          </cell>
        </row>
        <row r="592">
          <cell r="E592">
            <v>0</v>
          </cell>
          <cell r="F592">
            <v>0</v>
          </cell>
          <cell r="G592">
            <v>0</v>
          </cell>
          <cell r="H592">
            <v>0</v>
          </cell>
          <cell r="I592">
            <v>0</v>
          </cell>
          <cell r="J592">
            <v>0</v>
          </cell>
          <cell r="K592">
            <v>0</v>
          </cell>
          <cell r="L592">
            <v>0</v>
          </cell>
          <cell r="M592">
            <v>0</v>
          </cell>
          <cell r="N592">
            <v>0</v>
          </cell>
          <cell r="O592">
            <v>0</v>
          </cell>
          <cell r="P592">
            <v>0</v>
          </cell>
          <cell r="Q592">
            <v>0</v>
          </cell>
        </row>
        <row r="593">
          <cell r="C593" t="str">
            <v>Change in EVA</v>
          </cell>
          <cell r="E593">
            <v>0</v>
          </cell>
          <cell r="F593">
            <v>0</v>
          </cell>
          <cell r="G593">
            <v>0</v>
          </cell>
          <cell r="H593">
            <v>-2045.8215907917258</v>
          </cell>
          <cell r="I593">
            <v>1361.1155995032334</v>
          </cell>
          <cell r="J593">
            <v>983.01668326808067</v>
          </cell>
          <cell r="K593">
            <v>-4581.0451110280919</v>
          </cell>
          <cell r="L593">
            <v>-3477.9924985122934</v>
          </cell>
          <cell r="M593">
            <v>8084.9871748612422</v>
          </cell>
          <cell r="N593">
            <v>3335.4384902396691</v>
          </cell>
          <cell r="O593">
            <v>-3629.9083515358166</v>
          </cell>
          <cell r="P593">
            <v>0</v>
          </cell>
          <cell r="Q593">
            <v>0</v>
          </cell>
        </row>
        <row r="597">
          <cell r="E597">
            <v>0</v>
          </cell>
          <cell r="F597">
            <v>0</v>
          </cell>
          <cell r="G597">
            <v>0</v>
          </cell>
          <cell r="H597">
            <v>0</v>
          </cell>
          <cell r="I597">
            <v>0</v>
          </cell>
          <cell r="J597">
            <v>0</v>
          </cell>
          <cell r="K597">
            <v>0</v>
          </cell>
        </row>
        <row r="598">
          <cell r="C598" t="str">
            <v>Total Capital</v>
          </cell>
          <cell r="E598">
            <v>0</v>
          </cell>
          <cell r="F598">
            <v>0</v>
          </cell>
          <cell r="G598">
            <v>52332.499999999993</v>
          </cell>
          <cell r="H598">
            <v>69943.899999999994</v>
          </cell>
          <cell r="I598">
            <v>101325.70000000056</v>
          </cell>
          <cell r="J598">
            <v>129993.01890423721</v>
          </cell>
          <cell r="K598">
            <v>159416.24454123847</v>
          </cell>
        </row>
        <row r="599">
          <cell r="E599">
            <v>0</v>
          </cell>
          <cell r="F599">
            <v>0</v>
          </cell>
          <cell r="G599">
            <v>0</v>
          </cell>
          <cell r="H599">
            <v>0</v>
          </cell>
          <cell r="I599">
            <v>0</v>
          </cell>
          <cell r="J599">
            <v>0</v>
          </cell>
          <cell r="K599">
            <v>0</v>
          </cell>
        </row>
        <row r="601">
          <cell r="E601">
            <v>0</v>
          </cell>
          <cell r="F601">
            <v>0</v>
          </cell>
          <cell r="G601">
            <v>26072.699999999997</v>
          </cell>
          <cell r="H601">
            <v>43293.9</v>
          </cell>
          <cell r="I601">
            <v>71871.500000000582</v>
          </cell>
          <cell r="J601">
            <v>82052.552237570577</v>
          </cell>
          <cell r="K601">
            <v>88543.735425667866</v>
          </cell>
          <cell r="L601">
            <v>97626.084418210143</v>
          </cell>
          <cell r="M601">
            <v>115311.60593228247</v>
          </cell>
          <cell r="N601">
            <v>137327.78089398734</v>
          </cell>
          <cell r="O601">
            <v>159882.80235719401</v>
          </cell>
          <cell r="P601">
            <v>0</v>
          </cell>
          <cell r="Q601">
            <v>0</v>
          </cell>
        </row>
        <row r="602">
          <cell r="C602" t="str">
            <v>Market Value Added [MVA]</v>
          </cell>
          <cell r="E602">
            <v>0</v>
          </cell>
          <cell r="F602">
            <v>0</v>
          </cell>
          <cell r="G602">
            <v>-26072.699999999997</v>
          </cell>
          <cell r="H602">
            <v>-43293.9</v>
          </cell>
          <cell r="I602">
            <v>-71871.500000000582</v>
          </cell>
          <cell r="J602">
            <v>-82052.552237570577</v>
          </cell>
          <cell r="K602">
            <v>-88543.735425667866</v>
          </cell>
        </row>
        <row r="603">
          <cell r="C603" t="str">
            <v>Change in MVA</v>
          </cell>
          <cell r="E603">
            <v>0</v>
          </cell>
          <cell r="F603">
            <v>0</v>
          </cell>
          <cell r="G603">
            <v>0</v>
          </cell>
          <cell r="H603">
            <v>-17221.200000000004</v>
          </cell>
          <cell r="I603">
            <v>-28577.600000000581</v>
          </cell>
          <cell r="J603">
            <v>-10181.052237569995</v>
          </cell>
          <cell r="K603">
            <v>-6491.1831880972895</v>
          </cell>
        </row>
        <row r="605">
          <cell r="E605">
            <v>0</v>
          </cell>
          <cell r="F605">
            <v>0</v>
          </cell>
          <cell r="G605">
            <v>0</v>
          </cell>
          <cell r="H605">
            <v>0</v>
          </cell>
          <cell r="I605">
            <v>0</v>
          </cell>
          <cell r="J605">
            <v>0</v>
          </cell>
          <cell r="K605">
            <v>0</v>
          </cell>
        </row>
        <row r="606">
          <cell r="C606" t="str">
            <v>Economic Book Value per Share [EBVPS] (Rs)</v>
          </cell>
          <cell r="E606">
            <v>0</v>
          </cell>
          <cell r="F606">
            <v>0</v>
          </cell>
          <cell r="G606">
            <v>106.21051339509508</v>
          </cell>
          <cell r="H606">
            <v>135.31332644471664</v>
          </cell>
          <cell r="I606">
            <v>156.11581362081193</v>
          </cell>
          <cell r="J606">
            <v>178.23060534749379</v>
          </cell>
          <cell r="K606">
            <v>192.33044109283841</v>
          </cell>
          <cell r="L606">
            <v>212.05868250367425</v>
          </cell>
          <cell r="M606">
            <v>250.47432125446912</v>
          </cell>
          <cell r="N606">
            <v>298.29679701975402</v>
          </cell>
          <cell r="O606">
            <v>347.28972922463856</v>
          </cell>
          <cell r="P606">
            <v>0</v>
          </cell>
          <cell r="Q606">
            <v>0</v>
          </cell>
        </row>
        <row r="607">
          <cell r="C607" t="str">
            <v>MVA Per Share [Year End Price - EBVPS] (Rs)</v>
          </cell>
          <cell r="E607">
            <v>0</v>
          </cell>
          <cell r="F607">
            <v>0</v>
          </cell>
          <cell r="G607">
            <v>-106.21051339509508</v>
          </cell>
          <cell r="H607">
            <v>-135.31332644471664</v>
          </cell>
          <cell r="I607">
            <v>-156.11581362081193</v>
          </cell>
          <cell r="J607">
            <v>-178.23060534749379</v>
          </cell>
          <cell r="K607">
            <v>-192.33044109283841</v>
          </cell>
        </row>
        <row r="611">
          <cell r="E611">
            <v>0</v>
          </cell>
          <cell r="F611">
            <v>0</v>
          </cell>
          <cell r="G611">
            <v>0</v>
          </cell>
          <cell r="H611">
            <v>0</v>
          </cell>
          <cell r="I611">
            <v>0</v>
          </cell>
          <cell r="J611">
            <v>0</v>
          </cell>
          <cell r="K611">
            <v>88951.251632867614</v>
          </cell>
        </row>
        <row r="612">
          <cell r="E612">
            <v>0</v>
          </cell>
          <cell r="F612">
            <v>0</v>
          </cell>
          <cell r="G612">
            <v>0</v>
          </cell>
          <cell r="H612">
            <v>0</v>
          </cell>
          <cell r="I612">
            <v>0</v>
          </cell>
          <cell r="J612">
            <v>0</v>
          </cell>
          <cell r="K612">
            <v>159416.24454123847</v>
          </cell>
        </row>
        <row r="613">
          <cell r="E613">
            <v>0</v>
          </cell>
          <cell r="F613">
            <v>0</v>
          </cell>
          <cell r="G613">
            <v>0</v>
          </cell>
          <cell r="H613">
            <v>0</v>
          </cell>
          <cell r="I613">
            <v>0</v>
          </cell>
          <cell r="J613">
            <v>0</v>
          </cell>
          <cell r="K613">
            <v>0.55798110091507847</v>
          </cell>
        </row>
        <row r="615">
          <cell r="E615">
            <v>0</v>
          </cell>
          <cell r="F615">
            <v>0</v>
          </cell>
          <cell r="G615">
            <v>0</v>
          </cell>
          <cell r="H615">
            <v>0</v>
          </cell>
          <cell r="I615">
            <v>0</v>
          </cell>
          <cell r="J615">
            <v>0</v>
          </cell>
          <cell r="K615">
            <v>0</v>
          </cell>
        </row>
        <row r="616">
          <cell r="E616">
            <v>0</v>
          </cell>
          <cell r="F616">
            <v>0</v>
          </cell>
          <cell r="G616">
            <v>0</v>
          </cell>
          <cell r="H616">
            <v>0</v>
          </cell>
          <cell r="I616">
            <v>0</v>
          </cell>
          <cell r="J616">
            <v>0</v>
          </cell>
          <cell r="K616">
            <v>-11.754879219981214</v>
          </cell>
        </row>
        <row r="617">
          <cell r="E617">
            <v>0</v>
          </cell>
          <cell r="F617">
            <v>0</v>
          </cell>
          <cell r="G617">
            <v>0</v>
          </cell>
          <cell r="H617">
            <v>0</v>
          </cell>
          <cell r="I617">
            <v>0</v>
          </cell>
          <cell r="J617">
            <v>0</v>
          </cell>
          <cell r="K617">
            <v>0</v>
          </cell>
        </row>
        <row r="624">
          <cell r="E624">
            <v>0</v>
          </cell>
          <cell r="F624">
            <v>0.53159000549503854</v>
          </cell>
          <cell r="G624">
            <v>0.50010906096285257</v>
          </cell>
          <cell r="H624">
            <v>0.55583722438180405</v>
          </cell>
          <cell r="I624">
            <v>0.49750195039032902</v>
          </cell>
          <cell r="J624">
            <v>0.46984947563229773</v>
          </cell>
          <cell r="K624">
            <v>0.54738099318524858</v>
          </cell>
          <cell r="L624">
            <v>0.53553815215209299</v>
          </cell>
          <cell r="M624">
            <v>0.53416284007975645</v>
          </cell>
          <cell r="N624">
            <v>0.51168173611045276</v>
          </cell>
          <cell r="O624">
            <v>0.54482026722290255</v>
          </cell>
          <cell r="P624">
            <v>0</v>
          </cell>
          <cell r="Q624">
            <v>0</v>
          </cell>
        </row>
        <row r="625">
          <cell r="E625">
            <v>0</v>
          </cell>
          <cell r="F625">
            <v>0.46840999450496146</v>
          </cell>
          <cell r="G625">
            <v>0.49989093903714737</v>
          </cell>
          <cell r="H625">
            <v>0.444162775618196</v>
          </cell>
          <cell r="I625">
            <v>0.50249804960967104</v>
          </cell>
          <cell r="J625">
            <v>0.53015052436770227</v>
          </cell>
          <cell r="K625">
            <v>0.45261900681475148</v>
          </cell>
          <cell r="L625">
            <v>0.46446184784790706</v>
          </cell>
          <cell r="M625">
            <v>0.46583715992024349</v>
          </cell>
          <cell r="N625">
            <v>0.4883182638895473</v>
          </cell>
          <cell r="O625">
            <v>0.45517973277709739</v>
          </cell>
          <cell r="P625">
            <v>0</v>
          </cell>
          <cell r="Q625">
            <v>0</v>
          </cell>
        </row>
        <row r="626">
          <cell r="E626">
            <v>0</v>
          </cell>
          <cell r="F626">
            <v>0.12418786566247539</v>
          </cell>
          <cell r="G626">
            <v>0.1382314318146409</v>
          </cell>
          <cell r="H626">
            <v>0.13518365857393755</v>
          </cell>
          <cell r="I626">
            <v>0.16408336820786007</v>
          </cell>
          <cell r="J626">
            <v>0.17939068863128438</v>
          </cell>
          <cell r="K626">
            <v>0.17145067669781627</v>
          </cell>
          <cell r="L626">
            <v>0.16364814279892376</v>
          </cell>
          <cell r="M626">
            <v>0.12046525173748424</v>
          </cell>
          <cell r="N626">
            <v>0.11409742804379459</v>
          </cell>
          <cell r="O626">
            <v>0.11338451293747945</v>
          </cell>
          <cell r="P626">
            <v>0</v>
          </cell>
          <cell r="Q626">
            <v>0</v>
          </cell>
        </row>
        <row r="627">
          <cell r="E627">
            <v>0</v>
          </cell>
          <cell r="F627">
            <v>0.12453696221353076</v>
          </cell>
          <cell r="G627">
            <v>0.12455652251329878</v>
          </cell>
          <cell r="H627">
            <v>8.3150592536355386E-2</v>
          </cell>
          <cell r="I627">
            <v>7.1877696317765305E-2</v>
          </cell>
          <cell r="J627">
            <v>7.9741271617119927E-2</v>
          </cell>
          <cell r="K627">
            <v>7.6311147260552159E-2</v>
          </cell>
          <cell r="L627">
            <v>8.4892649634446052E-2</v>
          </cell>
          <cell r="M627">
            <v>7.387182145849161E-2</v>
          </cell>
          <cell r="N627">
            <v>6.9947567752642312E-2</v>
          </cell>
          <cell r="O627">
            <v>6.4488541214859738E-2</v>
          </cell>
          <cell r="P627">
            <v>0</v>
          </cell>
          <cell r="Q627">
            <v>0</v>
          </cell>
        </row>
        <row r="628">
          <cell r="E628">
            <v>0</v>
          </cell>
          <cell r="F628">
            <v>0</v>
          </cell>
          <cell r="G628">
            <v>0</v>
          </cell>
          <cell r="H628">
            <v>0</v>
          </cell>
          <cell r="I628">
            <v>0</v>
          </cell>
          <cell r="J628">
            <v>0</v>
          </cell>
          <cell r="K628">
            <v>0</v>
          </cell>
          <cell r="L628">
            <v>0</v>
          </cell>
          <cell r="M628">
            <v>0</v>
          </cell>
          <cell r="N628">
            <v>0</v>
          </cell>
          <cell r="O628">
            <v>0</v>
          </cell>
          <cell r="P628">
            <v>0</v>
          </cell>
          <cell r="Q628">
            <v>0</v>
          </cell>
        </row>
        <row r="629">
          <cell r="E629">
            <v>0</v>
          </cell>
          <cell r="F629">
            <v>0.3442221288424861</v>
          </cell>
          <cell r="G629">
            <v>0.3616595072225065</v>
          </cell>
          <cell r="H629">
            <v>0.30897911704425846</v>
          </cell>
          <cell r="I629">
            <v>0.33841468140181091</v>
          </cell>
          <cell r="J629">
            <v>0.35075983573641789</v>
          </cell>
          <cell r="K629">
            <v>0.28116833011693521</v>
          </cell>
          <cell r="L629">
            <v>0.30081370504898325</v>
          </cell>
          <cell r="M629">
            <v>0.34537190818275931</v>
          </cell>
          <cell r="N629">
            <v>0.37422083584575272</v>
          </cell>
          <cell r="O629">
            <v>0.34179521983961797</v>
          </cell>
          <cell r="P629">
            <v>0</v>
          </cell>
          <cell r="Q629">
            <v>0</v>
          </cell>
        </row>
        <row r="630">
          <cell r="E630">
            <v>0</v>
          </cell>
          <cell r="F630">
            <v>0.21968516662895535</v>
          </cell>
          <cell r="G630">
            <v>0.23710298470920771</v>
          </cell>
          <cell r="H630">
            <v>0.22582852450790308</v>
          </cell>
          <cell r="I630">
            <v>0.26653698508404561</v>
          </cell>
          <cell r="J630">
            <v>0.27101856411929798</v>
          </cell>
          <cell r="K630">
            <v>0.20485718285638302</v>
          </cell>
          <cell r="L630">
            <v>0.21592105541453721</v>
          </cell>
          <cell r="M630">
            <v>0.27150008672426768</v>
          </cell>
          <cell r="N630">
            <v>0.30427326809311039</v>
          </cell>
          <cell r="O630">
            <v>0.27730667862475822</v>
          </cell>
          <cell r="P630">
            <v>0</v>
          </cell>
          <cell r="Q630">
            <v>0</v>
          </cell>
        </row>
        <row r="631">
          <cell r="E631">
            <v>0</v>
          </cell>
          <cell r="F631">
            <v>0.24693409186411067</v>
          </cell>
          <cell r="G631">
            <v>0.26757773375770649</v>
          </cell>
          <cell r="H631">
            <v>0.26362572946976376</v>
          </cell>
          <cell r="I631">
            <v>0.34728572830934418</v>
          </cell>
          <cell r="J631">
            <v>0.33544809828374905</v>
          </cell>
          <cell r="K631">
            <v>0.26609815483202187</v>
          </cell>
          <cell r="L631">
            <v>0.25098393500247007</v>
          </cell>
          <cell r="M631">
            <v>0.29888588301466801</v>
          </cell>
          <cell r="N631">
            <v>0.32169566003161576</v>
          </cell>
          <cell r="O631">
            <v>0.30121390086331618</v>
          </cell>
          <cell r="P631">
            <v>0</v>
          </cell>
          <cell r="Q631">
            <v>0</v>
          </cell>
        </row>
        <row r="632">
          <cell r="E632">
            <v>0</v>
          </cell>
          <cell r="F632">
            <v>0.10558231244141289</v>
          </cell>
          <cell r="G632">
            <v>0.14322597876649812</v>
          </cell>
          <cell r="H632">
            <v>0.18751649554742397</v>
          </cell>
          <cell r="I632">
            <v>0.27508253638576957</v>
          </cell>
          <cell r="J632">
            <v>0.30935395919415526</v>
          </cell>
          <cell r="K632">
            <v>0.23171037554077645</v>
          </cell>
          <cell r="L632">
            <v>0.19519966124082688</v>
          </cell>
          <cell r="M632">
            <v>0.2481599597749431</v>
          </cell>
          <cell r="N632">
            <v>0.28198284490276915</v>
          </cell>
          <cell r="O632">
            <v>0.26536790245017766</v>
          </cell>
          <cell r="P632">
            <v>0</v>
          </cell>
          <cell r="Q632">
            <v>0</v>
          </cell>
        </row>
        <row r="633">
          <cell r="E633">
            <v>0</v>
          </cell>
          <cell r="F633">
            <v>0</v>
          </cell>
          <cell r="G633">
            <v>0</v>
          </cell>
          <cell r="H633">
            <v>0</v>
          </cell>
          <cell r="I633">
            <v>0</v>
          </cell>
          <cell r="J633">
            <v>0</v>
          </cell>
          <cell r="K633">
            <v>2.9890638444760163E-2</v>
          </cell>
          <cell r="L633">
            <v>2.5180756300066671E-2</v>
          </cell>
          <cell r="M633">
            <v>3.2012634810967659E-2</v>
          </cell>
          <cell r="N633">
            <v>3.6375786992457221E-2</v>
          </cell>
          <cell r="O633">
            <v>3.4232459416072919E-2</v>
          </cell>
          <cell r="P633">
            <v>0</v>
          </cell>
          <cell r="Q633">
            <v>0</v>
          </cell>
        </row>
        <row r="634">
          <cell r="E634">
            <v>0</v>
          </cell>
          <cell r="F634">
            <v>0.10558231244141289</v>
          </cell>
          <cell r="G634">
            <v>0.14322597876649812</v>
          </cell>
          <cell r="H634">
            <v>0.18751649554742397</v>
          </cell>
          <cell r="I634">
            <v>0.27508253638576957</v>
          </cell>
          <cell r="J634">
            <v>0.30935395919415526</v>
          </cell>
          <cell r="K634">
            <v>0.20181973709601628</v>
          </cell>
          <cell r="L634">
            <v>0.17001890494076025</v>
          </cell>
          <cell r="M634">
            <v>0.21614732496397546</v>
          </cell>
          <cell r="N634">
            <v>0.2456070579103119</v>
          </cell>
          <cell r="O634">
            <v>0.23113544303410474</v>
          </cell>
          <cell r="P634">
            <v>0</v>
          </cell>
          <cell r="Q634">
            <v>0</v>
          </cell>
        </row>
        <row r="635">
          <cell r="E635">
            <v>0</v>
          </cell>
          <cell r="F635">
            <v>0</v>
          </cell>
          <cell r="G635">
            <v>0</v>
          </cell>
          <cell r="H635">
            <v>0</v>
          </cell>
          <cell r="I635">
            <v>0</v>
          </cell>
          <cell r="J635">
            <v>0</v>
          </cell>
          <cell r="K635">
            <v>0</v>
          </cell>
          <cell r="L635">
            <v>0</v>
          </cell>
          <cell r="M635">
            <v>0</v>
          </cell>
          <cell r="N635">
            <v>0</v>
          </cell>
          <cell r="O635">
            <v>0</v>
          </cell>
          <cell r="P635">
            <v>0</v>
          </cell>
          <cell r="Q635">
            <v>0</v>
          </cell>
        </row>
        <row r="636">
          <cell r="E636">
            <v>0</v>
          </cell>
          <cell r="F636">
            <v>0</v>
          </cell>
          <cell r="G636">
            <v>0</v>
          </cell>
          <cell r="H636">
            <v>0</v>
          </cell>
          <cell r="I636">
            <v>0</v>
          </cell>
          <cell r="J636">
            <v>0</v>
          </cell>
          <cell r="K636">
            <v>0</v>
          </cell>
          <cell r="L636">
            <v>0</v>
          </cell>
          <cell r="M636">
            <v>0</v>
          </cell>
          <cell r="N636">
            <v>0</v>
          </cell>
          <cell r="O636">
            <v>0</v>
          </cell>
          <cell r="P636">
            <v>0</v>
          </cell>
          <cell r="Q636">
            <v>0</v>
          </cell>
        </row>
        <row r="637">
          <cell r="E637">
            <v>0</v>
          </cell>
          <cell r="F637">
            <v>0.10502634386010248</v>
          </cell>
          <cell r="G637">
            <v>0.14284315252954649</v>
          </cell>
          <cell r="H637">
            <v>0.18724605002916236</v>
          </cell>
          <cell r="I637">
            <v>0.27486812261368887</v>
          </cell>
          <cell r="J637">
            <v>0.30271784752741027</v>
          </cell>
          <cell r="K637">
            <v>0.1958922188927697</v>
          </cell>
          <cell r="L637">
            <v>0.16630413707710429</v>
          </cell>
          <cell r="M637">
            <v>0.21335169310230495</v>
          </cell>
          <cell r="N637">
            <v>0.24295993692162043</v>
          </cell>
          <cell r="O637">
            <v>0.22869491541513684</v>
          </cell>
          <cell r="P637">
            <v>0</v>
          </cell>
          <cell r="Q637">
            <v>0</v>
          </cell>
        </row>
        <row r="638">
          <cell r="E638">
            <v>0</v>
          </cell>
          <cell r="F638">
            <v>0</v>
          </cell>
          <cell r="G638">
            <v>0.23710298470920771</v>
          </cell>
          <cell r="H638">
            <v>0.22582852450790308</v>
          </cell>
          <cell r="I638">
            <v>0.26653698508404561</v>
          </cell>
          <cell r="J638">
            <v>0.27101856411929798</v>
          </cell>
          <cell r="K638">
            <v>0.20485718285638302</v>
          </cell>
          <cell r="L638">
            <v>0.21592105541453721</v>
          </cell>
          <cell r="M638">
            <v>0.27150008672426768</v>
          </cell>
          <cell r="N638">
            <v>0.30427326809311039</v>
          </cell>
          <cell r="O638">
            <v>0.27730667862475822</v>
          </cell>
          <cell r="P638">
            <v>0</v>
          </cell>
          <cell r="Q638">
            <v>0</v>
          </cell>
        </row>
        <row r="639">
          <cell r="E639">
            <v>0</v>
          </cell>
          <cell r="F639">
            <v>0</v>
          </cell>
          <cell r="G639">
            <v>0.23710298470920771</v>
          </cell>
          <cell r="H639">
            <v>0.22582852450790308</v>
          </cell>
          <cell r="I639">
            <v>0.26653698508404561</v>
          </cell>
          <cell r="J639">
            <v>0.27101856411929798</v>
          </cell>
          <cell r="K639">
            <v>0.1784306062679096</v>
          </cell>
          <cell r="L639">
            <v>0.18806723926606192</v>
          </cell>
          <cell r="M639">
            <v>0.23647657553683715</v>
          </cell>
          <cell r="N639">
            <v>0.26502201650909912</v>
          </cell>
          <cell r="O639">
            <v>0.24153411708216441</v>
          </cell>
          <cell r="P639">
            <v>0</v>
          </cell>
          <cell r="Q639">
            <v>0</v>
          </cell>
        </row>
        <row r="644">
          <cell r="E644">
            <v>0</v>
          </cell>
          <cell r="F644">
            <v>4.8718363125060525E-2</v>
          </cell>
          <cell r="G644">
            <v>0.10346101627011479</v>
          </cell>
          <cell r="H644">
            <v>3.1909312775129171E-2</v>
          </cell>
          <cell r="I644">
            <v>9.476055406586642E-2</v>
          </cell>
          <cell r="J644">
            <v>0.33842792695024054</v>
          </cell>
          <cell r="K644">
            <v>0.45510608107916328</v>
          </cell>
          <cell r="L644">
            <v>0.2580312991960993</v>
          </cell>
          <cell r="M644">
            <v>5.0031244773674113E-2</v>
          </cell>
          <cell r="N644">
            <v>7.4866984815204735E-2</v>
          </cell>
          <cell r="O644">
            <v>0.15201701213652857</v>
          </cell>
          <cell r="P644">
            <v>0</v>
          </cell>
          <cell r="Q644">
            <v>0</v>
          </cell>
        </row>
        <row r="645">
          <cell r="E645">
            <v>0</v>
          </cell>
          <cell r="F645">
            <v>0.26837767075023439</v>
          </cell>
          <cell r="G645">
            <v>0.2170224131407332</v>
          </cell>
          <cell r="H645">
            <v>0.19339461259494109</v>
          </cell>
          <cell r="I645">
            <v>0.13980811259047793</v>
          </cell>
          <cell r="J645">
            <v>7.8344038305686758E-2</v>
          </cell>
          <cell r="K645">
            <v>0.17080698862692664</v>
          </cell>
          <cell r="L645">
            <v>0.13448537049039389</v>
          </cell>
          <cell r="M645">
            <v>0.13396399547057</v>
          </cell>
          <cell r="N645">
            <v>0.1337777078258944</v>
          </cell>
          <cell r="O645">
            <v>0.13353903054308672</v>
          </cell>
          <cell r="P645">
            <v>0</v>
          </cell>
          <cell r="Q645">
            <v>0</v>
          </cell>
        </row>
        <row r="646">
          <cell r="E646">
            <v>0</v>
          </cell>
          <cell r="F646">
            <v>0.26175776578207333</v>
          </cell>
          <cell r="G646">
            <v>0.23285628435976768</v>
          </cell>
          <cell r="H646">
            <v>0.19049791300777777</v>
          </cell>
          <cell r="I646">
            <v>0.17115902268652453</v>
          </cell>
          <cell r="J646">
            <v>0.18003059939914909</v>
          </cell>
          <cell r="K646">
            <v>0.20995435355050629</v>
          </cell>
          <cell r="L646">
            <v>0.1834034767644154</v>
          </cell>
          <cell r="M646">
            <v>0.18293247947936864</v>
          </cell>
          <cell r="N646">
            <v>0.17523347127070296</v>
          </cell>
          <cell r="O646">
            <v>0.1865822832955146</v>
          </cell>
          <cell r="P646">
            <v>0</v>
          </cell>
          <cell r="Q646">
            <v>0</v>
          </cell>
        </row>
        <row r="647">
          <cell r="E647">
            <v>0</v>
          </cell>
          <cell r="F647">
            <v>0.37802631153634814</v>
          </cell>
          <cell r="G647">
            <v>0.2753633510650137</v>
          </cell>
          <cell r="H647">
            <v>0.40910260963633227</v>
          </cell>
          <cell r="I647">
            <v>0.35659076935794171</v>
          </cell>
          <cell r="J647">
            <v>0.28609225411290118</v>
          </cell>
          <cell r="K647">
            <v>0.23163318700225038</v>
          </cell>
          <cell r="L647">
            <v>0.2200412862967823</v>
          </cell>
          <cell r="M647">
            <v>0.22660654345382131</v>
          </cell>
          <cell r="N647">
            <v>0.2276673354036714</v>
          </cell>
          <cell r="O647">
            <v>0.22914300233026855</v>
          </cell>
          <cell r="P647">
            <v>0</v>
          </cell>
          <cell r="Q647">
            <v>0</v>
          </cell>
        </row>
        <row r="648">
          <cell r="E648">
            <v>0</v>
          </cell>
          <cell r="F648">
            <v>0.37198176940233385</v>
          </cell>
          <cell r="G648">
            <v>0.28123483718756265</v>
          </cell>
          <cell r="H648">
            <v>0.30629095376033322</v>
          </cell>
          <cell r="I648">
            <v>0.28887218355885097</v>
          </cell>
          <cell r="J648">
            <v>0.35895202013399935</v>
          </cell>
          <cell r="K648">
            <v>0.31493153032575943</v>
          </cell>
          <cell r="L648">
            <v>0.30811784096421785</v>
          </cell>
          <cell r="M648">
            <v>0.30732656552533932</v>
          </cell>
          <cell r="N648">
            <v>0.29439223173478102</v>
          </cell>
          <cell r="O648">
            <v>0.31345823593646449</v>
          </cell>
          <cell r="P648">
            <v>0</v>
          </cell>
          <cell r="Q648">
            <v>0</v>
          </cell>
        </row>
        <row r="649">
          <cell r="E649">
            <v>0</v>
          </cell>
          <cell r="F649">
            <v>0.13253385913307691</v>
          </cell>
          <cell r="G649">
            <v>6.4154554964499552E-2</v>
          </cell>
          <cell r="H649">
            <v>6.0951251380738432E-2</v>
          </cell>
          <cell r="I649">
            <v>7.1885446213141718E-2</v>
          </cell>
          <cell r="J649">
            <v>9.4142724152301835E-2</v>
          </cell>
          <cell r="K649">
            <v>0.11897897859309942</v>
          </cell>
          <cell r="L649">
            <v>9.9378663466754502E-2</v>
          </cell>
          <cell r="M649">
            <v>9.6251161473020277E-2</v>
          </cell>
          <cell r="N649">
            <v>9.851167352596088E-2</v>
          </cell>
          <cell r="O649">
            <v>9.3443364762950856E-2</v>
          </cell>
          <cell r="P649">
            <v>0</v>
          </cell>
          <cell r="Q649">
            <v>0</v>
          </cell>
        </row>
        <row r="650">
          <cell r="E650">
            <v>0</v>
          </cell>
          <cell r="F650">
            <v>0.45236448265830553</v>
          </cell>
          <cell r="G650">
            <v>0.48331367268356712</v>
          </cell>
          <cell r="H650">
            <v>0.45766224287310864</v>
          </cell>
          <cell r="I650">
            <v>0.40156082892881795</v>
          </cell>
          <cell r="J650">
            <v>0.42980007448167623</v>
          </cell>
          <cell r="K650">
            <v>0.63359010133998772</v>
          </cell>
          <cell r="L650">
            <v>0.38846492831671842</v>
          </cell>
          <cell r="M650">
            <v>0.18995653617907438</v>
          </cell>
          <cell r="N650">
            <v>0.2186415940547316</v>
          </cell>
          <cell r="O650">
            <v>0.29437972760598302</v>
          </cell>
          <cell r="P650">
            <v>0</v>
          </cell>
          <cell r="Q650">
            <v>0</v>
          </cell>
        </row>
        <row r="653">
          <cell r="E653">
            <v>0</v>
          </cell>
          <cell r="F653">
            <v>0</v>
          </cell>
          <cell r="G653">
            <v>0</v>
          </cell>
          <cell r="H653">
            <v>0</v>
          </cell>
          <cell r="I653">
            <v>0</v>
          </cell>
          <cell r="J653">
            <v>0</v>
          </cell>
          <cell r="K653">
            <v>0</v>
          </cell>
          <cell r="L653">
            <v>0</v>
          </cell>
          <cell r="M653">
            <v>0</v>
          </cell>
          <cell r="N653">
            <v>0</v>
          </cell>
          <cell r="O653">
            <v>0</v>
          </cell>
          <cell r="P653">
            <v>0</v>
          </cell>
          <cell r="Q653">
            <v>0</v>
          </cell>
        </row>
        <row r="654">
          <cell r="E654">
            <v>0</v>
          </cell>
          <cell r="F654">
            <v>0.82259430455441718</v>
          </cell>
          <cell r="G654">
            <v>1.1968082975361127</v>
          </cell>
          <cell r="H654">
            <v>1.044323739577258</v>
          </cell>
          <cell r="I654">
            <v>0.90663959369880476</v>
          </cell>
          <cell r="J654">
            <v>1.1244014263067752</v>
          </cell>
          <cell r="K654">
            <v>1.9760885055925976</v>
          </cell>
          <cell r="L654">
            <v>1.3651851516187117</v>
          </cell>
          <cell r="M654">
            <v>1.1930346548293347</v>
          </cell>
          <cell r="N654">
            <v>1.2864927747209769</v>
          </cell>
          <cell r="O654">
            <v>1.2697012858951333</v>
          </cell>
          <cell r="P654">
            <v>0</v>
          </cell>
          <cell r="Q654">
            <v>0</v>
          </cell>
        </row>
        <row r="655">
          <cell r="E655">
            <v>0</v>
          </cell>
          <cell r="F655">
            <v>0</v>
          </cell>
          <cell r="G655">
            <v>0</v>
          </cell>
          <cell r="H655">
            <v>0</v>
          </cell>
          <cell r="I655">
            <v>0</v>
          </cell>
          <cell r="J655">
            <v>0</v>
          </cell>
          <cell r="K655">
            <v>0</v>
          </cell>
          <cell r="L655">
            <v>0</v>
          </cell>
          <cell r="M655">
            <v>0</v>
          </cell>
          <cell r="N655">
            <v>0</v>
          </cell>
          <cell r="O655">
            <v>0</v>
          </cell>
          <cell r="P655">
            <v>0</v>
          </cell>
          <cell r="Q655">
            <v>0</v>
          </cell>
        </row>
        <row r="656">
          <cell r="E656">
            <v>0</v>
          </cell>
          <cell r="F656">
            <v>0</v>
          </cell>
          <cell r="G656">
            <v>0</v>
          </cell>
          <cell r="H656">
            <v>0</v>
          </cell>
          <cell r="I656">
            <v>0</v>
          </cell>
          <cell r="J656">
            <v>0</v>
          </cell>
          <cell r="K656">
            <v>0</v>
          </cell>
          <cell r="L656">
            <v>0</v>
          </cell>
          <cell r="M656">
            <v>0</v>
          </cell>
          <cell r="N656">
            <v>0</v>
          </cell>
          <cell r="O656">
            <v>0</v>
          </cell>
          <cell r="P656">
            <v>0</v>
          </cell>
          <cell r="Q656">
            <v>0</v>
          </cell>
        </row>
        <row r="657">
          <cell r="E657">
            <v>0</v>
          </cell>
          <cell r="F657">
            <v>4.0049132107185581E-2</v>
          </cell>
          <cell r="G657">
            <v>0.34706759553962924</v>
          </cell>
          <cell r="H657">
            <v>0.64847621871548167</v>
          </cell>
          <cell r="I657">
            <v>0.51495729807646817</v>
          </cell>
          <cell r="J657">
            <v>0.46284745839653535</v>
          </cell>
          <cell r="K657">
            <v>0.45066399582525712</v>
          </cell>
          <cell r="L657">
            <v>0.3288651318841942</v>
          </cell>
          <cell r="M657">
            <v>0.24749482999540429</v>
          </cell>
          <cell r="N657">
            <v>0.28161731067896795</v>
          </cell>
          <cell r="O657">
            <v>0.30321946437547448</v>
          </cell>
          <cell r="P657">
            <v>0</v>
          </cell>
          <cell r="Q657">
            <v>0</v>
          </cell>
        </row>
        <row r="658">
          <cell r="E658">
            <v>0</v>
          </cell>
          <cell r="F658">
            <v>0.51854413808708033</v>
          </cell>
          <cell r="G658">
            <v>0.19281087938747804</v>
          </cell>
          <cell r="H658">
            <v>5.1436782545511428E-2</v>
          </cell>
          <cell r="I658">
            <v>0.14021885704542777</v>
          </cell>
          <cell r="J658">
            <v>0.16167938060071815</v>
          </cell>
          <cell r="K658">
            <v>0.14441551313895562</v>
          </cell>
          <cell r="L658">
            <v>0.10123803790709252</v>
          </cell>
          <cell r="M658">
            <v>6.8530921329049838E-2</v>
          </cell>
          <cell r="N658">
            <v>6.4899843439890206E-2</v>
          </cell>
          <cell r="O658">
            <v>5.984348045110597E-2</v>
          </cell>
          <cell r="P658">
            <v>0</v>
          </cell>
          <cell r="Q658">
            <v>0</v>
          </cell>
        </row>
        <row r="659">
          <cell r="E659">
            <v>0</v>
          </cell>
          <cell r="F659">
            <v>0.875372531273233</v>
          </cell>
          <cell r="G659">
            <v>0.97368737341138267</v>
          </cell>
          <cell r="H659">
            <v>0.8151293087999063</v>
          </cell>
          <cell r="I659">
            <v>0.61925022345530745</v>
          </cell>
          <cell r="J659">
            <v>0.92712800090777014</v>
          </cell>
          <cell r="K659">
            <v>1.3135953850246562</v>
          </cell>
          <cell r="L659">
            <v>1.0181382396526231</v>
          </cell>
          <cell r="M659">
            <v>0.68151122242936202</v>
          </cell>
          <cell r="N659">
            <v>0.64884010577647755</v>
          </cell>
          <cell r="O659">
            <v>0.60939194513287098</v>
          </cell>
          <cell r="P659">
            <v>0</v>
          </cell>
          <cell r="Q659">
            <v>0</v>
          </cell>
        </row>
        <row r="660">
          <cell r="E660">
            <v>0</v>
          </cell>
          <cell r="F660">
            <v>0</v>
          </cell>
          <cell r="G660">
            <v>0</v>
          </cell>
          <cell r="H660">
            <v>0</v>
          </cell>
          <cell r="I660">
            <v>0</v>
          </cell>
          <cell r="J660">
            <v>0</v>
          </cell>
          <cell r="K660">
            <v>0</v>
          </cell>
          <cell r="L660">
            <v>0</v>
          </cell>
          <cell r="M660">
            <v>0</v>
          </cell>
          <cell r="N660">
            <v>0</v>
          </cell>
          <cell r="O660">
            <v>0</v>
          </cell>
          <cell r="P660">
            <v>0</v>
          </cell>
          <cell r="Q660">
            <v>0</v>
          </cell>
        </row>
        <row r="661">
          <cell r="E661">
            <v>0</v>
          </cell>
          <cell r="F661">
            <v>4.864078611371498E-2</v>
          </cell>
          <cell r="G661">
            <v>0</v>
          </cell>
          <cell r="H661">
            <v>0</v>
          </cell>
          <cell r="I661">
            <v>0</v>
          </cell>
          <cell r="J661">
            <v>0</v>
          </cell>
          <cell r="K661">
            <v>0</v>
          </cell>
          <cell r="L661">
            <v>0</v>
          </cell>
          <cell r="M661">
            <v>0</v>
          </cell>
          <cell r="N661">
            <v>0</v>
          </cell>
          <cell r="O661">
            <v>0</v>
          </cell>
          <cell r="P661">
            <v>0</v>
          </cell>
          <cell r="Q661">
            <v>0</v>
          </cell>
        </row>
        <row r="663">
          <cell r="B663">
            <v>1</v>
          </cell>
        </row>
        <row r="665">
          <cell r="C665" t="str">
            <v>Average Total Assets</v>
          </cell>
          <cell r="E665">
            <v>0</v>
          </cell>
          <cell r="F665">
            <v>0</v>
          </cell>
          <cell r="G665">
            <v>54446.799999999996</v>
          </cell>
          <cell r="H665">
            <v>70653.049999999988</v>
          </cell>
          <cell r="I665">
            <v>98252.650000000285</v>
          </cell>
          <cell r="J665">
            <v>132200.65945211891</v>
          </cell>
          <cell r="K665">
            <v>164511.81378850155</v>
          </cell>
          <cell r="L665">
            <v>197313.43551095302</v>
          </cell>
          <cell r="M665">
            <v>223783.85347880668</v>
          </cell>
          <cell r="N665">
            <v>244618.60210753779</v>
          </cell>
          <cell r="O665">
            <v>270865.29925664567</v>
          </cell>
          <cell r="P665">
            <v>0</v>
          </cell>
          <cell r="Q665">
            <v>0</v>
          </cell>
        </row>
        <row r="668">
          <cell r="E668">
            <v>0</v>
          </cell>
          <cell r="F668">
            <v>0</v>
          </cell>
          <cell r="G668">
            <v>4.2687540865578757E-2</v>
          </cell>
          <cell r="H668">
            <v>1.3860689665909564E-2</v>
          </cell>
          <cell r="I668">
            <v>3.7334361973957411E-2</v>
          </cell>
          <cell r="J668">
            <v>0.10801322125332523</v>
          </cell>
          <cell r="K668">
            <v>0.13067745954499749</v>
          </cell>
          <cell r="L668">
            <v>9.8569393028416774E-2</v>
          </cell>
          <cell r="M668">
            <v>2.2391882686023795E-2</v>
          </cell>
          <cell r="N668">
            <v>3.2373160658885056E-2</v>
          </cell>
          <cell r="O668">
            <v>6.4389214340344073E-2</v>
          </cell>
          <cell r="P668">
            <v>0</v>
          </cell>
          <cell r="Q668">
            <v>0</v>
          </cell>
        </row>
        <row r="669">
          <cell r="E669">
            <v>0</v>
          </cell>
          <cell r="F669">
            <v>0</v>
          </cell>
          <cell r="G669">
            <v>8.9542452448996099E-2</v>
          </cell>
          <cell r="H669">
            <v>8.4006281399033739E-2</v>
          </cell>
          <cell r="I669">
            <v>5.5082483780335534E-2</v>
          </cell>
          <cell r="J669">
            <v>2.500441384861048E-2</v>
          </cell>
          <cell r="K669">
            <v>4.9044880466924588E-2</v>
          </cell>
          <cell r="L669">
            <v>5.1374160350855118E-2</v>
          </cell>
          <cell r="M669">
            <v>5.9956654772388131E-2</v>
          </cell>
          <cell r="N669">
            <v>5.7846689548335072E-2</v>
          </cell>
          <cell r="O669">
            <v>5.6562572435762369E-2</v>
          </cell>
          <cell r="P669">
            <v>0</v>
          </cell>
          <cell r="Q669">
            <v>0</v>
          </cell>
        </row>
        <row r="670">
          <cell r="E670">
            <v>0</v>
          </cell>
          <cell r="F670">
            <v>0</v>
          </cell>
          <cell r="G670">
            <v>9.6075435103624096E-2</v>
          </cell>
          <cell r="H670">
            <v>8.2748020078397197E-2</v>
          </cell>
          <cell r="I670">
            <v>6.743431347653199E-2</v>
          </cell>
          <cell r="J670">
            <v>5.7458866177223525E-2</v>
          </cell>
          <cell r="K670">
            <v>6.0285508550741572E-2</v>
          </cell>
          <cell r="L670">
            <v>7.0061149326814121E-2</v>
          </cell>
          <cell r="M670">
            <v>8.1872890400697257E-2</v>
          </cell>
          <cell r="N670">
            <v>7.5772536215569411E-2</v>
          </cell>
          <cell r="O670">
            <v>7.9029882658368869E-2</v>
          </cell>
          <cell r="P670">
            <v>0</v>
          </cell>
          <cell r="Q670">
            <v>0</v>
          </cell>
        </row>
        <row r="671">
          <cell r="E671">
            <v>0</v>
          </cell>
          <cell r="F671">
            <v>0</v>
          </cell>
          <cell r="G671">
            <v>0.11361365589896927</v>
          </cell>
          <cell r="H671">
            <v>0.17770499645804394</v>
          </cell>
          <cell r="I671">
            <v>0.1404918849517032</v>
          </cell>
          <cell r="J671">
            <v>9.1309680678045388E-2</v>
          </cell>
          <cell r="K671">
            <v>6.6510287781674879E-2</v>
          </cell>
          <cell r="L671">
            <v>8.4056996569948653E-2</v>
          </cell>
          <cell r="M671">
            <v>0.10141956611028155</v>
          </cell>
          <cell r="N671">
            <v>9.8445412807735874E-2</v>
          </cell>
          <cell r="O671">
            <v>9.7057149619429087E-2</v>
          </cell>
          <cell r="P671">
            <v>0</v>
          </cell>
          <cell r="Q671">
            <v>0</v>
          </cell>
        </row>
        <row r="672">
          <cell r="E672">
            <v>0</v>
          </cell>
          <cell r="F672">
            <v>0</v>
          </cell>
          <cell r="G672">
            <v>0.11603620414790218</v>
          </cell>
          <cell r="H672">
            <v>0.13304591946136793</v>
          </cell>
          <cell r="I672">
            <v>0.11381168853969809</v>
          </cell>
          <cell r="J672">
            <v>0.11456372504318282</v>
          </cell>
          <cell r="K672">
            <v>9.0428262826112368E-2</v>
          </cell>
          <cell r="L672">
            <v>0.11770273086904773</v>
          </cell>
          <cell r="M672">
            <v>0.13754645587317138</v>
          </cell>
          <cell r="N672">
            <v>0.12729786084215663</v>
          </cell>
          <cell r="O672">
            <v>0.13277020286605967</v>
          </cell>
          <cell r="P672">
            <v>0</v>
          </cell>
          <cell r="Q672">
            <v>0</v>
          </cell>
        </row>
        <row r="673">
          <cell r="E673">
            <v>0</v>
          </cell>
          <cell r="F673">
            <v>0</v>
          </cell>
          <cell r="G673">
            <v>2.6469875180910544E-2</v>
          </cell>
          <cell r="H673">
            <v>2.647585631476632E-2</v>
          </cell>
          <cell r="I673">
            <v>2.83218824123318E-2</v>
          </cell>
          <cell r="J673">
            <v>3.0046748756489158E-2</v>
          </cell>
          <cell r="K673">
            <v>3.416317932939332E-2</v>
          </cell>
          <cell r="L673">
            <v>3.7963202791335526E-2</v>
          </cell>
          <cell r="M673">
            <v>4.3077975090307356E-2</v>
          </cell>
          <cell r="N673">
            <v>4.2597337687678372E-2</v>
          </cell>
          <cell r="O673">
            <v>3.9579417841740475E-2</v>
          </cell>
          <cell r="P673">
            <v>0</v>
          </cell>
          <cell r="Q673">
            <v>0</v>
          </cell>
        </row>
        <row r="674">
          <cell r="E674">
            <v>0</v>
          </cell>
          <cell r="F674">
            <v>0</v>
          </cell>
          <cell r="G674">
            <v>0.19941300498835549</v>
          </cell>
          <cell r="H674">
            <v>0.19879821182525018</v>
          </cell>
          <cell r="I674">
            <v>0.15820947323049828</v>
          </cell>
          <cell r="J674">
            <v>0.13717570815753261</v>
          </cell>
          <cell r="K674">
            <v>0.18192669418883287</v>
          </cell>
          <cell r="L674">
            <v>0.14839576561565138</v>
          </cell>
          <cell r="M674">
            <v>8.5016563005911955E-2</v>
          </cell>
          <cell r="N674">
            <v>9.4542600700690413E-2</v>
          </cell>
          <cell r="O674">
            <v>0.12468919834610422</v>
          </cell>
          <cell r="P674">
            <v>0</v>
          </cell>
          <cell r="Q674">
            <v>0</v>
          </cell>
        </row>
        <row r="677">
          <cell r="E677">
            <v>0</v>
          </cell>
          <cell r="F677">
            <v>0</v>
          </cell>
          <cell r="G677">
            <v>0</v>
          </cell>
          <cell r="H677">
            <v>0</v>
          </cell>
          <cell r="I677">
            <v>0</v>
          </cell>
          <cell r="J677">
            <v>0</v>
          </cell>
          <cell r="K677">
            <v>0</v>
          </cell>
          <cell r="L677">
            <v>0</v>
          </cell>
          <cell r="M677">
            <v>0</v>
          </cell>
          <cell r="N677">
            <v>0</v>
          </cell>
          <cell r="O677">
            <v>0</v>
          </cell>
          <cell r="P677">
            <v>0</v>
          </cell>
          <cell r="Q677">
            <v>0</v>
          </cell>
        </row>
        <row r="678">
          <cell r="E678">
            <v>0</v>
          </cell>
          <cell r="F678">
            <v>0</v>
          </cell>
          <cell r="G678">
            <v>0.49379761528684885</v>
          </cell>
          <cell r="H678">
            <v>0.45363080574723957</v>
          </cell>
          <cell r="I678">
            <v>0.35720359705310639</v>
          </cell>
          <cell r="J678">
            <v>0.35886583335980166</v>
          </cell>
          <cell r="K678">
            <v>0.56740666952765562</v>
          </cell>
          <cell r="L678">
            <v>0.52150832936044755</v>
          </cell>
          <cell r="M678">
            <v>0.53395217632794378</v>
          </cell>
          <cell r="N678">
            <v>0.55629109927876697</v>
          </cell>
          <cell r="O678">
            <v>0.53780209923009714</v>
          </cell>
          <cell r="P678">
            <v>0</v>
          </cell>
          <cell r="Q678">
            <v>0</v>
          </cell>
        </row>
        <row r="679">
          <cell r="E679">
            <v>0</v>
          </cell>
          <cell r="F679">
            <v>0</v>
          </cell>
          <cell r="G679">
            <v>0</v>
          </cell>
          <cell r="H679">
            <v>0</v>
          </cell>
          <cell r="I679">
            <v>0</v>
          </cell>
          <cell r="J679">
            <v>0</v>
          </cell>
          <cell r="K679">
            <v>0</v>
          </cell>
          <cell r="L679">
            <v>0</v>
          </cell>
          <cell r="M679">
            <v>0</v>
          </cell>
          <cell r="N679">
            <v>0</v>
          </cell>
          <cell r="O679">
            <v>0</v>
          </cell>
          <cell r="P679">
            <v>0</v>
          </cell>
          <cell r="Q679">
            <v>0</v>
          </cell>
        </row>
        <row r="680">
          <cell r="E680">
            <v>0</v>
          </cell>
          <cell r="F680">
            <v>0</v>
          </cell>
          <cell r="G680">
            <v>0</v>
          </cell>
          <cell r="H680">
            <v>0</v>
          </cell>
          <cell r="I680">
            <v>0</v>
          </cell>
          <cell r="J680">
            <v>0</v>
          </cell>
          <cell r="K680">
            <v>0</v>
          </cell>
          <cell r="L680">
            <v>0</v>
          </cell>
          <cell r="M680">
            <v>0</v>
          </cell>
          <cell r="N680">
            <v>0</v>
          </cell>
          <cell r="O680">
            <v>0</v>
          </cell>
          <cell r="P680">
            <v>0</v>
          </cell>
          <cell r="Q680">
            <v>0</v>
          </cell>
        </row>
        <row r="681">
          <cell r="E681">
            <v>0</v>
          </cell>
          <cell r="F681">
            <v>0</v>
          </cell>
          <cell r="G681">
            <v>0.1431984983506836</v>
          </cell>
          <cell r="H681">
            <v>0.2816835225089363</v>
          </cell>
          <cell r="I681">
            <v>0.20288613080664938</v>
          </cell>
          <cell r="J681">
            <v>0.1477231662908092</v>
          </cell>
          <cell r="K681">
            <v>0.12940197578374715</v>
          </cell>
          <cell r="L681">
            <v>0.12562831152278017</v>
          </cell>
          <cell r="M681">
            <v>0.11076828537295497</v>
          </cell>
          <cell r="N681">
            <v>0.12177386955594123</v>
          </cell>
          <cell r="O681">
            <v>0.12843340892861332</v>
          </cell>
          <cell r="P681">
            <v>0</v>
          </cell>
          <cell r="Q681">
            <v>0</v>
          </cell>
        </row>
        <row r="682">
          <cell r="E682">
            <v>0</v>
          </cell>
          <cell r="F682">
            <v>0</v>
          </cell>
          <cell r="G682">
            <v>7.9552884650704911E-2</v>
          </cell>
          <cell r="H682">
            <v>2.234298448545392E-2</v>
          </cell>
          <cell r="I682">
            <v>5.5244311476585962E-2</v>
          </cell>
          <cell r="J682">
            <v>5.1601860597909902E-2</v>
          </cell>
          <cell r="K682">
            <v>4.1466930811243696E-2</v>
          </cell>
          <cell r="L682">
            <v>3.8673494180665707E-2</v>
          </cell>
          <cell r="M682">
            <v>3.0671560495985618E-2</v>
          </cell>
          <cell r="N682">
            <v>2.8063278674866014E-2</v>
          </cell>
          <cell r="O682">
            <v>2.5347654420268262E-2</v>
          </cell>
          <cell r="P682">
            <v>0</v>
          </cell>
          <cell r="Q682">
            <v>0</v>
          </cell>
        </row>
        <row r="683">
          <cell r="E683">
            <v>0</v>
          </cell>
          <cell r="F683">
            <v>0</v>
          </cell>
          <cell r="G683">
            <v>0.40173894517216813</v>
          </cell>
          <cell r="H683">
            <v>0.35407388640688553</v>
          </cell>
          <cell r="I683">
            <v>0.24397611667471497</v>
          </cell>
          <cell r="J683">
            <v>0.29590371809631444</v>
          </cell>
          <cell r="K683">
            <v>0.37718087039842485</v>
          </cell>
          <cell r="L683">
            <v>0.38893447660901798</v>
          </cell>
          <cell r="M683">
            <v>0.3050157838542677</v>
          </cell>
          <cell r="N683">
            <v>0.28056432402182135</v>
          </cell>
          <cell r="O683">
            <v>0.25811761473906086</v>
          </cell>
          <cell r="P683">
            <v>0</v>
          </cell>
          <cell r="Q683">
            <v>0</v>
          </cell>
        </row>
        <row r="684">
          <cell r="E684">
            <v>0</v>
          </cell>
          <cell r="F684">
            <v>0</v>
          </cell>
          <cell r="G684">
            <v>0</v>
          </cell>
          <cell r="H684">
            <v>0</v>
          </cell>
          <cell r="I684">
            <v>0</v>
          </cell>
          <cell r="J684">
            <v>0</v>
          </cell>
          <cell r="K684">
            <v>0</v>
          </cell>
          <cell r="L684">
            <v>0</v>
          </cell>
          <cell r="M684">
            <v>0</v>
          </cell>
          <cell r="N684">
            <v>0</v>
          </cell>
          <cell r="O684">
            <v>0</v>
          </cell>
          <cell r="P684">
            <v>0</v>
          </cell>
          <cell r="Q684">
            <v>0</v>
          </cell>
        </row>
        <row r="691">
          <cell r="C691" t="str">
            <v>Revenue</v>
          </cell>
          <cell r="E691">
            <v>0</v>
          </cell>
          <cell r="F691">
            <v>0</v>
          </cell>
          <cell r="G691">
            <v>0.45227397614506915</v>
          </cell>
          <cell r="H691">
            <v>0.36615994124062401</v>
          </cell>
          <cell r="I691">
            <v>0.26132531337469045</v>
          </cell>
          <cell r="J691">
            <v>8.9981008140473939E-2</v>
          </cell>
          <cell r="K691">
            <v>0.11954302613702827</v>
          </cell>
          <cell r="L691">
            <v>0.59566315333979092</v>
          </cell>
          <cell r="M691">
            <v>0.3287757642868776</v>
          </cell>
          <cell r="N691">
            <v>5.6102790017327653E-2</v>
          </cell>
          <cell r="O691">
            <v>8.465110909540452E-2</v>
          </cell>
          <cell r="P691">
            <v>-1</v>
          </cell>
          <cell r="Q691">
            <v>0</v>
          </cell>
        </row>
        <row r="692">
          <cell r="E692">
            <v>0</v>
          </cell>
          <cell r="F692">
            <v>0</v>
          </cell>
          <cell r="G692">
            <v>0.36626980748884197</v>
          </cell>
          <cell r="H692">
            <v>0.5183939045991437</v>
          </cell>
          <cell r="I692">
            <v>0.12894886480212442</v>
          </cell>
          <cell r="J692">
            <v>2.9396979694574776E-2</v>
          </cell>
          <cell r="K692">
            <v>0.30428276574281643</v>
          </cell>
          <cell r="L692">
            <v>0.5611402427843788</v>
          </cell>
          <cell r="M692">
            <v>0.32536334382213949</v>
          </cell>
          <cell r="N692">
            <v>1.1655002108482693E-2</v>
          </cell>
          <cell r="O692">
            <v>0.15489740085898696</v>
          </cell>
          <cell r="P692">
            <v>-1</v>
          </cell>
          <cell r="Q692">
            <v>0</v>
          </cell>
        </row>
        <row r="693">
          <cell r="E693">
            <v>0</v>
          </cell>
          <cell r="F693">
            <v>0</v>
          </cell>
          <cell r="G693">
            <v>0.61650182196772496</v>
          </cell>
          <cell r="H693">
            <v>0.33603838598525115</v>
          </cell>
          <cell r="I693">
            <v>0.53097281141534891</v>
          </cell>
          <cell r="J693">
            <v>0.19166522348347703</v>
          </cell>
          <cell r="K693">
            <v>6.9990928113537132E-2</v>
          </cell>
          <cell r="L693">
            <v>0.52304625800323246</v>
          </cell>
          <cell r="M693">
            <v>-2.1856867974553995E-2</v>
          </cell>
          <cell r="N693">
            <v>2.7692926289835107E-4</v>
          </cell>
          <cell r="O693">
            <v>7.787388217615443E-2</v>
          </cell>
          <cell r="P693" t="e">
            <v>#VALUE!</v>
          </cell>
          <cell r="Q693" t="e">
            <v>#VALUE!</v>
          </cell>
        </row>
        <row r="694">
          <cell r="E694">
            <v>0</v>
          </cell>
          <cell r="F694">
            <v>0</v>
          </cell>
          <cell r="G694">
            <v>0.52584231679375049</v>
          </cell>
          <cell r="H694">
            <v>0.16716105606498854</v>
          </cell>
          <cell r="I694">
            <v>0.381488199439034</v>
          </cell>
          <cell r="J694">
            <v>0.12974282849515273</v>
          </cell>
          <cell r="K694">
            <v>-0.10257671750777841</v>
          </cell>
          <cell r="L694">
            <v>0.70715295341641116</v>
          </cell>
          <cell r="M694">
            <v>0.52560143888402422</v>
          </cell>
          <cell r="N694">
            <v>0.14431909328937342</v>
          </cell>
          <cell r="O694">
            <v>-9.33211416545221E-3</v>
          </cell>
          <cell r="P694">
            <v>-1</v>
          </cell>
          <cell r="Q694">
            <v>0</v>
          </cell>
        </row>
        <row r="695">
          <cell r="E695">
            <v>0</v>
          </cell>
          <cell r="F695">
            <v>0</v>
          </cell>
          <cell r="G695">
            <v>0.56741804484727321</v>
          </cell>
          <cell r="H695">
            <v>0.30119780714929423</v>
          </cell>
          <cell r="I695">
            <v>0.48869522559057299</v>
          </cell>
          <cell r="J695">
            <v>0.10830805582342595</v>
          </cell>
          <cell r="K695">
            <v>-0.15376117807196765</v>
          </cell>
          <cell r="L695">
            <v>0.68184130695947887</v>
          </cell>
          <cell r="M695">
            <v>0.67080850243335477</v>
          </cell>
          <cell r="N695">
            <v>0.18358653670404634</v>
          </cell>
          <cell r="O695">
            <v>-1.1477418259874361E-2</v>
          </cell>
          <cell r="P695">
            <v>-1</v>
          </cell>
          <cell r="Q695">
            <v>0</v>
          </cell>
        </row>
        <row r="696">
          <cell r="E696">
            <v>0</v>
          </cell>
          <cell r="F696">
            <v>0</v>
          </cell>
          <cell r="G696">
            <v>-0.67100694444444442</v>
          </cell>
          <cell r="H696">
            <v>5.8117854001759017</v>
          </cell>
          <cell r="I696">
            <v>-0.18127824402840542</v>
          </cell>
          <cell r="J696">
            <v>-0.25295694685380854</v>
          </cell>
          <cell r="K696">
            <v>2.2298923369221026</v>
          </cell>
          <cell r="L696">
            <v>-0.60784313725490202</v>
          </cell>
          <cell r="M696">
            <v>0.16666666666666674</v>
          </cell>
          <cell r="N696">
            <v>0</v>
          </cell>
          <cell r="O696">
            <v>0</v>
          </cell>
          <cell r="P696">
            <v>-1</v>
          </cell>
          <cell r="Q696">
            <v>0</v>
          </cell>
        </row>
        <row r="697">
          <cell r="E697">
            <v>0</v>
          </cell>
          <cell r="F697">
            <v>0</v>
          </cell>
          <cell r="G697">
            <v>0.57368379715684603</v>
          </cell>
          <cell r="H697">
            <v>0.34598236566295126</v>
          </cell>
          <cell r="I697">
            <v>0.66159911997733012</v>
          </cell>
          <cell r="J697">
            <v>5.282776267857292E-2</v>
          </cell>
          <cell r="K697">
            <v>-0.11190930867008098</v>
          </cell>
          <cell r="L697">
            <v>0.50503041787900682</v>
          </cell>
          <cell r="M697">
            <v>0.58238142864986631</v>
          </cell>
          <cell r="N697">
            <v>0.13670033749697685</v>
          </cell>
          <cell r="O697">
            <v>1.5593407801150816E-2</v>
          </cell>
          <cell r="P697">
            <v>-1</v>
          </cell>
          <cell r="Q697">
            <v>0</v>
          </cell>
        </row>
        <row r="698">
          <cell r="E698">
            <v>0</v>
          </cell>
          <cell r="F698">
            <v>0</v>
          </cell>
          <cell r="G698">
            <v>0.97005878030860071</v>
          </cell>
          <cell r="H698">
            <v>0.78862470862470913</v>
          </cell>
          <cell r="I698">
            <v>0.85033623520835899</v>
          </cell>
          <cell r="J698">
            <v>0.22577734212042011</v>
          </cell>
          <cell r="K698">
            <v>-0.26962021177544893</v>
          </cell>
          <cell r="L698">
            <v>0.34423374982439547</v>
          </cell>
          <cell r="M698">
            <v>0.68929053523573613</v>
          </cell>
          <cell r="N698">
            <v>0.20004399383734595</v>
          </cell>
          <cell r="O698">
            <v>2.0741491597312756E-2</v>
          </cell>
          <cell r="P698">
            <v>-1</v>
          </cell>
          <cell r="Q698">
            <v>0</v>
          </cell>
        </row>
        <row r="699">
          <cell r="C699" t="str">
            <v>Net Income</v>
          </cell>
          <cell r="E699">
            <v>0</v>
          </cell>
          <cell r="F699">
            <v>0</v>
          </cell>
          <cell r="G699">
            <v>0.97519389388157496</v>
          </cell>
          <cell r="H699">
            <v>0.79083174919754473</v>
          </cell>
          <cell r="I699">
            <v>0.85156440329944427</v>
          </cell>
          <cell r="J699">
            <v>0.20041822781238205</v>
          </cell>
          <cell r="K699">
            <v>-0.27553076461390125</v>
          </cell>
          <cell r="L699">
            <v>0.3546499461888506</v>
          </cell>
          <cell r="M699">
            <v>0.70468735201984756</v>
          </cell>
          <cell r="N699">
            <v>0.20266524963698629</v>
          </cell>
          <cell r="O699">
            <v>2.0967476335536306E-2</v>
          </cell>
          <cell r="P699">
            <v>-1.0106715429791595</v>
          </cell>
          <cell r="Q699">
            <v>0</v>
          </cell>
        </row>
        <row r="700">
          <cell r="E700">
            <v>0</v>
          </cell>
          <cell r="F700">
            <v>0</v>
          </cell>
          <cell r="G700">
            <v>0</v>
          </cell>
          <cell r="H700">
            <v>0.30119780714929423</v>
          </cell>
          <cell r="I700">
            <v>0.48869522559057299</v>
          </cell>
          <cell r="J700">
            <v>0.10830805582342595</v>
          </cell>
          <cell r="K700">
            <v>-0.15376117807196765</v>
          </cell>
          <cell r="L700">
            <v>0.68184130695947887</v>
          </cell>
          <cell r="M700">
            <v>0.67080850243335477</v>
          </cell>
          <cell r="N700">
            <v>0.18358653670404634</v>
          </cell>
          <cell r="O700">
            <v>-1.1477418259874361E-2</v>
          </cell>
          <cell r="P700">
            <v>-1</v>
          </cell>
          <cell r="Q700">
            <v>0</v>
          </cell>
        </row>
        <row r="701">
          <cell r="C701" t="str">
            <v>NOPAT</v>
          </cell>
          <cell r="E701">
            <v>0</v>
          </cell>
          <cell r="F701">
            <v>0</v>
          </cell>
          <cell r="G701">
            <v>0</v>
          </cell>
          <cell r="H701">
            <v>0.30119780714929423</v>
          </cell>
          <cell r="I701">
            <v>0.48869522559057299</v>
          </cell>
          <cell r="J701">
            <v>0.10830805582342595</v>
          </cell>
          <cell r="K701">
            <v>-0.26292598610068385</v>
          </cell>
          <cell r="L701">
            <v>0.68184130695947887</v>
          </cell>
          <cell r="M701">
            <v>0.67080850243335477</v>
          </cell>
          <cell r="N701">
            <v>0.18358653670404634</v>
          </cell>
          <cell r="O701">
            <v>-1.1477418259874361E-2</v>
          </cell>
          <cell r="P701">
            <v>-1</v>
          </cell>
          <cell r="Q701">
            <v>0</v>
          </cell>
        </row>
        <row r="706">
          <cell r="E706">
            <v>0</v>
          </cell>
          <cell r="F706">
            <v>0</v>
          </cell>
          <cell r="G706">
            <v>2.0841295116772796</v>
          </cell>
          <cell r="H706">
            <v>-0.57865071852680738</v>
          </cell>
          <cell r="I706">
            <v>2.7457367507409263</v>
          </cell>
          <cell r="J706">
            <v>2.8927591405144351</v>
          </cell>
          <cell r="K706">
            <v>0.50552244259571455</v>
          </cell>
          <cell r="L706">
            <v>-9.5307547727554121E-2</v>
          </cell>
          <cell r="M706">
            <v>-0.74235565328902675</v>
          </cell>
          <cell r="N706">
            <v>0.58035707288911831</v>
          </cell>
          <cell r="O706">
            <v>1.2023782742452411</v>
          </cell>
          <cell r="P706">
            <v>0</v>
          </cell>
          <cell r="Q706">
            <v>0</v>
          </cell>
        </row>
        <row r="707">
          <cell r="E707">
            <v>0</v>
          </cell>
          <cell r="F707">
            <v>0</v>
          </cell>
          <cell r="G707">
            <v>0</v>
          </cell>
          <cell r="H707">
            <v>0</v>
          </cell>
          <cell r="I707">
            <v>0</v>
          </cell>
          <cell r="J707">
            <v>0</v>
          </cell>
          <cell r="K707">
            <v>0</v>
          </cell>
          <cell r="L707">
            <v>0</v>
          </cell>
          <cell r="M707">
            <v>0</v>
          </cell>
          <cell r="N707">
            <v>0</v>
          </cell>
          <cell r="O707">
            <v>0</v>
          </cell>
          <cell r="P707">
            <v>0</v>
          </cell>
          <cell r="Q707">
            <v>0</v>
          </cell>
        </row>
        <row r="708">
          <cell r="E708">
            <v>0</v>
          </cell>
          <cell r="F708">
            <v>0</v>
          </cell>
          <cell r="G708">
            <v>0.17437490966902747</v>
          </cell>
          <cell r="H708">
            <v>0.21742251758866127</v>
          </cell>
          <cell r="I708">
            <v>-8.8167405185921588E-2</v>
          </cell>
          <cell r="J708">
            <v>-0.38920916481892098</v>
          </cell>
          <cell r="K708">
            <v>1.4408465158077246</v>
          </cell>
          <cell r="L708">
            <v>0.25634994258626409</v>
          </cell>
          <cell r="M708">
            <v>0.32362434530412654</v>
          </cell>
          <cell r="N708">
            <v>5.4634194663803148E-2</v>
          </cell>
          <cell r="O708">
            <v>8.2715946774861937E-2</v>
          </cell>
          <cell r="P708">
            <v>0</v>
          </cell>
          <cell r="Q708">
            <v>0</v>
          </cell>
        </row>
        <row r="709">
          <cell r="E709">
            <v>0</v>
          </cell>
          <cell r="F709">
            <v>0</v>
          </cell>
          <cell r="G709">
            <v>0.29192393183502108</v>
          </cell>
          <cell r="H709">
            <v>0.11764480978780334</v>
          </cell>
          <cell r="I709">
            <v>0.13327859879584025</v>
          </cell>
          <cell r="J709">
            <v>0.14647730016904137</v>
          </cell>
          <cell r="K709">
            <v>0.30562767167950855</v>
          </cell>
          <cell r="L709">
            <v>0.39387521677176673</v>
          </cell>
          <cell r="M709">
            <v>0.32536334382213949</v>
          </cell>
          <cell r="N709">
            <v>1.1655002108482693E-2</v>
          </cell>
          <cell r="O709">
            <v>0.15489740085898718</v>
          </cell>
          <cell r="P709">
            <v>0</v>
          </cell>
          <cell r="Q709">
            <v>0</v>
          </cell>
        </row>
        <row r="710">
          <cell r="E710">
            <v>0</v>
          </cell>
          <cell r="F710">
            <v>0</v>
          </cell>
          <cell r="G710">
            <v>5.7870884993586946E-2</v>
          </cell>
          <cell r="H710">
            <v>1.0296804022050146</v>
          </cell>
          <cell r="I710">
            <v>9.9423355687592752E-2</v>
          </cell>
          <cell r="J710">
            <v>-0.12550982707534941</v>
          </cell>
          <cell r="K710">
            <v>-9.3567492995017321E-2</v>
          </cell>
          <cell r="L710">
            <v>0.51580944553448727</v>
          </cell>
          <cell r="M710">
            <v>0.36842175410725231</v>
          </cell>
          <cell r="N710">
            <v>6.10466249163093E-2</v>
          </cell>
          <cell r="O710">
            <v>9.1681471030071071E-2</v>
          </cell>
          <cell r="P710">
            <v>0</v>
          </cell>
          <cell r="Q710">
            <v>0</v>
          </cell>
        </row>
        <row r="711">
          <cell r="E711">
            <v>0</v>
          </cell>
          <cell r="F711">
            <v>0</v>
          </cell>
          <cell r="G711">
            <v>-0.45999925197292146</v>
          </cell>
          <cell r="H711">
            <v>-0.63554508934755505</v>
          </cell>
          <cell r="I711">
            <v>2.4384264538198401</v>
          </cell>
          <cell r="J711">
            <v>0.25680281508502389</v>
          </cell>
          <cell r="K711">
            <v>0</v>
          </cell>
          <cell r="L711">
            <v>0.11859040136034471</v>
          </cell>
          <cell r="M711">
            <v>-0.10051370760601774</v>
          </cell>
          <cell r="N711">
            <v>1.4569189078939004E-4</v>
          </cell>
          <cell r="O711">
            <v>1.4567066775428295E-4</v>
          </cell>
          <cell r="P711">
            <v>0</v>
          </cell>
          <cell r="Q711">
            <v>0</v>
          </cell>
        </row>
        <row r="712">
          <cell r="E712">
            <v>0</v>
          </cell>
          <cell r="F712">
            <v>0</v>
          </cell>
          <cell r="G712">
            <v>9.7984011122697279E-2</v>
          </cell>
          <cell r="H712">
            <v>0.48787552629079745</v>
          </cell>
          <cell r="I712">
            <v>0.18959372772630068</v>
          </cell>
          <cell r="J712">
            <v>0.35440830598356343</v>
          </cell>
          <cell r="K712">
            <v>-1.7753407947820876E-2</v>
          </cell>
          <cell r="L712">
            <v>0.5611402427843788</v>
          </cell>
          <cell r="M712">
            <v>0.32536334382213949</v>
          </cell>
          <cell r="N712">
            <v>1.1655002108482693E-2</v>
          </cell>
          <cell r="O712">
            <v>0.15489740085898673</v>
          </cell>
          <cell r="P712" t="e">
            <v>#VALUE!</v>
          </cell>
          <cell r="Q712" t="e">
            <v>#VALUE!</v>
          </cell>
        </row>
        <row r="713">
          <cell r="E713">
            <v>0</v>
          </cell>
          <cell r="F713">
            <v>0</v>
          </cell>
          <cell r="G713">
            <v>-0.29700990195600208</v>
          </cell>
          <cell r="H713">
            <v>0.29794615598112695</v>
          </cell>
          <cell r="I713">
            <v>0.48759756227948259</v>
          </cell>
          <cell r="J713">
            <v>0.42746253638552489</v>
          </cell>
          <cell r="K713">
            <v>0.41489517050006008</v>
          </cell>
          <cell r="L713">
            <v>0.33279738485881105</v>
          </cell>
          <cell r="M713">
            <v>0.28695844951263361</v>
          </cell>
          <cell r="N713">
            <v>8.0905951344866889E-2</v>
          </cell>
          <cell r="O713">
            <v>2.884709598432833E-2</v>
          </cell>
          <cell r="P713">
            <v>0</v>
          </cell>
          <cell r="Q713">
            <v>0</v>
          </cell>
        </row>
        <row r="716">
          <cell r="E716">
            <v>0</v>
          </cell>
          <cell r="F716">
            <v>0</v>
          </cell>
          <cell r="G716">
            <v>1.1129413798794436</v>
          </cell>
          <cell r="H716">
            <v>0.19209840175260462</v>
          </cell>
          <cell r="I716">
            <v>9.5031575268951229E-2</v>
          </cell>
          <cell r="J716">
            <v>0.3517788200716887</v>
          </cell>
          <cell r="K716">
            <v>0.96755007038041541</v>
          </cell>
          <cell r="L716">
            <v>0.10236744850216795</v>
          </cell>
          <cell r="M716">
            <v>0.16121650855336789</v>
          </cell>
          <cell r="N716">
            <v>0.13883415139714983</v>
          </cell>
          <cell r="O716">
            <v>7.0494086734929517E-2</v>
          </cell>
          <cell r="P716">
            <v>0</v>
          </cell>
          <cell r="Q716">
            <v>0</v>
          </cell>
        </row>
        <row r="717">
          <cell r="E717">
            <v>0</v>
          </cell>
          <cell r="F717">
            <v>0</v>
          </cell>
          <cell r="G717">
            <v>-0.67116397505906045</v>
          </cell>
          <cell r="H717">
            <v>-0.41908225006256716</v>
          </cell>
          <cell r="I717">
            <v>6.7929295489102897</v>
          </cell>
          <cell r="J717">
            <v>0.45969386261865508</v>
          </cell>
          <cell r="K717">
            <v>-0.66908162515121339</v>
          </cell>
          <cell r="L717">
            <v>0.81970055002389941</v>
          </cell>
          <cell r="M717">
            <v>7.7692459946762105E-2</v>
          </cell>
          <cell r="N717">
            <v>-0.11328663406529083</v>
          </cell>
          <cell r="O717">
            <v>-5.420127644006012E-2</v>
          </cell>
          <cell r="P717">
            <v>0</v>
          </cell>
          <cell r="Q717">
            <v>0</v>
          </cell>
        </row>
        <row r="718">
          <cell r="E718">
            <v>0</v>
          </cell>
          <cell r="F718">
            <v>0</v>
          </cell>
          <cell r="G718">
            <v>0</v>
          </cell>
          <cell r="H718">
            <v>0</v>
          </cell>
          <cell r="I718">
            <v>0</v>
          </cell>
          <cell r="J718">
            <v>0</v>
          </cell>
          <cell r="K718">
            <v>0</v>
          </cell>
          <cell r="L718">
            <v>0</v>
          </cell>
          <cell r="M718">
            <v>0</v>
          </cell>
          <cell r="N718">
            <v>0</v>
          </cell>
          <cell r="O718">
            <v>0</v>
          </cell>
          <cell r="P718">
            <v>0</v>
          </cell>
          <cell r="Q718">
            <v>0</v>
          </cell>
        </row>
        <row r="719">
          <cell r="E719">
            <v>0</v>
          </cell>
          <cell r="F719">
            <v>0</v>
          </cell>
          <cell r="G719">
            <v>11.58547215496368</v>
          </cell>
          <cell r="H719">
            <v>1.5525927636051149</v>
          </cell>
          <cell r="I719">
            <v>1.6229687766935452E-3</v>
          </cell>
          <cell r="J719">
            <v>-2.0316944331572495E-2</v>
          </cell>
          <cell r="K719">
            <v>9.0073466980045147E-2</v>
          </cell>
          <cell r="L719">
            <v>0.16441068784494584</v>
          </cell>
          <cell r="M719">
            <v>0</v>
          </cell>
          <cell r="N719">
            <v>0.20170925401050721</v>
          </cell>
          <cell r="O719">
            <v>0.16785196031181049</v>
          </cell>
          <cell r="P719">
            <v>0</v>
          </cell>
          <cell r="Q719">
            <v>0</v>
          </cell>
        </row>
        <row r="720">
          <cell r="E720">
            <v>0</v>
          </cell>
          <cell r="F720">
            <v>0</v>
          </cell>
          <cell r="G720">
            <v>0</v>
          </cell>
          <cell r="H720">
            <v>0</v>
          </cell>
          <cell r="I720">
            <v>0</v>
          </cell>
          <cell r="J720">
            <v>0</v>
          </cell>
          <cell r="K720">
            <v>0</v>
          </cell>
          <cell r="L720">
            <v>0</v>
          </cell>
          <cell r="M720">
            <v>0</v>
          </cell>
          <cell r="N720">
            <v>0</v>
          </cell>
          <cell r="O720">
            <v>0</v>
          </cell>
          <cell r="P720">
            <v>0</v>
          </cell>
          <cell r="Q720">
            <v>0</v>
          </cell>
        </row>
        <row r="721">
          <cell r="E721">
            <v>0</v>
          </cell>
          <cell r="F721">
            <v>0</v>
          </cell>
          <cell r="G721">
            <v>0</v>
          </cell>
          <cell r="H721">
            <v>0</v>
          </cell>
          <cell r="I721">
            <v>0</v>
          </cell>
          <cell r="J721">
            <v>0</v>
          </cell>
          <cell r="K721">
            <v>0</v>
          </cell>
          <cell r="L721">
            <v>0</v>
          </cell>
          <cell r="M721">
            <v>0</v>
          </cell>
          <cell r="N721">
            <v>0</v>
          </cell>
          <cell r="O721">
            <v>0</v>
          </cell>
          <cell r="P721">
            <v>0</v>
          </cell>
          <cell r="Q721">
            <v>0</v>
          </cell>
        </row>
        <row r="725">
          <cell r="C725" t="str">
            <v>Basic EPS</v>
          </cell>
          <cell r="E725">
            <v>0</v>
          </cell>
          <cell r="F725">
            <v>0</v>
          </cell>
          <cell r="G725">
            <v>0.24020285745471681</v>
          </cell>
          <cell r="H725">
            <v>0.52385764719670735</v>
          </cell>
          <cell r="I725">
            <v>0.39632716654498878</v>
          </cell>
          <cell r="J725">
            <v>-1.542685248059894E-2</v>
          </cell>
          <cell r="K725">
            <v>-0.27553076461390136</v>
          </cell>
          <cell r="L725">
            <v>0.35464994618885082</v>
          </cell>
          <cell r="M725">
            <v>0.70468735201984734</v>
          </cell>
          <cell r="N725">
            <v>0.20266524963698629</v>
          </cell>
          <cell r="O725">
            <v>2.0967476335536306E-2</v>
          </cell>
          <cell r="P725">
            <v>-1.6387477164907707</v>
          </cell>
          <cell r="Q725">
            <v>0</v>
          </cell>
        </row>
        <row r="726">
          <cell r="E726">
            <v>0</v>
          </cell>
          <cell r="F726">
            <v>0</v>
          </cell>
          <cell r="G726">
            <v>0.22415785690895529</v>
          </cell>
          <cell r="H726">
            <v>0.37400130620515193</v>
          </cell>
          <cell r="I726">
            <v>0.28681214094340457</v>
          </cell>
          <cell r="J726">
            <v>0.20041822781238205</v>
          </cell>
          <cell r="K726">
            <v>-0.27553076461390136</v>
          </cell>
          <cell r="L726">
            <v>0.35464994618885082</v>
          </cell>
          <cell r="M726">
            <v>0.70468735201984734</v>
          </cell>
          <cell r="N726">
            <v>0.20266524963698629</v>
          </cell>
          <cell r="O726">
            <v>2.0967476335536306E-2</v>
          </cell>
          <cell r="P726">
            <v>-1.6387477164907707</v>
          </cell>
          <cell r="Q726">
            <v>0</v>
          </cell>
        </row>
        <row r="727">
          <cell r="E727">
            <v>0</v>
          </cell>
          <cell r="F727">
            <v>0</v>
          </cell>
          <cell r="G727">
            <v>0.24020285745471681</v>
          </cell>
          <cell r="H727">
            <v>0.52385764719670735</v>
          </cell>
          <cell r="I727">
            <v>-1.5634954273350821E-2</v>
          </cell>
          <cell r="J727">
            <v>0.20041822781238205</v>
          </cell>
          <cell r="K727">
            <v>-0.27553076461390136</v>
          </cell>
          <cell r="L727">
            <v>0.3546499461888506</v>
          </cell>
          <cell r="M727">
            <v>0.70468735201984734</v>
          </cell>
          <cell r="N727">
            <v>0.20266524963698629</v>
          </cell>
          <cell r="O727">
            <v>2.0967476335536306E-2</v>
          </cell>
          <cell r="P727">
            <v>-1.7431487815039786</v>
          </cell>
          <cell r="Q727">
            <v>0</v>
          </cell>
        </row>
        <row r="728">
          <cell r="E728">
            <v>0</v>
          </cell>
          <cell r="F728">
            <v>0</v>
          </cell>
          <cell r="G728">
            <v>0.16666666666666674</v>
          </cell>
          <cell r="H728">
            <v>0.45714285714285707</v>
          </cell>
          <cell r="I728">
            <v>7.8431372549019773E-2</v>
          </cell>
          <cell r="J728">
            <v>9.0909090909090828E-2</v>
          </cell>
          <cell r="K728">
            <v>0</v>
          </cell>
          <cell r="L728">
            <v>0.25</v>
          </cell>
          <cell r="M728">
            <v>6.6666666666666652E-2</v>
          </cell>
          <cell r="N728">
            <v>0</v>
          </cell>
          <cell r="O728">
            <v>0</v>
          </cell>
          <cell r="P728">
            <v>-1</v>
          </cell>
          <cell r="Q728">
            <v>0</v>
          </cell>
        </row>
        <row r="729">
          <cell r="E729">
            <v>0</v>
          </cell>
          <cell r="F729">
            <v>0</v>
          </cell>
          <cell r="G729">
            <v>0</v>
          </cell>
          <cell r="H729">
            <v>-6.8372969198328137E-3</v>
          </cell>
          <cell r="I729">
            <v>4.1826846368721915E-2</v>
          </cell>
          <cell r="J729">
            <v>-7.339423313656035E-2</v>
          </cell>
          <cell r="K729">
            <v>-0.186924144179896</v>
          </cell>
          <cell r="L729">
            <v>0.70977875054000594</v>
          </cell>
          <cell r="M729">
            <v>0.51078398395372426</v>
          </cell>
          <cell r="N729">
            <v>0.13988767441609862</v>
          </cell>
          <cell r="O729">
            <v>-9.0807305333533428E-3</v>
          </cell>
          <cell r="P729">
            <v>0</v>
          </cell>
          <cell r="Q729">
            <v>0</v>
          </cell>
        </row>
        <row r="730">
          <cell r="E730">
            <v>0</v>
          </cell>
          <cell r="F730">
            <v>0</v>
          </cell>
          <cell r="G730">
            <v>0</v>
          </cell>
          <cell r="H730">
            <v>-0.910000001917049</v>
          </cell>
          <cell r="I730">
            <v>-4.0610204784702564</v>
          </cell>
          <cell r="J730">
            <v>-1.497409897658373</v>
          </cell>
          <cell r="K730">
            <v>13.072201342838401</v>
          </cell>
          <cell r="L730">
            <v>-1.1069372734910756</v>
          </cell>
          <cell r="M730">
            <v>2.2931547263153496</v>
          </cell>
          <cell r="N730">
            <v>-0.57684379228185279</v>
          </cell>
          <cell r="O730">
            <v>1.7597829250572294E-2</v>
          </cell>
          <cell r="P730">
            <v>0</v>
          </cell>
          <cell r="Q730">
            <v>0</v>
          </cell>
        </row>
        <row r="734">
          <cell r="E734">
            <v>0</v>
          </cell>
          <cell r="F734">
            <v>0</v>
          </cell>
          <cell r="G734">
            <v>0.98969387378553764</v>
          </cell>
          <cell r="H734">
            <v>0.22131197490402221</v>
          </cell>
          <cell r="I734">
            <v>9.8589685461472065E-2</v>
          </cell>
          <cell r="J734">
            <v>0.29494692814744838</v>
          </cell>
          <cell r="K734">
            <v>0.87983828568445621</v>
          </cell>
          <cell r="L734">
            <v>7.2252655545729461E-2</v>
          </cell>
          <cell r="M734">
            <v>4.7920105533187263E-2</v>
          </cell>
          <cell r="N734">
            <v>0.14937579975180726</v>
          </cell>
          <cell r="O734">
            <v>0.12713006971529461</v>
          </cell>
          <cell r="P734">
            <v>0</v>
          </cell>
          <cell r="Q734">
            <v>0</v>
          </cell>
        </row>
        <row r="735">
          <cell r="E735">
            <v>0</v>
          </cell>
          <cell r="F735">
            <v>0</v>
          </cell>
          <cell r="G735">
            <v>0.3003284831136821</v>
          </cell>
          <cell r="H735">
            <v>0.33652892561983472</v>
          </cell>
          <cell r="I735">
            <v>0.44867100633508539</v>
          </cell>
          <cell r="J735">
            <v>0.28292248565010136</v>
          </cell>
          <cell r="K735">
            <v>0.22634465977497342</v>
          </cell>
          <cell r="L735">
            <v>0.15420409454566109</v>
          </cell>
          <cell r="M735">
            <v>4.5837948188764077E-2</v>
          </cell>
          <cell r="N735">
            <v>0.11635643918389715</v>
          </cell>
          <cell r="O735">
            <v>0.11097406314647196</v>
          </cell>
          <cell r="P735">
            <v>0</v>
          </cell>
          <cell r="Q735">
            <v>0</v>
          </cell>
        </row>
        <row r="736">
          <cell r="E736">
            <v>0</v>
          </cell>
          <cell r="F736">
            <v>0</v>
          </cell>
          <cell r="G736">
            <v>0</v>
          </cell>
          <cell r="H736">
            <v>-0.89423234231152471</v>
          </cell>
          <cell r="I736">
            <v>-5.0589889615411643</v>
          </cell>
          <cell r="J736">
            <v>-1.606455609060409</v>
          </cell>
          <cell r="K736">
            <v>13.072201342838403</v>
          </cell>
          <cell r="L736">
            <v>-1.1069372734910756</v>
          </cell>
          <cell r="M736">
            <v>2.29315472631535</v>
          </cell>
          <cell r="N736">
            <v>-0.57684379228185279</v>
          </cell>
          <cell r="O736">
            <v>1.7597829250572072E-2</v>
          </cell>
          <cell r="P736">
            <v>0</v>
          </cell>
          <cell r="Q736">
            <v>0</v>
          </cell>
        </row>
        <row r="737">
          <cell r="E737">
            <v>0</v>
          </cell>
          <cell r="F737">
            <v>0</v>
          </cell>
          <cell r="G737">
            <v>0</v>
          </cell>
          <cell r="H737">
            <v>-0.91885330943723431</v>
          </cell>
          <cell r="I737">
            <v>7.5336011735789228</v>
          </cell>
          <cell r="J737">
            <v>0.63758216543723178</v>
          </cell>
          <cell r="K737">
            <v>-1.8144154714286529</v>
          </cell>
          <cell r="L737">
            <v>1.6914329928010385</v>
          </cell>
          <cell r="M737">
            <v>-1.4609048137104861</v>
          </cell>
          <cell r="N737">
            <v>1.3076281971110149</v>
          </cell>
          <cell r="O737">
            <v>-0.6166818461408774</v>
          </cell>
          <cell r="P737">
            <v>0</v>
          </cell>
          <cell r="Q737">
            <v>0</v>
          </cell>
        </row>
        <row r="742">
          <cell r="C742" t="str">
            <v>Average Accounts Receivable</v>
          </cell>
          <cell r="E742">
            <v>0</v>
          </cell>
          <cell r="F742">
            <v>0</v>
          </cell>
          <cell r="G742">
            <v>4513.3500000000004</v>
          </cell>
          <cell r="H742">
            <v>5405.3</v>
          </cell>
          <cell r="I742">
            <v>5673.65</v>
          </cell>
          <cell r="J742">
            <v>4358.8</v>
          </cell>
          <cell r="K742">
            <v>5687.031121327007</v>
          </cell>
          <cell r="L742">
            <v>9102.6371589859118</v>
          </cell>
          <cell r="M742">
            <v>11777.071660990656</v>
          </cell>
          <cell r="N742">
            <v>13783.853790262971</v>
          </cell>
          <cell r="O742">
            <v>14735.607221700457</v>
          </cell>
          <cell r="P742">
            <v>0</v>
          </cell>
          <cell r="Q742">
            <v>0</v>
          </cell>
        </row>
        <row r="743">
          <cell r="C743" t="str">
            <v>Average Inventories</v>
          </cell>
          <cell r="E743">
            <v>0</v>
          </cell>
          <cell r="F743">
            <v>0</v>
          </cell>
          <cell r="G743">
            <v>4640</v>
          </cell>
          <cell r="H743">
            <v>5538.7</v>
          </cell>
          <cell r="I743">
            <v>6236</v>
          </cell>
          <cell r="J743">
            <v>7110.85</v>
          </cell>
          <cell r="K743">
            <v>8756.8891784223579</v>
          </cell>
          <cell r="L743">
            <v>11870.842213182152</v>
          </cell>
          <cell r="M743">
            <v>16072.918489417811</v>
          </cell>
          <cell r="N743">
            <v>18428.601398255701</v>
          </cell>
          <cell r="O743">
            <v>19970.912351836021</v>
          </cell>
          <cell r="P743">
            <v>0</v>
          </cell>
          <cell r="Q743">
            <v>0</v>
          </cell>
        </row>
        <row r="744">
          <cell r="C744" t="str">
            <v>Average Accounts Payable</v>
          </cell>
          <cell r="E744">
            <v>0</v>
          </cell>
          <cell r="F744">
            <v>0</v>
          </cell>
          <cell r="G744">
            <v>6035.9</v>
          </cell>
          <cell r="H744">
            <v>7858.9500000000007</v>
          </cell>
          <cell r="I744">
            <v>10291.200000000001</v>
          </cell>
          <cell r="J744">
            <v>13163.849999999999</v>
          </cell>
          <cell r="K744">
            <v>15010.958767633536</v>
          </cell>
          <cell r="L744">
            <v>19050.423866029989</v>
          </cell>
          <cell r="M744">
            <v>27002.50306222192</v>
          </cell>
          <cell r="N744">
            <v>30960.050349069581</v>
          </cell>
          <cell r="O744">
            <v>33551.132751084515</v>
          </cell>
          <cell r="P744" t="e">
            <v>#VALUE!</v>
          </cell>
          <cell r="Q744" t="e">
            <v>#VALUE!</v>
          </cell>
        </row>
        <row r="745">
          <cell r="C745" t="str">
            <v>Average Net Working Capital</v>
          </cell>
          <cell r="E745">
            <v>0</v>
          </cell>
          <cell r="F745">
            <v>0</v>
          </cell>
          <cell r="G745">
            <v>8927.3999999999942</v>
          </cell>
          <cell r="H745">
            <v>12451.549999999992</v>
          </cell>
          <cell r="I745">
            <v>14795.100000000275</v>
          </cell>
          <cell r="J745">
            <v>16839.60953961889</v>
          </cell>
          <cell r="K745">
            <v>24031.904758394077</v>
          </cell>
          <cell r="L745">
            <v>29604.784383226634</v>
          </cell>
          <cell r="M745">
            <v>24152.906203944534</v>
          </cell>
          <cell r="N745">
            <v>21076.106451000374</v>
          </cell>
          <cell r="O745">
            <v>28450.42792355139</v>
          </cell>
          <cell r="P745">
            <v>0</v>
          </cell>
          <cell r="Q745">
            <v>0</v>
          </cell>
        </row>
        <row r="746">
          <cell r="C746" t="str">
            <v>Average Net Fixed Assets</v>
          </cell>
          <cell r="E746">
            <v>0</v>
          </cell>
          <cell r="F746">
            <v>0</v>
          </cell>
          <cell r="G746">
            <v>19805</v>
          </cell>
          <cell r="H746">
            <v>29468.050000000003</v>
          </cell>
          <cell r="I746">
            <v>33573.300000000003</v>
          </cell>
          <cell r="J746">
            <v>41269.249912499996</v>
          </cell>
          <cell r="K746">
            <v>70393.700092343759</v>
          </cell>
          <cell r="L746">
            <v>98122.850236687518</v>
          </cell>
          <cell r="M746">
            <v>111195.23785287501</v>
          </cell>
          <cell r="N746">
            <v>127784.51333125001</v>
          </cell>
          <cell r="O746">
            <v>140875.53880962502</v>
          </cell>
          <cell r="P746">
            <v>0</v>
          </cell>
          <cell r="Q746">
            <v>0</v>
          </cell>
        </row>
        <row r="747">
          <cell r="C747" t="str">
            <v>Average Intangibles &amp; Capitalised Assets</v>
          </cell>
          <cell r="E747">
            <v>0</v>
          </cell>
          <cell r="F747">
            <v>0</v>
          </cell>
          <cell r="G747">
            <v>0</v>
          </cell>
          <cell r="H747">
            <v>0</v>
          </cell>
          <cell r="I747">
            <v>0</v>
          </cell>
          <cell r="J747">
            <v>0</v>
          </cell>
          <cell r="K747">
            <v>0</v>
          </cell>
          <cell r="L747">
            <v>0</v>
          </cell>
          <cell r="M747">
            <v>0</v>
          </cell>
          <cell r="N747">
            <v>0</v>
          </cell>
          <cell r="O747">
            <v>0</v>
          </cell>
          <cell r="P747">
            <v>0</v>
          </cell>
          <cell r="Q747">
            <v>0</v>
          </cell>
        </row>
        <row r="751">
          <cell r="E751">
            <v>0</v>
          </cell>
          <cell r="F751">
            <v>0</v>
          </cell>
          <cell r="G751">
            <v>4.9773449876477551</v>
          </cell>
          <cell r="H751">
            <v>5.6777792166947245</v>
          </cell>
          <cell r="I751">
            <v>6.8228036625453772</v>
          </cell>
          <cell r="J751">
            <v>9.6800456137744337</v>
          </cell>
          <cell r="K751">
            <v>8.3061454173502725</v>
          </cell>
          <cell r="L751">
            <v>8.280548779774497</v>
          </cell>
          <cell r="M751">
            <v>8.5043422999431382</v>
          </cell>
          <cell r="N751">
            <v>7.6738548808651235</v>
          </cell>
          <cell r="O751">
            <v>7.7858542158993824</v>
          </cell>
          <cell r="P751">
            <v>0</v>
          </cell>
          <cell r="Q751">
            <v>0</v>
          </cell>
        </row>
        <row r="752">
          <cell r="C752" t="str">
            <v>Average Days Receivable</v>
          </cell>
          <cell r="E752">
            <v>0</v>
          </cell>
          <cell r="F752">
            <v>0</v>
          </cell>
          <cell r="G752">
            <v>73.332268690600742</v>
          </cell>
          <cell r="H752">
            <v>64.285697993815603</v>
          </cell>
          <cell r="I752">
            <v>53.497069247897677</v>
          </cell>
          <cell r="J752">
            <v>37.706433891242746</v>
          </cell>
          <cell r="K752">
            <v>43.94336742980331</v>
          </cell>
          <cell r="L752">
            <v>44.079204133369046</v>
          </cell>
          <cell r="M752">
            <v>42.919250792908521</v>
          </cell>
          <cell r="N752">
            <v>47.564099877642093</v>
          </cell>
          <cell r="O752">
            <v>46.879891387465058</v>
          </cell>
          <cell r="P752">
            <v>0</v>
          </cell>
          <cell r="Q752">
            <v>0</v>
          </cell>
        </row>
        <row r="753">
          <cell r="E753">
            <v>0</v>
          </cell>
          <cell r="F753">
            <v>0</v>
          </cell>
          <cell r="G753">
            <v>2.4212715517241379</v>
          </cell>
          <cell r="H753">
            <v>3.0799104483001427</v>
          </cell>
          <cell r="I753">
            <v>3.0882617062219375</v>
          </cell>
          <cell r="J753">
            <v>2.7879281371073783</v>
          </cell>
          <cell r="K753">
            <v>2.9527385536865243</v>
          </cell>
          <cell r="L753">
            <v>3.4004409289656019</v>
          </cell>
          <cell r="M753">
            <v>3.328564522393759</v>
          </cell>
          <cell r="N753">
            <v>2.9369177150759445</v>
          </cell>
          <cell r="O753">
            <v>3.1298941742321218</v>
          </cell>
          <cell r="P753">
            <v>0</v>
          </cell>
          <cell r="Q753">
            <v>0</v>
          </cell>
        </row>
        <row r="754">
          <cell r="C754" t="str">
            <v>Average Days in Inventory</v>
          </cell>
          <cell r="E754">
            <v>0</v>
          </cell>
          <cell r="F754">
            <v>0</v>
          </cell>
          <cell r="G754">
            <v>150.74723846653671</v>
          </cell>
          <cell r="H754">
            <v>118.50993920990462</v>
          </cell>
          <cell r="I754">
            <v>118.18946537614754</v>
          </cell>
          <cell r="J754">
            <v>130.921595554004</v>
          </cell>
          <cell r="K754">
            <v>123.61405974948028</v>
          </cell>
          <cell r="L754">
            <v>107.33902091662897</v>
          </cell>
          <cell r="M754">
            <v>109.65687987850926</v>
          </cell>
          <cell r="N754">
            <v>124.27995450004006</v>
          </cell>
          <cell r="O754">
            <v>116.61736138077191</v>
          </cell>
          <cell r="P754">
            <v>0</v>
          </cell>
          <cell r="Q754">
            <v>0</v>
          </cell>
        </row>
        <row r="755">
          <cell r="E755">
            <v>0</v>
          </cell>
          <cell r="F755">
            <v>0</v>
          </cell>
          <cell r="G755">
            <v>2.5163541456639122</v>
          </cell>
          <cell r="H755">
            <v>2.4647614152454929</v>
          </cell>
          <cell r="I755">
            <v>2.6164203013159666</v>
          </cell>
          <cell r="J755">
            <v>2.505603394309754</v>
          </cell>
          <cell r="K755">
            <v>1.9656081347542473</v>
          </cell>
          <cell r="L755">
            <v>2.5460354665604785</v>
          </cell>
          <cell r="M755">
            <v>4.1467576551788783</v>
          </cell>
          <cell r="N755">
            <v>5.0187302826286553</v>
          </cell>
          <cell r="O755">
            <v>4.0326033028115011</v>
          </cell>
          <cell r="P755">
            <v>0</v>
          </cell>
          <cell r="Q755">
            <v>0</v>
          </cell>
        </row>
        <row r="756">
          <cell r="E756">
            <v>0</v>
          </cell>
          <cell r="F756">
            <v>0</v>
          </cell>
          <cell r="G756">
            <v>224.07950715713747</v>
          </cell>
          <cell r="H756">
            <v>182.79563720372022</v>
          </cell>
          <cell r="I756">
            <v>171.68653462404521</v>
          </cell>
          <cell r="J756">
            <v>168.62802944524674</v>
          </cell>
          <cell r="K756">
            <v>167.55742717928359</v>
          </cell>
          <cell r="L756">
            <v>151.418225049998</v>
          </cell>
          <cell r="M756">
            <v>152.57613067141779</v>
          </cell>
          <cell r="N756">
            <v>171.84405437768214</v>
          </cell>
          <cell r="O756">
            <v>163.49725276823696</v>
          </cell>
          <cell r="P756">
            <v>0</v>
          </cell>
          <cell r="Q756">
            <v>0</v>
          </cell>
        </row>
        <row r="757">
          <cell r="E757">
            <v>0</v>
          </cell>
          <cell r="F757">
            <v>0</v>
          </cell>
          <cell r="G757">
            <v>27.981391497618347</v>
          </cell>
          <cell r="H757">
            <v>14.639989352477158</v>
          </cell>
          <cell r="I757">
            <v>-23.360198230189837</v>
          </cell>
          <cell r="J757">
            <v>-73.738529494060856</v>
          </cell>
          <cell r="K757">
            <v>-44.340373077397913</v>
          </cell>
          <cell r="L757">
            <v>-20.840306324945431</v>
          </cell>
          <cell r="M757">
            <v>-31.647427524477791</v>
          </cell>
          <cell r="N757">
            <v>-36.94626918238518</v>
          </cell>
          <cell r="O757">
            <v>-32.419914351459852</v>
          </cell>
          <cell r="P757">
            <v>0</v>
          </cell>
          <cell r="Q757">
            <v>0</v>
          </cell>
        </row>
        <row r="758">
          <cell r="E758">
            <v>0</v>
          </cell>
          <cell r="F758">
            <v>0</v>
          </cell>
          <cell r="G758">
            <v>1.1342842716485735</v>
          </cell>
          <cell r="H758">
            <v>1.04147033821376</v>
          </cell>
          <cell r="I758">
            <v>1.1530055133097008</v>
          </cell>
          <cell r="J758">
            <v>1.0223927721191777</v>
          </cell>
          <cell r="K758">
            <v>0.67104453132555797</v>
          </cell>
          <cell r="L758">
            <v>0.76816797349195443</v>
          </cell>
          <cell r="M758">
            <v>0.90072426328673783</v>
          </cell>
          <cell r="N758">
            <v>0.82776301234050342</v>
          </cell>
          <cell r="O758">
            <v>0.81440178032579236</v>
          </cell>
          <cell r="P758">
            <v>0</v>
          </cell>
          <cell r="Q758">
            <v>0</v>
          </cell>
        </row>
        <row r="759">
          <cell r="E759">
            <v>0</v>
          </cell>
          <cell r="F759">
            <v>0</v>
          </cell>
          <cell r="G759">
            <v>0</v>
          </cell>
          <cell r="H759">
            <v>0</v>
          </cell>
          <cell r="I759">
            <v>0</v>
          </cell>
          <cell r="J759">
            <v>0</v>
          </cell>
          <cell r="K759">
            <v>0</v>
          </cell>
          <cell r="L759">
            <v>0</v>
          </cell>
          <cell r="M759">
            <v>0</v>
          </cell>
          <cell r="N759">
            <v>0</v>
          </cell>
          <cell r="O759">
            <v>0</v>
          </cell>
          <cell r="P759">
            <v>0</v>
          </cell>
          <cell r="Q759">
            <v>0</v>
          </cell>
        </row>
        <row r="760">
          <cell r="E760">
            <v>0</v>
          </cell>
          <cell r="F760">
            <v>0</v>
          </cell>
          <cell r="G760">
            <v>0.41259541423922064</v>
          </cell>
          <cell r="H760">
            <v>0.43437756756431606</v>
          </cell>
          <cell r="I760">
            <v>0.39398631996185818</v>
          </cell>
          <cell r="J760">
            <v>0.31916166678882424</v>
          </cell>
          <cell r="K760">
            <v>0.28713626334135239</v>
          </cell>
          <cell r="L760">
            <v>0.38200556806678621</v>
          </cell>
          <cell r="M760">
            <v>0.44755797676667353</v>
          </cell>
          <cell r="N760">
            <v>0.43240903502114048</v>
          </cell>
          <cell r="O760">
            <v>0.42356584592331831</v>
          </cell>
          <cell r="P760">
            <v>0</v>
          </cell>
          <cell r="Q760">
            <v>0</v>
          </cell>
        </row>
        <row r="764">
          <cell r="E764">
            <v>0</v>
          </cell>
          <cell r="F764">
            <v>0</v>
          </cell>
          <cell r="G764">
            <v>1.5397670879375365</v>
          </cell>
          <cell r="H764">
            <v>1.9702551889986215</v>
          </cell>
          <cell r="I764">
            <v>1.5216651454914203</v>
          </cell>
          <cell r="J764">
            <v>1.4361287878376994</v>
          </cell>
          <cell r="K764">
            <v>1.8458457159863542</v>
          </cell>
          <cell r="L764">
            <v>1.5645908946728402</v>
          </cell>
          <cell r="M764">
            <v>1.2571984548052915</v>
          </cell>
          <cell r="N764">
            <v>1.3358245777829496</v>
          </cell>
          <cell r="O764">
            <v>1.502493238014952</v>
          </cell>
          <cell r="P764">
            <v>0</v>
          </cell>
          <cell r="Q764">
            <v>0</v>
          </cell>
        </row>
        <row r="765">
          <cell r="E765">
            <v>0</v>
          </cell>
          <cell r="F765">
            <v>0</v>
          </cell>
          <cell r="G765">
            <v>1.1071097730430748</v>
          </cell>
          <cell r="H765">
            <v>1.5152576404940341</v>
          </cell>
          <cell r="I765">
            <v>1.1800143351433032</v>
          </cell>
          <cell r="J765">
            <v>1.1432885525199974</v>
          </cell>
          <cell r="K765">
            <v>1.482807662115907</v>
          </cell>
          <cell r="L765">
            <v>1.2040817066756551</v>
          </cell>
          <cell r="M765">
            <v>0.86971883517226134</v>
          </cell>
          <cell r="N765">
            <v>0.95305472985561868</v>
          </cell>
          <cell r="O765">
            <v>1.1027412302689006</v>
          </cell>
          <cell r="P765">
            <v>0</v>
          </cell>
          <cell r="Q765">
            <v>0</v>
          </cell>
        </row>
        <row r="766">
          <cell r="E766">
            <v>0</v>
          </cell>
          <cell r="F766">
            <v>0</v>
          </cell>
          <cell r="G766">
            <v>0.19223516178124736</v>
          </cell>
          <cell r="H766">
            <v>7.6214268481550856E-2</v>
          </cell>
          <cell r="I766">
            <v>0.18915169984894253</v>
          </cell>
          <cell r="J766">
            <v>0.55049149476230064</v>
          </cell>
          <cell r="K766">
            <v>0.78693688978371257</v>
          </cell>
          <cell r="L766">
            <v>0.507202239522065</v>
          </cell>
          <cell r="M766">
            <v>0.10597400609144787</v>
          </cell>
          <cell r="N766">
            <v>0.16353510653352446</v>
          </cell>
          <cell r="O766">
            <v>0.32569601325376235</v>
          </cell>
          <cell r="P766">
            <v>0</v>
          </cell>
          <cell r="Q766">
            <v>0</v>
          </cell>
        </row>
        <row r="767">
          <cell r="E767">
            <v>0</v>
          </cell>
          <cell r="F767">
            <v>0</v>
          </cell>
          <cell r="G767">
            <v>1.861313143027552</v>
          </cell>
          <cell r="H767">
            <v>2.1706080328797102</v>
          </cell>
          <cell r="I767">
            <v>1.871346393034826</v>
          </cell>
          <cell r="J767">
            <v>1.5059833402651963</v>
          </cell>
          <cell r="K767">
            <v>1.7225284998610593</v>
          </cell>
          <cell r="L767">
            <v>2.1189081149515276</v>
          </cell>
          <cell r="M767">
            <v>1.9812884061867615</v>
          </cell>
          <cell r="N767">
            <v>1.748165306592824</v>
          </cell>
          <cell r="O767">
            <v>1.863032246566739</v>
          </cell>
          <cell r="P767" t="e">
            <v>#VALUE!</v>
          </cell>
          <cell r="Q767" t="e">
            <v>#VALUE!</v>
          </cell>
        </row>
        <row r="768">
          <cell r="C768" t="str">
            <v>Average Days Payable</v>
          </cell>
          <cell r="E768">
            <v>0</v>
          </cell>
          <cell r="F768">
            <v>0</v>
          </cell>
          <cell r="G768">
            <v>196.09811565951912</v>
          </cell>
          <cell r="H768">
            <v>168.15564785124306</v>
          </cell>
          <cell r="I768">
            <v>195.04673285423505</v>
          </cell>
          <cell r="J768">
            <v>242.36655893930759</v>
          </cell>
          <cell r="K768">
            <v>211.89780025668151</v>
          </cell>
          <cell r="L768">
            <v>172.25853137494343</v>
          </cell>
          <cell r="M768">
            <v>184.22355819589558</v>
          </cell>
          <cell r="N768">
            <v>208.79032356006732</v>
          </cell>
          <cell r="O768">
            <v>195.91716711969681</v>
          </cell>
          <cell r="P768">
            <v>0</v>
          </cell>
          <cell r="Q768">
            <v>0</v>
          </cell>
        </row>
        <row r="769">
          <cell r="E769">
            <v>0</v>
          </cell>
          <cell r="F769">
            <v>0</v>
          </cell>
          <cell r="G769">
            <v>0.30748362337060775</v>
          </cell>
          <cell r="H769">
            <v>0.29303541827181212</v>
          </cell>
          <cell r="I769">
            <v>0.75350772705477631</v>
          </cell>
          <cell r="J769">
            <v>0.93133395635866711</v>
          </cell>
          <cell r="K769">
            <v>0.30317660618998427</v>
          </cell>
          <cell r="L769">
            <v>0.45724997819864333</v>
          </cell>
          <cell r="M769">
            <v>0.51992052395429122</v>
          </cell>
          <cell r="N769">
            <v>0.6588522056390218</v>
          </cell>
          <cell r="O769">
            <v>0.60712910961853239</v>
          </cell>
          <cell r="P769">
            <v>0</v>
          </cell>
          <cell r="Q769">
            <v>0</v>
          </cell>
        </row>
        <row r="774">
          <cell r="E774">
            <v>0</v>
          </cell>
          <cell r="F774">
            <v>0</v>
          </cell>
          <cell r="G774">
            <v>0.43608164216236917</v>
          </cell>
          <cell r="H774">
            <v>0.3274657512319214</v>
          </cell>
          <cell r="I774">
            <v>0.25500062017144365</v>
          </cell>
          <cell r="J774">
            <v>0.30809654606940401</v>
          </cell>
          <cell r="K774">
            <v>0.38281005705840382</v>
          </cell>
          <cell r="L774">
            <v>0.39295459010086414</v>
          </cell>
          <cell r="M774">
            <v>0.3226118409557634</v>
          </cell>
          <cell r="N774">
            <v>0.29446549440379538</v>
          </cell>
          <cell r="O774">
            <v>0.26907884321535469</v>
          </cell>
          <cell r="P774">
            <v>0</v>
          </cell>
          <cell r="Q774">
            <v>0</v>
          </cell>
        </row>
        <row r="775">
          <cell r="E775">
            <v>0</v>
          </cell>
          <cell r="F775">
            <v>0</v>
          </cell>
          <cell r="G775">
            <v>1.0029508911997613</v>
          </cell>
          <cell r="H775">
            <v>0.61351037742595538</v>
          </cell>
          <cell r="I775">
            <v>0.40873947710509712</v>
          </cell>
          <cell r="J775">
            <v>0.54656837232994548</v>
          </cell>
          <cell r="K775">
            <v>0.76065460290305431</v>
          </cell>
          <cell r="L775">
            <v>0.84689464873676867</v>
          </cell>
          <cell r="M775">
            <v>0.64035784768073378</v>
          </cell>
          <cell r="N775">
            <v>0.54185929223195028</v>
          </cell>
          <cell r="O775">
            <v>0.47429933162566845</v>
          </cell>
          <cell r="P775">
            <v>0</v>
          </cell>
          <cell r="Q775">
            <v>0</v>
          </cell>
        </row>
        <row r="776">
          <cell r="E776">
            <v>0</v>
          </cell>
          <cell r="F776">
            <v>0</v>
          </cell>
          <cell r="G776">
            <v>0.50073663593369333</v>
          </cell>
          <cell r="H776">
            <v>0.38023330126000981</v>
          </cell>
          <cell r="I776">
            <v>0.29014554056867942</v>
          </cell>
          <cell r="J776">
            <v>0.35340718335428389</v>
          </cell>
          <cell r="K776">
            <v>0.43202942908214342</v>
          </cell>
          <cell r="L776">
            <v>0.45855059968689843</v>
          </cell>
          <cell r="M776">
            <v>0.39037692207594943</v>
          </cell>
          <cell r="N776">
            <v>0.35143238748301786</v>
          </cell>
          <cell r="O776">
            <v>0.32171169141253836</v>
          </cell>
          <cell r="P776">
            <v>0</v>
          </cell>
          <cell r="Q776">
            <v>0</v>
          </cell>
        </row>
        <row r="777">
          <cell r="E777">
            <v>0</v>
          </cell>
          <cell r="F777">
            <v>0</v>
          </cell>
          <cell r="G777">
            <v>7.0488487196040523</v>
          </cell>
          <cell r="H777">
            <v>7.0631822165564575</v>
          </cell>
          <cell r="I777">
            <v>2.0118937636438754</v>
          </cell>
          <cell r="J777">
            <v>1.9016475955056262</v>
          </cell>
          <cell r="K777">
            <v>8.3155762289181805</v>
          </cell>
          <cell r="L777">
            <v>4.8120616070975917</v>
          </cell>
          <cell r="M777">
            <v>3.0556720988041302</v>
          </cell>
          <cell r="N777">
            <v>2.3663155459400533</v>
          </cell>
          <cell r="O777">
            <v>2.3616640356574128</v>
          </cell>
          <cell r="P777">
            <v>0</v>
          </cell>
          <cell r="Q777">
            <v>0</v>
          </cell>
        </row>
        <row r="780">
          <cell r="E780">
            <v>0</v>
          </cell>
          <cell r="F780">
            <v>0</v>
          </cell>
          <cell r="G780">
            <v>0.39740395896258229</v>
          </cell>
          <cell r="H780">
            <v>0.31540757450015161</v>
          </cell>
          <cell r="I780">
            <v>0.22318365661757036</v>
          </cell>
          <cell r="J780">
            <v>0.2123326146728893</v>
          </cell>
          <cell r="K780">
            <v>0.26331905388073695</v>
          </cell>
          <cell r="L780">
            <v>0.3023732677685374</v>
          </cell>
          <cell r="M780">
            <v>0.30109215420741142</v>
          </cell>
          <cell r="N780">
            <v>0.26357785287226104</v>
          </cell>
          <cell r="O780">
            <v>0.20795750950971859</v>
          </cell>
          <cell r="P780">
            <v>0</v>
          </cell>
          <cell r="Q780">
            <v>0</v>
          </cell>
        </row>
        <row r="781">
          <cell r="E781">
            <v>0</v>
          </cell>
          <cell r="F781">
            <v>0</v>
          </cell>
          <cell r="G781">
            <v>0.91399549137505454</v>
          </cell>
          <cell r="H781">
            <v>0.59091926208046819</v>
          </cell>
          <cell r="I781">
            <v>0.35774019311379307</v>
          </cell>
          <cell r="J781">
            <v>0.37668157295141957</v>
          </cell>
          <cell r="K781">
            <v>0.5232225399342153</v>
          </cell>
          <cell r="L781">
            <v>0.65167403268783253</v>
          </cell>
          <cell r="M781">
            <v>0.59764304760360998</v>
          </cell>
          <cell r="N781">
            <v>0.48502154418653559</v>
          </cell>
          <cell r="O781">
            <v>0.36656210718156407</v>
          </cell>
          <cell r="P781">
            <v>0</v>
          </cell>
          <cell r="Q781">
            <v>0</v>
          </cell>
        </row>
        <row r="782">
          <cell r="E782">
            <v>0</v>
          </cell>
          <cell r="F782">
            <v>0</v>
          </cell>
          <cell r="G782">
            <v>0.4563244637653468</v>
          </cell>
          <cell r="H782">
            <v>0.36623208028148285</v>
          </cell>
          <cell r="I782">
            <v>0.2539434713996479</v>
          </cell>
          <cell r="J782">
            <v>0.24355959923319714</v>
          </cell>
          <cell r="K782">
            <v>0.29717500472352737</v>
          </cell>
          <cell r="L782">
            <v>0.3528485141984477</v>
          </cell>
          <cell r="M782">
            <v>0.36433699418002274</v>
          </cell>
          <cell r="N782">
            <v>0.31456926493236148</v>
          </cell>
          <cell r="O782">
            <v>0.24863479167243904</v>
          </cell>
          <cell r="P782">
            <v>0</v>
          </cell>
          <cell r="Q782">
            <v>0</v>
          </cell>
        </row>
        <row r="783">
          <cell r="E783">
            <v>0</v>
          </cell>
          <cell r="F783">
            <v>0</v>
          </cell>
          <cell r="G783">
            <v>6.4236604260813506</v>
          </cell>
          <cell r="H783">
            <v>6.8030966988022303</v>
          </cell>
          <cell r="I783">
            <v>1.7608655484611635</v>
          </cell>
          <cell r="J783">
            <v>1.3105690774253727</v>
          </cell>
          <cell r="K783">
            <v>5.7199376680373257</v>
          </cell>
          <cell r="L783">
            <v>3.7028166345331073</v>
          </cell>
          <cell r="M783">
            <v>2.8518447805719989</v>
          </cell>
          <cell r="N783">
            <v>2.1181034201645748</v>
          </cell>
          <cell r="O783">
            <v>1.8252113963524028</v>
          </cell>
          <cell r="P783">
            <v>0</v>
          </cell>
          <cell r="Q783">
            <v>0</v>
          </cell>
        </row>
        <row r="787">
          <cell r="E787">
            <v>0</v>
          </cell>
          <cell r="F787">
            <v>0</v>
          </cell>
          <cell r="G787">
            <v>0</v>
          </cell>
          <cell r="H787">
            <v>0</v>
          </cell>
          <cell r="I787">
            <v>0</v>
          </cell>
          <cell r="J787">
            <v>0</v>
          </cell>
          <cell r="K787">
            <v>0</v>
          </cell>
          <cell r="L787">
            <v>0</v>
          </cell>
          <cell r="M787">
            <v>0</v>
          </cell>
          <cell r="N787">
            <v>0</v>
          </cell>
          <cell r="O787">
            <v>0</v>
          </cell>
          <cell r="P787">
            <v>0</v>
          </cell>
          <cell r="Q787">
            <v>0</v>
          </cell>
        </row>
        <row r="788">
          <cell r="E788">
            <v>0</v>
          </cell>
          <cell r="F788">
            <v>0</v>
          </cell>
          <cell r="G788">
            <v>0</v>
          </cell>
          <cell r="H788">
            <v>0</v>
          </cell>
          <cell r="I788">
            <v>0</v>
          </cell>
          <cell r="J788">
            <v>0</v>
          </cell>
          <cell r="K788">
            <v>0</v>
          </cell>
          <cell r="L788">
            <v>0</v>
          </cell>
          <cell r="M788">
            <v>0</v>
          </cell>
          <cell r="N788">
            <v>0</v>
          </cell>
          <cell r="O788">
            <v>0</v>
          </cell>
          <cell r="P788">
            <v>0</v>
          </cell>
          <cell r="Q788">
            <v>0</v>
          </cell>
        </row>
        <row r="789">
          <cell r="E789">
            <v>0</v>
          </cell>
          <cell r="F789">
            <v>0</v>
          </cell>
          <cell r="G789">
            <v>0</v>
          </cell>
          <cell r="H789">
            <v>0</v>
          </cell>
          <cell r="I789">
            <v>0</v>
          </cell>
          <cell r="J789">
            <v>0</v>
          </cell>
          <cell r="K789">
            <v>0</v>
          </cell>
          <cell r="L789">
            <v>0</v>
          </cell>
          <cell r="M789">
            <v>0</v>
          </cell>
          <cell r="N789">
            <v>0</v>
          </cell>
          <cell r="O789">
            <v>0</v>
          </cell>
          <cell r="P789">
            <v>0</v>
          </cell>
          <cell r="Q789">
            <v>0</v>
          </cell>
        </row>
        <row r="790">
          <cell r="E790">
            <v>0</v>
          </cell>
          <cell r="F790">
            <v>0</v>
          </cell>
          <cell r="G790">
            <v>0</v>
          </cell>
          <cell r="H790">
            <v>0</v>
          </cell>
          <cell r="I790">
            <v>0</v>
          </cell>
          <cell r="J790">
            <v>0</v>
          </cell>
          <cell r="K790">
            <v>0</v>
          </cell>
          <cell r="L790">
            <v>0</v>
          </cell>
          <cell r="M790">
            <v>0</v>
          </cell>
          <cell r="N790">
            <v>0</v>
          </cell>
          <cell r="O790">
            <v>0</v>
          </cell>
          <cell r="P790">
            <v>0</v>
          </cell>
          <cell r="Q790">
            <v>0</v>
          </cell>
        </row>
        <row r="791">
          <cell r="E791">
            <v>0</v>
          </cell>
          <cell r="F791">
            <v>0</v>
          </cell>
          <cell r="G791">
            <v>0</v>
          </cell>
          <cell r="H791">
            <v>0</v>
          </cell>
          <cell r="I791">
            <v>0</v>
          </cell>
          <cell r="J791">
            <v>0</v>
          </cell>
          <cell r="K791">
            <v>0</v>
          </cell>
          <cell r="L791">
            <v>0</v>
          </cell>
          <cell r="M791">
            <v>0</v>
          </cell>
          <cell r="N791">
            <v>0</v>
          </cell>
          <cell r="O791">
            <v>0</v>
          </cell>
          <cell r="P791">
            <v>0</v>
          </cell>
          <cell r="Q791">
            <v>0</v>
          </cell>
        </row>
        <row r="792">
          <cell r="E792">
            <v>0</v>
          </cell>
          <cell r="F792">
            <v>0</v>
          </cell>
          <cell r="G792">
            <v>0</v>
          </cell>
          <cell r="H792">
            <v>0</v>
          </cell>
          <cell r="I792">
            <v>0</v>
          </cell>
          <cell r="J792">
            <v>0</v>
          </cell>
          <cell r="K792">
            <v>0</v>
          </cell>
          <cell r="L792">
            <v>0</v>
          </cell>
          <cell r="M792">
            <v>0</v>
          </cell>
          <cell r="N792">
            <v>0</v>
          </cell>
          <cell r="O792">
            <v>0</v>
          </cell>
          <cell r="P792">
            <v>0</v>
          </cell>
          <cell r="Q792">
            <v>0</v>
          </cell>
        </row>
        <row r="793">
          <cell r="E793">
            <v>0</v>
          </cell>
          <cell r="F793">
            <v>0</v>
          </cell>
          <cell r="G793">
            <v>0</v>
          </cell>
          <cell r="H793">
            <v>0</v>
          </cell>
          <cell r="I793">
            <v>0</v>
          </cell>
          <cell r="J793">
            <v>0</v>
          </cell>
          <cell r="K793">
            <v>0</v>
          </cell>
          <cell r="L793">
            <v>0</v>
          </cell>
          <cell r="M793">
            <v>0</v>
          </cell>
          <cell r="N793">
            <v>0</v>
          </cell>
          <cell r="O793">
            <v>0</v>
          </cell>
          <cell r="P793">
            <v>0</v>
          </cell>
          <cell r="Q793">
            <v>0</v>
          </cell>
        </row>
        <row r="794">
          <cell r="E794">
            <v>0</v>
          </cell>
          <cell r="F794">
            <v>0</v>
          </cell>
          <cell r="G794">
            <v>0</v>
          </cell>
          <cell r="H794">
            <v>0</v>
          </cell>
          <cell r="I794">
            <v>0</v>
          </cell>
          <cell r="J794">
            <v>0</v>
          </cell>
          <cell r="K794">
            <v>0</v>
          </cell>
          <cell r="L794">
            <v>0</v>
          </cell>
          <cell r="M794">
            <v>0</v>
          </cell>
          <cell r="N794">
            <v>0</v>
          </cell>
          <cell r="O794">
            <v>0</v>
          </cell>
          <cell r="P794">
            <v>0</v>
          </cell>
          <cell r="Q794">
            <v>0</v>
          </cell>
        </row>
        <row r="795">
          <cell r="E795">
            <v>0</v>
          </cell>
          <cell r="F795">
            <v>0</v>
          </cell>
          <cell r="G795">
            <v>0</v>
          </cell>
          <cell r="H795">
            <v>0</v>
          </cell>
          <cell r="I795">
            <v>0</v>
          </cell>
          <cell r="J795">
            <v>0</v>
          </cell>
          <cell r="K795">
            <v>0</v>
          </cell>
          <cell r="L795">
            <v>0</v>
          </cell>
          <cell r="M795">
            <v>0</v>
          </cell>
          <cell r="N795">
            <v>0</v>
          </cell>
          <cell r="O795">
            <v>0</v>
          </cell>
          <cell r="P795">
            <v>0</v>
          </cell>
          <cell r="Q795">
            <v>0</v>
          </cell>
        </row>
        <row r="799">
          <cell r="E799">
            <v>0</v>
          </cell>
          <cell r="F799">
            <v>1.5541733363823438</v>
          </cell>
          <cell r="G799">
            <v>1.9067120100232668</v>
          </cell>
          <cell r="H799">
            <v>2.9671632845277824</v>
          </cell>
          <cell r="I799">
            <v>3.6914847942756985</v>
          </cell>
          <cell r="J799">
            <v>10.386185311144414</v>
          </cell>
          <cell r="K799">
            <v>5.9572670023660494</v>
          </cell>
          <cell r="L799">
            <v>3.8706438365968787</v>
          </cell>
          <cell r="M799">
            <v>5.3522946332822636</v>
          </cell>
          <cell r="N799">
            <v>7.661840821556174</v>
          </cell>
          <cell r="O799">
            <v>7.7360567678627579</v>
          </cell>
          <cell r="P799">
            <v>0</v>
          </cell>
          <cell r="Q799">
            <v>0</v>
          </cell>
        </row>
        <row r="800">
          <cell r="E800">
            <v>0</v>
          </cell>
          <cell r="F800">
            <v>1.7469471758518156</v>
          </cell>
          <cell r="G800">
            <v>2.1517809199928393</v>
          </cell>
          <cell r="H800">
            <v>3.463781145646029</v>
          </cell>
          <cell r="I800">
            <v>4.8098389982112977</v>
          </cell>
          <cell r="J800">
            <v>12.855304293887375</v>
          </cell>
          <cell r="K800">
            <v>7.738160483650832</v>
          </cell>
          <cell r="L800">
            <v>4.4991879983036469</v>
          </cell>
          <cell r="M800">
            <v>5.8921723632740512</v>
          </cell>
          <cell r="N800">
            <v>8.1005503887822474</v>
          </cell>
          <cell r="O800">
            <v>8.4029993359848199</v>
          </cell>
          <cell r="P800">
            <v>0</v>
          </cell>
          <cell r="Q800">
            <v>0</v>
          </cell>
        </row>
        <row r="801">
          <cell r="E801">
            <v>0</v>
          </cell>
          <cell r="F801">
            <v>0</v>
          </cell>
          <cell r="G801">
            <v>0.11696457357232877</v>
          </cell>
          <cell r="H801">
            <v>8.8477607869726776E-2</v>
          </cell>
          <cell r="I801">
            <v>9.9831768290287198E-2</v>
          </cell>
          <cell r="J801">
            <v>2.9227631305332735E-2</v>
          </cell>
          <cell r="K801">
            <v>2.8296211174729875E-2</v>
          </cell>
          <cell r="L801">
            <v>5.4875810474476615E-2</v>
          </cell>
          <cell r="M801">
            <v>6.3707871710239589E-2</v>
          </cell>
          <cell r="N801">
            <v>5.5778854284541504E-2</v>
          </cell>
          <cell r="O801">
            <v>5.4014553421140199E-2</v>
          </cell>
          <cell r="P801">
            <v>0</v>
          </cell>
          <cell r="Q801">
            <v>0</v>
          </cell>
        </row>
        <row r="802">
          <cell r="E802">
            <v>0</v>
          </cell>
          <cell r="F802">
            <v>0</v>
          </cell>
          <cell r="G802">
            <v>0.21920457560659198</v>
          </cell>
          <cell r="H802">
            <v>0.48794806002643593</v>
          </cell>
          <cell r="I802">
            <v>2.5072406574929791</v>
          </cell>
          <cell r="J802">
            <v>1.53769819491074</v>
          </cell>
          <cell r="K802">
            <v>0.16729473166330372</v>
          </cell>
          <cell r="L802">
            <v>1.0989915790381901</v>
          </cell>
          <cell r="M802">
            <v>1.0248561874716695</v>
          </cell>
          <cell r="N802">
            <v>1.3300180911855093</v>
          </cell>
          <cell r="O802">
            <v>1.9133895188050105</v>
          </cell>
          <cell r="P802">
            <v>0</v>
          </cell>
          <cell r="Q802">
            <v>0</v>
          </cell>
        </row>
        <row r="803">
          <cell r="E803">
            <v>0</v>
          </cell>
          <cell r="F803">
            <v>3.4194906335508204</v>
          </cell>
          <cell r="G803">
            <v>3.7836340054238846</v>
          </cell>
          <cell r="H803">
            <v>4.1536682327430396</v>
          </cell>
          <cell r="I803">
            <v>5.3377144577107343</v>
          </cell>
          <cell r="J803">
            <v>4.624037102747045</v>
          </cell>
          <cell r="K803">
            <v>3.3499726242241028</v>
          </cell>
          <cell r="L803">
            <v>3.6304321881114432</v>
          </cell>
          <cell r="M803">
            <v>5.8019548438493596</v>
          </cell>
          <cell r="N803">
            <v>6.9778094706606115</v>
          </cell>
          <cell r="O803">
            <v>7.1241165256105692</v>
          </cell>
          <cell r="P803">
            <v>-6.7578058392527687E-2</v>
          </cell>
          <cell r="Q803">
            <v>0</v>
          </cell>
        </row>
        <row r="804">
          <cell r="E804">
            <v>0</v>
          </cell>
          <cell r="F804">
            <v>2.3387827577761491</v>
          </cell>
          <cell r="G804">
            <v>1.8682206682206692</v>
          </cell>
          <cell r="H804">
            <v>1.4058802064327793</v>
          </cell>
          <cell r="I804">
            <v>1.262478283326276</v>
          </cell>
          <cell r="J804">
            <v>1.0843504287372532</v>
          </cell>
          <cell r="K804">
            <v>1.1484084569410826</v>
          </cell>
          <cell r="L804">
            <v>1.2857805869489678</v>
          </cell>
          <cell r="M804">
            <v>1.2044081699792681</v>
          </cell>
          <cell r="N804">
            <v>1.1408341530228197</v>
          </cell>
          <cell r="O804">
            <v>1.1350803849379205</v>
          </cell>
          <cell r="P804">
            <v>0</v>
          </cell>
          <cell r="Q804">
            <v>0</v>
          </cell>
        </row>
        <row r="805">
          <cell r="C805" t="str">
            <v>Dividend Payout Ratio</v>
          </cell>
          <cell r="E805">
            <v>0</v>
          </cell>
          <cell r="F805">
            <v>0.29244121629939773</v>
          </cell>
          <cell r="G805">
            <v>0.2642961762597778</v>
          </cell>
          <cell r="H805">
            <v>0.24075105279643635</v>
          </cell>
          <cell r="I805">
            <v>0.18734610251685982</v>
          </cell>
          <cell r="J805">
            <v>0.21626124050906093</v>
          </cell>
          <cell r="K805">
            <v>0.2985099020716962</v>
          </cell>
          <cell r="L805">
            <v>0.27544929864678219</v>
          </cell>
          <cell r="M805">
            <v>0.17235570198552957</v>
          </cell>
          <cell r="N805">
            <v>0.14331145099399323</v>
          </cell>
          <cell r="O805">
            <v>0.14036828235544554</v>
          </cell>
          <cell r="P805">
            <v>-14.797702446428573</v>
          </cell>
          <cell r="Q805">
            <v>0</v>
          </cell>
        </row>
        <row r="806">
          <cell r="C806" t="str">
            <v>Retention Rate (RR)</v>
          </cell>
          <cell r="E806">
            <v>0</v>
          </cell>
          <cell r="F806">
            <v>0.70755878370060232</v>
          </cell>
          <cell r="G806">
            <v>0.73570382374022225</v>
          </cell>
          <cell r="H806">
            <v>0.75924894720356362</v>
          </cell>
          <cell r="I806">
            <v>0.81265389748314021</v>
          </cell>
          <cell r="J806">
            <v>0.78373875949093907</v>
          </cell>
          <cell r="K806">
            <v>0.70149009792830386</v>
          </cell>
          <cell r="L806">
            <v>0.72455070135321775</v>
          </cell>
          <cell r="M806">
            <v>0.82764429801447048</v>
          </cell>
          <cell r="N806">
            <v>0.85668854900600677</v>
          </cell>
          <cell r="O806">
            <v>0.85963171764455448</v>
          </cell>
          <cell r="P806">
            <v>15.797702446428573</v>
          </cell>
          <cell r="Q806">
            <v>0</v>
          </cell>
        </row>
        <row r="807">
          <cell r="C807" t="str">
            <v>Cash Tax Rate</v>
          </cell>
          <cell r="E807">
            <v>0</v>
          </cell>
          <cell r="F807">
            <v>0</v>
          </cell>
          <cell r="G807">
            <v>0</v>
          </cell>
          <cell r="H807">
            <v>0</v>
          </cell>
          <cell r="I807">
            <v>0</v>
          </cell>
          <cell r="J807">
            <v>0</v>
          </cell>
          <cell r="K807">
            <v>0.129</v>
          </cell>
          <cell r="L807">
            <v>0.129</v>
          </cell>
          <cell r="M807">
            <v>0.129</v>
          </cell>
          <cell r="N807">
            <v>0.129</v>
          </cell>
          <cell r="O807">
            <v>0.129</v>
          </cell>
          <cell r="P807">
            <v>0</v>
          </cell>
          <cell r="Q807">
            <v>0</v>
          </cell>
        </row>
        <row r="808">
          <cell r="E808">
            <v>0</v>
          </cell>
          <cell r="F808">
            <v>0</v>
          </cell>
          <cell r="G808">
            <v>0</v>
          </cell>
          <cell r="H808">
            <v>0</v>
          </cell>
          <cell r="I808">
            <v>0</v>
          </cell>
          <cell r="J808">
            <v>0</v>
          </cell>
          <cell r="K808">
            <v>0.129</v>
          </cell>
          <cell r="L808">
            <v>0.12900000000000003</v>
          </cell>
          <cell r="M808">
            <v>0.129</v>
          </cell>
          <cell r="N808">
            <v>0.129</v>
          </cell>
          <cell r="O808">
            <v>0.129</v>
          </cell>
          <cell r="P808">
            <v>0</v>
          </cell>
          <cell r="Q808">
            <v>0</v>
          </cell>
        </row>
        <row r="809">
          <cell r="E809">
            <v>0</v>
          </cell>
          <cell r="F809">
            <v>0</v>
          </cell>
          <cell r="G809">
            <v>0</v>
          </cell>
          <cell r="H809">
            <v>0</v>
          </cell>
          <cell r="I809">
            <v>0</v>
          </cell>
          <cell r="J809">
            <v>0</v>
          </cell>
          <cell r="K809">
            <v>0.129</v>
          </cell>
          <cell r="L809">
            <v>0.12900000000000003</v>
          </cell>
          <cell r="M809">
            <v>0.129</v>
          </cell>
          <cell r="N809">
            <v>0.129</v>
          </cell>
          <cell r="O809">
            <v>0.129</v>
          </cell>
          <cell r="P809">
            <v>0</v>
          </cell>
          <cell r="Q809">
            <v>0</v>
          </cell>
        </row>
        <row r="814">
          <cell r="C814" t="str">
            <v>Net Assets</v>
          </cell>
          <cell r="E814">
            <v>0</v>
          </cell>
          <cell r="F814">
            <v>0</v>
          </cell>
          <cell r="G814">
            <v>40245.599999999999</v>
          </cell>
          <cell r="H814">
            <v>52332.499999999993</v>
          </cell>
          <cell r="I814">
            <v>69943.899999999994</v>
          </cell>
          <cell r="J814">
            <v>101325.70000000056</v>
          </cell>
          <cell r="K814">
            <v>129993.01890423725</v>
          </cell>
          <cell r="L814">
            <v>159416.24454123844</v>
          </cell>
          <cell r="M814">
            <v>183998.88218658982</v>
          </cell>
          <cell r="N814">
            <v>192433.01341504924</v>
          </cell>
          <cell r="O814">
            <v>214823.83363745152</v>
          </cell>
          <cell r="P814">
            <v>0</v>
          </cell>
          <cell r="Q814">
            <v>0</v>
          </cell>
        </row>
        <row r="815">
          <cell r="C815" t="str">
            <v>Total Assets</v>
          </cell>
          <cell r="E815">
            <v>0</v>
          </cell>
          <cell r="F815">
            <v>0</v>
          </cell>
          <cell r="G815">
            <v>48802.1</v>
          </cell>
          <cell r="H815">
            <v>60091.499999999993</v>
          </cell>
          <cell r="I815">
            <v>81214.599999999991</v>
          </cell>
          <cell r="J815">
            <v>115290.70000000056</v>
          </cell>
          <cell r="K815">
            <v>149110.61890423723</v>
          </cell>
          <cell r="L815">
            <v>179913.00867276586</v>
          </cell>
          <cell r="M815">
            <v>214713.86234914017</v>
          </cell>
          <cell r="N815">
            <v>232853.84460847321</v>
          </cell>
          <cell r="O815">
            <v>256383.35960660237</v>
          </cell>
          <cell r="P815">
            <v>0</v>
          </cell>
          <cell r="Q815">
            <v>0</v>
          </cell>
        </row>
        <row r="816">
          <cell r="C816" t="str">
            <v>Total Equity</v>
          </cell>
          <cell r="E816">
            <v>0</v>
          </cell>
          <cell r="F816">
            <v>0</v>
          </cell>
          <cell r="G816">
            <v>18628.8</v>
          </cell>
          <cell r="H816">
            <v>26072.699999999997</v>
          </cell>
          <cell r="I816">
            <v>43293.9</v>
          </cell>
          <cell r="J816">
            <v>71871.500000000582</v>
          </cell>
          <cell r="K816">
            <v>82052.552237570577</v>
          </cell>
          <cell r="L816">
            <v>88543.735425667866</v>
          </cell>
          <cell r="M816">
            <v>97626.084418210143</v>
          </cell>
          <cell r="N816">
            <v>115311.60593228247</v>
          </cell>
          <cell r="O816">
            <v>137327.78089398734</v>
          </cell>
          <cell r="P816">
            <v>0</v>
          </cell>
          <cell r="Q816">
            <v>0</v>
          </cell>
        </row>
        <row r="817">
          <cell r="C817" t="str">
            <v>Operating Capital</v>
          </cell>
          <cell r="E817">
            <v>0</v>
          </cell>
          <cell r="F817">
            <v>0</v>
          </cell>
          <cell r="G817">
            <v>18969.299999999996</v>
          </cell>
          <cell r="H817">
            <v>37743.099999999991</v>
          </cell>
          <cell r="I817">
            <v>46096.099999999991</v>
          </cell>
          <cell r="J817">
            <v>50640.700000000557</v>
          </cell>
          <cell r="K817">
            <v>65577.018904237208</v>
          </cell>
          <cell r="L817">
            <v>123274.19079723845</v>
          </cell>
          <cell r="M817">
            <v>132181.07844258985</v>
          </cell>
          <cell r="N817">
            <v>138515.20967104926</v>
          </cell>
          <cell r="O817">
            <v>159206.02989345152</v>
          </cell>
          <cell r="P817">
            <v>0</v>
          </cell>
          <cell r="Q817">
            <v>0</v>
          </cell>
        </row>
        <row r="818">
          <cell r="E818">
            <v>0</v>
          </cell>
          <cell r="F818">
            <v>0</v>
          </cell>
          <cell r="G818">
            <v>40245.599999999991</v>
          </cell>
          <cell r="H818">
            <v>52332.499999999993</v>
          </cell>
          <cell r="I818">
            <v>69943.899999999994</v>
          </cell>
          <cell r="J818">
            <v>101325.70000000056</v>
          </cell>
          <cell r="K818">
            <v>129993.01890423721</v>
          </cell>
          <cell r="L818">
            <v>159416.24454123847</v>
          </cell>
          <cell r="M818">
            <v>183998.88218658985</v>
          </cell>
          <cell r="N818">
            <v>192433.01341504927</v>
          </cell>
          <cell r="O818">
            <v>214823.83363745152</v>
          </cell>
          <cell r="P818">
            <v>0</v>
          </cell>
          <cell r="Q818">
            <v>0</v>
          </cell>
        </row>
        <row r="820">
          <cell r="B820">
            <v>0</v>
          </cell>
        </row>
        <row r="822">
          <cell r="C822" t="str">
            <v xml:space="preserve">  1 - EBIT / REVENUE - Operating Margin</v>
          </cell>
          <cell r="E822">
            <v>0</v>
          </cell>
          <cell r="F822">
            <v>0</v>
          </cell>
          <cell r="G822">
            <v>0.26757773375770649</v>
          </cell>
          <cell r="H822">
            <v>0.26362572946976376</v>
          </cell>
          <cell r="I822">
            <v>0.34728572830934418</v>
          </cell>
          <cell r="J822">
            <v>0.33544809828374905</v>
          </cell>
          <cell r="K822">
            <v>0.26609815483202187</v>
          </cell>
          <cell r="L822">
            <v>0.25098393500247007</v>
          </cell>
          <cell r="M822">
            <v>0.29888588301466801</v>
          </cell>
          <cell r="N822">
            <v>0.32169566003161576</v>
          </cell>
          <cell r="O822">
            <v>0.30121390086331618</v>
          </cell>
          <cell r="P822">
            <v>0</v>
          </cell>
          <cell r="Q822">
            <v>0</v>
          </cell>
        </row>
        <row r="823">
          <cell r="C823" t="str">
            <v xml:space="preserve">  2 - REVENUE / ASSETS - Asset Turnover</v>
          </cell>
          <cell r="E823">
            <v>0</v>
          </cell>
          <cell r="F823">
            <v>0</v>
          </cell>
          <cell r="G823">
            <v>0.46031830597453793</v>
          </cell>
          <cell r="H823">
            <v>0.5107228143747452</v>
          </cell>
          <cell r="I823">
            <v>0.47664089954270022</v>
          </cell>
          <cell r="J823">
            <v>0.36597386277748156</v>
          </cell>
          <cell r="K823">
            <v>0.31679371887709584</v>
          </cell>
          <cell r="L823">
            <v>0.41895153427546772</v>
          </cell>
          <cell r="M823">
            <v>0.46646382120015695</v>
          </cell>
          <cell r="N823">
            <v>0.45425616168543054</v>
          </cell>
          <cell r="O823">
            <v>0.4474911702029174</v>
          </cell>
          <cell r="P823">
            <v>0</v>
          </cell>
          <cell r="Q823">
            <v>0</v>
          </cell>
        </row>
        <row r="824">
          <cell r="C824" t="str">
            <v xml:space="preserve">  3 - ASSETS / EQUITY - Equity Multiplier</v>
          </cell>
          <cell r="E824">
            <v>0</v>
          </cell>
          <cell r="F824">
            <v>0</v>
          </cell>
          <cell r="G824">
            <v>2.6197124881903289</v>
          </cell>
          <cell r="H824">
            <v>2.3047670551956645</v>
          </cell>
          <cell r="I824">
            <v>1.875890136947699</v>
          </cell>
          <cell r="J824">
            <v>1.6041226355370297</v>
          </cell>
          <cell r="K824">
            <v>1.8172575360302055</v>
          </cell>
          <cell r="L824">
            <v>2.0319112109721433</v>
          </cell>
          <cell r="M824">
            <v>2.1993493196895</v>
          </cell>
          <cell r="N824">
            <v>2.0193443905830106</v>
          </cell>
          <cell r="O824">
            <v>1.8669446046355482</v>
          </cell>
          <cell r="P824">
            <v>0</v>
          </cell>
          <cell r="Q824">
            <v>0</v>
          </cell>
        </row>
        <row r="825">
          <cell r="C825" t="str">
            <v xml:space="preserve">  4 - EBT / EBIT - Interest Burden</v>
          </cell>
          <cell r="E825">
            <v>0</v>
          </cell>
          <cell r="F825">
            <v>0</v>
          </cell>
          <cell r="G825">
            <v>0.53526867409748768</v>
          </cell>
          <cell r="H825">
            <v>0.71129815714338662</v>
          </cell>
          <cell r="I825">
            <v>0.79209283296761412</v>
          </cell>
          <cell r="J825">
            <v>0.92221109845875104</v>
          </cell>
          <cell r="K825">
            <v>0.87077032039942859</v>
          </cell>
          <cell r="L825">
            <v>0.77773767169163954</v>
          </cell>
          <cell r="M825">
            <v>0.83028330837145792</v>
          </cell>
          <cell r="N825">
            <v>0.87655159810069028</v>
          </cell>
          <cell r="O825">
            <v>0.88099487337603111</v>
          </cell>
          <cell r="P825">
            <v>0</v>
          </cell>
          <cell r="Q825">
            <v>0</v>
          </cell>
        </row>
        <row r="826">
          <cell r="C826" t="str">
            <v xml:space="preserve">  5 - EAT / EBT - Tax Burden Ratio</v>
          </cell>
          <cell r="E826">
            <v>0</v>
          </cell>
          <cell r="F826">
            <v>0</v>
          </cell>
          <cell r="G826">
            <v>1</v>
          </cell>
          <cell r="H826">
            <v>1</v>
          </cell>
          <cell r="I826">
            <v>1</v>
          </cell>
          <cell r="J826">
            <v>1</v>
          </cell>
          <cell r="K826">
            <v>0.871</v>
          </cell>
          <cell r="L826">
            <v>0.871</v>
          </cell>
          <cell r="M826">
            <v>0.871</v>
          </cell>
          <cell r="N826">
            <v>0.871</v>
          </cell>
          <cell r="O826">
            <v>0.871</v>
          </cell>
          <cell r="P826">
            <v>0</v>
          </cell>
          <cell r="Q826">
            <v>0</v>
          </cell>
        </row>
        <row r="827">
          <cell r="C827" t="str">
            <v xml:space="preserve">  6 - NOPBT /  REVENUE - Operating Margin</v>
          </cell>
          <cell r="E827">
            <v>0</v>
          </cell>
          <cell r="F827">
            <v>0</v>
          </cell>
          <cell r="G827">
            <v>0.23710298470920771</v>
          </cell>
          <cell r="H827">
            <v>0.22582852450790308</v>
          </cell>
          <cell r="I827">
            <v>0.26653698508404561</v>
          </cell>
          <cell r="J827">
            <v>0.27101856411929798</v>
          </cell>
          <cell r="K827">
            <v>0.20485718285638302</v>
          </cell>
          <cell r="L827">
            <v>0.21592105541453721</v>
          </cell>
          <cell r="M827">
            <v>0.27150008672426768</v>
          </cell>
          <cell r="N827">
            <v>0.30427326809311039</v>
          </cell>
          <cell r="O827">
            <v>0.27730667862475822</v>
          </cell>
          <cell r="P827">
            <v>0</v>
          </cell>
          <cell r="Q827">
            <v>0</v>
          </cell>
        </row>
        <row r="828">
          <cell r="C828" t="str">
            <v xml:space="preserve">  7 - REVENUE / OP CAPITAL - Op Capital T/O</v>
          </cell>
          <cell r="E828">
            <v>0</v>
          </cell>
          <cell r="F828">
            <v>0</v>
          </cell>
          <cell r="G828">
            <v>1.184255613016822</v>
          </cell>
          <cell r="H828">
            <v>0.81313140680018337</v>
          </cell>
          <cell r="I828">
            <v>0.8397716943515956</v>
          </cell>
          <cell r="J828">
            <v>0.83319114509316694</v>
          </cell>
          <cell r="K828">
            <v>0.72033325509535329</v>
          </cell>
          <cell r="L828">
            <v>0.61144048508537696</v>
          </cell>
          <cell r="M828">
            <v>0.75772001466552752</v>
          </cell>
          <cell r="N828">
            <v>0.76363667164594828</v>
          </cell>
          <cell r="O828">
            <v>0.72063407201157115</v>
          </cell>
          <cell r="P828">
            <v>0</v>
          </cell>
          <cell r="Q828">
            <v>0</v>
          </cell>
        </row>
        <row r="829">
          <cell r="C829" t="str">
            <v xml:space="preserve">  8 - NOPAT /  NOPBT - Cash Tax Burden Ratio</v>
          </cell>
          <cell r="E829">
            <v>0</v>
          </cell>
          <cell r="F829">
            <v>0</v>
          </cell>
          <cell r="G829">
            <v>1</v>
          </cell>
          <cell r="H829">
            <v>1</v>
          </cell>
          <cell r="I829">
            <v>1</v>
          </cell>
          <cell r="J829">
            <v>1</v>
          </cell>
          <cell r="K829">
            <v>0.87099999999999989</v>
          </cell>
          <cell r="L829">
            <v>0.871</v>
          </cell>
          <cell r="M829">
            <v>0.871</v>
          </cell>
          <cell r="N829">
            <v>0.871</v>
          </cell>
          <cell r="O829">
            <v>0.871</v>
          </cell>
          <cell r="P829">
            <v>0</v>
          </cell>
          <cell r="Q829">
            <v>0</v>
          </cell>
        </row>
        <row r="830">
          <cell r="C830" t="str">
            <v xml:space="preserve">  9 - (NI-EAT) /  EQUITY - After Tax Income</v>
          </cell>
          <cell r="E830">
            <v>0</v>
          </cell>
          <cell r="F830">
            <v>0</v>
          </cell>
          <cell r="G830">
            <v>-4.6165077729107132E-4</v>
          </cell>
          <cell r="H830">
            <v>-3.1834063982633879E-4</v>
          </cell>
          <cell r="I830">
            <v>-1.9171292029591402E-4</v>
          </cell>
          <cell r="J830">
            <v>-3.8958418844743429E-3</v>
          </cell>
          <cell r="K830">
            <v>-3.4124471739684949E-3</v>
          </cell>
          <cell r="L830">
            <v>-3.16227905513495E-3</v>
          </cell>
          <cell r="M830">
            <v>-2.8680859390051677E-3</v>
          </cell>
          <cell r="N830">
            <v>-2.4282031087524002E-3</v>
          </cell>
          <cell r="O830">
            <v>-2.0389173856683162E-3</v>
          </cell>
          <cell r="P830">
            <v>0</v>
          </cell>
          <cell r="Q830">
            <v>0</v>
          </cell>
        </row>
        <row r="831">
          <cell r="C831" t="str">
            <v>10 - (NI-EAT) /  ASSETS - After Tax Income</v>
          </cell>
          <cell r="E831">
            <v>0</v>
          </cell>
          <cell r="F831">
            <v>0</v>
          </cell>
          <cell r="G831">
            <v>-1.7622192487618175E-4</v>
          </cell>
          <cell r="H831">
            <v>-1.3812269622159846E-4</v>
          </cell>
          <cell r="I831">
            <v>-1.0219837319889864E-4</v>
          </cell>
          <cell r="J831">
            <v>-2.4286434205013814E-3</v>
          </cell>
          <cell r="K831">
            <v>-1.877800535318168E-3</v>
          </cell>
          <cell r="L831">
            <v>-1.5563076959558661E-3</v>
          </cell>
          <cell r="M831">
            <v>-1.3040611208637283E-3</v>
          </cell>
          <cell r="N831">
            <v>-1.2024710198399327E-3</v>
          </cell>
          <cell r="O831">
            <v>-1.0921145601244765E-3</v>
          </cell>
          <cell r="P831">
            <v>0</v>
          </cell>
          <cell r="Q831">
            <v>0</v>
          </cell>
        </row>
        <row r="832">
          <cell r="C832" t="str">
            <v>11 - REVENUE / T CAPITAL - T Capital T/O</v>
          </cell>
          <cell r="E832">
            <v>0</v>
          </cell>
          <cell r="F832">
            <v>0</v>
          </cell>
          <cell r="G832">
            <v>0.55818524261037228</v>
          </cell>
          <cell r="H832">
            <v>0.58644437013328232</v>
          </cell>
          <cell r="I832">
            <v>0.55344640490451036</v>
          </cell>
          <cell r="J832">
            <v>0.41641343530140695</v>
          </cell>
          <cell r="K832">
            <v>0.36338341770135596</v>
          </cell>
          <cell r="L832">
            <v>0.47281775603534887</v>
          </cell>
          <cell r="M832">
            <v>0.54433074541430015</v>
          </cell>
          <cell r="N832">
            <v>0.54967332168415006</v>
          </cell>
          <cell r="O832">
            <v>0.5340622018902117</v>
          </cell>
          <cell r="P832">
            <v>0</v>
          </cell>
          <cell r="Q832">
            <v>0</v>
          </cell>
        </row>
        <row r="833">
          <cell r="C833" t="str">
            <v>12 - (NI - NOPAT) / T CAPITAL - AT Income</v>
          </cell>
          <cell r="E833">
            <v>0</v>
          </cell>
          <cell r="F833">
            <v>0</v>
          </cell>
          <cell r="G833">
            <v>-5.2614447293617181E-2</v>
          </cell>
          <cell r="H833">
            <v>-2.2626474943868543E-2</v>
          </cell>
          <cell r="I833">
            <v>4.6108381145460869E-3</v>
          </cell>
          <cell r="J833">
            <v>1.3200007500564936E-2</v>
          </cell>
          <cell r="K833">
            <v>6.3452604741988062E-3</v>
          </cell>
          <cell r="L833">
            <v>-1.0289981141350941E-2</v>
          </cell>
          <cell r="M833">
            <v>-1.2587584493206969E-2</v>
          </cell>
          <cell r="N833">
            <v>-1.2126936570109508E-2</v>
          </cell>
          <cell r="O833">
            <v>-6.8569323128052119E-3</v>
          </cell>
          <cell r="P833">
            <v>0</v>
          </cell>
          <cell r="Q833">
            <v>0</v>
          </cell>
        </row>
        <row r="837">
          <cell r="E837">
            <v>0</v>
          </cell>
          <cell r="F837">
            <v>0</v>
          </cell>
          <cell r="G837">
            <v>0.12317092911985338</v>
          </cell>
          <cell r="H837">
            <v>0.13463967449639294</v>
          </cell>
          <cell r="I837">
            <v>0.16553058193970763</v>
          </cell>
          <cell r="J837">
            <v>0.12276523629026392</v>
          </cell>
          <cell r="K837">
            <v>8.4298224055569471E-2</v>
          </cell>
          <cell r="L837">
            <v>0.10515010464777912</v>
          </cell>
          <cell r="M837">
            <v>0.13941945109380513</v>
          </cell>
          <cell r="N837">
            <v>0.14613223575682294</v>
          </cell>
          <cell r="O837">
            <v>0.13479056097871092</v>
          </cell>
          <cell r="P837">
            <v>0</v>
          </cell>
          <cell r="Q837">
            <v>0</v>
          </cell>
        </row>
        <row r="838">
          <cell r="E838">
            <v>0</v>
          </cell>
          <cell r="F838">
            <v>0</v>
          </cell>
          <cell r="G838">
            <v>0.12299470719497718</v>
          </cell>
          <cell r="H838">
            <v>0.13450155180017134</v>
          </cell>
          <cell r="I838">
            <v>0.16542838356650871</v>
          </cell>
          <cell r="J838">
            <v>0.12033659286976255</v>
          </cell>
          <cell r="K838">
            <v>7.1545952617082839E-2</v>
          </cell>
          <cell r="L838">
            <v>9.0029433452259736E-2</v>
          </cell>
          <cell r="M838">
            <v>0.12013028078184054</v>
          </cell>
          <cell r="N838">
            <v>0.12607870632435283</v>
          </cell>
          <cell r="O838">
            <v>0.11631046405233274</v>
          </cell>
          <cell r="P838">
            <v>0</v>
          </cell>
          <cell r="Q838">
            <v>0</v>
          </cell>
        </row>
        <row r="839">
          <cell r="E839">
            <v>0</v>
          </cell>
          <cell r="F839">
            <v>0</v>
          </cell>
          <cell r="G839">
            <v>0.12299470719497721</v>
          </cell>
          <cell r="H839">
            <v>0.13450155180017134</v>
          </cell>
          <cell r="I839">
            <v>0.16542838356650871</v>
          </cell>
          <cell r="J839">
            <v>0.12033659286976255</v>
          </cell>
          <cell r="K839">
            <v>7.1545952617082839E-2</v>
          </cell>
          <cell r="L839">
            <v>9.0029433452259722E-2</v>
          </cell>
          <cell r="M839">
            <v>0.12013028078184054</v>
          </cell>
          <cell r="N839">
            <v>0.12607870632435283</v>
          </cell>
          <cell r="O839">
            <v>0.11631046405233271</v>
          </cell>
          <cell r="P839">
            <v>0</v>
          </cell>
          <cell r="Q839">
            <v>0</v>
          </cell>
        </row>
        <row r="843">
          <cell r="C843" t="str">
            <v>Pre-Tax ROE - Represented By:</v>
          </cell>
          <cell r="E843">
            <v>0</v>
          </cell>
          <cell r="F843">
            <v>0</v>
          </cell>
          <cell r="G843">
            <v>0.17271643906209722</v>
          </cell>
          <cell r="H843">
            <v>0.2207251262815127</v>
          </cell>
          <cell r="I843">
            <v>0.24595843756281083</v>
          </cell>
          <cell r="J843">
            <v>0.18161148755167061</v>
          </cell>
          <cell r="K843">
            <v>0.13339468375824196</v>
          </cell>
          <cell r="L843">
            <v>0.16616806836048176</v>
          </cell>
          <cell r="M843">
            <v>0.2545914936129352</v>
          </cell>
          <cell r="N843">
            <v>0.25866275985602605</v>
          </cell>
          <cell r="O843">
            <v>0.22169928571954503</v>
          </cell>
          <cell r="P843">
            <v>0</v>
          </cell>
          <cell r="Q843">
            <v>0</v>
          </cell>
        </row>
        <row r="844">
          <cell r="C844" t="str">
            <v>After-Tax ROE - Represented By:</v>
          </cell>
          <cell r="E844">
            <v>0</v>
          </cell>
          <cell r="F844">
            <v>0</v>
          </cell>
          <cell r="G844">
            <v>0.17225478828480614</v>
          </cell>
          <cell r="H844">
            <v>0.22040678564168634</v>
          </cell>
          <cell r="I844">
            <v>0.24576672464251492</v>
          </cell>
          <cell r="J844">
            <v>0.17771564566719628</v>
          </cell>
          <cell r="K844">
            <v>0.11277432237946025</v>
          </cell>
          <cell r="L844">
            <v>0.14157010848684468</v>
          </cell>
          <cell r="M844">
            <v>0.2188811049978614</v>
          </cell>
          <cell r="N844">
            <v>0.22286706072584625</v>
          </cell>
          <cell r="O844">
            <v>0.1910611604760554</v>
          </cell>
          <cell r="P844">
            <v>0</v>
          </cell>
          <cell r="Q844">
            <v>0</v>
          </cell>
        </row>
        <row r="845">
          <cell r="E845">
            <v>0</v>
          </cell>
          <cell r="F845">
            <v>0</v>
          </cell>
          <cell r="G845">
            <v>0.17225478828480614</v>
          </cell>
          <cell r="H845">
            <v>0.22040678564168636</v>
          </cell>
          <cell r="I845">
            <v>0.24576672464251495</v>
          </cell>
          <cell r="J845">
            <v>0.17771564566719628</v>
          </cell>
          <cell r="K845">
            <v>0.11277432237946025</v>
          </cell>
          <cell r="L845">
            <v>0.14157010848684468</v>
          </cell>
          <cell r="M845">
            <v>0.2188811049978614</v>
          </cell>
          <cell r="N845">
            <v>0.22286706072584622</v>
          </cell>
          <cell r="O845">
            <v>0.19106116047605537</v>
          </cell>
          <cell r="P845">
            <v>0</v>
          </cell>
          <cell r="Q845">
            <v>0</v>
          </cell>
        </row>
        <row r="847">
          <cell r="E847">
            <v>0</v>
          </cell>
          <cell r="F847">
            <v>0</v>
          </cell>
          <cell r="G847">
            <v>0.2642961762597778</v>
          </cell>
          <cell r="H847">
            <v>0.24075105279643635</v>
          </cell>
          <cell r="I847">
            <v>0.18734610251685982</v>
          </cell>
          <cell r="J847">
            <v>0.21626124050906093</v>
          </cell>
          <cell r="K847">
            <v>0.2985099020716962</v>
          </cell>
          <cell r="L847">
            <v>0.27544929864678219</v>
          </cell>
          <cell r="M847">
            <v>0.17235570198552957</v>
          </cell>
          <cell r="N847">
            <v>0.14331145099399323</v>
          </cell>
          <cell r="O847">
            <v>0.14036828235544554</v>
          </cell>
          <cell r="P847">
            <v>0</v>
          </cell>
          <cell r="Q847">
            <v>0</v>
          </cell>
        </row>
        <row r="848">
          <cell r="E848">
            <v>0</v>
          </cell>
          <cell r="F848">
            <v>0</v>
          </cell>
          <cell r="G848">
            <v>0.73570382374022225</v>
          </cell>
          <cell r="H848">
            <v>0.75924894720356362</v>
          </cell>
          <cell r="I848">
            <v>0.81265389748314021</v>
          </cell>
          <cell r="J848">
            <v>0.78373875949093907</v>
          </cell>
          <cell r="K848">
            <v>0.70149009792830386</v>
          </cell>
          <cell r="L848">
            <v>0.72455070135321775</v>
          </cell>
          <cell r="M848">
            <v>0.82764429801447048</v>
          </cell>
          <cell r="N848">
            <v>0.85668854900600677</v>
          </cell>
          <cell r="O848">
            <v>0.85963171764455448</v>
          </cell>
          <cell r="P848">
            <v>0</v>
          </cell>
          <cell r="Q848">
            <v>0</v>
          </cell>
        </row>
        <row r="849">
          <cell r="C849" t="str">
            <v>Internal Growth (After-Tax ROE * RR)</v>
          </cell>
          <cell r="E849">
            <v>0</v>
          </cell>
          <cell r="F849">
            <v>0</v>
          </cell>
          <cell r="G849">
            <v>0.12672850639869432</v>
          </cell>
          <cell r="H849">
            <v>0.16734361995497188</v>
          </cell>
          <cell r="I849">
            <v>0.19972328665240546</v>
          </cell>
          <cell r="J849">
            <v>0.1392826396773397</v>
          </cell>
          <cell r="K849">
            <v>7.9110070449765688E-2</v>
          </cell>
          <cell r="L849">
            <v>0.10257472139479444</v>
          </cell>
          <cell r="M849">
            <v>0.1811556984945866</v>
          </cell>
          <cell r="N849">
            <v>0.19092765887445881</v>
          </cell>
          <cell r="O849">
            <v>0.16424223355519338</v>
          </cell>
          <cell r="P849">
            <v>0</v>
          </cell>
          <cell r="Q849">
            <v>0</v>
          </cell>
        </row>
        <row r="853">
          <cell r="E853">
            <v>0</v>
          </cell>
          <cell r="F853">
            <v>0</v>
          </cell>
          <cell r="G853">
            <v>7.9946627705885773E-2</v>
          </cell>
          <cell r="H853">
            <v>0.10996799312090949</v>
          </cell>
          <cell r="I853">
            <v>0.15224344081471833</v>
          </cell>
          <cell r="J853">
            <v>0.12881914487212945</v>
          </cell>
          <cell r="K853">
            <v>8.4199708180872024E-2</v>
          </cell>
          <cell r="L853">
            <v>9.2293865806748032E-2</v>
          </cell>
          <cell r="M853">
            <v>0.13508109588627751</v>
          </cell>
          <cell r="N853">
            <v>0.15499844701565163</v>
          </cell>
          <cell r="O853">
            <v>0.14172296629352876</v>
          </cell>
          <cell r="P853">
            <v>0</v>
          </cell>
          <cell r="Q853">
            <v>0</v>
          </cell>
        </row>
        <row r="854">
          <cell r="E854">
            <v>0</v>
          </cell>
          <cell r="F854">
            <v>0</v>
          </cell>
          <cell r="G854">
            <v>7.9732939749935311E-2</v>
          </cell>
          <cell r="H854">
            <v>0.1098093918692972</v>
          </cell>
          <cell r="I854">
            <v>0.15212477428339824</v>
          </cell>
          <cell r="J854">
            <v>0.12605577881593644</v>
          </cell>
          <cell r="K854">
            <v>7.1183984002356773E-2</v>
          </cell>
          <cell r="L854">
            <v>7.8631548912191498E-2</v>
          </cell>
          <cell r="M854">
            <v>0.11613388614178065</v>
          </cell>
          <cell r="N854">
            <v>0.13354859556387869</v>
          </cell>
          <cell r="O854">
            <v>0.1221373100877037</v>
          </cell>
          <cell r="P854">
            <v>0</v>
          </cell>
          <cell r="Q854">
            <v>0</v>
          </cell>
        </row>
        <row r="855">
          <cell r="E855">
            <v>0</v>
          </cell>
          <cell r="F855">
            <v>0</v>
          </cell>
          <cell r="G855">
            <v>7.9732939749935325E-2</v>
          </cell>
          <cell r="H855">
            <v>0.1098093918692972</v>
          </cell>
          <cell r="I855">
            <v>0.15212477428339821</v>
          </cell>
          <cell r="J855">
            <v>0.12605577881593644</v>
          </cell>
          <cell r="K855">
            <v>7.1183984002356787E-2</v>
          </cell>
          <cell r="L855">
            <v>7.8631548912191512E-2</v>
          </cell>
          <cell r="M855">
            <v>0.11613388614178065</v>
          </cell>
          <cell r="N855">
            <v>0.13354859556387866</v>
          </cell>
          <cell r="O855">
            <v>0.1221373100877037</v>
          </cell>
          <cell r="P855">
            <v>0</v>
          </cell>
          <cell r="Q855">
            <v>0</v>
          </cell>
        </row>
        <row r="859">
          <cell r="E859">
            <v>0</v>
          </cell>
          <cell r="F859">
            <v>0</v>
          </cell>
          <cell r="G859">
            <v>0.28079054050492097</v>
          </cell>
          <cell r="H859">
            <v>0.18362826582872094</v>
          </cell>
          <cell r="I859">
            <v>0.22383021557139496</v>
          </cell>
          <cell r="J859">
            <v>0.22581026778006377</v>
          </cell>
          <cell r="K859">
            <v>0.14756544135660238</v>
          </cell>
          <cell r="L859">
            <v>0.1320228748628112</v>
          </cell>
          <cell r="M859">
            <v>0.20572104969440411</v>
          </cell>
          <cell r="N859">
            <v>0.23235422571745815</v>
          </cell>
          <cell r="O859">
            <v>0.19983664101336363</v>
          </cell>
          <cell r="P859">
            <v>0</v>
          </cell>
          <cell r="Q859">
            <v>0</v>
          </cell>
        </row>
        <row r="860">
          <cell r="E860">
            <v>0</v>
          </cell>
          <cell r="F860">
            <v>0</v>
          </cell>
          <cell r="G860">
            <v>0.28079054050492097</v>
          </cell>
          <cell r="H860">
            <v>0.18362826582872094</v>
          </cell>
          <cell r="I860">
            <v>0.22383021557139496</v>
          </cell>
          <cell r="J860">
            <v>0.22581026778006377</v>
          </cell>
          <cell r="K860">
            <v>0.12852949942160066</v>
          </cell>
          <cell r="L860">
            <v>0.11499192400550855</v>
          </cell>
          <cell r="M860">
            <v>0.17918303428382598</v>
          </cell>
          <cell r="N860">
            <v>0.20238053059990604</v>
          </cell>
          <cell r="O860">
            <v>0.17405771432263972</v>
          </cell>
          <cell r="P860">
            <v>0</v>
          </cell>
          <cell r="Q860">
            <v>0</v>
          </cell>
        </row>
        <row r="861">
          <cell r="E861">
            <v>0</v>
          </cell>
          <cell r="F861">
            <v>0</v>
          </cell>
          <cell r="G861">
            <v>0.28079054050492097</v>
          </cell>
          <cell r="H861">
            <v>0.18362826582872091</v>
          </cell>
          <cell r="I861">
            <v>0.22383021557139493</v>
          </cell>
          <cell r="J861">
            <v>0.22581026778006377</v>
          </cell>
          <cell r="K861">
            <v>0.12852949942160066</v>
          </cell>
          <cell r="L861">
            <v>0.11499192400550855</v>
          </cell>
          <cell r="M861">
            <v>0.17918303428382598</v>
          </cell>
          <cell r="N861">
            <v>0.20238053059990604</v>
          </cell>
          <cell r="O861">
            <v>0.17405771432263972</v>
          </cell>
          <cell r="P861">
            <v>0</v>
          </cell>
          <cell r="Q861">
            <v>0</v>
          </cell>
        </row>
        <row r="863">
          <cell r="E863">
            <v>0</v>
          </cell>
          <cell r="F863">
            <v>0</v>
          </cell>
          <cell r="G863">
            <v>3.524669570441576</v>
          </cell>
          <cell r="H863">
            <v>1.2052173662112058</v>
          </cell>
          <cell r="I863">
            <v>0.44046638301174812</v>
          </cell>
          <cell r="J863">
            <v>1.3061714644203992</v>
          </cell>
          <cell r="K863">
            <v>6.8454190644470101</v>
          </cell>
          <cell r="L863">
            <v>0.62832808625993786</v>
          </cell>
          <cell r="M863">
            <v>0.26743662269543772</v>
          </cell>
          <cell r="N863">
            <v>0.73809372526606465</v>
          </cell>
          <cell r="O863">
            <v>0.73039032030284845</v>
          </cell>
          <cell r="P863">
            <v>0</v>
          </cell>
          <cell r="Q863">
            <v>0</v>
          </cell>
        </row>
        <row r="864">
          <cell r="E864">
            <v>0</v>
          </cell>
          <cell r="F864">
            <v>0</v>
          </cell>
          <cell r="G864">
            <v>0.98969387378553775</v>
          </cell>
          <cell r="H864">
            <v>0.22131197490402221</v>
          </cell>
          <cell r="I864">
            <v>9.8589685461472204E-2</v>
          </cell>
          <cell r="J864">
            <v>0.29494692814744838</v>
          </cell>
          <cell r="K864">
            <v>0.8798382856844561</v>
          </cell>
          <cell r="L864">
            <v>7.2252655545729391E-2</v>
          </cell>
          <cell r="M864">
            <v>4.7920105533187249E-2</v>
          </cell>
          <cell r="N864">
            <v>0.14937579975180745</v>
          </cell>
          <cell r="O864">
            <v>0.12713006971529453</v>
          </cell>
          <cell r="P864">
            <v>0</v>
          </cell>
          <cell r="Q864">
            <v>0</v>
          </cell>
        </row>
        <row r="869">
          <cell r="A869" t="str">
            <v>%</v>
          </cell>
          <cell r="C869" t="str">
            <v>LT Growth Rate - Manual</v>
          </cell>
        </row>
        <row r="870">
          <cell r="C870">
            <v>0</v>
          </cell>
          <cell r="K870">
            <v>0</v>
          </cell>
        </row>
        <row r="874">
          <cell r="C874" t="str">
            <v>Free CashFlow - Manual</v>
          </cell>
        </row>
        <row r="875">
          <cell r="C875" t="str">
            <v>NOPAT</v>
          </cell>
          <cell r="K875">
            <v>8428.5814133224521</v>
          </cell>
          <cell r="L875">
            <v>14175.536379996605</v>
          </cell>
          <cell r="M875">
            <v>23684.606710251668</v>
          </cell>
          <cell r="N875">
            <v>28032.781629384186</v>
          </cell>
          <cell r="O875">
            <v>27711.037669636022</v>
          </cell>
          <cell r="P875">
            <v>0</v>
          </cell>
          <cell r="Q875">
            <v>0</v>
          </cell>
        </row>
        <row r="876">
          <cell r="C876" t="str">
            <v>Less Net Investment [ I ]</v>
          </cell>
          <cell r="K876">
            <v>-57697.171893001236</v>
          </cell>
          <cell r="L876">
            <v>-8906.8876453513931</v>
          </cell>
          <cell r="M876">
            <v>-6334.1312284594078</v>
          </cell>
          <cell r="N876">
            <v>-20690.820222402279</v>
          </cell>
          <cell r="O876">
            <v>-20239.873679449756</v>
          </cell>
          <cell r="P876">
            <v>0</v>
          </cell>
          <cell r="Q876">
            <v>0</v>
          </cell>
        </row>
        <row r="877">
          <cell r="C877" t="str">
            <v>Free CashFlow</v>
          </cell>
          <cell r="K877">
            <v>-49268.59047967878</v>
          </cell>
          <cell r="L877">
            <v>5268.6487346452122</v>
          </cell>
          <cell r="M877">
            <v>17350.475481792259</v>
          </cell>
          <cell r="N877">
            <v>7341.9614069819072</v>
          </cell>
          <cell r="O877">
            <v>7471.1639901862654</v>
          </cell>
          <cell r="P877">
            <v>0</v>
          </cell>
          <cell r="Q877">
            <v>0</v>
          </cell>
        </row>
        <row r="879">
          <cell r="C879" t="str">
            <v>WACC [ c* ]</v>
          </cell>
          <cell r="K879">
            <v>0.15988560899126925</v>
          </cell>
          <cell r="L879">
            <v>0.15988560899126925</v>
          </cell>
          <cell r="M879">
            <v>0.15988560899126925</v>
          </cell>
          <cell r="N879">
            <v>0.15988560899126925</v>
          </cell>
          <cell r="O879">
            <v>0.15988560899126925</v>
          </cell>
          <cell r="P879">
            <v>0.15988560899126925</v>
          </cell>
          <cell r="Q879">
            <v>0</v>
          </cell>
        </row>
        <row r="880">
          <cell r="C880" t="str">
            <v>Discount Factor</v>
          </cell>
          <cell r="K880">
            <v>0.86215398505519969</v>
          </cell>
          <cell r="L880">
            <v>0.74330949394656154</v>
          </cell>
          <cell r="M880">
            <v>0.64084724233539192</v>
          </cell>
          <cell r="N880">
            <v>0.55250900379109347</v>
          </cell>
          <cell r="O880">
            <v>0.47634783939736969</v>
          </cell>
          <cell r="P880">
            <v>2.979304031192584</v>
          </cell>
          <cell r="Q880">
            <v>0</v>
          </cell>
        </row>
        <row r="881">
          <cell r="C881" t="str">
            <v>Free CashFlow Discounted</v>
          </cell>
          <cell r="K881">
            <v>-42477.111620107731</v>
          </cell>
          <cell r="L881">
            <v>3916.2366247313244</v>
          </cell>
          <cell r="M881">
            <v>11119.0043657144</v>
          </cell>
          <cell r="N881">
            <v>4056.4997828442283</v>
          </cell>
          <cell r="O881">
            <v>3558.8728245086591</v>
          </cell>
          <cell r="P881">
            <v>0</v>
          </cell>
          <cell r="Q881">
            <v>0</v>
          </cell>
        </row>
        <row r="882">
          <cell r="C882" t="str">
            <v>Intrinsic Operating Value</v>
          </cell>
          <cell r="K882">
            <v>-19826.498022309119</v>
          </cell>
        </row>
        <row r="883">
          <cell r="C883" t="str">
            <v>Mid Year Adjustment Factor</v>
          </cell>
          <cell r="K883">
            <v>1.1039348405565703</v>
          </cell>
        </row>
        <row r="884">
          <cell r="K884">
            <v>0</v>
          </cell>
        </row>
        <row r="885">
          <cell r="C885" t="str">
            <v>Intrinsic Operating Value Adjusted</v>
          </cell>
          <cell r="K885">
            <v>-21887.161933052972</v>
          </cell>
        </row>
        <row r="886">
          <cell r="K886">
            <v>64416</v>
          </cell>
        </row>
        <row r="887">
          <cell r="K887">
            <v>0</v>
          </cell>
        </row>
        <row r="888">
          <cell r="C888" t="str">
            <v xml:space="preserve">Intrinsic Total Value </v>
          </cell>
          <cell r="K888">
            <v>42528.838066947028</v>
          </cell>
        </row>
        <row r="889">
          <cell r="K889">
            <v>-47940.466666666667</v>
          </cell>
        </row>
        <row r="890">
          <cell r="K890">
            <v>0</v>
          </cell>
        </row>
        <row r="891">
          <cell r="C891" t="str">
            <v>Intrinsic Common Equity Value</v>
          </cell>
          <cell r="K891">
            <v>-5411.6285997196392</v>
          </cell>
        </row>
        <row r="892">
          <cell r="E892">
            <v>0</v>
          </cell>
          <cell r="F892">
            <v>0</v>
          </cell>
          <cell r="G892">
            <v>0</v>
          </cell>
          <cell r="H892">
            <v>0</v>
          </cell>
          <cell r="I892">
            <v>0</v>
          </cell>
          <cell r="J892">
            <v>0</v>
          </cell>
          <cell r="K892">
            <v>0</v>
          </cell>
        </row>
        <row r="893">
          <cell r="E893">
            <v>0</v>
          </cell>
          <cell r="F893">
            <v>0</v>
          </cell>
          <cell r="G893">
            <v>245.481348</v>
          </cell>
          <cell r="H893">
            <v>319.95296500000001</v>
          </cell>
          <cell r="I893">
            <v>460.37296500000002</v>
          </cell>
          <cell r="J893">
            <v>460.37296500000002</v>
          </cell>
          <cell r="K893">
            <v>460.37296500000002</v>
          </cell>
        </row>
        <row r="894">
          <cell r="C894" t="str">
            <v>Intrinsic Share Price (Rs)</v>
          </cell>
          <cell r="E894">
            <v>0</v>
          </cell>
          <cell r="F894">
            <v>0</v>
          </cell>
          <cell r="G894">
            <v>0</v>
          </cell>
          <cell r="H894">
            <v>0</v>
          </cell>
          <cell r="I894">
            <v>0</v>
          </cell>
          <cell r="J894">
            <v>0</v>
          </cell>
          <cell r="K894">
            <v>-11.754879219981214</v>
          </cell>
        </row>
        <row r="895">
          <cell r="C895" t="str">
            <v>Share Premium / (Discount)</v>
          </cell>
          <cell r="E895">
            <v>0</v>
          </cell>
          <cell r="F895">
            <v>0</v>
          </cell>
          <cell r="G895">
            <v>0</v>
          </cell>
          <cell r="H895">
            <v>0</v>
          </cell>
          <cell r="I895">
            <v>0</v>
          </cell>
          <cell r="J895">
            <v>0</v>
          </cell>
          <cell r="K895">
            <v>0</v>
          </cell>
        </row>
        <row r="899">
          <cell r="C899" t="str">
            <v>EVA - Manual</v>
          </cell>
        </row>
        <row r="900">
          <cell r="K900">
            <v>-3.1356109569668583E-2</v>
          </cell>
          <cell r="L900">
            <v>-4.4893684985760698E-2</v>
          </cell>
          <cell r="M900">
            <v>1.9297425292556736E-2</v>
          </cell>
          <cell r="N900">
            <v>4.2494921608636799E-2</v>
          </cell>
          <cell r="O900">
            <v>1.4172105331370477E-2</v>
          </cell>
          <cell r="P900">
            <v>0</v>
          </cell>
          <cell r="Q900">
            <v>0</v>
          </cell>
        </row>
        <row r="901">
          <cell r="K901">
            <v>65577.018904237208</v>
          </cell>
          <cell r="L901">
            <v>123274.19079723845</v>
          </cell>
          <cell r="M901">
            <v>132181.07844258985</v>
          </cell>
          <cell r="N901">
            <v>138515.20967104926</v>
          </cell>
          <cell r="O901">
            <v>159206.02989345152</v>
          </cell>
          <cell r="P901">
            <v>0</v>
          </cell>
          <cell r="Q901">
            <v>0</v>
          </cell>
        </row>
        <row r="902">
          <cell r="C902" t="str">
            <v>Economic Value Added (EVA)</v>
          </cell>
          <cell r="K902">
            <v>-2056.2401900134901</v>
          </cell>
          <cell r="L902">
            <v>-5534.2326885257835</v>
          </cell>
          <cell r="M902">
            <v>2550.7544863354592</v>
          </cell>
          <cell r="N902">
            <v>5886.1929765751283</v>
          </cell>
          <cell r="O902">
            <v>2256.2846250393118</v>
          </cell>
          <cell r="P902">
            <v>0</v>
          </cell>
          <cell r="Q902">
            <v>0</v>
          </cell>
        </row>
        <row r="904">
          <cell r="C904" t="str">
            <v>WACC [ c* ]</v>
          </cell>
          <cell r="K904">
            <v>0.15988560899126925</v>
          </cell>
          <cell r="L904">
            <v>0.15988560899126925</v>
          </cell>
          <cell r="M904">
            <v>0.15988560899126925</v>
          </cell>
          <cell r="N904">
            <v>0.15988560899126925</v>
          </cell>
          <cell r="O904">
            <v>0.15988560899126925</v>
          </cell>
          <cell r="P904">
            <v>0.15988560899126925</v>
          </cell>
          <cell r="Q904">
            <v>0</v>
          </cell>
        </row>
        <row r="905">
          <cell r="C905" t="str">
            <v>Discount Factor</v>
          </cell>
          <cell r="K905">
            <v>0.86215398505519969</v>
          </cell>
          <cell r="L905">
            <v>0.74330949394656154</v>
          </cell>
          <cell r="M905">
            <v>0.64084724233539192</v>
          </cell>
          <cell r="N905">
            <v>0.55250900379109347</v>
          </cell>
          <cell r="O905">
            <v>0.47634783939736969</v>
          </cell>
          <cell r="P905">
            <v>2.979304031192584</v>
          </cell>
          <cell r="Q905">
            <v>0</v>
          </cell>
        </row>
        <row r="906">
          <cell r="C906" t="str">
            <v>EVA Discounted</v>
          </cell>
          <cell r="K906">
            <v>-1772.7956740507914</v>
          </cell>
          <cell r="L906">
            <v>-4113.6476990906185</v>
          </cell>
          <cell r="M906">
            <v>1634.6439784427082</v>
          </cell>
          <cell r="N906">
            <v>3252.1746176096553</v>
          </cell>
          <cell r="O906">
            <v>1074.7763062029805</v>
          </cell>
          <cell r="P906">
            <v>0</v>
          </cell>
          <cell r="Q906">
            <v>0</v>
          </cell>
        </row>
        <row r="907">
          <cell r="C907" t="str">
            <v>Total EVA Premium (Discount)</v>
          </cell>
          <cell r="K907">
            <v>75.151529113934203</v>
          </cell>
        </row>
        <row r="908">
          <cell r="K908">
            <v>65577.018904237208</v>
          </cell>
        </row>
        <row r="909">
          <cell r="K909">
            <v>0</v>
          </cell>
        </row>
        <row r="910">
          <cell r="C910" t="str">
            <v>Intrinsic Operating Value</v>
          </cell>
          <cell r="K910">
            <v>65652.170433351144</v>
          </cell>
        </row>
        <row r="911">
          <cell r="K911">
            <v>1.1039348405565703</v>
          </cell>
        </row>
        <row r="912">
          <cell r="K912">
            <v>0</v>
          </cell>
        </row>
        <row r="913">
          <cell r="C913" t="str">
            <v>Intrinsic Operating Value Adjusted</v>
          </cell>
          <cell r="K913">
            <v>72475.718299534274</v>
          </cell>
        </row>
        <row r="914">
          <cell r="C914" t="str">
            <v>Plus Non-Operating Capital (Beg of Year)</v>
          </cell>
          <cell r="K914">
            <v>64416</v>
          </cell>
        </row>
        <row r="915">
          <cell r="K915">
            <v>0</v>
          </cell>
        </row>
        <row r="916">
          <cell r="C916" t="str">
            <v xml:space="preserve">Intrinsic Total Value </v>
          </cell>
          <cell r="K916">
            <v>136891.71829953429</v>
          </cell>
        </row>
        <row r="917">
          <cell r="K917">
            <v>-47940.466666666667</v>
          </cell>
        </row>
        <row r="918">
          <cell r="K918">
            <v>0</v>
          </cell>
        </row>
        <row r="919">
          <cell r="C919" t="str">
            <v>Intrinsic Common Equity Value</v>
          </cell>
          <cell r="E919">
            <v>0</v>
          </cell>
          <cell r="F919">
            <v>0</v>
          </cell>
          <cell r="G919">
            <v>0</v>
          </cell>
          <cell r="H919">
            <v>0</v>
          </cell>
          <cell r="I919">
            <v>0</v>
          </cell>
          <cell r="J919">
            <v>0</v>
          </cell>
          <cell r="K919">
            <v>88951.251632867614</v>
          </cell>
        </row>
        <row r="920">
          <cell r="E920">
            <v>0</v>
          </cell>
          <cell r="F920">
            <v>0</v>
          </cell>
          <cell r="G920">
            <v>0</v>
          </cell>
          <cell r="H920">
            <v>0</v>
          </cell>
          <cell r="I920">
            <v>0</v>
          </cell>
          <cell r="J920">
            <v>0</v>
          </cell>
          <cell r="K920">
            <v>0</v>
          </cell>
        </row>
        <row r="921">
          <cell r="E921">
            <v>0</v>
          </cell>
          <cell r="F921">
            <v>0</v>
          </cell>
          <cell r="G921">
            <v>245.481348</v>
          </cell>
          <cell r="H921">
            <v>319.95296500000001</v>
          </cell>
          <cell r="I921">
            <v>460.37296500000002</v>
          </cell>
          <cell r="J921">
            <v>460.37296500000002</v>
          </cell>
          <cell r="K921">
            <v>460.37296500000002</v>
          </cell>
        </row>
        <row r="922">
          <cell r="C922" t="str">
            <v>Intrinsic Share Price (Rs)</v>
          </cell>
          <cell r="E922">
            <v>0</v>
          </cell>
          <cell r="F922">
            <v>0</v>
          </cell>
          <cell r="G922">
            <v>0</v>
          </cell>
          <cell r="H922">
            <v>0</v>
          </cell>
          <cell r="I922">
            <v>0</v>
          </cell>
          <cell r="J922">
            <v>0</v>
          </cell>
          <cell r="K922">
            <v>-11.754879219981214</v>
          </cell>
        </row>
        <row r="923">
          <cell r="E923">
            <v>0</v>
          </cell>
          <cell r="F923">
            <v>0</v>
          </cell>
          <cell r="G923">
            <v>0</v>
          </cell>
          <cell r="H923">
            <v>0</v>
          </cell>
          <cell r="I923">
            <v>0</v>
          </cell>
          <cell r="J923">
            <v>0</v>
          </cell>
          <cell r="K923">
            <v>0</v>
          </cell>
        </row>
        <row r="925">
          <cell r="C925" t="str">
            <v>Intrinsic Common Equity Value [Balance]</v>
          </cell>
          <cell r="E925">
            <v>0</v>
          </cell>
          <cell r="F925">
            <v>0</v>
          </cell>
          <cell r="G925">
            <v>0</v>
          </cell>
          <cell r="H925">
            <v>0</v>
          </cell>
          <cell r="I925">
            <v>0</v>
          </cell>
          <cell r="J925">
            <v>0</v>
          </cell>
          <cell r="K925">
            <v>-94362.9</v>
          </cell>
        </row>
        <row r="929">
          <cell r="K929">
            <v>6821.8</v>
          </cell>
          <cell r="L929">
            <v>6821.8</v>
          </cell>
          <cell r="M929">
            <v>7630.8</v>
          </cell>
          <cell r="N929">
            <v>6863.8</v>
          </cell>
          <cell r="O929">
            <v>6864.8</v>
          </cell>
          <cell r="P929">
            <v>6865.8</v>
          </cell>
          <cell r="Q929">
            <v>0</v>
          </cell>
        </row>
        <row r="930">
          <cell r="K930">
            <v>0</v>
          </cell>
          <cell r="L930">
            <v>0</v>
          </cell>
          <cell r="M930">
            <v>0</v>
          </cell>
          <cell r="N930">
            <v>0</v>
          </cell>
          <cell r="O930">
            <v>0</v>
          </cell>
          <cell r="P930">
            <v>0</v>
          </cell>
          <cell r="Q930">
            <v>0</v>
          </cell>
        </row>
        <row r="931">
          <cell r="K931">
            <v>39118.666666666664</v>
          </cell>
          <cell r="L931">
            <v>62050.709115570608</v>
          </cell>
          <cell r="M931">
            <v>76741.997768379733</v>
          </cell>
          <cell r="N931">
            <v>68257.607482766805</v>
          </cell>
          <cell r="O931">
            <v>68631.252743464225</v>
          </cell>
          <cell r="P931">
            <v>69915.1049597073</v>
          </cell>
          <cell r="Q931">
            <v>0</v>
          </cell>
        </row>
        <row r="932">
          <cell r="K932">
            <v>0</v>
          </cell>
          <cell r="L932">
            <v>0</v>
          </cell>
          <cell r="M932">
            <v>0</v>
          </cell>
          <cell r="N932">
            <v>0</v>
          </cell>
          <cell r="O932">
            <v>0</v>
          </cell>
          <cell r="P932">
            <v>0</v>
          </cell>
          <cell r="Q932">
            <v>0</v>
          </cell>
        </row>
        <row r="933">
          <cell r="K933">
            <v>2000</v>
          </cell>
          <cell r="L933">
            <v>2000</v>
          </cell>
          <cell r="M933">
            <v>2000</v>
          </cell>
          <cell r="N933">
            <v>2000</v>
          </cell>
          <cell r="O933">
            <v>2000</v>
          </cell>
          <cell r="P933">
            <v>2000</v>
          </cell>
          <cell r="Q933">
            <v>0</v>
          </cell>
        </row>
        <row r="934">
          <cell r="C934" t="str">
            <v>Total Non Common Equity Capital</v>
          </cell>
          <cell r="K934">
            <v>47940.466666666667</v>
          </cell>
          <cell r="L934">
            <v>70872.509115570603</v>
          </cell>
          <cell r="M934">
            <v>86372.797768379736</v>
          </cell>
          <cell r="N934">
            <v>77121.407482766808</v>
          </cell>
          <cell r="O934">
            <v>77496.052743464228</v>
          </cell>
          <cell r="P934">
            <v>78780.904959707303</v>
          </cell>
          <cell r="Q934">
            <v>0</v>
          </cell>
        </row>
        <row r="941">
          <cell r="C941" t="str">
            <v>Net Income</v>
          </cell>
          <cell r="E941">
            <v>0</v>
          </cell>
          <cell r="F941">
            <v>1624.5999999999949</v>
          </cell>
          <cell r="G941">
            <v>3208.8999999999965</v>
          </cell>
          <cell r="H941">
            <v>5746.5999999999949</v>
          </cell>
          <cell r="I941">
            <v>10640.200000000577</v>
          </cell>
          <cell r="J941">
            <v>12772.690027570001</v>
          </cell>
          <cell r="K941">
            <v>9253.4209780972869</v>
          </cell>
          <cell r="L941">
            <v>12535.146230042272</v>
          </cell>
          <cell r="M941">
            <v>21368.505234072334</v>
          </cell>
          <cell r="N941">
            <v>25699.158681704852</v>
          </cell>
          <cell r="O941">
            <v>26238.005183206689</v>
          </cell>
          <cell r="P941">
            <v>-280</v>
          </cell>
          <cell r="Q941">
            <v>0</v>
          </cell>
        </row>
        <row r="942">
          <cell r="C942" t="str">
            <v>Current PE Multiples</v>
          </cell>
          <cell r="E942">
            <v>0</v>
          </cell>
          <cell r="F942">
            <v>0</v>
          </cell>
          <cell r="G942">
            <v>0</v>
          </cell>
          <cell r="H942">
            <v>0</v>
          </cell>
          <cell r="I942">
            <v>0</v>
          </cell>
          <cell r="J942">
            <v>0</v>
          </cell>
          <cell r="K942">
            <v>0</v>
          </cell>
          <cell r="L942">
            <v>0</v>
          </cell>
          <cell r="M942">
            <v>0</v>
          </cell>
          <cell r="N942">
            <v>0</v>
          </cell>
          <cell r="O942">
            <v>0</v>
          </cell>
          <cell r="P942">
            <v>0</v>
          </cell>
          <cell r="Q942">
            <v>0</v>
          </cell>
        </row>
        <row r="943">
          <cell r="E943">
            <v>0</v>
          </cell>
          <cell r="F943">
            <v>152.140973</v>
          </cell>
          <cell r="G943">
            <v>245.481348</v>
          </cell>
          <cell r="H943">
            <v>319.95296500000001</v>
          </cell>
          <cell r="I943">
            <v>460.37296500000002</v>
          </cell>
          <cell r="J943">
            <v>460.37296500000002</v>
          </cell>
          <cell r="K943">
            <v>460.37296500000002</v>
          </cell>
        </row>
        <row r="946">
          <cell r="E946">
            <v>0</v>
          </cell>
          <cell r="F946">
            <v>22744.399999999929</v>
          </cell>
          <cell r="G946">
            <v>44924.599999999948</v>
          </cell>
          <cell r="H946">
            <v>80452.399999999936</v>
          </cell>
          <cell r="I946">
            <v>148962.80000000808</v>
          </cell>
          <cell r="J946">
            <v>178817.66038598001</v>
          </cell>
          <cell r="K946">
            <v>129547.89369336201</v>
          </cell>
          <cell r="L946">
            <v>175492.0472205918</v>
          </cell>
          <cell r="M946">
            <v>299159.07327701268</v>
          </cell>
          <cell r="N946">
            <v>359788.22154386796</v>
          </cell>
          <cell r="O946">
            <v>367332.07256489363</v>
          </cell>
          <cell r="P946">
            <v>-3920</v>
          </cell>
          <cell r="Q946">
            <v>0</v>
          </cell>
        </row>
        <row r="947">
          <cell r="E947">
            <v>0</v>
          </cell>
          <cell r="F947">
            <v>25993.599999999919</v>
          </cell>
          <cell r="G947">
            <v>51342.399999999943</v>
          </cell>
          <cell r="H947">
            <v>91945.599999999919</v>
          </cell>
          <cell r="I947">
            <v>170243.20000000924</v>
          </cell>
          <cell r="J947">
            <v>204363.04044112001</v>
          </cell>
          <cell r="K947">
            <v>148054.73564955659</v>
          </cell>
          <cell r="L947">
            <v>200562.33968067635</v>
          </cell>
          <cell r="M947">
            <v>341896.08374515735</v>
          </cell>
          <cell r="N947">
            <v>411186.53890727763</v>
          </cell>
          <cell r="O947">
            <v>419808.08293130703</v>
          </cell>
          <cell r="P947">
            <v>-4480</v>
          </cell>
          <cell r="Q947">
            <v>0</v>
          </cell>
        </row>
        <row r="948">
          <cell r="E948">
            <v>0</v>
          </cell>
          <cell r="F948">
            <v>29242.799999999908</v>
          </cell>
          <cell r="G948">
            <v>57760.199999999939</v>
          </cell>
          <cell r="H948">
            <v>103438.7999999999</v>
          </cell>
          <cell r="I948">
            <v>191523.6000000104</v>
          </cell>
          <cell r="J948">
            <v>229908.42049626002</v>
          </cell>
          <cell r="K948">
            <v>166561.57760575117</v>
          </cell>
          <cell r="L948">
            <v>225632.63214076089</v>
          </cell>
          <cell r="M948">
            <v>384633.09421330201</v>
          </cell>
          <cell r="N948">
            <v>462584.85627068731</v>
          </cell>
          <cell r="O948">
            <v>472284.09329772042</v>
          </cell>
          <cell r="P948">
            <v>-5040</v>
          </cell>
          <cell r="Q948">
            <v>0</v>
          </cell>
        </row>
        <row r="949">
          <cell r="E949">
            <v>0</v>
          </cell>
          <cell r="F949">
            <v>32491.999999999898</v>
          </cell>
          <cell r="G949">
            <v>64177.999999999927</v>
          </cell>
          <cell r="H949">
            <v>114931.9999999999</v>
          </cell>
          <cell r="I949">
            <v>212804.00000001155</v>
          </cell>
          <cell r="J949">
            <v>255453.80055140003</v>
          </cell>
          <cell r="K949">
            <v>185068.41956194575</v>
          </cell>
          <cell r="L949">
            <v>250702.92460084544</v>
          </cell>
          <cell r="M949">
            <v>427370.10468144668</v>
          </cell>
          <cell r="N949">
            <v>513983.17363409704</v>
          </cell>
          <cell r="O949">
            <v>524760.10366413381</v>
          </cell>
          <cell r="P949">
            <v>-5600</v>
          </cell>
          <cell r="Q949">
            <v>0</v>
          </cell>
        </row>
        <row r="950">
          <cell r="E950">
            <v>0</v>
          </cell>
          <cell r="F950">
            <v>35741.199999999888</v>
          </cell>
          <cell r="G950">
            <v>70595.799999999916</v>
          </cell>
          <cell r="H950">
            <v>126425.1999999999</v>
          </cell>
          <cell r="I950">
            <v>234084.40000001271</v>
          </cell>
          <cell r="J950">
            <v>280999.18060654</v>
          </cell>
          <cell r="K950">
            <v>203575.26151814032</v>
          </cell>
          <cell r="L950">
            <v>275773.21706092998</v>
          </cell>
          <cell r="M950">
            <v>470107.11514959135</v>
          </cell>
          <cell r="N950">
            <v>565381.49099750677</v>
          </cell>
          <cell r="O950">
            <v>577236.11403054721</v>
          </cell>
          <cell r="P950">
            <v>-6160</v>
          </cell>
          <cell r="Q950">
            <v>0</v>
          </cell>
        </row>
        <row r="951">
          <cell r="C951" t="str">
            <v>Market Capitalization Actual</v>
          </cell>
          <cell r="E951">
            <v>0</v>
          </cell>
          <cell r="F951">
            <v>0</v>
          </cell>
          <cell r="G951">
            <v>0</v>
          </cell>
          <cell r="H951">
            <v>0</v>
          </cell>
          <cell r="I951">
            <v>0</v>
          </cell>
          <cell r="J951">
            <v>0</v>
          </cell>
          <cell r="K951">
            <v>0</v>
          </cell>
        </row>
        <row r="954">
          <cell r="E954">
            <v>0</v>
          </cell>
          <cell r="F954">
            <v>149.49556027882068</v>
          </cell>
          <cell r="G954">
            <v>183.0061646883247</v>
          </cell>
          <cell r="H954">
            <v>251.4507093253533</v>
          </cell>
          <cell r="I954">
            <v>323.56982560869551</v>
          </cell>
          <cell r="J954">
            <v>388.41911663075177</v>
          </cell>
          <cell r="K954">
            <v>281.39770043482463</v>
          </cell>
          <cell r="L954">
            <v>381.19537975170152</v>
          </cell>
          <cell r="M954">
            <v>649.81894251112828</v>
          </cell>
          <cell r="N954">
            <v>781.51466071398863</v>
          </cell>
          <cell r="O954">
            <v>797.90105086838366</v>
          </cell>
          <cell r="P954">
            <v>0</v>
          </cell>
          <cell r="Q954">
            <v>0</v>
          </cell>
        </row>
        <row r="955">
          <cell r="E955">
            <v>0</v>
          </cell>
          <cell r="F955">
            <v>170.85206889008077</v>
          </cell>
          <cell r="G955">
            <v>209.14990250094255</v>
          </cell>
          <cell r="H955">
            <v>287.37223922897516</v>
          </cell>
          <cell r="I955">
            <v>369.79408640993773</v>
          </cell>
          <cell r="J955">
            <v>443.9075618637163</v>
          </cell>
          <cell r="K955">
            <v>321.59737192551387</v>
          </cell>
          <cell r="L955">
            <v>435.65186257337319</v>
          </cell>
          <cell r="M955">
            <v>742.65022001271802</v>
          </cell>
          <cell r="N955">
            <v>893.15961224455828</v>
          </cell>
          <cell r="O955">
            <v>911.88691527815286</v>
          </cell>
          <cell r="P955">
            <v>0</v>
          </cell>
          <cell r="Q955">
            <v>0</v>
          </cell>
        </row>
        <row r="956">
          <cell r="E956">
            <v>0</v>
          </cell>
          <cell r="F956">
            <v>192.20857750134087</v>
          </cell>
          <cell r="G956">
            <v>235.29364031356036</v>
          </cell>
          <cell r="H956">
            <v>323.29376913259705</v>
          </cell>
          <cell r="I956">
            <v>416.01834721117996</v>
          </cell>
          <cell r="J956">
            <v>499.39600709668088</v>
          </cell>
          <cell r="K956">
            <v>361.79704341620311</v>
          </cell>
          <cell r="L956">
            <v>490.10834539504481</v>
          </cell>
          <cell r="M956">
            <v>835.48149751430776</v>
          </cell>
          <cell r="N956">
            <v>1004.804563775128</v>
          </cell>
          <cell r="O956">
            <v>1025.872779687922</v>
          </cell>
          <cell r="P956">
            <v>0</v>
          </cell>
          <cell r="Q956">
            <v>0</v>
          </cell>
        </row>
        <row r="957">
          <cell r="E957">
            <v>0</v>
          </cell>
          <cell r="F957">
            <v>213.56508611260097</v>
          </cell>
          <cell r="G957">
            <v>261.43737812617815</v>
          </cell>
          <cell r="H957">
            <v>359.21529903621894</v>
          </cell>
          <cell r="I957">
            <v>462.24260801242218</v>
          </cell>
          <cell r="J957">
            <v>554.88445232964546</v>
          </cell>
          <cell r="K957">
            <v>401.99671490689235</v>
          </cell>
          <cell r="L957">
            <v>544.56482821671648</v>
          </cell>
          <cell r="M957">
            <v>928.3127750158975</v>
          </cell>
          <cell r="N957">
            <v>1116.4495153056978</v>
          </cell>
          <cell r="O957">
            <v>1139.858644097691</v>
          </cell>
          <cell r="P957">
            <v>0</v>
          </cell>
          <cell r="Q957">
            <v>0</v>
          </cell>
        </row>
        <row r="958">
          <cell r="E958">
            <v>0</v>
          </cell>
          <cell r="F958">
            <v>234.92159472386106</v>
          </cell>
          <cell r="G958">
            <v>287.58111593879596</v>
          </cell>
          <cell r="H958">
            <v>395.13682893984088</v>
          </cell>
          <cell r="I958">
            <v>508.46686881366435</v>
          </cell>
          <cell r="J958">
            <v>610.37289756260986</v>
          </cell>
          <cell r="K958">
            <v>442.19638639758159</v>
          </cell>
          <cell r="L958">
            <v>599.02131103838815</v>
          </cell>
          <cell r="M958">
            <v>1021.1440525174872</v>
          </cell>
          <cell r="N958">
            <v>1228.0944668362677</v>
          </cell>
          <cell r="O958">
            <v>1253.8445085074602</v>
          </cell>
          <cell r="P958">
            <v>0</v>
          </cell>
          <cell r="Q958">
            <v>0</v>
          </cell>
        </row>
        <row r="959">
          <cell r="C959" t="str">
            <v>Actual YE Share Price (Rs)</v>
          </cell>
          <cell r="E959">
            <v>0</v>
          </cell>
          <cell r="F959">
            <v>0</v>
          </cell>
          <cell r="G959">
            <v>0</v>
          </cell>
          <cell r="H959">
            <v>0</v>
          </cell>
          <cell r="I959">
            <v>0</v>
          </cell>
          <cell r="J959">
            <v>0</v>
          </cell>
          <cell r="K959">
            <v>0</v>
          </cell>
        </row>
        <row r="964">
          <cell r="C964" t="str">
            <v>EBITDA</v>
          </cell>
          <cell r="E964">
            <v>0</v>
          </cell>
          <cell r="F964">
            <v>0</v>
          </cell>
          <cell r="G964">
            <v>8124.4999999999964</v>
          </cell>
          <cell r="H964">
            <v>9482.5999999999949</v>
          </cell>
          <cell r="I964">
            <v>13100.100000000577</v>
          </cell>
          <cell r="J964">
            <v>14799.744027570001</v>
          </cell>
          <cell r="K964">
            <v>13281.634865266522</v>
          </cell>
          <cell r="L964">
            <v>22673.782186438122</v>
          </cell>
          <cell r="M964">
            <v>34591.154728572954</v>
          </cell>
          <cell r="N964">
            <v>39583.318814833023</v>
          </cell>
          <cell r="O964">
            <v>39213.922764605508</v>
          </cell>
          <cell r="P964">
            <v>0</v>
          </cell>
          <cell r="Q964">
            <v>0</v>
          </cell>
        </row>
        <row r="966">
          <cell r="C966" t="str">
            <v>Market Value of Equity</v>
          </cell>
          <cell r="E966">
            <v>0</v>
          </cell>
          <cell r="F966">
            <v>0</v>
          </cell>
          <cell r="G966">
            <v>0</v>
          </cell>
          <cell r="H966">
            <v>0</v>
          </cell>
          <cell r="I966">
            <v>0</v>
          </cell>
          <cell r="J966">
            <v>0</v>
          </cell>
          <cell r="K966">
            <v>0</v>
          </cell>
        </row>
        <row r="967">
          <cell r="E967">
            <v>0</v>
          </cell>
          <cell r="F967">
            <v>0</v>
          </cell>
          <cell r="G967">
            <v>26204.800000000003</v>
          </cell>
          <cell r="H967">
            <v>26595</v>
          </cell>
          <cell r="I967">
            <v>29399.200000000004</v>
          </cell>
          <cell r="J967">
            <v>45940.466666666667</v>
          </cell>
          <cell r="K967">
            <v>68872.509115570603</v>
          </cell>
        </row>
        <row r="968">
          <cell r="E968">
            <v>0</v>
          </cell>
          <cell r="F968">
            <v>0</v>
          </cell>
          <cell r="G968">
            <v>55</v>
          </cell>
          <cell r="H968">
            <v>55</v>
          </cell>
          <cell r="I968">
            <v>55</v>
          </cell>
          <cell r="J968">
            <v>2000</v>
          </cell>
          <cell r="K968">
            <v>2000</v>
          </cell>
        </row>
        <row r="969">
          <cell r="E969">
            <v>0</v>
          </cell>
          <cell r="F969">
            <v>0</v>
          </cell>
          <cell r="G969">
            <v>0</v>
          </cell>
          <cell r="H969">
            <v>0</v>
          </cell>
          <cell r="I969">
            <v>0</v>
          </cell>
          <cell r="J969">
            <v>0</v>
          </cell>
          <cell r="K969">
            <v>0</v>
          </cell>
        </row>
        <row r="970">
          <cell r="E970">
            <v>0</v>
          </cell>
          <cell r="F970">
            <v>0</v>
          </cell>
          <cell r="G970">
            <v>0</v>
          </cell>
          <cell r="H970">
            <v>0</v>
          </cell>
          <cell r="I970">
            <v>0</v>
          </cell>
          <cell r="J970">
            <v>0</v>
          </cell>
          <cell r="K970">
            <v>0</v>
          </cell>
        </row>
        <row r="971">
          <cell r="C971" t="str">
            <v>Total Adjustments to Equity Value</v>
          </cell>
          <cell r="E971">
            <v>0</v>
          </cell>
          <cell r="F971">
            <v>0</v>
          </cell>
          <cell r="G971">
            <v>26259.800000000003</v>
          </cell>
          <cell r="H971">
            <v>26650</v>
          </cell>
          <cell r="I971">
            <v>29454.200000000004</v>
          </cell>
          <cell r="J971">
            <v>47940.466666666667</v>
          </cell>
          <cell r="K971">
            <v>70872.509115570603</v>
          </cell>
        </row>
        <row r="972">
          <cell r="C972" t="str">
            <v>Enterprise Value</v>
          </cell>
          <cell r="E972">
            <v>0</v>
          </cell>
          <cell r="F972">
            <v>0</v>
          </cell>
          <cell r="G972">
            <v>0</v>
          </cell>
          <cell r="H972">
            <v>0</v>
          </cell>
          <cell r="I972">
            <v>0</v>
          </cell>
          <cell r="J972">
            <v>0</v>
          </cell>
          <cell r="K972">
            <v>0</v>
          </cell>
        </row>
        <row r="973">
          <cell r="E973">
            <v>0</v>
          </cell>
          <cell r="F973">
            <v>0</v>
          </cell>
          <cell r="G973">
            <v>245.481348</v>
          </cell>
          <cell r="H973">
            <v>319.95296500000001</v>
          </cell>
          <cell r="I973">
            <v>460.37296500000002</v>
          </cell>
          <cell r="J973">
            <v>460.37296500000002</v>
          </cell>
          <cell r="K973">
            <v>460.37296500000002</v>
          </cell>
        </row>
        <row r="974">
          <cell r="E974">
            <v>0</v>
          </cell>
          <cell r="F974">
            <v>0</v>
          </cell>
          <cell r="G974">
            <v>0</v>
          </cell>
          <cell r="H974">
            <v>0</v>
          </cell>
          <cell r="I974">
            <v>0</v>
          </cell>
          <cell r="J974">
            <v>0</v>
          </cell>
          <cell r="K974">
            <v>0</v>
          </cell>
        </row>
        <row r="977">
          <cell r="E977">
            <v>0</v>
          </cell>
          <cell r="F977">
            <v>0</v>
          </cell>
          <cell r="G977">
            <v>0</v>
          </cell>
          <cell r="H977">
            <v>0</v>
          </cell>
          <cell r="I977">
            <v>0</v>
          </cell>
          <cell r="J977">
            <v>0</v>
          </cell>
          <cell r="K977">
            <v>0</v>
          </cell>
          <cell r="L977">
            <v>0</v>
          </cell>
          <cell r="M977">
            <v>0</v>
          </cell>
          <cell r="N977">
            <v>0</v>
          </cell>
          <cell r="O977">
            <v>0</v>
          </cell>
          <cell r="P977">
            <v>0</v>
          </cell>
          <cell r="Q977">
            <v>0</v>
          </cell>
        </row>
        <row r="978">
          <cell r="E978">
            <v>0</v>
          </cell>
          <cell r="F978">
            <v>0</v>
          </cell>
          <cell r="G978">
            <v>0</v>
          </cell>
          <cell r="H978">
            <v>0</v>
          </cell>
          <cell r="I978">
            <v>0</v>
          </cell>
          <cell r="J978">
            <v>0</v>
          </cell>
          <cell r="K978">
            <v>0</v>
          </cell>
          <cell r="L978">
            <v>0</v>
          </cell>
          <cell r="M978">
            <v>0</v>
          </cell>
          <cell r="N978">
            <v>0</v>
          </cell>
          <cell r="O978">
            <v>0</v>
          </cell>
          <cell r="P978">
            <v>0</v>
          </cell>
          <cell r="Q978">
            <v>0</v>
          </cell>
        </row>
        <row r="979">
          <cell r="E979">
            <v>0</v>
          </cell>
          <cell r="F979">
            <v>0</v>
          </cell>
          <cell r="G979">
            <v>0</v>
          </cell>
          <cell r="H979">
            <v>0</v>
          </cell>
          <cell r="I979">
            <v>0</v>
          </cell>
          <cell r="J979">
            <v>0</v>
          </cell>
          <cell r="K979">
            <v>0</v>
          </cell>
          <cell r="L979">
            <v>0</v>
          </cell>
          <cell r="M979">
            <v>0</v>
          </cell>
          <cell r="N979">
            <v>0</v>
          </cell>
          <cell r="O979">
            <v>0</v>
          </cell>
          <cell r="P979">
            <v>0</v>
          </cell>
          <cell r="Q979">
            <v>0</v>
          </cell>
        </row>
        <row r="980">
          <cell r="E980">
            <v>0</v>
          </cell>
          <cell r="F980">
            <v>0</v>
          </cell>
          <cell r="G980">
            <v>0</v>
          </cell>
          <cell r="H980">
            <v>0</v>
          </cell>
          <cell r="I980">
            <v>0</v>
          </cell>
          <cell r="J980">
            <v>0</v>
          </cell>
          <cell r="K980">
            <v>0</v>
          </cell>
          <cell r="L980">
            <v>0</v>
          </cell>
          <cell r="M980">
            <v>0</v>
          </cell>
          <cell r="N980">
            <v>0</v>
          </cell>
          <cell r="O980">
            <v>0</v>
          </cell>
          <cell r="P980">
            <v>0</v>
          </cell>
          <cell r="Q980">
            <v>0</v>
          </cell>
        </row>
        <row r="983">
          <cell r="E983">
            <v>0</v>
          </cell>
          <cell r="F983">
            <v>0</v>
          </cell>
          <cell r="G983">
            <v>46860.699999999968</v>
          </cell>
          <cell r="H983">
            <v>58693.399999999951</v>
          </cell>
          <cell r="I983">
            <v>88446.700000005192</v>
          </cell>
          <cell r="J983">
            <v>85257.229581463325</v>
          </cell>
          <cell r="K983">
            <v>48662.204671828091</v>
          </cell>
          <cell r="L983">
            <v>204064.0396779431</v>
          </cell>
          <cell r="M983">
            <v>311320.39255715656</v>
          </cell>
          <cell r="N983">
            <v>356249.86933349719</v>
          </cell>
          <cell r="O983">
            <v>352925.30488144956</v>
          </cell>
          <cell r="P983">
            <v>0</v>
          </cell>
          <cell r="Q983">
            <v>0</v>
          </cell>
        </row>
        <row r="984">
          <cell r="E984">
            <v>0</v>
          </cell>
          <cell r="F984">
            <v>0</v>
          </cell>
          <cell r="G984">
            <v>54985.199999999968</v>
          </cell>
          <cell r="H984">
            <v>68175.999999999942</v>
          </cell>
          <cell r="I984">
            <v>101546.80000000575</v>
          </cell>
          <cell r="J984">
            <v>100056.97360903333</v>
          </cell>
          <cell r="K984">
            <v>61943.839537094609</v>
          </cell>
          <cell r="L984">
            <v>226737.82186438123</v>
          </cell>
          <cell r="M984">
            <v>345911.54728572955</v>
          </cell>
          <cell r="N984">
            <v>395833.1881483302</v>
          </cell>
          <cell r="O984">
            <v>392139.22764605505</v>
          </cell>
          <cell r="P984">
            <v>0</v>
          </cell>
          <cell r="Q984">
            <v>0</v>
          </cell>
        </row>
        <row r="985">
          <cell r="E985">
            <v>0</v>
          </cell>
          <cell r="F985">
            <v>0</v>
          </cell>
          <cell r="G985">
            <v>63109.699999999953</v>
          </cell>
          <cell r="H985">
            <v>77658.599999999948</v>
          </cell>
          <cell r="I985">
            <v>114646.90000000634</v>
          </cell>
          <cell r="J985">
            <v>114856.71763660334</v>
          </cell>
          <cell r="K985">
            <v>75225.474402361142</v>
          </cell>
          <cell r="L985">
            <v>249411.60405081935</v>
          </cell>
          <cell r="M985">
            <v>380502.70201430249</v>
          </cell>
          <cell r="N985">
            <v>435416.50696316327</v>
          </cell>
          <cell r="O985">
            <v>431353.1504106606</v>
          </cell>
          <cell r="P985">
            <v>0</v>
          </cell>
          <cell r="Q985">
            <v>0</v>
          </cell>
        </row>
        <row r="986">
          <cell r="E986">
            <v>0</v>
          </cell>
          <cell r="F986">
            <v>0</v>
          </cell>
          <cell r="G986">
            <v>79358.699999999953</v>
          </cell>
          <cell r="H986">
            <v>96623.79999999993</v>
          </cell>
          <cell r="I986">
            <v>140847.10000000749</v>
          </cell>
          <cell r="J986">
            <v>144456.20569174335</v>
          </cell>
          <cell r="K986">
            <v>101788.74413289418</v>
          </cell>
          <cell r="L986">
            <v>294759.16842369561</v>
          </cell>
          <cell r="M986">
            <v>449685.01147144841</v>
          </cell>
          <cell r="N986">
            <v>514583.14459282928</v>
          </cell>
          <cell r="O986">
            <v>509780.99593987159</v>
          </cell>
          <cell r="P986">
            <v>0</v>
          </cell>
          <cell r="Q986">
            <v>0</v>
          </cell>
        </row>
        <row r="987">
          <cell r="E987">
            <v>0</v>
          </cell>
          <cell r="F987">
            <v>0</v>
          </cell>
          <cell r="G987">
            <v>87483.199999999939</v>
          </cell>
          <cell r="H987">
            <v>106106.39999999994</v>
          </cell>
          <cell r="I987">
            <v>153947.20000000807</v>
          </cell>
          <cell r="J987">
            <v>159255.94971931333</v>
          </cell>
          <cell r="K987">
            <v>115070.37899816071</v>
          </cell>
          <cell r="L987">
            <v>317432.9506101337</v>
          </cell>
          <cell r="M987">
            <v>484276.16620002134</v>
          </cell>
          <cell r="N987">
            <v>554166.46340766235</v>
          </cell>
          <cell r="O987">
            <v>548994.91870447714</v>
          </cell>
          <cell r="P987">
            <v>0</v>
          </cell>
          <cell r="Q987">
            <v>0</v>
          </cell>
        </row>
        <row r="988">
          <cell r="E988">
            <v>0</v>
          </cell>
          <cell r="F988">
            <v>0</v>
          </cell>
          <cell r="G988">
            <v>0</v>
          </cell>
          <cell r="H988">
            <v>0</v>
          </cell>
          <cell r="I988">
            <v>0</v>
          </cell>
          <cell r="J988">
            <v>0</v>
          </cell>
          <cell r="K988">
            <v>0</v>
          </cell>
        </row>
        <row r="991">
          <cell r="E991">
            <v>0</v>
          </cell>
          <cell r="F991">
            <v>0</v>
          </cell>
          <cell r="G991">
            <v>190.8931182828602</v>
          </cell>
          <cell r="H991">
            <v>183.44383837793143</v>
          </cell>
          <cell r="I991">
            <v>192.1196654108592</v>
          </cell>
          <cell r="J991">
            <v>185.19165125489792</v>
          </cell>
          <cell r="K991">
            <v>105.70169921213355</v>
          </cell>
          <cell r="L991">
            <v>443.25808679478627</v>
          </cell>
          <cell r="M991">
            <v>676.23517501110553</v>
          </cell>
          <cell r="N991">
            <v>773.828822319089</v>
          </cell>
          <cell r="O991">
            <v>766.60736340468975</v>
          </cell>
          <cell r="P991">
            <v>0</v>
          </cell>
          <cell r="Q991">
            <v>0</v>
          </cell>
        </row>
        <row r="992">
          <cell r="E992">
            <v>0</v>
          </cell>
          <cell r="F992">
            <v>0</v>
          </cell>
          <cell r="G992">
            <v>223.98931913963568</v>
          </cell>
          <cell r="H992">
            <v>213.08131962458901</v>
          </cell>
          <cell r="I992">
            <v>220.57507221347313</v>
          </cell>
          <cell r="J992">
            <v>217.33894302206326</v>
          </cell>
          <cell r="K992">
            <v>134.55142731305824</v>
          </cell>
          <cell r="L992">
            <v>492.5089853275403</v>
          </cell>
          <cell r="M992">
            <v>751.37241667900616</v>
          </cell>
          <cell r="N992">
            <v>859.80980257676549</v>
          </cell>
          <cell r="O992">
            <v>851.78595933854422</v>
          </cell>
          <cell r="P992">
            <v>0</v>
          </cell>
          <cell r="Q992">
            <v>0</v>
          </cell>
        </row>
        <row r="993">
          <cell r="E993">
            <v>0</v>
          </cell>
          <cell r="F993">
            <v>0</v>
          </cell>
          <cell r="G993">
            <v>257.08551999641111</v>
          </cell>
          <cell r="H993">
            <v>242.71880087124663</v>
          </cell>
          <cell r="I993">
            <v>249.03047901608718</v>
          </cell>
          <cell r="J993">
            <v>249.48623478922863</v>
          </cell>
          <cell r="K993">
            <v>163.40115541398296</v>
          </cell>
          <cell r="L993">
            <v>541.75988386029428</v>
          </cell>
          <cell r="M993">
            <v>826.5096583469068</v>
          </cell>
          <cell r="N993">
            <v>945.79078283444221</v>
          </cell>
          <cell r="O993">
            <v>936.96455527239868</v>
          </cell>
          <cell r="P993">
            <v>0</v>
          </cell>
          <cell r="Q993">
            <v>0</v>
          </cell>
        </row>
        <row r="994">
          <cell r="E994">
            <v>0</v>
          </cell>
          <cell r="F994">
            <v>0</v>
          </cell>
          <cell r="G994">
            <v>323.27792170996207</v>
          </cell>
          <cell r="H994">
            <v>301.9937633645618</v>
          </cell>
          <cell r="I994">
            <v>305.94129262131514</v>
          </cell>
          <cell r="J994">
            <v>313.78081832355934</v>
          </cell>
          <cell r="K994">
            <v>221.10061161583235</v>
          </cell>
          <cell r="L994">
            <v>640.26168092580235</v>
          </cell>
          <cell r="M994">
            <v>976.78414168270808</v>
          </cell>
          <cell r="N994">
            <v>1117.7527433497953</v>
          </cell>
          <cell r="O994">
            <v>1107.3217471401076</v>
          </cell>
          <cell r="P994">
            <v>0</v>
          </cell>
          <cell r="Q994">
            <v>0</v>
          </cell>
        </row>
        <row r="995">
          <cell r="E995">
            <v>0</v>
          </cell>
          <cell r="F995">
            <v>0</v>
          </cell>
          <cell r="G995">
            <v>356.37412256673747</v>
          </cell>
          <cell r="H995">
            <v>331.63124461121947</v>
          </cell>
          <cell r="I995">
            <v>334.39669942392919</v>
          </cell>
          <cell r="J995">
            <v>345.92811009072466</v>
          </cell>
          <cell r="K995">
            <v>249.95033971675704</v>
          </cell>
          <cell r="L995">
            <v>689.51257945855639</v>
          </cell>
          <cell r="M995">
            <v>1051.9213833506085</v>
          </cell>
          <cell r="N995">
            <v>1203.7337236074718</v>
          </cell>
          <cell r="O995">
            <v>1192.5003430739621</v>
          </cell>
          <cell r="P995">
            <v>0</v>
          </cell>
          <cell r="Q995">
            <v>0</v>
          </cell>
        </row>
        <row r="996">
          <cell r="E996">
            <v>0</v>
          </cell>
          <cell r="F996">
            <v>0</v>
          </cell>
          <cell r="G996">
            <v>0</v>
          </cell>
          <cell r="H996">
            <v>0</v>
          </cell>
          <cell r="I996">
            <v>0</v>
          </cell>
          <cell r="J996">
            <v>0</v>
          </cell>
          <cell r="K996">
            <v>0</v>
          </cell>
        </row>
        <row r="1003">
          <cell r="C1003" t="str">
            <v>Free CashFlow - Manual</v>
          </cell>
        </row>
        <row r="1004">
          <cell r="C1004" t="str">
            <v>Free CashFlow</v>
          </cell>
          <cell r="K1004">
            <v>-49268.59047967878</v>
          </cell>
          <cell r="L1004">
            <v>5268.6487346452122</v>
          </cell>
          <cell r="M1004">
            <v>17350.475481792259</v>
          </cell>
          <cell r="N1004">
            <v>7341.9614069819072</v>
          </cell>
          <cell r="O1004">
            <v>7471.1639901862654</v>
          </cell>
          <cell r="P1004">
            <v>0</v>
          </cell>
          <cell r="Q1004">
            <v>0</v>
          </cell>
        </row>
        <row r="1006">
          <cell r="E1006"/>
          <cell r="F1006"/>
          <cell r="G1006"/>
          <cell r="H1006"/>
          <cell r="I1006"/>
          <cell r="J1006" t="str">
            <v xml:space="preserve"> *</v>
          </cell>
        </row>
        <row r="1007">
          <cell r="E1007"/>
          <cell r="F1007"/>
          <cell r="G1007"/>
          <cell r="H1007"/>
          <cell r="I1007"/>
          <cell r="J1007">
            <v>-65577.018904237208</v>
          </cell>
          <cell r="K1007">
            <v>-49268.59047967878</v>
          </cell>
          <cell r="L1007">
            <v>5268.6487346452122</v>
          </cell>
          <cell r="M1007">
            <v>17350.475481792259</v>
          </cell>
          <cell r="N1007">
            <v>7341.9614069819072</v>
          </cell>
          <cell r="O1007">
            <v>7471.1639901862654</v>
          </cell>
          <cell r="P1007">
            <v>0</v>
          </cell>
          <cell r="Q1007">
            <v>0</v>
          </cell>
        </row>
        <row r="1008">
          <cell r="E1008"/>
          <cell r="F1008"/>
          <cell r="G1008"/>
          <cell r="H1008"/>
          <cell r="I1008"/>
          <cell r="J1008">
            <v>-65577.018904237208</v>
          </cell>
          <cell r="K1008">
            <v>-49268.59047967878</v>
          </cell>
          <cell r="L1008">
            <v>5268.6487346452122</v>
          </cell>
          <cell r="M1008">
            <v>17350.475481792259</v>
          </cell>
          <cell r="N1008">
            <v>7341.9614069819072</v>
          </cell>
          <cell r="O1008">
            <v>7471.1639901862654</v>
          </cell>
          <cell r="P1008">
            <v>0</v>
          </cell>
          <cell r="Q1008">
            <v>0</v>
          </cell>
        </row>
        <row r="1009">
          <cell r="E1009"/>
          <cell r="F1009"/>
          <cell r="G1009"/>
          <cell r="H1009"/>
          <cell r="I1009"/>
          <cell r="J1009">
            <v>-65577.018904237208</v>
          </cell>
          <cell r="K1009">
            <v>-49268.59047967878</v>
          </cell>
          <cell r="L1009">
            <v>5268.6487346452122</v>
          </cell>
          <cell r="M1009">
            <v>17350.475481792259</v>
          </cell>
          <cell r="N1009">
            <v>7341.9614069819072</v>
          </cell>
          <cell r="O1009">
            <v>7471.1639901862654</v>
          </cell>
          <cell r="P1009">
            <v>0</v>
          </cell>
          <cell r="Q1009">
            <v>0</v>
          </cell>
        </row>
        <row r="1010">
          <cell r="E1010"/>
          <cell r="F1010"/>
          <cell r="G1010"/>
          <cell r="H1010"/>
          <cell r="I1010"/>
          <cell r="J1010">
            <v>-65577.018904237208</v>
          </cell>
          <cell r="K1010">
            <v>-49268.59047967878</v>
          </cell>
          <cell r="L1010">
            <v>5268.6487346452122</v>
          </cell>
          <cell r="M1010">
            <v>17350.475481792259</v>
          </cell>
          <cell r="N1010">
            <v>7341.9614069819072</v>
          </cell>
          <cell r="O1010">
            <v>7471.1639901862654</v>
          </cell>
          <cell r="P1010">
            <v>0</v>
          </cell>
          <cell r="Q1010">
            <v>0</v>
          </cell>
        </row>
        <row r="1011">
          <cell r="E1011"/>
          <cell r="F1011"/>
          <cell r="G1011"/>
          <cell r="H1011"/>
          <cell r="I1011"/>
          <cell r="J1011">
            <v>-65577.018904237208</v>
          </cell>
          <cell r="K1011">
            <v>-49268.59047967878</v>
          </cell>
          <cell r="L1011">
            <v>5268.6487346452122</v>
          </cell>
          <cell r="M1011">
            <v>17350.475481792259</v>
          </cell>
          <cell r="N1011">
            <v>7341.9614069819072</v>
          </cell>
          <cell r="O1011">
            <v>7471.1639901862654</v>
          </cell>
          <cell r="P1011">
            <v>0</v>
          </cell>
          <cell r="Q1011">
            <v>0</v>
          </cell>
        </row>
        <row r="1017">
          <cell r="A1017" t="str">
            <v>( + )</v>
          </cell>
          <cell r="C1017" t="str">
            <v>Cash Dividends Paid</v>
          </cell>
        </row>
        <row r="1018">
          <cell r="A1018" t="str">
            <v>%</v>
          </cell>
          <cell r="C1018" t="str">
            <v>Discount Rate</v>
          </cell>
        </row>
        <row r="1019">
          <cell r="A1019" t="str">
            <v>%</v>
          </cell>
          <cell r="C1019" t="str">
            <v>LT Growth Rate - Manual</v>
          </cell>
        </row>
        <row r="1023">
          <cell r="C1023">
            <v>0</v>
          </cell>
          <cell r="K1023">
            <v>0</v>
          </cell>
        </row>
        <row r="1025">
          <cell r="C1025" t="str">
            <v>Cash Dividends</v>
          </cell>
          <cell r="E1025">
            <v>0</v>
          </cell>
          <cell r="F1025">
            <v>475.1</v>
          </cell>
          <cell r="G1025">
            <v>848.1</v>
          </cell>
          <cell r="H1025">
            <v>1383.5</v>
          </cell>
          <cell r="I1025">
            <v>1993.4</v>
          </cell>
          <cell r="J1025">
            <v>2762.2377900000001</v>
          </cell>
          <cell r="K1025">
            <v>2762.2377900000001</v>
          </cell>
          <cell r="L1025">
            <v>3452.7972374999999</v>
          </cell>
          <cell r="M1025">
            <v>3682.9837200000002</v>
          </cell>
          <cell r="N1025">
            <v>3682.9837200000002</v>
          </cell>
          <cell r="O1025">
            <v>3682.9837200000002</v>
          </cell>
          <cell r="P1025">
            <v>4143.3566850000007</v>
          </cell>
          <cell r="Q1025">
            <v>0</v>
          </cell>
        </row>
        <row r="1026">
          <cell r="C1026" t="str">
            <v>Discount Rate</v>
          </cell>
          <cell r="K1026">
            <v>0</v>
          </cell>
          <cell r="L1026">
            <v>0</v>
          </cell>
          <cell r="M1026">
            <v>0</v>
          </cell>
          <cell r="N1026">
            <v>0</v>
          </cell>
          <cell r="O1026">
            <v>0</v>
          </cell>
          <cell r="P1026">
            <v>0</v>
          </cell>
          <cell r="Q1026">
            <v>0</v>
          </cell>
        </row>
        <row r="1027">
          <cell r="C1027" t="str">
            <v>Discount Factor</v>
          </cell>
          <cell r="K1027">
            <v>1</v>
          </cell>
          <cell r="L1027">
            <v>1</v>
          </cell>
          <cell r="M1027">
            <v>1</v>
          </cell>
          <cell r="N1027">
            <v>1</v>
          </cell>
          <cell r="O1027">
            <v>1</v>
          </cell>
          <cell r="P1027">
            <v>0</v>
          </cell>
          <cell r="Q1027">
            <v>0</v>
          </cell>
        </row>
        <row r="1028">
          <cell r="C1028" t="str">
            <v>Discounted Dividends</v>
          </cell>
          <cell r="K1028">
            <v>2762.2377900000001</v>
          </cell>
          <cell r="L1028">
            <v>3452.7972374999999</v>
          </cell>
          <cell r="M1028">
            <v>3682.9837200000002</v>
          </cell>
          <cell r="N1028">
            <v>3682.9837200000002</v>
          </cell>
          <cell r="O1028">
            <v>3682.9837200000002</v>
          </cell>
          <cell r="P1028">
            <v>0</v>
          </cell>
          <cell r="Q1028">
            <v>0</v>
          </cell>
        </row>
        <row r="1029">
          <cell r="C1029" t="str">
            <v>Intrinsic Total Value</v>
          </cell>
          <cell r="K1029">
            <v>17263.986187499999</v>
          </cell>
        </row>
        <row r="1030">
          <cell r="K1030">
            <v>1</v>
          </cell>
        </row>
        <row r="1031">
          <cell r="K1031">
            <v>0</v>
          </cell>
        </row>
        <row r="1032">
          <cell r="C1032" t="str">
            <v>Intrinsic Common Equity Value</v>
          </cell>
          <cell r="K1032">
            <v>19058.315839268642</v>
          </cell>
        </row>
        <row r="1033">
          <cell r="E1033">
            <v>0</v>
          </cell>
          <cell r="F1033">
            <v>0</v>
          </cell>
          <cell r="G1033">
            <v>0</v>
          </cell>
          <cell r="H1033">
            <v>0</v>
          </cell>
          <cell r="I1033">
            <v>0</v>
          </cell>
          <cell r="J1033">
            <v>0</v>
          </cell>
          <cell r="K1033">
            <v>0</v>
          </cell>
        </row>
        <row r="1034">
          <cell r="E1034">
            <v>0</v>
          </cell>
          <cell r="F1034">
            <v>0</v>
          </cell>
          <cell r="G1034">
            <v>245.481348</v>
          </cell>
          <cell r="H1034">
            <v>319.95296500000001</v>
          </cell>
          <cell r="I1034">
            <v>460.37296500000002</v>
          </cell>
          <cell r="J1034">
            <v>460.37296500000002</v>
          </cell>
          <cell r="K1034">
            <v>460.37296500000002</v>
          </cell>
        </row>
        <row r="1035">
          <cell r="C1035" t="str">
            <v>Intrinsic Share Value (Rs)</v>
          </cell>
          <cell r="E1035">
            <v>0</v>
          </cell>
          <cell r="F1035">
            <v>0</v>
          </cell>
          <cell r="G1035">
            <v>0</v>
          </cell>
          <cell r="H1035">
            <v>0</v>
          </cell>
          <cell r="I1035">
            <v>0</v>
          </cell>
          <cell r="J1035">
            <v>0</v>
          </cell>
          <cell r="K1035">
            <v>41.397556520871376</v>
          </cell>
        </row>
        <row r="1036">
          <cell r="K1036">
            <v>0</v>
          </cell>
        </row>
      </sheetData>
      <sheetData sheetId="15" refreshError="1">
        <row r="2">
          <cell r="D2" t="str">
            <v>Reliance</v>
          </cell>
          <cell r="H2">
            <v>35520</v>
          </cell>
        </row>
        <row r="3">
          <cell r="D3" t="str">
            <v>PEREGRINE - India</v>
          </cell>
        </row>
        <row r="4">
          <cell r="D4" t="str">
            <v>S. Ramesh</v>
          </cell>
          <cell r="H4">
            <v>35465</v>
          </cell>
        </row>
        <row r="5">
          <cell r="D5">
            <v>4</v>
          </cell>
          <cell r="F5" t="str">
            <v>India, Bombay</v>
          </cell>
          <cell r="H5" t="str">
            <v>IND</v>
          </cell>
        </row>
        <row r="6">
          <cell r="D6">
            <v>18</v>
          </cell>
          <cell r="F6" t="str">
            <v>Petrochemicals</v>
          </cell>
          <cell r="H6" t="str">
            <v>PET</v>
          </cell>
        </row>
        <row r="8">
          <cell r="D8">
            <v>325</v>
          </cell>
          <cell r="H8" t="str">
            <v>RELI.BO</v>
          </cell>
        </row>
        <row r="9">
          <cell r="D9" t="str">
            <v>RIL IN</v>
          </cell>
        </row>
        <row r="12">
          <cell r="D12">
            <v>0</v>
          </cell>
          <cell r="H12">
            <v>34731</v>
          </cell>
        </row>
        <row r="13">
          <cell r="D13">
            <v>0</v>
          </cell>
        </row>
        <row r="14">
          <cell r="D14">
            <v>0</v>
          </cell>
        </row>
        <row r="17">
          <cell r="D17">
            <v>235.75</v>
          </cell>
        </row>
        <row r="18">
          <cell r="D18">
            <v>460.37296500000002</v>
          </cell>
        </row>
        <row r="19">
          <cell r="D19">
            <v>108532.92649875001</v>
          </cell>
        </row>
        <row r="29">
          <cell r="D29">
            <v>70</v>
          </cell>
        </row>
        <row r="31">
          <cell r="D31">
            <v>32226.107550000001</v>
          </cell>
        </row>
        <row r="33">
          <cell r="D33" t="str">
            <v>Rs</v>
          </cell>
          <cell r="H33" t="str">
            <v>m</v>
          </cell>
        </row>
        <row r="34">
          <cell r="D34" t="str">
            <v>A</v>
          </cell>
          <cell r="H34" t="str">
            <v>E</v>
          </cell>
        </row>
        <row r="35">
          <cell r="H35" t="str">
            <v>N/A</v>
          </cell>
        </row>
        <row r="39">
          <cell r="H39">
            <v>8</v>
          </cell>
        </row>
        <row r="41">
          <cell r="F41">
            <v>1</v>
          </cell>
        </row>
        <row r="44">
          <cell r="B44">
            <v>0</v>
          </cell>
          <cell r="F44" t="str">
            <v>Reporting</v>
          </cell>
        </row>
        <row r="45">
          <cell r="B45">
            <v>1</v>
          </cell>
          <cell r="F45" t="str">
            <v>System_Defaults</v>
          </cell>
        </row>
        <row r="46">
          <cell r="B46">
            <v>2</v>
          </cell>
          <cell r="F46" t="str">
            <v>Cover</v>
          </cell>
        </row>
        <row r="47">
          <cell r="B47">
            <v>3</v>
          </cell>
          <cell r="F47" t="str">
            <v>VbCode</v>
          </cell>
        </row>
        <row r="49">
          <cell r="D49">
            <v>2</v>
          </cell>
          <cell r="H49" t="b">
            <v>1</v>
          </cell>
        </row>
        <row r="50">
          <cell r="D50">
            <v>3</v>
          </cell>
          <cell r="H50" t="b">
            <v>1</v>
          </cell>
        </row>
        <row r="51">
          <cell r="D51">
            <v>2</v>
          </cell>
          <cell r="H51" t="b">
            <v>0</v>
          </cell>
        </row>
        <row r="52">
          <cell r="D52">
            <v>3</v>
          </cell>
          <cell r="H52" t="b">
            <v>0</v>
          </cell>
        </row>
        <row r="53">
          <cell r="D53">
            <v>2</v>
          </cell>
          <cell r="H53" t="b">
            <v>0</v>
          </cell>
        </row>
        <row r="54">
          <cell r="D54">
            <v>2</v>
          </cell>
          <cell r="H54" t="b">
            <v>0</v>
          </cell>
        </row>
        <row r="55">
          <cell r="H55" t="b">
            <v>1</v>
          </cell>
        </row>
        <row r="56">
          <cell r="H56" t="b">
            <v>1</v>
          </cell>
        </row>
        <row r="57">
          <cell r="H57" t="b">
            <v>1</v>
          </cell>
        </row>
        <row r="59">
          <cell r="F59" t="str">
            <v>AASOS01C.XLA</v>
          </cell>
        </row>
        <row r="60">
          <cell r="D60">
            <v>0</v>
          </cell>
          <cell r="F60" t="str">
            <v>F:\RESEARCH\TEMP\AASOS\AASOS01C.XLA</v>
          </cell>
        </row>
        <row r="61">
          <cell r="D61">
            <v>34731</v>
          </cell>
        </row>
        <row r="63">
          <cell r="F63" t="str">
            <v>Choose Destination Section...</v>
          </cell>
        </row>
        <row r="64">
          <cell r="B64" t="str">
            <v>ZZ_PRI_EPS_All</v>
          </cell>
          <cell r="C64">
            <v>1</v>
          </cell>
          <cell r="D64" t="b">
            <v>1</v>
          </cell>
          <cell r="F64" t="str">
            <v>[01] EPS &amp; SHARE SUMMARY</v>
          </cell>
        </row>
        <row r="65">
          <cell r="B65" t="str">
            <v>ZZ_PRI_INC_All</v>
          </cell>
          <cell r="C65">
            <v>1</v>
          </cell>
          <cell r="D65" t="b">
            <v>1</v>
          </cell>
          <cell r="F65" t="str">
            <v>[02] INCOME STATEMENT</v>
          </cell>
        </row>
        <row r="66">
          <cell r="B66" t="str">
            <v>ZZ_PRI_BAL_All</v>
          </cell>
          <cell r="C66">
            <v>1</v>
          </cell>
          <cell r="D66" t="b">
            <v>1</v>
          </cell>
          <cell r="F66" t="str">
            <v>[03] BALANCE SHEET</v>
          </cell>
        </row>
        <row r="67">
          <cell r="B67" t="str">
            <v>ZZ_PRI_CAS_All</v>
          </cell>
          <cell r="C67">
            <v>1</v>
          </cell>
          <cell r="D67" t="b">
            <v>1</v>
          </cell>
          <cell r="F67" t="str">
            <v>[04] CASHFLOW</v>
          </cell>
        </row>
        <row r="68">
          <cell r="B68" t="str">
            <v>ZZ_PRI_INV_All</v>
          </cell>
          <cell r="C68">
            <v>1</v>
          </cell>
          <cell r="D68" t="b">
            <v>1</v>
          </cell>
          <cell r="F68" t="str">
            <v>[05] CAPITAL</v>
          </cell>
        </row>
        <row r="69">
          <cell r="B69" t="str">
            <v>ZZ_PRI_NOP_All</v>
          </cell>
          <cell r="C69">
            <v>1</v>
          </cell>
          <cell r="D69" t="b">
            <v>1</v>
          </cell>
          <cell r="F69" t="str">
            <v>[06] NOPAT</v>
          </cell>
        </row>
        <row r="70">
          <cell r="B70" t="str">
            <v>ZZ_PRI_FRE_All</v>
          </cell>
          <cell r="C70">
            <v>1</v>
          </cell>
          <cell r="D70" t="b">
            <v>1</v>
          </cell>
          <cell r="F70" t="str">
            <v>[07] FREE CASHFLOW</v>
          </cell>
        </row>
        <row r="71">
          <cell r="B71" t="str">
            <v>ZZ_PRI_COS_All</v>
          </cell>
          <cell r="C71">
            <v>1</v>
          </cell>
          <cell r="D71" t="b">
            <v>1</v>
          </cell>
          <cell r="F71" t="str">
            <v xml:space="preserve">[08] COST OF CAPITAL </v>
          </cell>
        </row>
        <row r="72">
          <cell r="B72" t="str">
            <v>ZZ_PRI_SUM_All</v>
          </cell>
          <cell r="C72">
            <v>1</v>
          </cell>
          <cell r="D72" t="b">
            <v>1</v>
          </cell>
          <cell r="F72" t="str">
            <v>[09] EVA &amp; SUMMARY OF PERFORMANCE</v>
          </cell>
        </row>
        <row r="73">
          <cell r="B73" t="str">
            <v>ZZ_PRI_COM_All</v>
          </cell>
          <cell r="C73">
            <v>1</v>
          </cell>
          <cell r="D73" t="b">
            <v>1</v>
          </cell>
          <cell r="F73" t="str">
            <v>[10] COMMON SIZED RATIOS</v>
          </cell>
        </row>
        <row r="74">
          <cell r="B74" t="str">
            <v>ZZ_PRI_GRO_All</v>
          </cell>
          <cell r="C74">
            <v>1</v>
          </cell>
          <cell r="D74" t="b">
            <v>1</v>
          </cell>
          <cell r="F74" t="str">
            <v>[11] GROWTH RATES</v>
          </cell>
        </row>
        <row r="75">
          <cell r="B75" t="str">
            <v>ZZ_PRI_OTH_All</v>
          </cell>
          <cell r="C75">
            <v>1</v>
          </cell>
          <cell r="D75" t="b">
            <v>1</v>
          </cell>
          <cell r="F75" t="str">
            <v>[12] OTHER RATIOS</v>
          </cell>
        </row>
        <row r="76">
          <cell r="B76" t="str">
            <v>ZZ_PRI_RET_All</v>
          </cell>
          <cell r="C76">
            <v>1</v>
          </cell>
          <cell r="D76" t="b">
            <v>1</v>
          </cell>
          <cell r="F76" t="str">
            <v>[13] RETURNS (BEGINNING OF YEAR)</v>
          </cell>
        </row>
        <row r="77">
          <cell r="B77" t="str">
            <v>ZZ_PRI_DCF_All</v>
          </cell>
          <cell r="C77">
            <v>1</v>
          </cell>
          <cell r="D77" t="b">
            <v>1</v>
          </cell>
          <cell r="F77" t="str">
            <v>[14] DCF &amp; EVA  MODELS</v>
          </cell>
        </row>
        <row r="78">
          <cell r="B78" t="str">
            <v>ZZ_PRI_VAL_0</v>
          </cell>
          <cell r="C78">
            <v>1</v>
          </cell>
          <cell r="D78" t="b">
            <v>1</v>
          </cell>
          <cell r="F78" t="str">
            <v>[15] VALUATION - PE &amp; EV</v>
          </cell>
        </row>
        <row r="79">
          <cell r="B79" t="str">
            <v>ZZ_PRI_VAL_1</v>
          </cell>
          <cell r="C79">
            <v>1</v>
          </cell>
          <cell r="D79" t="b">
            <v>1</v>
          </cell>
          <cell r="F79" t="str">
            <v>[16] VALUATION - OTHER</v>
          </cell>
        </row>
        <row r="81">
          <cell r="D81" t="str">
            <v>Rs</v>
          </cell>
          <cell r="H81" t="str">
            <v>m</v>
          </cell>
        </row>
        <row r="82">
          <cell r="D82" t="str">
            <v>1.30</v>
          </cell>
          <cell r="H82">
            <v>35338</v>
          </cell>
        </row>
        <row r="83">
          <cell r="D83" t="str">
            <v>IND</v>
          </cell>
          <cell r="H83" t="str">
            <v>PRS_SOS01</v>
          </cell>
        </row>
        <row r="84">
          <cell r="D84">
            <v>4</v>
          </cell>
          <cell r="F84" t="str">
            <v>India, Bombay</v>
          </cell>
          <cell r="H84" t="str">
            <v>IND</v>
          </cell>
        </row>
        <row r="85">
          <cell r="D85">
            <v>18</v>
          </cell>
          <cell r="F85" t="str">
            <v>Petrochemicals</v>
          </cell>
          <cell r="H85" t="str">
            <v>PET</v>
          </cell>
        </row>
        <row r="86">
          <cell r="D86" t="b">
            <v>1</v>
          </cell>
          <cell r="F86" t="str">
            <v>THE TECHNOLOGY GROUP</v>
          </cell>
          <cell r="H86">
            <v>35437</v>
          </cell>
        </row>
        <row r="87">
          <cell r="D87" t="b">
            <v>1</v>
          </cell>
          <cell r="F87">
            <v>35520</v>
          </cell>
          <cell r="H87">
            <v>28</v>
          </cell>
        </row>
        <row r="88">
          <cell r="D88" t="b">
            <v>0</v>
          </cell>
          <cell r="H88">
            <v>35465</v>
          </cell>
        </row>
        <row r="89">
          <cell r="D89" t="b">
            <v>0</v>
          </cell>
          <cell r="H89"/>
        </row>
      </sheetData>
      <sheetData sheetId="16" refreshError="1"/>
      <sheetData sheetId="17" refreshError="1"/>
      <sheetData sheetId="18"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x"/>
      <sheetName val="results"/>
      <sheetName val="Group"/>
      <sheetName val="DCF Valuation"/>
      <sheetName val="FPH Cover"/>
      <sheetName val="Financial Links"/>
      <sheetName val="ChartData"/>
      <sheetName val="Input"/>
    </sheetNames>
    <sheetDataSet>
      <sheetData sheetId="0" refreshError="1"/>
      <sheetData sheetId="1" refreshError="1"/>
      <sheetData sheetId="2" refreshError="1">
        <row r="39">
          <cell r="A39" t="str">
            <v>Fisher &amp; Paykel Healthcare Corporation Ltd</v>
          </cell>
        </row>
        <row r="104">
          <cell r="A104" t="str">
            <v>Assumptions</v>
          </cell>
        </row>
        <row r="148">
          <cell r="A148" t="str">
            <v>Net IBD</v>
          </cell>
        </row>
        <row r="156">
          <cell r="A156" t="str">
            <v>Dividend per Share</v>
          </cell>
        </row>
        <row r="232">
          <cell r="A232" t="str">
            <v>Core NPAT</v>
          </cell>
        </row>
        <row r="247">
          <cell r="A247" t="str">
            <v>Enterprise Value</v>
          </cell>
        </row>
        <row r="263">
          <cell r="A263" t="str">
            <v>Issued Capital</v>
          </cell>
        </row>
      </sheetData>
      <sheetData sheetId="3" refreshError="1">
        <row r="4">
          <cell r="B4">
            <v>0.33</v>
          </cell>
          <cell r="F4">
            <v>0.93872142270957504</v>
          </cell>
        </row>
        <row r="5">
          <cell r="B5">
            <v>6.25E-2</v>
          </cell>
          <cell r="F5">
            <v>0.03</v>
          </cell>
        </row>
        <row r="6">
          <cell r="F6">
            <v>4.7234999999999999E-2</v>
          </cell>
        </row>
        <row r="7">
          <cell r="B7">
            <v>0.06</v>
          </cell>
          <cell r="F7">
            <v>9.8198285362574494E-2</v>
          </cell>
        </row>
        <row r="8">
          <cell r="B8">
            <v>0.96</v>
          </cell>
          <cell r="K8">
            <v>37346</v>
          </cell>
        </row>
      </sheetData>
      <sheetData sheetId="4" refreshError="1"/>
      <sheetData sheetId="5" refreshError="1">
        <row r="1">
          <cell r="A1" t="str">
            <v>Financial Summary - Fisher &amp; Paykel Healthcare Corporation (FPH)</v>
          </cell>
          <cell r="R1"/>
        </row>
        <row r="2">
          <cell r="R2"/>
        </row>
        <row r="4">
          <cell r="A4" t="str">
            <v>Valuation Ratios</v>
          </cell>
          <cell r="C4" t="str">
            <v>31 March y/end</v>
          </cell>
          <cell r="E4">
            <v>1999</v>
          </cell>
          <cell r="F4">
            <v>2000</v>
          </cell>
          <cell r="G4">
            <v>2001</v>
          </cell>
          <cell r="H4" t="str">
            <v>2002e</v>
          </cell>
          <cell r="I4" t="str">
            <v>2003e</v>
          </cell>
          <cell r="J4" t="str">
            <v>2004e</v>
          </cell>
          <cell r="K4" t="str">
            <v>2005e</v>
          </cell>
          <cell r="M4" t="str">
            <v>Stock Information</v>
          </cell>
        </row>
        <row r="6">
          <cell r="A6" t="str">
            <v>Core PE</v>
          </cell>
          <cell r="C6" t="str">
            <v>x</v>
          </cell>
          <cell r="E6">
            <v>41.724764820374105</v>
          </cell>
          <cell r="F6">
            <v>38.447248055940712</v>
          </cell>
          <cell r="G6">
            <v>25.659656299212273</v>
          </cell>
          <cell r="H6">
            <v>20.192863382275881</v>
          </cell>
          <cell r="I6">
            <v>15.117538846288316</v>
          </cell>
          <cell r="J6">
            <v>13.183928014279498</v>
          </cell>
          <cell r="K6">
            <v>11.552848841416923</v>
          </cell>
          <cell r="M6" t="str">
            <v>NZSE (FPH.NZ)</v>
          </cell>
          <cell r="P6" t="str">
            <v>ASX (FPH.AX)</v>
          </cell>
        </row>
        <row r="7">
          <cell r="A7" t="str">
            <v>Ent.Value/EBITDA</v>
          </cell>
          <cell r="C7" t="str">
            <v>x</v>
          </cell>
          <cell r="E7">
            <v>0</v>
          </cell>
          <cell r="F7">
            <v>21.057595467786623</v>
          </cell>
          <cell r="G7">
            <v>16.309537238429215</v>
          </cell>
          <cell r="H7">
            <v>15.32956839876379</v>
          </cell>
          <cell r="I7">
            <v>11.745711945172433</v>
          </cell>
          <cell r="J7">
            <v>8.4973327171407949</v>
          </cell>
          <cell r="K7">
            <v>7.5181461610102351</v>
          </cell>
          <cell r="M7" t="str">
            <v>NASDAQ ADR (FPHC.O)</v>
          </cell>
          <cell r="P7" t="str">
            <v>4 Ordinary Shs = 1 ADR</v>
          </cell>
        </row>
        <row r="8">
          <cell r="A8" t="str">
            <v>Ent. Value/EBIT</v>
          </cell>
          <cell r="C8" t="str">
            <v>x</v>
          </cell>
          <cell r="E8">
            <v>0</v>
          </cell>
          <cell r="F8">
            <v>23.527910431309916</v>
          </cell>
          <cell r="G8">
            <v>14.75915493448322</v>
          </cell>
          <cell r="H8">
            <v>11.989401959257304</v>
          </cell>
          <cell r="I8">
            <v>10.398544375667353</v>
          </cell>
          <cell r="J8">
            <v>9.041329114892056</v>
          </cell>
          <cell r="K8">
            <v>7.9536537758757202</v>
          </cell>
          <cell r="M8" t="str">
            <v>Market cap. (NZm)</v>
          </cell>
          <cell r="R8">
            <v>1264.8027959999999</v>
          </cell>
        </row>
        <row r="9">
          <cell r="A9" t="str">
            <v>Yield</v>
          </cell>
          <cell r="C9" t="str">
            <v>%</v>
          </cell>
          <cell r="E9">
            <v>0</v>
          </cell>
          <cell r="F9">
            <v>0</v>
          </cell>
          <cell r="G9">
            <v>0</v>
          </cell>
          <cell r="H9">
            <v>2.2285101002316678</v>
          </cell>
          <cell r="I9">
            <v>3.9689000048265992</v>
          </cell>
          <cell r="J9">
            <v>4.5509957225960322</v>
          </cell>
          <cell r="K9">
            <v>5.1935241968111114</v>
          </cell>
          <cell r="M9" t="str">
            <v>Implied Price Range NZ$8.97-10.80</v>
          </cell>
          <cell r="R9">
            <v>10.8</v>
          </cell>
        </row>
        <row r="10">
          <cell r="A10" t="str">
            <v>Imputation</v>
          </cell>
          <cell r="C10" t="str">
            <v>%</v>
          </cell>
          <cell r="E10">
            <v>1</v>
          </cell>
          <cell r="F10">
            <v>1</v>
          </cell>
          <cell r="G10">
            <v>1</v>
          </cell>
          <cell r="H10">
            <v>1</v>
          </cell>
          <cell r="I10">
            <v>1</v>
          </cell>
          <cell r="J10">
            <v>1</v>
          </cell>
          <cell r="K10">
            <v>1</v>
          </cell>
          <cell r="M10" t="str">
            <v>ADR Price Range US$16-18</v>
          </cell>
        </row>
        <row r="11">
          <cell r="A11" t="str">
            <v>P/Book Value</v>
          </cell>
          <cell r="C11" t="str">
            <v>x</v>
          </cell>
          <cell r="E11" t="str">
            <v>n/a</v>
          </cell>
          <cell r="F11">
            <v>2.8975475479503876</v>
          </cell>
          <cell r="G11">
            <v>2.7984131960728931</v>
          </cell>
          <cell r="H11">
            <v>2.8272473344031503</v>
          </cell>
          <cell r="I11">
            <v>9.7801505882699917</v>
          </cell>
          <cell r="J11">
            <v>7.7925732116932531</v>
          </cell>
          <cell r="K11">
            <v>6.3177613449425465</v>
          </cell>
        </row>
        <row r="13">
          <cell r="A13" t="str">
            <v>Profit &amp; Loss Statement</v>
          </cell>
          <cell r="E13">
            <v>1999</v>
          </cell>
          <cell r="F13">
            <v>2000</v>
          </cell>
          <cell r="G13">
            <v>2001</v>
          </cell>
          <cell r="H13" t="str">
            <v>2002e</v>
          </cell>
          <cell r="I13" t="str">
            <v>2003e</v>
          </cell>
          <cell r="J13" t="str">
            <v>2004e</v>
          </cell>
          <cell r="K13" t="str">
            <v>2005e</v>
          </cell>
          <cell r="O13" t="str">
            <v>H1-01</v>
          </cell>
          <cell r="P13" t="str">
            <v>H2-01</v>
          </cell>
          <cell r="Q13" t="str">
            <v>H1-02</v>
          </cell>
          <cell r="R13" t="str">
            <v>H2-02e</v>
          </cell>
        </row>
        <row r="15">
          <cell r="A15" t="str">
            <v>Sales revenue</v>
          </cell>
          <cell r="C15" t="str">
            <v>$m</v>
          </cell>
          <cell r="E15">
            <v>119.1</v>
          </cell>
          <cell r="F15">
            <v>144.19999999999999</v>
          </cell>
          <cell r="G15">
            <v>193.1</v>
          </cell>
          <cell r="H15">
            <v>235.73299999999998</v>
          </cell>
          <cell r="I15">
            <v>277.43812999999994</v>
          </cell>
          <cell r="J15">
            <v>321.55141435000002</v>
          </cell>
          <cell r="K15">
            <v>370.49174035574998</v>
          </cell>
          <cell r="O15">
            <v>81.768000000000001</v>
          </cell>
          <cell r="P15">
            <v>111.30000000000001</v>
          </cell>
          <cell r="Q15">
            <v>101.50000000000001</v>
          </cell>
          <cell r="R15">
            <v>101.5</v>
          </cell>
        </row>
        <row r="16">
          <cell r="B16" t="str">
            <v>… change pcp</v>
          </cell>
          <cell r="C16" t="str">
            <v>%</v>
          </cell>
          <cell r="E16" t="str">
            <v>n/a</v>
          </cell>
          <cell r="F16">
            <v>0.21074727120067166</v>
          </cell>
          <cell r="G16">
            <v>0.33911234396671297</v>
          </cell>
          <cell r="H16">
            <v>0.22078197824961152</v>
          </cell>
          <cell r="I16">
            <v>0.17691680842308871</v>
          </cell>
          <cell r="J16">
            <v>0.15900224078788333</v>
          </cell>
          <cell r="K16">
            <v>0.15220062429108069</v>
          </cell>
          <cell r="Q16">
            <v>0.24131689658546152</v>
          </cell>
          <cell r="R16">
            <v>-8.8050314465408897E-2</v>
          </cell>
        </row>
        <row r="17">
          <cell r="A17" t="str">
            <v>Cost of Sales</v>
          </cell>
          <cell r="C17" t="str">
            <v>$m</v>
          </cell>
          <cell r="E17">
            <v>42.267000000000003</v>
          </cell>
          <cell r="F17">
            <v>48.92</v>
          </cell>
          <cell r="G17">
            <v>57.947000000000003</v>
          </cell>
          <cell r="H17">
            <v>66.005240000000001</v>
          </cell>
          <cell r="I17">
            <v>77.127800139999991</v>
          </cell>
          <cell r="J17">
            <v>88.748190360600006</v>
          </cell>
          <cell r="K17">
            <v>102.255720338187</v>
          </cell>
          <cell r="O17">
            <v>26.2</v>
          </cell>
          <cell r="P17">
            <v>31.7</v>
          </cell>
          <cell r="Q17">
            <v>28.2</v>
          </cell>
          <cell r="R17" t="e">
            <v>#REF!</v>
          </cell>
        </row>
        <row r="18">
          <cell r="A18" t="str">
            <v>Gross Profit</v>
          </cell>
          <cell r="C18" t="str">
            <v>$m</v>
          </cell>
          <cell r="E18">
            <v>76.832999999999998</v>
          </cell>
          <cell r="F18">
            <v>95.279999999999987</v>
          </cell>
          <cell r="G18">
            <v>135.15299999999999</v>
          </cell>
          <cell r="H18">
            <v>169.72775999999999</v>
          </cell>
          <cell r="I18">
            <v>200.31032985999997</v>
          </cell>
          <cell r="J18">
            <v>232.80322398940001</v>
          </cell>
          <cell r="K18">
            <v>268.23602001756296</v>
          </cell>
          <cell r="O18">
            <v>55.567999999999998</v>
          </cell>
          <cell r="P18">
            <v>79.600000000000009</v>
          </cell>
          <cell r="Q18">
            <v>73.300000000000011</v>
          </cell>
          <cell r="R18" t="e">
            <v>#REF!</v>
          </cell>
        </row>
        <row r="19">
          <cell r="A19" t="str">
            <v>Research &amp; Development</v>
          </cell>
          <cell r="C19" t="str">
            <v>$m</v>
          </cell>
          <cell r="E19">
            <v>5.6</v>
          </cell>
          <cell r="F19">
            <v>6.7</v>
          </cell>
          <cell r="G19">
            <v>8.7296117620032145</v>
          </cell>
          <cell r="H19">
            <v>11.128418716169362</v>
          </cell>
          <cell r="I19">
            <v>14.484413688229811</v>
          </cell>
          <cell r="J19">
            <v>17.43057074985704</v>
          </cell>
          <cell r="K19">
            <v>21.194989720802386</v>
          </cell>
          <cell r="O19">
            <v>4.0999999999999996</v>
          </cell>
          <cell r="P19">
            <v>4.5999999999999996</v>
          </cell>
          <cell r="Q19">
            <v>5</v>
          </cell>
          <cell r="R19" t="e">
            <v>#REF!</v>
          </cell>
        </row>
        <row r="20">
          <cell r="A20" t="str">
            <v>SG &amp;A Expense</v>
          </cell>
          <cell r="C20" t="str">
            <v>$m</v>
          </cell>
          <cell r="E20">
            <v>27.799999999999997</v>
          </cell>
          <cell r="F20">
            <v>33.964000000000006</v>
          </cell>
          <cell r="G20">
            <v>40.788000000000004</v>
          </cell>
          <cell r="H20">
            <v>56.575919999999989</v>
          </cell>
          <cell r="I20">
            <v>67.972341849999978</v>
          </cell>
          <cell r="J20">
            <v>80.387853587500004</v>
          </cell>
          <cell r="K20">
            <v>94.475393790716254</v>
          </cell>
          <cell r="O20">
            <v>18.5</v>
          </cell>
          <cell r="P20">
            <v>22.3</v>
          </cell>
          <cell r="Q20">
            <v>27.8</v>
          </cell>
          <cell r="R20" t="e">
            <v>#REF!</v>
          </cell>
        </row>
        <row r="21">
          <cell r="A21" t="str">
            <v>EBITDA</v>
          </cell>
          <cell r="C21" t="str">
            <v>$m</v>
          </cell>
          <cell r="E21">
            <v>43.433000000000007</v>
          </cell>
          <cell r="F21">
            <v>54.615999999999978</v>
          </cell>
          <cell r="G21">
            <v>85.635388237996779</v>
          </cell>
          <cell r="H21">
            <v>102.02342128383063</v>
          </cell>
          <cell r="I21">
            <v>117.85357432177018</v>
          </cell>
          <cell r="J21">
            <v>134.98479965204297</v>
          </cell>
          <cell r="K21">
            <v>152.56563650604431</v>
          </cell>
          <cell r="O21">
            <v>32.967999999999996</v>
          </cell>
          <cell r="P21">
            <v>52.70000000000001</v>
          </cell>
          <cell r="Q21">
            <v>40.500000000000014</v>
          </cell>
          <cell r="R21">
            <v>80</v>
          </cell>
        </row>
        <row r="22">
          <cell r="B22" t="str">
            <v>… EBITDA growth</v>
          </cell>
          <cell r="C22" t="str">
            <v>%</v>
          </cell>
          <cell r="E22" t="str">
            <v>n/a</v>
          </cell>
          <cell r="F22">
            <v>0.25747703359196855</v>
          </cell>
          <cell r="G22">
            <v>0.56795423022551661</v>
          </cell>
          <cell r="H22">
            <v>0.19136986919809879</v>
          </cell>
          <cell r="I22">
            <v>0.15516195044959175</v>
          </cell>
          <cell r="J22">
            <v>0.14536025257494684</v>
          </cell>
          <cell r="K22">
            <v>0.13024308588315384</v>
          </cell>
          <cell r="Q22">
            <v>0.22846396505702549</v>
          </cell>
          <cell r="R22">
            <v>0.51802656546489545</v>
          </cell>
        </row>
        <row r="23">
          <cell r="A23" t="str">
            <v>Depreciation</v>
          </cell>
          <cell r="C23" t="str">
            <v>$m</v>
          </cell>
          <cell r="E23">
            <v>-3</v>
          </cell>
          <cell r="F23">
            <v>-4.5359999999999996</v>
          </cell>
          <cell r="G23">
            <v>-5.8119999999999994</v>
          </cell>
          <cell r="H23">
            <v>-6.3547000000000002</v>
          </cell>
          <cell r="I23">
            <v>-7.5486399999999998</v>
          </cell>
          <cell r="J23">
            <v>-8.121731200000001</v>
          </cell>
          <cell r="K23">
            <v>-8.3538331360000004</v>
          </cell>
          <cell r="O23">
            <v>-2.1</v>
          </cell>
          <cell r="P23">
            <v>-3.7</v>
          </cell>
          <cell r="Q23">
            <v>-2.8</v>
          </cell>
          <cell r="R23">
            <v>-2.8</v>
          </cell>
        </row>
        <row r="24">
          <cell r="A24" t="str">
            <v>Operating EBIT</v>
          </cell>
          <cell r="C24" t="str">
            <v>$m</v>
          </cell>
          <cell r="E24">
            <v>40.433000000000007</v>
          </cell>
          <cell r="F24">
            <v>50.079999999999977</v>
          </cell>
          <cell r="G24">
            <v>79.823388237996781</v>
          </cell>
          <cell r="H24">
            <v>95.668721283830635</v>
          </cell>
          <cell r="I24">
            <v>110.30493432177018</v>
          </cell>
          <cell r="J24">
            <v>126.86306845204297</v>
          </cell>
          <cell r="K24">
            <v>144.21180337004432</v>
          </cell>
          <cell r="O24">
            <v>30.867999999999995</v>
          </cell>
          <cell r="P24">
            <v>49.000000000000007</v>
          </cell>
          <cell r="Q24">
            <v>37.700000000000017</v>
          </cell>
          <cell r="R24">
            <v>77.2</v>
          </cell>
        </row>
        <row r="25">
          <cell r="B25" t="str">
            <v>… EBIT margin</v>
          </cell>
          <cell r="C25" t="str">
            <v>%</v>
          </cell>
          <cell r="E25">
            <v>0.33948782535684308</v>
          </cell>
          <cell r="F25">
            <v>0.34729542302357824</v>
          </cell>
          <cell r="G25">
            <v>0.41337849941997301</v>
          </cell>
          <cell r="H25">
            <v>0.40583508157038106</v>
          </cell>
          <cell r="I25">
            <v>0.39758390211817746</v>
          </cell>
          <cell r="J25">
            <v>0.39453431952240131</v>
          </cell>
          <cell r="K25">
            <v>0.38924431414198507</v>
          </cell>
          <cell r="O25">
            <v>0.37750709323940901</v>
          </cell>
          <cell r="P25">
            <v>0.44025157232704404</v>
          </cell>
          <cell r="Q25">
            <v>0.37142857142857155</v>
          </cell>
          <cell r="R25">
            <v>0.76059113300492609</v>
          </cell>
        </row>
        <row r="26">
          <cell r="A26" t="str">
            <v>Net interest expense</v>
          </cell>
          <cell r="C26" t="str">
            <v>$m</v>
          </cell>
          <cell r="E26">
            <v>-2.0230000000000001</v>
          </cell>
          <cell r="F26">
            <v>-1.2</v>
          </cell>
          <cell r="G26">
            <v>-2.2000000000000002</v>
          </cell>
          <cell r="H26">
            <v>-1.3</v>
          </cell>
          <cell r="I26">
            <v>-0.24</v>
          </cell>
          <cell r="J26">
            <v>-0.56800000000000006</v>
          </cell>
          <cell r="K26">
            <v>-1.6000000000000458E-3</v>
          </cell>
          <cell r="O26"/>
          <cell r="Q26"/>
        </row>
        <row r="27">
          <cell r="A27" t="str">
            <v>FX Gain (loss)</v>
          </cell>
          <cell r="C27" t="str">
            <v>$m</v>
          </cell>
          <cell r="E27">
            <v>1.0589999999999999</v>
          </cell>
          <cell r="F27">
            <v>1.339</v>
          </cell>
          <cell r="G27">
            <v>-60.8</v>
          </cell>
          <cell r="H27">
            <v>-1</v>
          </cell>
          <cell r="I27">
            <v>0</v>
          </cell>
          <cell r="J27">
            <v>0</v>
          </cell>
          <cell r="K27">
            <v>0</v>
          </cell>
          <cell r="O27"/>
          <cell r="R27"/>
        </row>
        <row r="28">
          <cell r="A28" t="str">
            <v>Abs &amp; Extras (pre tax)</v>
          </cell>
          <cell r="C28" t="str">
            <v>$m</v>
          </cell>
          <cell r="E28">
            <v>-2.4350000000000001</v>
          </cell>
          <cell r="F28">
            <v>-1.0620000000000001</v>
          </cell>
          <cell r="G28">
            <v>-0.29099999999999998</v>
          </cell>
          <cell r="H28">
            <v>-17.899999999999999</v>
          </cell>
          <cell r="I28">
            <v>0</v>
          </cell>
          <cell r="J28">
            <v>0</v>
          </cell>
          <cell r="K28">
            <v>0</v>
          </cell>
          <cell r="R28"/>
        </row>
        <row r="29">
          <cell r="A29" t="str">
            <v>PBT</v>
          </cell>
          <cell r="C29" t="str">
            <v>$m</v>
          </cell>
          <cell r="E29">
            <v>37.033999999999999</v>
          </cell>
          <cell r="F29">
            <v>49.156999999999975</v>
          </cell>
          <cell r="G29">
            <v>16.532388237996781</v>
          </cell>
          <cell r="H29">
            <v>75.468721283830632</v>
          </cell>
          <cell r="I29">
            <v>110.06493432177018</v>
          </cell>
          <cell r="J29">
            <v>126.29506845204297</v>
          </cell>
          <cell r="K29">
            <v>144.21020337004433</v>
          </cell>
          <cell r="O29"/>
          <cell r="P29"/>
          <cell r="R29"/>
        </row>
        <row r="30">
          <cell r="A30" t="str">
            <v>Tax expense</v>
          </cell>
          <cell r="C30" t="str">
            <v>$m</v>
          </cell>
          <cell r="E30">
            <v>-9.5410000000000004</v>
          </cell>
          <cell r="F30">
            <v>-17.425999999999998</v>
          </cell>
          <cell r="G30">
            <v>-7.016</v>
          </cell>
          <cell r="H30">
            <v>-26.791396055759872</v>
          </cell>
          <cell r="I30">
            <v>-39.07305168422841</v>
          </cell>
          <cell r="J30">
            <v>-44.834749300475252</v>
          </cell>
          <cell r="K30">
            <v>-51.194622196365735</v>
          </cell>
          <cell r="R30"/>
        </row>
        <row r="31">
          <cell r="B31" t="str">
            <v>… Effective tax rate</v>
          </cell>
          <cell r="C31" t="str">
            <v>%</v>
          </cell>
          <cell r="E31">
            <v>0.25762812550629155</v>
          </cell>
          <cell r="F31">
            <v>0.35449681632320945</v>
          </cell>
          <cell r="G31">
            <v>0.42437909750237784</v>
          </cell>
          <cell r="H31">
            <v>0.35499999999999998</v>
          </cell>
          <cell r="I31">
            <v>0.35499999999999998</v>
          </cell>
          <cell r="J31">
            <v>0.35499999999999998</v>
          </cell>
          <cell r="K31">
            <v>0.35499999999999998</v>
          </cell>
          <cell r="R31"/>
        </row>
        <row r="32">
          <cell r="A32" t="str">
            <v>NPAT</v>
          </cell>
          <cell r="C32" t="str">
            <v>$m</v>
          </cell>
          <cell r="E32">
            <v>27.492999999999999</v>
          </cell>
          <cell r="F32">
            <v>31.730999999999977</v>
          </cell>
          <cell r="G32">
            <v>9.5163882379967806</v>
          </cell>
          <cell r="H32">
            <v>48.677325228070757</v>
          </cell>
          <cell r="I32">
            <v>70.991882637541778</v>
          </cell>
          <cell r="J32">
            <v>81.460319151567717</v>
          </cell>
          <cell r="K32">
            <v>93.015581173678584</v>
          </cell>
          <cell r="Q32"/>
          <cell r="R32"/>
        </row>
        <row r="33">
          <cell r="A33" t="str">
            <v>Core Profit</v>
          </cell>
          <cell r="C33" t="str">
            <v>$m</v>
          </cell>
          <cell r="E33">
            <v>30.312999999999999</v>
          </cell>
          <cell r="F33">
            <v>33.177999999999976</v>
          </cell>
          <cell r="G33">
            <v>49.712388237996777</v>
          </cell>
          <cell r="H33">
            <v>60.697325228070753</v>
          </cell>
          <cell r="I33">
            <v>71.376882637541783</v>
          </cell>
          <cell r="J33">
            <v>81.845319151567722</v>
          </cell>
          <cell r="K33">
            <v>93.400581173678589</v>
          </cell>
          <cell r="Q33"/>
          <cell r="R33" t="e">
            <v>#REF!</v>
          </cell>
        </row>
        <row r="35">
          <cell r="A35" t="str">
            <v>Segmental Analysis</v>
          </cell>
          <cell r="E35">
            <v>1999</v>
          </cell>
          <cell r="F35">
            <v>2000</v>
          </cell>
          <cell r="G35">
            <v>2001</v>
          </cell>
          <cell r="H35" t="str">
            <v>2002e</v>
          </cell>
          <cell r="I35" t="str">
            <v>2003e</v>
          </cell>
          <cell r="J35" t="str">
            <v>2004e</v>
          </cell>
          <cell r="K35" t="str">
            <v>2005e</v>
          </cell>
          <cell r="O35" t="str">
            <v>H1-01</v>
          </cell>
          <cell r="P35" t="str">
            <v>H2-01</v>
          </cell>
          <cell r="Q35" t="str">
            <v>H1-02</v>
          </cell>
          <cell r="R35" t="str">
            <v>H2-02e</v>
          </cell>
        </row>
        <row r="37">
          <cell r="A37" t="str">
            <v>Sales by Product</v>
          </cell>
        </row>
        <row r="38">
          <cell r="B38" t="str">
            <v>Respiratory Humidification</v>
          </cell>
          <cell r="C38" t="str">
            <v>$m</v>
          </cell>
          <cell r="E38">
            <v>72.599999999999994</v>
          </cell>
          <cell r="F38">
            <v>78</v>
          </cell>
          <cell r="G38">
            <v>102.6</v>
          </cell>
          <cell r="H38">
            <v>124.65900000000001</v>
          </cell>
          <cell r="I38">
            <v>145.85103000000001</v>
          </cell>
          <cell r="J38">
            <v>166.99942935000001</v>
          </cell>
          <cell r="K38">
            <v>191.21434660575002</v>
          </cell>
          <cell r="O38">
            <v>40.9</v>
          </cell>
          <cell r="P38">
            <v>61.7</v>
          </cell>
          <cell r="Q38">
            <v>53.1</v>
          </cell>
          <cell r="R38" t="e">
            <v>#REF!</v>
          </cell>
        </row>
        <row r="39">
          <cell r="B39" t="str">
            <v>CPAP</v>
          </cell>
          <cell r="C39" t="str">
            <v>$m</v>
          </cell>
          <cell r="E39">
            <v>21.6</v>
          </cell>
          <cell r="F39">
            <v>38.299999999999997</v>
          </cell>
          <cell r="G39">
            <v>63.3</v>
          </cell>
          <cell r="H39">
            <v>87.353999999999985</v>
          </cell>
          <cell r="I39">
            <v>109.19249999999998</v>
          </cell>
          <cell r="J39">
            <v>132.12292499999998</v>
          </cell>
          <cell r="K39">
            <v>157.22628074999997</v>
          </cell>
          <cell r="O39">
            <v>25.358000000000001</v>
          </cell>
          <cell r="P39">
            <v>37.9</v>
          </cell>
          <cell r="Q39">
            <v>35.700000000000003</v>
          </cell>
          <cell r="R39" t="e">
            <v>#REF!</v>
          </cell>
        </row>
        <row r="40">
          <cell r="B40" t="str">
            <v>Patient warming &amp; neonatal</v>
          </cell>
          <cell r="C40" t="str">
            <v>$m</v>
          </cell>
          <cell r="E40">
            <v>4.8</v>
          </cell>
          <cell r="F40">
            <v>6.3</v>
          </cell>
          <cell r="G40">
            <v>10.4</v>
          </cell>
          <cell r="H40">
            <v>11.959999999999999</v>
          </cell>
          <cell r="I40">
            <v>13.574599999999998</v>
          </cell>
          <cell r="J40">
            <v>14.93206</v>
          </cell>
          <cell r="K40">
            <v>15.678663</v>
          </cell>
          <cell r="O40">
            <v>4.91</v>
          </cell>
          <cell r="P40">
            <v>5.5</v>
          </cell>
          <cell r="Q40">
            <v>5.7</v>
          </cell>
          <cell r="R40" t="e">
            <v>#REF!</v>
          </cell>
        </row>
        <row r="41">
          <cell r="B41" t="str">
            <v>Other</v>
          </cell>
          <cell r="C41" t="str">
            <v>$m</v>
          </cell>
          <cell r="E41">
            <v>20.100000000000001</v>
          </cell>
          <cell r="F41">
            <v>21.6</v>
          </cell>
          <cell r="G41">
            <v>16.8</v>
          </cell>
          <cell r="H41">
            <v>11.76</v>
          </cell>
          <cell r="I41">
            <v>8.82</v>
          </cell>
          <cell r="J41">
            <v>7.4969999999999999</v>
          </cell>
          <cell r="K41">
            <v>6.3724499999999997</v>
          </cell>
          <cell r="O41">
            <v>10.6</v>
          </cell>
          <cell r="P41">
            <v>6.2</v>
          </cell>
          <cell r="Q41">
            <v>7</v>
          </cell>
          <cell r="R41" t="e">
            <v>#REF!</v>
          </cell>
        </row>
        <row r="43">
          <cell r="A43" t="str">
            <v>Per Share Data</v>
          </cell>
          <cell r="E43">
            <v>1999</v>
          </cell>
          <cell r="F43">
            <v>2000</v>
          </cell>
          <cell r="G43">
            <v>2001</v>
          </cell>
          <cell r="H43" t="str">
            <v>2002e</v>
          </cell>
          <cell r="I43" t="str">
            <v>2003e</v>
          </cell>
          <cell r="J43" t="str">
            <v>2004e</v>
          </cell>
          <cell r="K43" t="str">
            <v>2005e</v>
          </cell>
          <cell r="Q43" t="str">
            <v>H1-02</v>
          </cell>
          <cell r="R43" t="str">
            <v>H2-02e</v>
          </cell>
        </row>
        <row r="45">
          <cell r="A45" t="str">
            <v>Ave. diluted shares outstanding</v>
          </cell>
          <cell r="C45" t="str">
            <v>m</v>
          </cell>
          <cell r="E45">
            <v>117.11136999999999</v>
          </cell>
          <cell r="F45">
            <v>118.11136999999999</v>
          </cell>
          <cell r="G45">
            <v>118.11136999999999</v>
          </cell>
          <cell r="H45">
            <v>113.48636999999999</v>
          </cell>
          <cell r="I45">
            <v>99.911369999999991</v>
          </cell>
          <cell r="J45">
            <v>99.911369999999991</v>
          </cell>
          <cell r="K45">
            <v>99.911369999999991</v>
          </cell>
          <cell r="Q45" t="e">
            <v>#REF!</v>
          </cell>
          <cell r="R45" t="e">
            <v>#REF!</v>
          </cell>
        </row>
        <row r="46">
          <cell r="B46" t="str">
            <v>Reported EPS (fully diluted)</v>
          </cell>
          <cell r="C46" t="str">
            <v>¢</v>
          </cell>
          <cell r="E46">
            <v>0.23475944308396357</v>
          </cell>
          <cell r="F46">
            <v>0.26865322110817935</v>
          </cell>
          <cell r="G46">
            <v>8.0571313650809231E-2</v>
          </cell>
          <cell r="H46">
            <v>0.42892662112701957</v>
          </cell>
          <cell r="I46">
            <v>0.71054858558682343</v>
          </cell>
          <cell r="J46">
            <v>0.81532581478532151</v>
          </cell>
          <cell r="K46">
            <v>0.93098094014403554</v>
          </cell>
          <cell r="Q46" t="e">
            <v>#REF!</v>
          </cell>
          <cell r="R46" t="e">
            <v>#REF!</v>
          </cell>
        </row>
        <row r="47">
          <cell r="B47" t="str">
            <v xml:space="preserve">  … growth</v>
          </cell>
          <cell r="C47" t="str">
            <v>%</v>
          </cell>
          <cell r="F47">
            <v>0.14437663328453801</v>
          </cell>
          <cell r="G47">
            <v>-0.70009176395333317</v>
          </cell>
          <cell r="H47">
            <v>4.3235649475191549</v>
          </cell>
          <cell r="I47">
            <v>0.6565737601453423</v>
          </cell>
          <cell r="J47">
            <v>0.14745962672202817</v>
          </cell>
          <cell r="K47">
            <v>0.14185142094288586</v>
          </cell>
        </row>
        <row r="48">
          <cell r="B48" t="str">
            <v>Core EPS (fully diluted)</v>
          </cell>
          <cell r="C48" t="str">
            <v>¢</v>
          </cell>
          <cell r="E48">
            <v>25.883908624756074</v>
          </cell>
          <cell r="F48">
            <v>28.090437017198237</v>
          </cell>
          <cell r="G48">
            <v>42.089418011150642</v>
          </cell>
          <cell r="H48">
            <v>53.484242405560032</v>
          </cell>
          <cell r="I48">
            <v>71.440200086878789</v>
          </cell>
          <cell r="J48">
            <v>81.917923006728586</v>
          </cell>
          <cell r="K48">
            <v>93.483435542600006</v>
          </cell>
          <cell r="Q48" t="e">
            <v>#REF!</v>
          </cell>
          <cell r="R48" t="e">
            <v>#REF!</v>
          </cell>
        </row>
        <row r="49">
          <cell r="B49" t="str">
            <v xml:space="preserve">  … growth</v>
          </cell>
          <cell r="C49" t="str">
            <v>%</v>
          </cell>
          <cell r="F49">
            <v>8.5247109485303119E-2</v>
          </cell>
          <cell r="G49">
            <v>0.49835397667119219</v>
          </cell>
          <cell r="H49">
            <v>0.27072896069483754</v>
          </cell>
          <cell r="I49">
            <v>0.33572425958962671</v>
          </cell>
          <cell r="J49">
            <v>0.14666424376062476</v>
          </cell>
          <cell r="K49">
            <v>0.14118415251960734</v>
          </cell>
        </row>
        <row r="50">
          <cell r="A50" t="str">
            <v>DPS</v>
          </cell>
          <cell r="C50" t="str">
            <v>¢</v>
          </cell>
          <cell r="E50">
            <v>0</v>
          </cell>
          <cell r="F50">
            <v>0</v>
          </cell>
          <cell r="G50">
            <v>0</v>
          </cell>
          <cell r="H50">
            <v>24.067909082502016</v>
          </cell>
          <cell r="I50">
            <v>42.864120052127269</v>
          </cell>
          <cell r="J50">
            <v>49.150753804037151</v>
          </cell>
          <cell r="K50">
            <v>56.090061325560001</v>
          </cell>
          <cell r="Q50" t="e">
            <v>#REF!</v>
          </cell>
          <cell r="R50" t="e">
            <v>#REF!</v>
          </cell>
        </row>
        <row r="51">
          <cell r="B51" t="str">
            <v xml:space="preserve">  … dividend payout ratio</v>
          </cell>
          <cell r="C51" t="str">
            <v>%</v>
          </cell>
          <cell r="H51">
            <v>56.111949916428017</v>
          </cell>
          <cell r="I51">
            <v>60.325389314126795</v>
          </cell>
          <cell r="J51">
            <v>60.283573649607476</v>
          </cell>
          <cell r="K51">
            <v>60.248345489094653</v>
          </cell>
          <cell r="Q51">
            <v>0</v>
          </cell>
          <cell r="R51" t="e">
            <v>#REF!</v>
          </cell>
        </row>
        <row r="55">
          <cell r="A55" t="str">
            <v>Financial Summary - Fisher &amp; Paykel Healthcare Corporation (FPH) ….continued</v>
          </cell>
          <cell r="P55"/>
          <cell r="Q55"/>
          <cell r="R55"/>
        </row>
        <row r="56">
          <cell r="P56"/>
          <cell r="Q56"/>
          <cell r="R56"/>
        </row>
        <row r="58">
          <cell r="A58" t="str">
            <v>Balance Sheet</v>
          </cell>
          <cell r="C58" t="str">
            <v>31 March y/end</v>
          </cell>
          <cell r="E58">
            <v>1999</v>
          </cell>
          <cell r="F58">
            <v>2000</v>
          </cell>
          <cell r="G58">
            <v>2001</v>
          </cell>
          <cell r="H58" t="str">
            <v>2002e</v>
          </cell>
          <cell r="I58" t="str">
            <v>2003e</v>
          </cell>
          <cell r="J58" t="str">
            <v>2004e</v>
          </cell>
          <cell r="K58" t="str">
            <v>2005e</v>
          </cell>
        </row>
        <row r="60">
          <cell r="A60" t="str">
            <v>Fixed assets</v>
          </cell>
          <cell r="C60" t="str">
            <v>$m</v>
          </cell>
          <cell r="F60">
            <v>50.97</v>
          </cell>
          <cell r="G60">
            <v>58.914000000000001</v>
          </cell>
          <cell r="H60">
            <v>61.844300000000004</v>
          </cell>
          <cell r="I60">
            <v>61.680660000000003</v>
          </cell>
          <cell r="J60">
            <v>61.293928799999996</v>
          </cell>
          <cell r="K60">
            <v>73.325095664000003</v>
          </cell>
        </row>
        <row r="61">
          <cell r="A61" t="str">
            <v>Current assets</v>
          </cell>
          <cell r="C61" t="str">
            <v>$m</v>
          </cell>
          <cell r="F61">
            <v>43.742999999999995</v>
          </cell>
          <cell r="G61">
            <v>63.5</v>
          </cell>
          <cell r="H61">
            <v>72.354979249093731</v>
          </cell>
          <cell r="I61">
            <v>82.435725162013455</v>
          </cell>
          <cell r="J61">
            <v>92.893475514243065</v>
          </cell>
          <cell r="K61">
            <v>105.73255439989606</v>
          </cell>
        </row>
        <row r="62">
          <cell r="A62" t="str">
            <v>Fisher &amp; Paykel Finance</v>
          </cell>
          <cell r="C62" t="str">
            <v>$m</v>
          </cell>
          <cell r="F62">
            <v>308.03500000000003</v>
          </cell>
          <cell r="G62">
            <v>326.90300000000002</v>
          </cell>
          <cell r="H62">
            <v>0</v>
          </cell>
          <cell r="I62">
            <v>0</v>
          </cell>
          <cell r="J62">
            <v>0</v>
          </cell>
          <cell r="K62">
            <v>0</v>
          </cell>
        </row>
        <row r="63">
          <cell r="A63" t="str">
            <v>Investments</v>
          </cell>
          <cell r="C63" t="str">
            <v>$m</v>
          </cell>
          <cell r="F63">
            <v>13.467000000000001</v>
          </cell>
          <cell r="G63">
            <v>11.68</v>
          </cell>
          <cell r="H63">
            <v>11.301</v>
          </cell>
          <cell r="I63">
            <v>11.301</v>
          </cell>
          <cell r="J63">
            <v>11.301</v>
          </cell>
          <cell r="K63">
            <v>11.301</v>
          </cell>
        </row>
        <row r="64">
          <cell r="A64" t="str">
            <v>Intangibles</v>
          </cell>
          <cell r="C64" t="str">
            <v>$m</v>
          </cell>
          <cell r="F64">
            <v>3.34</v>
          </cell>
          <cell r="G64">
            <v>2.9550000000000001</v>
          </cell>
          <cell r="H64">
            <v>2.5700000000000003</v>
          </cell>
          <cell r="I64">
            <v>2.1850000000000005</v>
          </cell>
          <cell r="J64">
            <v>1.8000000000000005</v>
          </cell>
          <cell r="K64">
            <v>1.4150000000000005</v>
          </cell>
        </row>
        <row r="65">
          <cell r="A65" t="str">
            <v>Cash</v>
          </cell>
          <cell r="C65" t="str">
            <v>$m</v>
          </cell>
          <cell r="F65">
            <v>0.51</v>
          </cell>
          <cell r="G65">
            <v>5.1740000000000004</v>
          </cell>
          <cell r="H65">
            <v>37</v>
          </cell>
          <cell r="I65">
            <v>20</v>
          </cell>
          <cell r="J65">
            <v>45</v>
          </cell>
          <cell r="K65">
            <v>65</v>
          </cell>
        </row>
        <row r="66">
          <cell r="A66" t="str">
            <v>Funds Uses</v>
          </cell>
          <cell r="C66" t="str">
            <v>$m</v>
          </cell>
          <cell r="F66">
            <v>420.065</v>
          </cell>
          <cell r="G66">
            <v>469.12599999999998</v>
          </cell>
          <cell r="H66">
            <v>185.07027924909372</v>
          </cell>
          <cell r="I66">
            <v>177.60238516201343</v>
          </cell>
          <cell r="J66">
            <v>212.28840431424305</v>
          </cell>
          <cell r="K66">
            <v>256.77365006389607</v>
          </cell>
        </row>
        <row r="67">
          <cell r="A67" t="str">
            <v>Capital funds</v>
          </cell>
          <cell r="C67" t="str">
            <v>$m</v>
          </cell>
          <cell r="F67">
            <v>385.93300000000005</v>
          </cell>
          <cell r="G67">
            <v>381.99699999999996</v>
          </cell>
          <cell r="H67">
            <v>110.42774753338855</v>
          </cell>
          <cell r="I67">
            <v>138.59350058840528</v>
          </cell>
          <cell r="J67">
            <v>170.94662824903236</v>
          </cell>
          <cell r="K67">
            <v>207.92186071850378</v>
          </cell>
        </row>
        <row r="68">
          <cell r="A68" t="str">
            <v>Debt</v>
          </cell>
          <cell r="C68" t="str">
            <v>$m</v>
          </cell>
          <cell r="F68">
            <v>5.7770000000000001</v>
          </cell>
          <cell r="G68">
            <v>10.289</v>
          </cell>
          <cell r="H68">
            <v>9.7322045785741409</v>
          </cell>
          <cell r="I68">
            <v>5.2215571747484972</v>
          </cell>
          <cell r="J68">
            <v>5.2390004650568756</v>
          </cell>
          <cell r="K68">
            <v>10.204492310558607</v>
          </cell>
        </row>
        <row r="69">
          <cell r="A69" t="str">
            <v>Unrealised loss of FX instruments</v>
          </cell>
          <cell r="C69" t="str">
            <v>$m</v>
          </cell>
          <cell r="F69">
            <v>0</v>
          </cell>
          <cell r="G69">
            <v>20.187000000000001</v>
          </cell>
          <cell r="H69">
            <v>13.121550000000001</v>
          </cell>
          <cell r="I69">
            <v>0</v>
          </cell>
          <cell r="J69">
            <v>0</v>
          </cell>
          <cell r="K69">
            <v>0</v>
          </cell>
        </row>
        <row r="70">
          <cell r="A70" t="str">
            <v>Current liabilities</v>
          </cell>
          <cell r="C70" t="str">
            <v>$m</v>
          </cell>
          <cell r="F70">
            <v>28.423999999999999</v>
          </cell>
          <cell r="G70">
            <v>56.652999999999999</v>
          </cell>
          <cell r="H70">
            <v>51.788777137131021</v>
          </cell>
          <cell r="I70">
            <v>33.787327398859659</v>
          </cell>
          <cell r="J70">
            <v>36.102775600153819</v>
          </cell>
          <cell r="K70">
            <v>38.647297034833684</v>
          </cell>
        </row>
        <row r="71">
          <cell r="A71" t="str">
            <v>Funds Sources</v>
          </cell>
          <cell r="C71" t="str">
            <v>$m</v>
          </cell>
          <cell r="F71">
            <v>420.13400000000001</v>
          </cell>
          <cell r="G71">
            <v>469.12599999999998</v>
          </cell>
          <cell r="H71">
            <v>185.07027924909374</v>
          </cell>
          <cell r="I71">
            <v>177.60238516201343</v>
          </cell>
          <cell r="J71">
            <v>212.28840431424305</v>
          </cell>
          <cell r="K71">
            <v>256.77365006389607</v>
          </cell>
        </row>
        <row r="73">
          <cell r="A73" t="str">
            <v>Cashflow Statement</v>
          </cell>
          <cell r="E73">
            <v>1999</v>
          </cell>
          <cell r="F73">
            <v>2000</v>
          </cell>
          <cell r="G73">
            <v>2001</v>
          </cell>
          <cell r="H73" t="str">
            <v>2002e</v>
          </cell>
          <cell r="I73" t="str">
            <v>2003e</v>
          </cell>
          <cell r="J73" t="str">
            <v>2004e</v>
          </cell>
          <cell r="K73" t="str">
            <v>2005e</v>
          </cell>
        </row>
        <row r="74">
          <cell r="A74" t="str">
            <v>EBITDA</v>
          </cell>
          <cell r="C74" t="str">
            <v>$m</v>
          </cell>
          <cell r="F74">
            <v>54.615999999999978</v>
          </cell>
          <cell r="G74">
            <v>85.635388237996779</v>
          </cell>
          <cell r="H74">
            <v>102.02342128383063</v>
          </cell>
          <cell r="I74">
            <v>117.85357432177018</v>
          </cell>
          <cell r="J74">
            <v>134.98479965204297</v>
          </cell>
          <cell r="K74">
            <v>152.56563650604431</v>
          </cell>
        </row>
        <row r="75">
          <cell r="A75" t="str">
            <v>FX Gain (loss)</v>
          </cell>
          <cell r="C75" t="str">
            <v>$m</v>
          </cell>
          <cell r="F75">
            <v>1.339</v>
          </cell>
          <cell r="G75">
            <v>-60.8</v>
          </cell>
          <cell r="H75">
            <v>-1</v>
          </cell>
          <cell r="I75">
            <v>0</v>
          </cell>
          <cell r="J75">
            <v>0</v>
          </cell>
          <cell r="K75">
            <v>0</v>
          </cell>
        </row>
        <row r="76">
          <cell r="A76" t="str">
            <v>Working capital change</v>
          </cell>
          <cell r="C76" t="str">
            <v>$m</v>
          </cell>
          <cell r="F76">
            <v>-6.115000000000002</v>
          </cell>
          <cell r="G76">
            <v>-15.195999999999998</v>
          </cell>
          <cell r="H76">
            <v>-6.8073555618850321</v>
          </cell>
          <cell r="I76">
            <v>-8.0705093836602657</v>
          </cell>
          <cell r="J76">
            <v>-8.3380540759789668</v>
          </cell>
          <cell r="K76">
            <v>-10.503426712719886</v>
          </cell>
        </row>
        <row r="77">
          <cell r="A77" t="str">
            <v>Net interest paid</v>
          </cell>
          <cell r="C77" t="str">
            <v>$m</v>
          </cell>
          <cell r="F77">
            <v>-1.2</v>
          </cell>
          <cell r="G77">
            <v>-2.2000000000000002</v>
          </cell>
          <cell r="H77">
            <v>-1.3</v>
          </cell>
          <cell r="I77">
            <v>-0.24</v>
          </cell>
          <cell r="J77">
            <v>-0.56800000000000006</v>
          </cell>
          <cell r="K77">
            <v>-1.6000000000000458E-3</v>
          </cell>
        </row>
        <row r="78">
          <cell r="A78" t="str">
            <v>Non-cash items</v>
          </cell>
          <cell r="C78" t="str">
            <v>$m</v>
          </cell>
          <cell r="F78">
            <v>0.44600000000000001</v>
          </cell>
          <cell r="G78">
            <v>19.745999999999999</v>
          </cell>
          <cell r="H78">
            <v>-7.0565365500776807</v>
          </cell>
          <cell r="I78">
            <v>-13.024261067530814</v>
          </cell>
          <cell r="J78">
            <v>0.10290662904350611</v>
          </cell>
          <cell r="K78">
            <v>0.11416705982677444</v>
          </cell>
        </row>
        <row r="79">
          <cell r="A79" t="str">
            <v>Tax paid</v>
          </cell>
          <cell r="C79" t="str">
            <v>$m</v>
          </cell>
          <cell r="F79">
            <v>-17.045000000000002</v>
          </cell>
          <cell r="G79">
            <v>-12.534000000000001</v>
          </cell>
          <cell r="H79">
            <v>-26.791396055759872</v>
          </cell>
          <cell r="I79">
            <v>-39.07305168422841</v>
          </cell>
          <cell r="J79">
            <v>-44.834749300475252</v>
          </cell>
          <cell r="K79">
            <v>-51.194622196365735</v>
          </cell>
        </row>
        <row r="81">
          <cell r="A81" t="str">
            <v>Operating CF</v>
          </cell>
          <cell r="C81" t="str">
            <v>$m</v>
          </cell>
          <cell r="F81">
            <v>32.040999999999968</v>
          </cell>
          <cell r="G81">
            <v>14.651388237996782</v>
          </cell>
          <cell r="H81">
            <v>59.068133116108044</v>
          </cell>
          <cell r="I81">
            <v>57.445752186350695</v>
          </cell>
          <cell r="J81">
            <v>81.346902904632259</v>
          </cell>
          <cell r="K81">
            <v>90.980154656785459</v>
          </cell>
        </row>
        <row r="83">
          <cell r="A83" t="str">
            <v>Capital expenditure</v>
          </cell>
          <cell r="C83" t="str">
            <v>$m</v>
          </cell>
          <cell r="F83">
            <v>-31.184000000000001</v>
          </cell>
          <cell r="G83">
            <v>-13.423</v>
          </cell>
          <cell r="H83">
            <v>-8.9</v>
          </cell>
          <cell r="I83">
            <v>-7</v>
          </cell>
          <cell r="J83">
            <v>-7.3500000000000005</v>
          </cell>
          <cell r="K83">
            <v>-20</v>
          </cell>
        </row>
        <row r="84">
          <cell r="A84" t="str">
            <v>Acquisitions</v>
          </cell>
          <cell r="C84" t="str">
            <v>$m</v>
          </cell>
          <cell r="F84">
            <v>0</v>
          </cell>
          <cell r="G84">
            <v>0</v>
          </cell>
          <cell r="H84">
            <v>0</v>
          </cell>
          <cell r="I84">
            <v>0</v>
          </cell>
          <cell r="J84">
            <v>0</v>
          </cell>
          <cell r="K84">
            <v>0</v>
          </cell>
        </row>
        <row r="85">
          <cell r="A85" t="str">
            <v>Divestments</v>
          </cell>
          <cell r="C85" t="str">
            <v>$m</v>
          </cell>
          <cell r="F85">
            <v>0.56799999999999995</v>
          </cell>
          <cell r="G85">
            <v>0.224</v>
          </cell>
          <cell r="H85">
            <v>327.28200000000004</v>
          </cell>
          <cell r="I85">
            <v>0</v>
          </cell>
          <cell r="J85">
            <v>0</v>
          </cell>
          <cell r="K85">
            <v>0</v>
          </cell>
        </row>
        <row r="86">
          <cell r="A86" t="str">
            <v>Investments</v>
          </cell>
          <cell r="C86" t="str">
            <v>$m</v>
          </cell>
          <cell r="F86">
            <v>42.206000000000003</v>
          </cell>
          <cell r="G86">
            <v>-19.356000000000002</v>
          </cell>
          <cell r="H86">
            <v>0</v>
          </cell>
          <cell r="I86">
            <v>0</v>
          </cell>
          <cell r="J86">
            <v>0</v>
          </cell>
          <cell r="K86">
            <v>0</v>
          </cell>
        </row>
        <row r="87">
          <cell r="A87" t="str">
            <v>Other</v>
          </cell>
          <cell r="C87" t="str">
            <v>$m</v>
          </cell>
          <cell r="F87">
            <v>8.5739999999999998</v>
          </cell>
          <cell r="G87">
            <v>11.101000000000003</v>
          </cell>
          <cell r="H87">
            <v>-38.802210000000002</v>
          </cell>
          <cell r="I87">
            <v>3.9694747999999969</v>
          </cell>
          <cell r="J87">
            <v>-24.907154704</v>
          </cell>
          <cell r="K87">
            <v>-19.905297798079999</v>
          </cell>
        </row>
        <row r="88">
          <cell r="A88" t="str">
            <v>Investing CF</v>
          </cell>
          <cell r="F88">
            <v>11.590000000000003</v>
          </cell>
          <cell r="G88">
            <v>-32.555</v>
          </cell>
          <cell r="H88">
            <v>318.38200000000006</v>
          </cell>
          <cell r="I88">
            <v>-7</v>
          </cell>
          <cell r="J88">
            <v>-7.3500000000000005</v>
          </cell>
          <cell r="K88">
            <v>-20</v>
          </cell>
        </row>
        <row r="90">
          <cell r="A90" t="str">
            <v>Equity issues</v>
          </cell>
          <cell r="C90" t="str">
            <v>$m</v>
          </cell>
          <cell r="F90">
            <v>0</v>
          </cell>
          <cell r="G90">
            <v>0</v>
          </cell>
          <cell r="H90">
            <v>0</v>
          </cell>
          <cell r="I90">
            <v>0</v>
          </cell>
          <cell r="J90">
            <v>0</v>
          </cell>
          <cell r="K90">
            <v>0</v>
          </cell>
        </row>
        <row r="91">
          <cell r="A91" t="str">
            <v>Dividends</v>
          </cell>
          <cell r="C91" t="str">
            <v>$m</v>
          </cell>
          <cell r="F91">
            <v>-61.557000000000002</v>
          </cell>
          <cell r="G91">
            <v>-14.942</v>
          </cell>
          <cell r="H91">
            <v>-24.046577694682192</v>
          </cell>
          <cell r="I91">
            <v>-42.826129582525063</v>
          </cell>
          <cell r="J91">
            <v>-49.107191490940629</v>
          </cell>
          <cell r="K91">
            <v>-56.040348704207155</v>
          </cell>
        </row>
        <row r="92">
          <cell r="A92" t="str">
            <v>Equity cashflows</v>
          </cell>
          <cell r="C92" t="str">
            <v>$m</v>
          </cell>
          <cell r="F92">
            <v>-61.557000000000002</v>
          </cell>
          <cell r="G92">
            <v>-14.942</v>
          </cell>
          <cell r="H92">
            <v>-24.046577694682192</v>
          </cell>
          <cell r="I92">
            <v>-42.826129582525063</v>
          </cell>
          <cell r="J92">
            <v>-49.107191490940629</v>
          </cell>
          <cell r="K92">
            <v>-56.040348704207155</v>
          </cell>
        </row>
        <row r="94">
          <cell r="A94" t="str">
            <v>Change in net debt</v>
          </cell>
          <cell r="C94" t="str">
            <v>$m</v>
          </cell>
          <cell r="F94">
            <v>-17.92600000000003</v>
          </cell>
          <cell r="G94">
            <v>-32.845611762003216</v>
          </cell>
          <cell r="H94">
            <v>353.40355542142589</v>
          </cell>
          <cell r="I94">
            <v>7.6196226038256327</v>
          </cell>
          <cell r="J94">
            <v>24.889711413691636</v>
          </cell>
          <cell r="K94">
            <v>14.939805952578304</v>
          </cell>
        </row>
        <row r="96">
          <cell r="A96" t="str">
            <v>PERFORMANCE RATIOS</v>
          </cell>
          <cell r="E96">
            <v>1999</v>
          </cell>
          <cell r="F96">
            <v>2000</v>
          </cell>
          <cell r="G96">
            <v>2001</v>
          </cell>
          <cell r="H96" t="str">
            <v>2002e</v>
          </cell>
          <cell r="I96" t="str">
            <v>2003e</v>
          </cell>
          <cell r="J96" t="str">
            <v>2004e</v>
          </cell>
          <cell r="K96" t="str">
            <v>2005e</v>
          </cell>
        </row>
        <row r="98">
          <cell r="A98" t="str">
            <v>ROE</v>
          </cell>
          <cell r="C98" t="str">
            <v>%</v>
          </cell>
          <cell r="F98">
            <v>8.0120000738141559E-2</v>
          </cell>
          <cell r="G98">
            <v>0.18313228611461141</v>
          </cell>
          <cell r="H98">
            <v>0.20176616011648529</v>
          </cell>
          <cell r="I98">
            <v>0.5701672702469176</v>
          </cell>
          <cell r="J98">
            <v>0.52633123503252488</v>
          </cell>
          <cell r="K98">
            <v>0.49101777467509977</v>
          </cell>
        </row>
        <row r="99">
          <cell r="A99" t="str">
            <v>ROI</v>
          </cell>
          <cell r="C99" t="str">
            <v>%</v>
          </cell>
          <cell r="F99">
            <v>0.13378533971271409</v>
          </cell>
          <cell r="G99">
            <v>0.21063525190452093</v>
          </cell>
          <cell r="H99">
            <v>0.39661614282011692</v>
          </cell>
          <cell r="I99">
            <v>0.92297178755893738</v>
          </cell>
          <cell r="J99">
            <v>0.84705223934047502</v>
          </cell>
          <cell r="K99">
            <v>0.78191446373580753</v>
          </cell>
        </row>
        <row r="100">
          <cell r="A100" t="str">
            <v>Capex/depreciation</v>
          </cell>
          <cell r="C100" t="str">
            <v>x</v>
          </cell>
          <cell r="F100">
            <v>7.5124066490002415</v>
          </cell>
          <cell r="G100">
            <v>2.473373871383822</v>
          </cell>
          <cell r="H100">
            <v>1.4908621873796002</v>
          </cell>
          <cell r="I100">
            <v>0.97715686438737848</v>
          </cell>
          <cell r="J100">
            <v>0.95001361815439578</v>
          </cell>
          <cell r="K100">
            <v>2.509777737677553</v>
          </cell>
        </row>
        <row r="101">
          <cell r="A101" t="str">
            <v>Working capital/Sales ratio</v>
          </cell>
          <cell r="C101" t="str">
            <v>%</v>
          </cell>
          <cell r="F101">
            <v>0.21647018030513177</v>
          </cell>
          <cell r="G101">
            <v>0.24034697048161571</v>
          </cell>
          <cell r="H101">
            <v>0.22575691804662493</v>
          </cell>
          <cell r="I101">
            <v>0.22091002756378622</v>
          </cell>
          <cell r="J101">
            <v>0.21653432674918122</v>
          </cell>
          <cell r="K101">
            <v>0.21628105840443881</v>
          </cell>
        </row>
        <row r="102">
          <cell r="A102" t="str">
            <v>Net Interest cover (EBIT)</v>
          </cell>
          <cell r="C102" t="str">
            <v>x</v>
          </cell>
          <cell r="F102">
            <v>41.733333333333313</v>
          </cell>
          <cell r="G102">
            <v>36.283358289998532</v>
          </cell>
          <cell r="H102">
            <v>73.591324064485107</v>
          </cell>
          <cell r="I102">
            <v>459.60389300737575</v>
          </cell>
          <cell r="J102">
            <v>223.35047262683619</v>
          </cell>
          <cell r="K102">
            <v>90132.377106275118</v>
          </cell>
        </row>
        <row r="103">
          <cell r="A103" t="str">
            <v>Net debt/equity (year end)</v>
          </cell>
          <cell r="C103" t="str">
            <v>%</v>
          </cell>
          <cell r="F103">
            <v>1.3647446577514748E-2</v>
          </cell>
          <cell r="G103">
            <v>1.3390157514326028E-2</v>
          </cell>
          <cell r="H103">
            <v>-0.24692883836267024</v>
          </cell>
          <cell r="I103">
            <v>-0.10663157191721778</v>
          </cell>
          <cell r="J103">
            <v>-0.23259306101679833</v>
          </cell>
          <cell r="K103">
            <v>-0.26353894439039582</v>
          </cell>
        </row>
        <row r="104">
          <cell r="A104" t="str">
            <v>Book value ps (year end)</v>
          </cell>
          <cell r="C104" t="str">
            <v>$</v>
          </cell>
          <cell r="F104">
            <v>3.2675347005118986</v>
          </cell>
          <cell r="G104">
            <v>3.2342102204046905</v>
          </cell>
          <cell r="H104">
            <v>1.105257064670303</v>
          </cell>
          <cell r="I104">
            <v>1.3871644497358537</v>
          </cell>
          <cell r="J104">
            <v>1.7109827264808037</v>
          </cell>
          <cell r="K104">
            <v>2.0810630533692391</v>
          </cell>
        </row>
        <row r="106">
          <cell r="A106" t="str">
            <v>Source: FAP &amp; FPH Reports, Salomon Smith Barney Format</v>
          </cell>
        </row>
      </sheetData>
      <sheetData sheetId="6" refreshError="1"/>
      <sheetData sheetId="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le"/>
      <sheetName val="old-sales"/>
      <sheetName val="Capital"/>
      <sheetName val="Tax"/>
      <sheetName val="Debt"/>
      <sheetName val="4Qexports"/>
      <sheetName val="CY99-mix"/>
      <sheetName val="Key brands"/>
      <sheetName val="Sales"/>
      <sheetName val="DCF"/>
      <sheetName val="CapEx"/>
      <sheetName val="Sheet1"/>
      <sheetName val="Input"/>
      <sheetName val="Formats"/>
      <sheetName val="WICarrDataV2"/>
      <sheetName val="Earnings"/>
      <sheetName val="Ceftin "/>
      <sheetName val="Generic"/>
      <sheetName val="US GAAP "/>
      <sheetName val="Result"/>
      <sheetName val="int cost"/>
      <sheetName val="cipro upside"/>
      <sheetName val="final"/>
      <sheetName val="q400"/>
      <sheetName val="final2"/>
      <sheetName val="Top Brands"/>
      <sheetName val="CoSheet"/>
      <sheetName val="Group"/>
      <sheetName val="DCF Valuation"/>
      <sheetName val="Financial Links"/>
      <sheetName val="NEW Earnings Guide"/>
    </sheetNames>
    <sheetDataSet>
      <sheetData sheetId="0" refreshError="1"/>
      <sheetData sheetId="1" refreshError="1"/>
      <sheetData sheetId="2" refreshError="1"/>
      <sheetData sheetId="3" refreshError="1"/>
      <sheetData sheetId="4" refreshError="1">
        <row r="46">
          <cell r="D46">
            <v>31</v>
          </cell>
          <cell r="F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t="e">
            <v>#VALUE!</v>
          </cell>
          <cell r="AE46" t="e">
            <v>#VALUE!</v>
          </cell>
          <cell r="AF46" t="e">
            <v>#VALUE!</v>
          </cell>
          <cell r="AG46" t="e">
            <v>#VALUE!</v>
          </cell>
          <cell r="AH46" t="e">
            <v>#VALUE!</v>
          </cell>
          <cell r="AI46" t="e">
            <v>#VALUE!</v>
          </cell>
          <cell r="AJ46" t="e">
            <v>#VALUE!</v>
          </cell>
        </row>
        <row r="57">
          <cell r="D57">
            <v>8</v>
          </cell>
          <cell r="F57" t="e">
            <v>#REF!</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row>
        <row r="92">
          <cell r="D92">
            <v>31</v>
          </cell>
          <cell r="F92">
            <v>0</v>
          </cell>
          <cell r="L92">
            <v>0</v>
          </cell>
          <cell r="M92">
            <v>0</v>
          </cell>
          <cell r="N92">
            <v>0</v>
          </cell>
          <cell r="O92">
            <v>0</v>
          </cell>
          <cell r="P92">
            <v>0</v>
          </cell>
          <cell r="R92">
            <v>0</v>
          </cell>
          <cell r="T92">
            <v>0</v>
          </cell>
          <cell r="V92">
            <v>0</v>
          </cell>
          <cell r="X92">
            <v>0</v>
          </cell>
          <cell r="Z92">
            <v>0</v>
          </cell>
        </row>
        <row r="103">
          <cell r="D103">
            <v>8</v>
          </cell>
          <cell r="F103" t="e">
            <v>#REF!</v>
          </cell>
          <cell r="L103">
            <v>0</v>
          </cell>
          <cell r="M103">
            <v>0</v>
          </cell>
          <cell r="N103">
            <v>0</v>
          </cell>
          <cell r="O103">
            <v>0</v>
          </cell>
          <cell r="P103">
            <v>0</v>
          </cell>
          <cell r="R103">
            <v>0</v>
          </cell>
          <cell r="T103">
            <v>0</v>
          </cell>
          <cell r="V103">
            <v>0</v>
          </cell>
          <cell r="X103">
            <v>0</v>
          </cell>
          <cell r="Z103">
            <v>0</v>
          </cell>
        </row>
        <row r="138">
          <cell r="D138">
            <v>31</v>
          </cell>
          <cell r="F138">
            <v>0</v>
          </cell>
          <cell r="Q138">
            <v>0</v>
          </cell>
          <cell r="S138">
            <v>0</v>
          </cell>
          <cell r="U138">
            <v>0</v>
          </cell>
          <cell r="W138">
            <v>0</v>
          </cell>
          <cell r="Y138">
            <v>0</v>
          </cell>
          <cell r="AA138">
            <v>0</v>
          </cell>
          <cell r="AB138">
            <v>0</v>
          </cell>
          <cell r="AC138">
            <v>0</v>
          </cell>
          <cell r="AD138" t="e">
            <v>#VALUE!</v>
          </cell>
          <cell r="AE138" t="e">
            <v>#VALUE!</v>
          </cell>
          <cell r="AF138" t="e">
            <v>#VALUE!</v>
          </cell>
          <cell r="AG138" t="e">
            <v>#VALUE!</v>
          </cell>
          <cell r="AH138" t="e">
            <v>#VALUE!</v>
          </cell>
          <cell r="AI138" t="e">
            <v>#VALUE!</v>
          </cell>
          <cell r="AJ138" t="e">
            <v>#VALUE!</v>
          </cell>
        </row>
        <row r="149">
          <cell r="D149">
            <v>8</v>
          </cell>
          <cell r="F149" t="e">
            <v>#REF!</v>
          </cell>
          <cell r="Q149">
            <v>0</v>
          </cell>
          <cell r="S149">
            <v>0</v>
          </cell>
          <cell r="U149">
            <v>0</v>
          </cell>
          <cell r="W149">
            <v>0</v>
          </cell>
          <cell r="Y149">
            <v>0</v>
          </cell>
          <cell r="AA149">
            <v>0</v>
          </cell>
          <cell r="AB149">
            <v>0</v>
          </cell>
          <cell r="AC149">
            <v>0</v>
          </cell>
          <cell r="AD149">
            <v>0</v>
          </cell>
          <cell r="AE149">
            <v>0</v>
          </cell>
          <cell r="AF149">
            <v>0</v>
          </cell>
          <cell r="AG149">
            <v>0</v>
          </cell>
          <cell r="AH149">
            <v>0</v>
          </cell>
          <cell r="AI149">
            <v>0</v>
          </cell>
          <cell r="AJ149">
            <v>0</v>
          </cell>
        </row>
        <row r="187">
          <cell r="D187">
            <v>31</v>
          </cell>
          <cell r="F187">
            <v>0</v>
          </cell>
          <cell r="L187">
            <v>0</v>
          </cell>
          <cell r="M187">
            <v>0</v>
          </cell>
          <cell r="N187">
            <v>0</v>
          </cell>
          <cell r="O187">
            <v>0</v>
          </cell>
          <cell r="P187">
            <v>0</v>
          </cell>
          <cell r="R187">
            <v>0</v>
          </cell>
          <cell r="T187">
            <v>0</v>
          </cell>
          <cell r="V187">
            <v>0</v>
          </cell>
          <cell r="X187" t="e">
            <v>#VALUE!</v>
          </cell>
          <cell r="Z187" t="e">
            <v>#VALUE!</v>
          </cell>
        </row>
        <row r="197">
          <cell r="D197">
            <v>8</v>
          </cell>
          <cell r="F197" t="e">
            <v>#REF!</v>
          </cell>
        </row>
        <row r="231">
          <cell r="D231">
            <v>31</v>
          </cell>
          <cell r="F231">
            <v>0</v>
          </cell>
          <cell r="L231">
            <v>0</v>
          </cell>
          <cell r="M231">
            <v>0</v>
          </cell>
          <cell r="N231">
            <v>0</v>
          </cell>
          <cell r="O231">
            <v>0</v>
          </cell>
          <cell r="P231">
            <v>0</v>
          </cell>
          <cell r="Q231">
            <v>0</v>
          </cell>
          <cell r="R231">
            <v>0</v>
          </cell>
          <cell r="S231">
            <v>0</v>
          </cell>
          <cell r="T231">
            <v>0</v>
          </cell>
          <cell r="U231">
            <v>0</v>
          </cell>
          <cell r="V231">
            <v>0</v>
          </cell>
          <cell r="W231">
            <v>0</v>
          </cell>
          <cell r="X231" t="e">
            <v>#VALUE!</v>
          </cell>
          <cell r="Y231">
            <v>0</v>
          </cell>
          <cell r="Z231" t="e">
            <v>#VALUE!</v>
          </cell>
          <cell r="AA231">
            <v>0</v>
          </cell>
          <cell r="AB231">
            <v>0</v>
          </cell>
          <cell r="AC231">
            <v>0</v>
          </cell>
          <cell r="AD231" t="e">
            <v>#VALUE!</v>
          </cell>
          <cell r="AE231" t="e">
            <v>#VALUE!</v>
          </cell>
          <cell r="AF231" t="e">
            <v>#VALUE!</v>
          </cell>
          <cell r="AG231" t="e">
            <v>#VALUE!</v>
          </cell>
          <cell r="AH231" t="e">
            <v>#VALUE!</v>
          </cell>
          <cell r="AI231" t="e">
            <v>#VALUE!</v>
          </cell>
          <cell r="AJ231" t="e">
            <v>#VALUE!</v>
          </cell>
        </row>
        <row r="242">
          <cell r="D242">
            <v>8</v>
          </cell>
          <cell r="F242" t="e">
            <v>#REF!</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row r="149">
          <cell r="N149">
            <v>938</v>
          </cell>
          <cell r="O149">
            <v>1438</v>
          </cell>
          <cell r="P149">
            <v>1593</v>
          </cell>
          <cell r="R149">
            <v>1745.04</v>
          </cell>
          <cell r="T149">
            <v>1308.78</v>
          </cell>
          <cell r="U149">
            <v>1745.04</v>
          </cell>
          <cell r="W149">
            <v>1888.6</v>
          </cell>
        </row>
        <row r="152">
          <cell r="N152">
            <v>669.22</v>
          </cell>
          <cell r="O152">
            <v>615.97</v>
          </cell>
          <cell r="P152">
            <v>754.74</v>
          </cell>
          <cell r="Q152">
            <v>0</v>
          </cell>
          <cell r="R152">
            <v>1141.79</v>
          </cell>
          <cell r="S152">
            <v>0</v>
          </cell>
          <cell r="T152">
            <v>962.85</v>
          </cell>
          <cell r="U152">
            <v>1352.32</v>
          </cell>
          <cell r="W152">
            <v>1792.22</v>
          </cell>
        </row>
        <row r="153">
          <cell r="L153">
            <v>0</v>
          </cell>
          <cell r="M153">
            <v>0</v>
          </cell>
          <cell r="N153">
            <v>71.345415778251592</v>
          </cell>
          <cell r="O153">
            <v>42.835187760778858</v>
          </cell>
          <cell r="P153">
            <v>47.378531073446325</v>
          </cell>
          <cell r="Q153">
            <v>0</v>
          </cell>
          <cell r="R153">
            <v>0.65430591848897446</v>
          </cell>
          <cell r="S153" t="e">
            <v>#DIV/0!</v>
          </cell>
          <cell r="T153">
            <v>0.73568514188786505</v>
          </cell>
          <cell r="U153">
            <v>0.7749507174620639</v>
          </cell>
          <cell r="V153" t="e">
            <v>#DIV/0!</v>
          </cell>
          <cell r="W153">
            <v>0.94896748914539875</v>
          </cell>
          <cell r="X153" t="e">
            <v>#DIV/0!</v>
          </cell>
          <cell r="Y153" t="e">
            <v>#DIV/0!</v>
          </cell>
          <cell r="Z153" t="e">
            <v>#DIV/0!</v>
          </cell>
          <cell r="AA153" t="e">
            <v>#DIV/0!</v>
          </cell>
          <cell r="AB153">
            <v>0</v>
          </cell>
          <cell r="AC153" t="e">
            <v>#NAME?</v>
          </cell>
        </row>
        <row r="156">
          <cell r="N156">
            <v>736.37</v>
          </cell>
          <cell r="O156">
            <v>766.38</v>
          </cell>
          <cell r="P156">
            <v>883.28</v>
          </cell>
          <cell r="Q156">
            <v>0</v>
          </cell>
          <cell r="R156">
            <v>1313.22</v>
          </cell>
          <cell r="S156">
            <v>0</v>
          </cell>
          <cell r="T156">
            <v>1115.33</v>
          </cell>
          <cell r="U156">
            <v>1544.47</v>
          </cell>
          <cell r="W156">
            <v>2155.48</v>
          </cell>
        </row>
        <row r="159">
          <cell r="N159">
            <v>1535.84</v>
          </cell>
          <cell r="O159">
            <v>1595.11</v>
          </cell>
          <cell r="P159">
            <v>2161.17</v>
          </cell>
          <cell r="Q159">
            <v>0</v>
          </cell>
          <cell r="R159">
            <v>2961.17</v>
          </cell>
          <cell r="S159">
            <v>0</v>
          </cell>
          <cell r="T159">
            <v>2580.42</v>
          </cell>
          <cell r="U159">
            <v>3894.98</v>
          </cell>
          <cell r="W159">
            <v>5069.57</v>
          </cell>
        </row>
        <row r="162">
          <cell r="L162">
            <v>0</v>
          </cell>
          <cell r="M162">
            <v>0</v>
          </cell>
          <cell r="N162">
            <v>2085690.6174884909</v>
          </cell>
          <cell r="O162">
            <v>2081356.5072157416</v>
          </cell>
          <cell r="P162">
            <v>2446755.2757902364</v>
          </cell>
          <cell r="Q162">
            <v>0</v>
          </cell>
          <cell r="R162">
            <v>2254892.5541798021</v>
          </cell>
          <cell r="S162" t="e">
            <v>#DIV/0!</v>
          </cell>
          <cell r="T162">
            <v>2313593.2862919495</v>
          </cell>
          <cell r="U162">
            <v>2521887.7673247131</v>
          </cell>
          <cell r="V162" t="e">
            <v>#DIV/0!</v>
          </cell>
          <cell r="W162">
            <v>2351944.8104366544</v>
          </cell>
          <cell r="X162" t="e">
            <v>#DIV/0!</v>
          </cell>
          <cell r="Y162" t="e">
            <v>#DIV/0!</v>
          </cell>
          <cell r="Z162" t="e">
            <v>#DIV/0!</v>
          </cell>
          <cell r="AA162" t="e">
            <v>#DIV/0!</v>
          </cell>
          <cell r="AB162">
            <v>0</v>
          </cell>
        </row>
        <row r="167">
          <cell r="N167">
            <v>472</v>
          </cell>
          <cell r="O167">
            <v>592</v>
          </cell>
          <cell r="P167">
            <v>824</v>
          </cell>
          <cell r="R167">
            <v>864</v>
          </cell>
          <cell r="T167">
            <v>648</v>
          </cell>
          <cell r="U167">
            <v>864</v>
          </cell>
          <cell r="W167">
            <v>1154</v>
          </cell>
        </row>
        <row r="170">
          <cell r="N170">
            <v>275.26</v>
          </cell>
          <cell r="O170">
            <v>301.93</v>
          </cell>
          <cell r="P170">
            <v>487.16</v>
          </cell>
          <cell r="Q170">
            <v>0</v>
          </cell>
          <cell r="R170">
            <v>577.34</v>
          </cell>
          <cell r="S170">
            <v>0</v>
          </cell>
          <cell r="T170">
            <v>585.09</v>
          </cell>
          <cell r="U170">
            <v>855.27</v>
          </cell>
          <cell r="W170">
            <v>967.34</v>
          </cell>
        </row>
        <row r="171">
          <cell r="L171">
            <v>0</v>
          </cell>
          <cell r="M171">
            <v>0</v>
          </cell>
          <cell r="N171">
            <v>58.317796610169495</v>
          </cell>
          <cell r="O171">
            <v>51.001689189189186</v>
          </cell>
          <cell r="P171">
            <v>59.121359223300971</v>
          </cell>
          <cell r="Q171">
            <v>0</v>
          </cell>
          <cell r="R171">
            <v>0.66821759259259261</v>
          </cell>
          <cell r="S171" t="e">
            <v>#DIV/0!</v>
          </cell>
          <cell r="T171">
            <v>0.9029166666666667</v>
          </cell>
          <cell r="U171">
            <v>0.98989583333333331</v>
          </cell>
          <cell r="V171" t="e">
            <v>#DIV/0!</v>
          </cell>
          <cell r="W171">
            <v>0.83824956672443673</v>
          </cell>
          <cell r="X171" t="e">
            <v>#DIV/0!</v>
          </cell>
          <cell r="Y171" t="e">
            <v>#DIV/0!</v>
          </cell>
          <cell r="Z171" t="e">
            <v>#DIV/0!</v>
          </cell>
          <cell r="AA171" t="e">
            <v>#DIV/0!</v>
          </cell>
          <cell r="AB171">
            <v>0</v>
          </cell>
          <cell r="AC171" t="e">
            <v>#NAME?</v>
          </cell>
        </row>
        <row r="174">
          <cell r="N174">
            <v>382.74</v>
          </cell>
          <cell r="O174">
            <v>439.59</v>
          </cell>
          <cell r="P174">
            <v>620.36</v>
          </cell>
          <cell r="Q174">
            <v>0</v>
          </cell>
          <cell r="R174">
            <v>885.36</v>
          </cell>
          <cell r="S174">
            <v>0</v>
          </cell>
          <cell r="T174">
            <v>710.81</v>
          </cell>
          <cell r="U174">
            <v>938.88</v>
          </cell>
          <cell r="W174">
            <v>1079.81</v>
          </cell>
        </row>
        <row r="177">
          <cell r="N177">
            <v>996.11</v>
          </cell>
          <cell r="O177">
            <v>1159.0999999999999</v>
          </cell>
          <cell r="P177">
            <v>1593.72</v>
          </cell>
          <cell r="Q177">
            <v>0</v>
          </cell>
          <cell r="R177">
            <v>2314.41</v>
          </cell>
          <cell r="S177">
            <v>0</v>
          </cell>
          <cell r="T177">
            <v>1782.9</v>
          </cell>
          <cell r="U177">
            <v>2510.4</v>
          </cell>
          <cell r="W177">
            <v>2706.23</v>
          </cell>
        </row>
        <row r="180">
          <cell r="L180">
            <v>0</v>
          </cell>
          <cell r="M180">
            <v>0</v>
          </cell>
          <cell r="N180">
            <v>2602576.1613628049</v>
          </cell>
          <cell r="O180">
            <v>2636775.1768693556</v>
          </cell>
          <cell r="P180">
            <v>2569024.4374234313</v>
          </cell>
          <cell r="Q180">
            <v>0</v>
          </cell>
          <cell r="R180">
            <v>2614089.1840607212</v>
          </cell>
          <cell r="S180" t="e">
            <v>#DIV/0!</v>
          </cell>
          <cell r="T180">
            <v>2508265.2185534816</v>
          </cell>
          <cell r="U180">
            <v>2673824.1308793458</v>
          </cell>
          <cell r="V180" t="e">
            <v>#DIV/0!</v>
          </cell>
          <cell r="W180">
            <v>2506209.4257323048</v>
          </cell>
          <cell r="X180" t="e">
            <v>#DIV/0!</v>
          </cell>
          <cell r="Y180" t="e">
            <v>#DIV/0!</v>
          </cell>
          <cell r="Z180" t="e">
            <v>#DIV/0!</v>
          </cell>
          <cell r="AA180" t="e">
            <v>#DIV/0!</v>
          </cell>
          <cell r="AB180">
            <v>0</v>
          </cell>
        </row>
        <row r="185">
          <cell r="N185">
            <v>36</v>
          </cell>
          <cell r="O185">
            <v>36</v>
          </cell>
          <cell r="P185">
            <v>36</v>
          </cell>
          <cell r="R185">
            <v>36</v>
          </cell>
          <cell r="T185">
            <v>27</v>
          </cell>
          <cell r="U185">
            <v>36</v>
          </cell>
          <cell r="W185">
            <v>37.200000000000003</v>
          </cell>
        </row>
        <row r="188">
          <cell r="N188">
            <v>16.260000000000002</v>
          </cell>
          <cell r="O188">
            <v>20.38</v>
          </cell>
          <cell r="P188">
            <v>23.97</v>
          </cell>
          <cell r="Q188">
            <v>0</v>
          </cell>
          <cell r="R188">
            <v>24.88</v>
          </cell>
          <cell r="S188">
            <v>0</v>
          </cell>
          <cell r="T188">
            <v>21.04</v>
          </cell>
          <cell r="U188">
            <v>28.03</v>
          </cell>
          <cell r="W188">
            <v>30.26</v>
          </cell>
        </row>
        <row r="189">
          <cell r="L189">
            <v>0</v>
          </cell>
          <cell r="M189">
            <v>0</v>
          </cell>
          <cell r="N189">
            <v>45.166666666666671</v>
          </cell>
          <cell r="O189">
            <v>56.611111111111114</v>
          </cell>
          <cell r="P189">
            <v>66.583333333333329</v>
          </cell>
          <cell r="Q189">
            <v>0</v>
          </cell>
          <cell r="R189">
            <v>0.69111111111111112</v>
          </cell>
          <cell r="S189" t="e">
            <v>#DIV/0!</v>
          </cell>
          <cell r="T189">
            <v>0.77925925925925921</v>
          </cell>
          <cell r="U189">
            <v>0.77861111111111114</v>
          </cell>
          <cell r="V189" t="e">
            <v>#DIV/0!</v>
          </cell>
          <cell r="W189">
            <v>0.8134408602150538</v>
          </cell>
          <cell r="X189" t="e">
            <v>#DIV/0!</v>
          </cell>
          <cell r="Y189" t="e">
            <v>#DIV/0!</v>
          </cell>
          <cell r="Z189" t="e">
            <v>#DIV/0!</v>
          </cell>
          <cell r="AA189" t="e">
            <v>#DIV/0!</v>
          </cell>
          <cell r="AB189">
            <v>0</v>
          </cell>
          <cell r="AC189" t="e">
            <v>#NAME?</v>
          </cell>
        </row>
        <row r="192">
          <cell r="N192">
            <v>18.21</v>
          </cell>
          <cell r="O192">
            <v>20.96</v>
          </cell>
          <cell r="P192">
            <v>23.25</v>
          </cell>
          <cell r="Q192">
            <v>0</v>
          </cell>
          <cell r="R192">
            <v>26.73</v>
          </cell>
          <cell r="S192">
            <v>0</v>
          </cell>
          <cell r="T192">
            <v>23.51</v>
          </cell>
          <cell r="U192">
            <v>66.52</v>
          </cell>
          <cell r="W192">
            <v>34.49</v>
          </cell>
        </row>
        <row r="195">
          <cell r="N195">
            <v>283.58999999999997</v>
          </cell>
          <cell r="O195">
            <v>379.47</v>
          </cell>
          <cell r="P195">
            <v>481.87</v>
          </cell>
          <cell r="Q195">
            <v>0</v>
          </cell>
          <cell r="R195">
            <v>595.91</v>
          </cell>
          <cell r="S195">
            <v>0</v>
          </cell>
          <cell r="T195">
            <v>614.23</v>
          </cell>
          <cell r="U195">
            <v>1006.79</v>
          </cell>
          <cell r="W195">
            <v>1212.3</v>
          </cell>
        </row>
        <row r="198">
          <cell r="L198">
            <v>0</v>
          </cell>
          <cell r="M198">
            <v>0</v>
          </cell>
          <cell r="N198">
            <v>15573311.367380559</v>
          </cell>
          <cell r="O198">
            <v>18104484.732824426</v>
          </cell>
          <cell r="P198">
            <v>20725591.397849463</v>
          </cell>
          <cell r="Q198">
            <v>0</v>
          </cell>
          <cell r="R198">
            <v>22293677.515899736</v>
          </cell>
          <cell r="S198" t="e">
            <v>#DIV/0!</v>
          </cell>
          <cell r="T198">
            <v>26126329.221607823</v>
          </cell>
          <cell r="U198">
            <v>15135147.32411305</v>
          </cell>
          <cell r="V198" t="e">
            <v>#DIV/0!</v>
          </cell>
          <cell r="W198">
            <v>35149318.643084951</v>
          </cell>
          <cell r="X198" t="e">
            <v>#DIV/0!</v>
          </cell>
          <cell r="Y198" t="e">
            <v>#DIV/0!</v>
          </cell>
          <cell r="Z198" t="e">
            <v>#DIV/0!</v>
          </cell>
          <cell r="AA198" t="e">
            <v>#DIV/0!</v>
          </cell>
          <cell r="AB198">
            <v>0</v>
          </cell>
        </row>
        <row r="203">
          <cell r="N203">
            <v>72</v>
          </cell>
          <cell r="O203">
            <v>72</v>
          </cell>
          <cell r="P203">
            <v>74.7</v>
          </cell>
          <cell r="R203">
            <v>82.62</v>
          </cell>
          <cell r="T203">
            <v>61.97</v>
          </cell>
          <cell r="U203">
            <v>82.62</v>
          </cell>
          <cell r="W203">
            <v>82.62</v>
          </cell>
        </row>
        <row r="206">
          <cell r="N206">
            <v>64.3</v>
          </cell>
          <cell r="O206">
            <v>56.63</v>
          </cell>
          <cell r="P206">
            <v>74.48</v>
          </cell>
          <cell r="Q206">
            <v>0</v>
          </cell>
          <cell r="R206">
            <v>79.400000000000006</v>
          </cell>
          <cell r="S206">
            <v>0</v>
          </cell>
          <cell r="T206">
            <v>50.62</v>
          </cell>
          <cell r="U206">
            <v>81.099999999999994</v>
          </cell>
          <cell r="W206">
            <v>54.33</v>
          </cell>
        </row>
        <row r="207">
          <cell r="L207">
            <v>0</v>
          </cell>
          <cell r="M207">
            <v>0</v>
          </cell>
          <cell r="N207">
            <v>89.305555555555557</v>
          </cell>
          <cell r="O207">
            <v>78.652777777777771</v>
          </cell>
          <cell r="P207">
            <v>99.705488621151261</v>
          </cell>
          <cell r="Q207">
            <v>0</v>
          </cell>
          <cell r="R207">
            <v>0.96102638586298716</v>
          </cell>
          <cell r="S207" t="e">
            <v>#DIV/0!</v>
          </cell>
          <cell r="T207">
            <v>0.81684686138454088</v>
          </cell>
          <cell r="U207">
            <v>0.98160251755022987</v>
          </cell>
          <cell r="V207" t="e">
            <v>#DIV/0!</v>
          </cell>
          <cell r="W207">
            <v>0.65758896151053003</v>
          </cell>
          <cell r="X207" t="e">
            <v>#DIV/0!</v>
          </cell>
          <cell r="Y207" t="e">
            <v>#DIV/0!</v>
          </cell>
          <cell r="Z207" t="e">
            <v>#DIV/0!</v>
          </cell>
          <cell r="AA207" t="e">
            <v>#DIV/0!</v>
          </cell>
          <cell r="AB207" t="e">
            <v>#DIV/0!</v>
          </cell>
          <cell r="AC207" t="e">
            <v>#DIV/0!</v>
          </cell>
        </row>
        <row r="210">
          <cell r="N210">
            <v>56.07</v>
          </cell>
          <cell r="O210">
            <v>62.2</v>
          </cell>
          <cell r="P210">
            <v>75.36</v>
          </cell>
          <cell r="Q210">
            <v>0</v>
          </cell>
          <cell r="R210">
            <v>78.42</v>
          </cell>
          <cell r="S210">
            <v>0</v>
          </cell>
          <cell r="T210">
            <v>52.19</v>
          </cell>
          <cell r="U210">
            <v>83.04</v>
          </cell>
          <cell r="W210">
            <v>60.09</v>
          </cell>
        </row>
        <row r="213">
          <cell r="N213">
            <v>309.85000000000002</v>
          </cell>
          <cell r="O213">
            <v>362.37</v>
          </cell>
          <cell r="P213">
            <v>477.71</v>
          </cell>
          <cell r="Q213">
            <v>0</v>
          </cell>
          <cell r="R213">
            <v>514.76</v>
          </cell>
          <cell r="S213">
            <v>0</v>
          </cell>
          <cell r="T213">
            <v>379.42</v>
          </cell>
          <cell r="U213">
            <v>601.74</v>
          </cell>
          <cell r="W213">
            <v>328.06</v>
          </cell>
        </row>
        <row r="216">
          <cell r="L216">
            <v>0</v>
          </cell>
          <cell r="M216">
            <v>0</v>
          </cell>
          <cell r="N216">
            <v>5526128.0542179421</v>
          </cell>
          <cell r="O216">
            <v>5825884.24437299</v>
          </cell>
          <cell r="P216">
            <v>6339039.2781316349</v>
          </cell>
          <cell r="Q216">
            <v>0</v>
          </cell>
          <cell r="R216">
            <v>6564141.8005610816</v>
          </cell>
          <cell r="S216" t="e">
            <v>#DIV/0!</v>
          </cell>
          <cell r="T216">
            <v>7269975.0910136048</v>
          </cell>
          <cell r="U216">
            <v>7246387.2832369935</v>
          </cell>
          <cell r="V216" t="e">
            <v>#DIV/0!</v>
          </cell>
          <cell r="W216">
            <v>5459477.4504909301</v>
          </cell>
          <cell r="X216" t="e">
            <v>#DIV/0!</v>
          </cell>
          <cell r="Y216" t="e">
            <v>#DIV/0!</v>
          </cell>
          <cell r="Z216" t="e">
            <v>#DIV/0!</v>
          </cell>
          <cell r="AA216" t="e">
            <v>#DIV/0!</v>
          </cell>
          <cell r="AB216">
            <v>0</v>
          </cell>
        </row>
        <row r="221">
          <cell r="N221">
            <v>36</v>
          </cell>
          <cell r="O221">
            <v>36</v>
          </cell>
          <cell r="P221">
            <v>36</v>
          </cell>
          <cell r="R221">
            <v>46.32</v>
          </cell>
          <cell r="T221">
            <v>34.74</v>
          </cell>
          <cell r="U221">
            <v>46.32</v>
          </cell>
          <cell r="W221">
            <v>46.32</v>
          </cell>
        </row>
        <row r="224">
          <cell r="N224">
            <v>13.51</v>
          </cell>
          <cell r="O224">
            <v>11.85</v>
          </cell>
          <cell r="P224">
            <v>14.24</v>
          </cell>
          <cell r="Q224">
            <v>0</v>
          </cell>
          <cell r="R224">
            <v>27.38</v>
          </cell>
          <cell r="S224">
            <v>0</v>
          </cell>
          <cell r="T224">
            <v>19.43</v>
          </cell>
          <cell r="U224">
            <v>28.08</v>
          </cell>
          <cell r="W224">
            <v>29.28</v>
          </cell>
        </row>
        <row r="225">
          <cell r="L225">
            <v>0</v>
          </cell>
          <cell r="M225">
            <v>0</v>
          </cell>
          <cell r="N225">
            <v>37.527777777777779</v>
          </cell>
          <cell r="O225">
            <v>32.916666666666664</v>
          </cell>
          <cell r="P225">
            <v>39.555555555555557</v>
          </cell>
          <cell r="Q225">
            <v>0</v>
          </cell>
          <cell r="R225">
            <v>0.59110535405872189</v>
          </cell>
          <cell r="S225" t="e">
            <v>#DIV/0!</v>
          </cell>
          <cell r="T225">
            <v>0.55929763960852041</v>
          </cell>
          <cell r="U225">
            <v>0.60621761658031081</v>
          </cell>
          <cell r="V225" t="e">
            <v>#DIV/0!</v>
          </cell>
          <cell r="W225">
            <v>0.63212435233160624</v>
          </cell>
          <cell r="X225" t="e">
            <v>#DIV/0!</v>
          </cell>
          <cell r="Y225" t="e">
            <v>#DIV/0!</v>
          </cell>
          <cell r="Z225" t="e">
            <v>#DIV/0!</v>
          </cell>
          <cell r="AA225" t="e">
            <v>#DIV/0!</v>
          </cell>
          <cell r="AB225">
            <v>0</v>
          </cell>
          <cell r="AC225" t="e">
            <v>#NAME?</v>
          </cell>
        </row>
        <row r="228">
          <cell r="N228">
            <v>16.38</v>
          </cell>
          <cell r="O228">
            <v>16.38</v>
          </cell>
          <cell r="P228">
            <v>18.2</v>
          </cell>
          <cell r="Q228">
            <v>0</v>
          </cell>
          <cell r="R228">
            <v>32.119999999999997</v>
          </cell>
          <cell r="S228">
            <v>0</v>
          </cell>
          <cell r="T228">
            <v>207.46</v>
          </cell>
          <cell r="U228">
            <v>64.13</v>
          </cell>
          <cell r="W228">
            <v>154.71</v>
          </cell>
        </row>
        <row r="231">
          <cell r="N231">
            <v>314.35000000000002</v>
          </cell>
          <cell r="O231">
            <v>340.22</v>
          </cell>
          <cell r="P231">
            <v>471.46</v>
          </cell>
          <cell r="Q231">
            <v>0</v>
          </cell>
          <cell r="R231">
            <v>664.79</v>
          </cell>
          <cell r="S231">
            <v>0</v>
          </cell>
          <cell r="T231">
            <v>554.05999999999995</v>
          </cell>
          <cell r="U231">
            <v>839.52</v>
          </cell>
          <cell r="W231">
            <v>996.92</v>
          </cell>
        </row>
        <row r="234">
          <cell r="L234">
            <v>0</v>
          </cell>
          <cell r="M234">
            <v>0</v>
          </cell>
          <cell r="N234">
            <v>19191086.691086691</v>
          </cell>
          <cell r="O234">
            <v>20770451.770451773</v>
          </cell>
          <cell r="P234">
            <v>25904395.604395606</v>
          </cell>
          <cell r="Q234">
            <v>0</v>
          </cell>
          <cell r="R234">
            <v>20697073.474470735</v>
          </cell>
          <cell r="S234" t="e">
            <v>#DIV/0!</v>
          </cell>
          <cell r="T234">
            <v>2670683.5052540246</v>
          </cell>
          <cell r="U234">
            <v>13090909.090909092</v>
          </cell>
          <cell r="V234" t="e">
            <v>#DIV/0!</v>
          </cell>
          <cell r="W234">
            <v>6443798.0738155255</v>
          </cell>
          <cell r="X234" t="e">
            <v>#DIV/0!</v>
          </cell>
          <cell r="Y234" t="e">
            <v>#DIV/0!</v>
          </cell>
          <cell r="Z234" t="e">
            <v>#DIV/0!</v>
          </cell>
          <cell r="AA234" t="e">
            <v>#DIV/0!</v>
          </cell>
          <cell r="AB234">
            <v>0</v>
          </cell>
        </row>
        <row r="242">
          <cell r="N242">
            <v>158.55000000000001</v>
          </cell>
          <cell r="O242">
            <v>287.60000000000002</v>
          </cell>
          <cell r="P242">
            <v>332.78</v>
          </cell>
          <cell r="Q242">
            <v>0</v>
          </cell>
          <cell r="R242">
            <v>560.30999999999995</v>
          </cell>
          <cell r="S242">
            <v>0</v>
          </cell>
          <cell r="T242">
            <v>648.95000000000005</v>
          </cell>
          <cell r="U242">
            <v>863.06</v>
          </cell>
          <cell r="W242">
            <v>1037.17</v>
          </cell>
        </row>
        <row r="243">
          <cell r="L243">
            <v>0</v>
          </cell>
          <cell r="M243">
            <v>0</v>
          </cell>
          <cell r="N243">
            <v>0</v>
          </cell>
          <cell r="O243">
            <v>0</v>
          </cell>
          <cell r="P243">
            <v>0</v>
          </cell>
          <cell r="Q243">
            <v>0</v>
          </cell>
          <cell r="R243" t="e">
            <v>#DIV/0!</v>
          </cell>
          <cell r="S243" t="e">
            <v>#DIV/0!</v>
          </cell>
          <cell r="T243" t="e">
            <v>#DIV/0!</v>
          </cell>
          <cell r="U243" t="e">
            <v>#DIV/0!</v>
          </cell>
          <cell r="V243" t="e">
            <v>#DIV/0!</v>
          </cell>
          <cell r="W243" t="e">
            <v>#DIV/0!</v>
          </cell>
          <cell r="X243" t="e">
            <v>#DIV/0!</v>
          </cell>
          <cell r="Y243" t="e">
            <v>#DIV/0!</v>
          </cell>
          <cell r="Z243" t="e">
            <v>#DIV/0!</v>
          </cell>
          <cell r="AA243" t="e">
            <v>#DIV/0!</v>
          </cell>
          <cell r="AB243" t="e">
            <v>#DIV/0!</v>
          </cell>
        </row>
        <row r="246">
          <cell r="N246">
            <v>708.46</v>
          </cell>
          <cell r="O246">
            <v>868.55</v>
          </cell>
          <cell r="P246">
            <v>1031.46</v>
          </cell>
          <cell r="Q246">
            <v>0</v>
          </cell>
          <cell r="R246">
            <v>1291.1500000000001</v>
          </cell>
          <cell r="S246">
            <v>0</v>
          </cell>
          <cell r="T246">
            <v>1183.58</v>
          </cell>
          <cell r="U246">
            <v>1448.39</v>
          </cell>
          <cell r="W246">
            <v>2962.94</v>
          </cell>
        </row>
        <row r="249">
          <cell r="N249">
            <v>281.02999999999997</v>
          </cell>
          <cell r="O249">
            <v>317.22000000000003</v>
          </cell>
          <cell r="P249">
            <v>349.9</v>
          </cell>
          <cell r="Q249">
            <v>0</v>
          </cell>
          <cell r="R249">
            <v>425.88</v>
          </cell>
          <cell r="S249">
            <v>0</v>
          </cell>
          <cell r="T249">
            <v>429.43</v>
          </cell>
          <cell r="U249">
            <v>607.92999999999995</v>
          </cell>
          <cell r="W249">
            <v>775.1</v>
          </cell>
        </row>
        <row r="252">
          <cell r="L252">
            <v>0</v>
          </cell>
          <cell r="M252">
            <v>0</v>
          </cell>
          <cell r="N252">
            <v>396677.3000592835</v>
          </cell>
          <cell r="O252">
            <v>365229.40533072362</v>
          </cell>
          <cell r="P252">
            <v>339227.89056289144</v>
          </cell>
          <cell r="Q252">
            <v>0</v>
          </cell>
          <cell r="R252">
            <v>329845.48658172943</v>
          </cell>
          <cell r="S252" t="e">
            <v>#DIV/0!</v>
          </cell>
          <cell r="T252">
            <v>362822.96084759798</v>
          </cell>
          <cell r="U252">
            <v>419728.11190356186</v>
          </cell>
          <cell r="V252" t="e">
            <v>#DIV/0!</v>
          </cell>
          <cell r="W252">
            <v>261598.27738664974</v>
          </cell>
          <cell r="X252" t="e">
            <v>#DIV/0!</v>
          </cell>
          <cell r="Y252" t="e">
            <v>#DIV/0!</v>
          </cell>
          <cell r="Z252" t="e">
            <v>#DIV/0!</v>
          </cell>
          <cell r="AA252" t="e">
            <v>#DIV/0!</v>
          </cell>
          <cell r="AB252">
            <v>0</v>
          </cell>
        </row>
        <row r="257">
          <cell r="N257">
            <v>1473.6</v>
          </cell>
          <cell r="O257">
            <v>2224.64</v>
          </cell>
          <cell r="P257">
            <v>2567.56</v>
          </cell>
          <cell r="R257">
            <v>2612.14</v>
          </cell>
          <cell r="T257">
            <v>2233.0100000000002</v>
          </cell>
          <cell r="U257">
            <v>2528.3200000000002</v>
          </cell>
          <cell r="W257">
            <v>2650.27</v>
          </cell>
        </row>
        <row r="260">
          <cell r="N260">
            <v>1354.37</v>
          </cell>
          <cell r="O260">
            <v>1819.74</v>
          </cell>
          <cell r="P260">
            <v>2023.37</v>
          </cell>
          <cell r="Q260">
            <v>0</v>
          </cell>
          <cell r="R260">
            <v>2346.9699999999998</v>
          </cell>
          <cell r="S260">
            <v>0</v>
          </cell>
          <cell r="T260">
            <v>1632.95</v>
          </cell>
          <cell r="U260">
            <v>2189.4499999999998</v>
          </cell>
          <cell r="W260">
            <v>2088.38</v>
          </cell>
        </row>
        <row r="261">
          <cell r="L261">
            <v>0</v>
          </cell>
          <cell r="M261">
            <v>0</v>
          </cell>
          <cell r="N261">
            <v>91.908930510314875</v>
          </cell>
          <cell r="O261">
            <v>81.799302359033376</v>
          </cell>
          <cell r="P261">
            <v>78.805169109972113</v>
          </cell>
          <cell r="Q261">
            <v>0</v>
          </cell>
          <cell r="R261">
            <v>0.89848553293468192</v>
          </cell>
          <cell r="S261" t="e">
            <v>#DIV/0!</v>
          </cell>
          <cell r="T261">
            <v>0.7312775133116286</v>
          </cell>
          <cell r="U261">
            <v>0.86597028857106684</v>
          </cell>
          <cell r="V261" t="e">
            <v>#DIV/0!</v>
          </cell>
          <cell r="W261">
            <v>0.78798763899527224</v>
          </cell>
          <cell r="X261" t="e">
            <v>#DIV/0!</v>
          </cell>
          <cell r="Y261" t="e">
            <v>#DIV/0!</v>
          </cell>
          <cell r="Z261" t="e">
            <v>#DIV/0!</v>
          </cell>
          <cell r="AA261" t="e">
            <v>#DIV/0!</v>
          </cell>
          <cell r="AB261">
            <v>0</v>
          </cell>
        </row>
        <row r="264">
          <cell r="N264">
            <v>1345.48</v>
          </cell>
          <cell r="O264">
            <v>1771.23</v>
          </cell>
          <cell r="P264">
            <v>2238.29</v>
          </cell>
          <cell r="Q264">
            <v>0</v>
          </cell>
          <cell r="R264">
            <v>2354.29</v>
          </cell>
          <cell r="S264">
            <v>0</v>
          </cell>
          <cell r="T264">
            <v>1844.1</v>
          </cell>
          <cell r="U264">
            <v>2658.9</v>
          </cell>
          <cell r="W264">
            <v>2325.0500000000002</v>
          </cell>
        </row>
        <row r="267">
          <cell r="N267">
            <v>3779.73</v>
          </cell>
          <cell r="O267">
            <v>4767.58</v>
          </cell>
          <cell r="P267">
            <v>5464.75</v>
          </cell>
          <cell r="Q267">
            <v>0</v>
          </cell>
          <cell r="R267">
            <v>5514.91</v>
          </cell>
          <cell r="S267">
            <v>0</v>
          </cell>
          <cell r="T267">
            <v>4722.72</v>
          </cell>
          <cell r="U267">
            <v>6861.23</v>
          </cell>
          <cell r="W267">
            <v>6779.02</v>
          </cell>
        </row>
        <row r="270">
          <cell r="L270">
            <v>0</v>
          </cell>
          <cell r="M270">
            <v>0</v>
          </cell>
          <cell r="N270">
            <v>2809205.6366501176</v>
          </cell>
          <cell r="O270">
            <v>2691677.5348204356</v>
          </cell>
          <cell r="P270">
            <v>2441484.3474259367</v>
          </cell>
          <cell r="Q270">
            <v>0</v>
          </cell>
          <cell r="R270">
            <v>2342493.9153630184</v>
          </cell>
          <cell r="S270" t="e">
            <v>#DIV/0!</v>
          </cell>
          <cell r="T270">
            <v>2560989.1003741664</v>
          </cell>
          <cell r="U270">
            <v>2580476.8889390347</v>
          </cell>
          <cell r="V270" t="e">
            <v>#DIV/0!</v>
          </cell>
          <cell r="W270">
            <v>2915644.8248424763</v>
          </cell>
          <cell r="X270" t="e">
            <v>#DIV/0!</v>
          </cell>
          <cell r="Y270" t="e">
            <v>#DIV/0!</v>
          </cell>
          <cell r="Z270" t="e">
            <v>#DIV/0!</v>
          </cell>
          <cell r="AA270" t="e">
            <v>#DIV/0!</v>
          </cell>
          <cell r="AB270">
            <v>0</v>
          </cell>
        </row>
        <row r="278">
          <cell r="Q278">
            <v>0</v>
          </cell>
          <cell r="S278">
            <v>0</v>
          </cell>
          <cell r="U278">
            <v>0</v>
          </cell>
          <cell r="W278">
            <v>0</v>
          </cell>
          <cell r="Y278">
            <v>0</v>
          </cell>
          <cell r="AA278">
            <v>0</v>
          </cell>
        </row>
        <row r="279">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row>
        <row r="282">
          <cell r="Q282">
            <v>0</v>
          </cell>
          <cell r="S282">
            <v>0</v>
          </cell>
          <cell r="U282">
            <v>0</v>
          </cell>
          <cell r="W282">
            <v>0</v>
          </cell>
          <cell r="Y282">
            <v>0</v>
          </cell>
          <cell r="AA282">
            <v>0</v>
          </cell>
        </row>
        <row r="285">
          <cell r="Q285">
            <v>0</v>
          </cell>
          <cell r="S285">
            <v>0</v>
          </cell>
          <cell r="U285">
            <v>0</v>
          </cell>
          <cell r="W285">
            <v>0</v>
          </cell>
          <cell r="Y285">
            <v>0</v>
          </cell>
          <cell r="AA285">
            <v>0</v>
          </cell>
        </row>
        <row r="288">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ecast summary"/>
      <sheetName val="CF &amp; BS"/>
      <sheetName val="p &amp; l"/>
      <sheetName val="Input"/>
      <sheetName val="Debt"/>
      <sheetName val="Profile"/>
      <sheetName val="template"/>
      <sheetName val="Summary"/>
    </sheetNames>
    <sheetDataSet>
      <sheetData sheetId="0" refreshError="1">
        <row r="133">
          <cell r="B133" t="str">
            <v>Interim results analysis</v>
          </cell>
        </row>
        <row r="134">
          <cell r="B134" t="str">
            <v>Y/E Mar (Rs.M)</v>
          </cell>
          <cell r="D134" t="str">
            <v>95-1H</v>
          </cell>
          <cell r="E134" t="str">
            <v>95 -2H</v>
          </cell>
          <cell r="F134" t="str">
            <v>96-1H</v>
          </cell>
        </row>
        <row r="135">
          <cell r="B135" t="str">
            <v>Sales (net of excise)</v>
          </cell>
          <cell r="D135">
            <v>5854</v>
          </cell>
          <cell r="E135" t="e">
            <v>#REF!</v>
          </cell>
          <cell r="F135">
            <v>7577</v>
          </cell>
        </row>
        <row r="136">
          <cell r="B136" t="str">
            <v>Operating profit</v>
          </cell>
          <cell r="D136">
            <v>863</v>
          </cell>
          <cell r="E136" t="e">
            <v>#REF!</v>
          </cell>
          <cell r="F136">
            <v>1153</v>
          </cell>
        </row>
        <row r="137">
          <cell r="B137" t="str">
            <v>Depreciation</v>
          </cell>
          <cell r="D137">
            <v>-113</v>
          </cell>
          <cell r="E137" t="e">
            <v>#REF!</v>
          </cell>
          <cell r="F137">
            <v>-149</v>
          </cell>
        </row>
        <row r="138">
          <cell r="B138" t="str">
            <v>Interest charge</v>
          </cell>
          <cell r="D138">
            <v>-51</v>
          </cell>
          <cell r="E138" t="e">
            <v>#REF!</v>
          </cell>
          <cell r="F138">
            <v>-199</v>
          </cell>
        </row>
        <row r="139">
          <cell r="B139" t="str">
            <v>Other income</v>
          </cell>
          <cell r="D139">
            <v>30</v>
          </cell>
          <cell r="E139" t="e">
            <v>#REF!</v>
          </cell>
          <cell r="F139">
            <v>45</v>
          </cell>
        </row>
        <row r="140">
          <cell r="B140" t="str">
            <v>Non recurring items</v>
          </cell>
          <cell r="D140">
            <v>0</v>
          </cell>
          <cell r="E140" t="e">
            <v>#REF!</v>
          </cell>
          <cell r="F140">
            <v>0</v>
          </cell>
        </row>
        <row r="141">
          <cell r="B141" t="str">
            <v>Pre-tax profit</v>
          </cell>
          <cell r="D141">
            <v>729</v>
          </cell>
          <cell r="E141" t="e">
            <v>#REF!</v>
          </cell>
          <cell r="F141">
            <v>850</v>
          </cell>
        </row>
        <row r="142">
          <cell r="B142" t="str">
            <v>Tax</v>
          </cell>
          <cell r="D142">
            <v>-285</v>
          </cell>
          <cell r="E142" t="e">
            <v>#REF!</v>
          </cell>
          <cell r="F142">
            <v>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VALUATION"/>
      <sheetName val="Revenues"/>
      <sheetName val="Mid-cycle"/>
      <sheetName val="Material Balance"/>
      <sheetName val="Costs"/>
      <sheetName val="pl"/>
      <sheetName val="fy03 qrtly brk up"/>
      <sheetName val="QTRLY"/>
      <sheetName val="1QFY03"/>
      <sheetName val="summary"/>
      <sheetName val="assets buildup"/>
      <sheetName val="P&amp;L"/>
      <sheetName val="Assets"/>
      <sheetName val="Capex &amp; Depreciation"/>
      <sheetName val="LIAB"/>
      <sheetName val="fixed assets"/>
      <sheetName val="loans"/>
      <sheetName val="Invmt"/>
      <sheetName val="QTLYRES"/>
      <sheetName val="Balance Sheet"/>
      <sheetName val="Cash Flow"/>
      <sheetName val="Ratios"/>
      <sheetName val="Chart-ROCEWACC"/>
      <sheetName val="Chart prdct mix FY2000"/>
      <sheetName val="Chart -PRODUCTMIX fy2003"/>
      <sheetName val="Chart- trend insales profit"/>
      <sheetName val="Forecast summary"/>
      <sheetName val="Financials "/>
      <sheetName val="Introduction"/>
      <sheetName val="Capital Histo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86">
          <cell r="E86">
            <v>17.328146796866609</v>
          </cell>
          <cell r="F86">
            <v>17.770278233107273</v>
          </cell>
          <cell r="G86">
            <v>19.723901684595859</v>
          </cell>
          <cell r="H86">
            <v>20.059405001795575</v>
          </cell>
          <cell r="I86">
            <v>15.062269590396982</v>
          </cell>
          <cell r="J86">
            <v>19.544295263995686</v>
          </cell>
        </row>
        <row r="87">
          <cell r="E87">
            <v>24.489000965768852</v>
          </cell>
          <cell r="F87">
            <v>26.93086491177321</v>
          </cell>
          <cell r="G87">
            <v>31.855351034351894</v>
          </cell>
          <cell r="H87">
            <v>34.907602345249082</v>
          </cell>
          <cell r="I87">
            <v>31.523370159656945</v>
          </cell>
          <cell r="J87">
            <v>37.222897908682597</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row r="99">
          <cell r="E99">
            <v>96.830024680759735</v>
          </cell>
          <cell r="F99">
            <v>100.12245685083404</v>
          </cell>
          <cell r="G99">
            <v>103.61724496476357</v>
          </cell>
          <cell r="H99">
            <v>113.82424688684895</v>
          </cell>
          <cell r="I99">
            <v>111.81136707683592</v>
          </cell>
          <cell r="J99">
            <v>142.36137885196334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mplate"/>
      <sheetName val="Main"/>
      <sheetName val="incremental"/>
      <sheetName val="RR Sheet"/>
      <sheetName val="results"/>
      <sheetName val="monthly volumes"/>
      <sheetName val="modelwise sales"/>
      <sheetName val="Sales SIAM"/>
      <sheetName val="summary"/>
      <sheetName val="launches"/>
      <sheetName val="Fact sheet"/>
      <sheetName val="SIAM"/>
      <sheetName val="Balance Sheet"/>
      <sheetName val="P&amp;L"/>
    </sheetNames>
    <sheetDataSet>
      <sheetData sheetId="0" refreshError="1">
        <row r="154">
          <cell r="P154">
            <v>717</v>
          </cell>
        </row>
        <row r="157">
          <cell r="P157">
            <v>-33813</v>
          </cell>
        </row>
        <row r="191">
          <cell r="P191">
            <v>49546</v>
          </cell>
        </row>
        <row r="228">
          <cell r="P228">
            <v>54526.3</v>
          </cell>
        </row>
        <row r="247">
          <cell r="P247">
            <v>3620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Capital History"/>
      <sheetName val="Operating Statistics"/>
      <sheetName val="Debt"/>
      <sheetName val="Debt (2)"/>
      <sheetName val="assets buildup"/>
      <sheetName val="Capex &amp; Depreciation"/>
      <sheetName val="Market Info"/>
      <sheetName val="FS1"/>
      <sheetName val="FS2"/>
      <sheetName val="Financials "/>
      <sheetName val="One Pager "/>
      <sheetName val="First Page "/>
      <sheetName val="Cover"/>
      <sheetName val="Reporting"/>
      <sheetName val="System_Defaults"/>
      <sheetName val="VbCode"/>
      <sheetName val="Sheet1"/>
      <sheetName val="Sheet2"/>
      <sheetName val="Sheet3"/>
      <sheetName val="RIL"/>
      <sheetName val="Template"/>
    </sheetNames>
    <sheetDataSet>
      <sheetData sheetId="0" refreshError="1">
        <row r="14">
          <cell r="E14" t="str">
            <v>Rs.</v>
          </cell>
        </row>
        <row r="17">
          <cell r="E17" t="str">
            <v>31 March</v>
          </cell>
        </row>
      </sheetData>
      <sheetData sheetId="1" refreshError="1">
        <row r="26">
          <cell r="J26">
            <v>110</v>
          </cell>
          <cell r="K26">
            <v>437.5</v>
          </cell>
          <cell r="L26">
            <v>178.75</v>
          </cell>
          <cell r="M26">
            <v>335</v>
          </cell>
          <cell r="N26">
            <v>261.25</v>
          </cell>
          <cell r="O26">
            <v>261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5">
          <cell r="J15">
            <v>-1870.5</v>
          </cell>
          <cell r="K15">
            <v>-2186.5</v>
          </cell>
          <cell r="L15">
            <v>-2793.5</v>
          </cell>
          <cell r="M15">
            <v>-2335.8000000000002</v>
          </cell>
          <cell r="N15">
            <v>-2795</v>
          </cell>
          <cell r="O15">
            <v>-1101</v>
          </cell>
          <cell r="P15">
            <v>-1624.3861041666664</v>
          </cell>
          <cell r="Q15">
            <v>-4204.7302083333325</v>
          </cell>
          <cell r="R15">
            <v>-5080.5181833333327</v>
          </cell>
        </row>
        <row r="16">
          <cell r="J16">
            <v>2.7</v>
          </cell>
          <cell r="K16">
            <v>75.900000000000006</v>
          </cell>
          <cell r="L16">
            <v>570.9</v>
          </cell>
          <cell r="M16">
            <v>385.5</v>
          </cell>
          <cell r="N16">
            <v>2491.6999999999998</v>
          </cell>
          <cell r="O16">
            <v>2244.8000000000002</v>
          </cell>
          <cell r="P16">
            <v>1362.858624</v>
          </cell>
          <cell r="Q16">
            <v>2042.858624</v>
          </cell>
          <cell r="R16">
            <v>2042.858624</v>
          </cell>
        </row>
        <row r="112">
          <cell r="J112">
            <v>9009.6</v>
          </cell>
          <cell r="K112">
            <v>15825.200000000003</v>
          </cell>
          <cell r="L112">
            <v>12090.400000000001</v>
          </cell>
          <cell r="M112">
            <v>12849.300000000001</v>
          </cell>
          <cell r="N112">
            <v>19392.599999999995</v>
          </cell>
          <cell r="O112">
            <v>25938.100000000002</v>
          </cell>
          <cell r="P112">
            <v>27317.264131527409</v>
          </cell>
          <cell r="Q112">
            <v>38344.480162550317</v>
          </cell>
          <cell r="R112">
            <v>47283.331193423954</v>
          </cell>
        </row>
        <row r="115">
          <cell r="J115">
            <v>18113.600000000006</v>
          </cell>
          <cell r="K115">
            <v>32976.899999999994</v>
          </cell>
          <cell r="L115">
            <v>48001.099999999991</v>
          </cell>
          <cell r="M115">
            <v>68365.299999999988</v>
          </cell>
          <cell r="N115">
            <v>95898.100000000573</v>
          </cell>
          <cell r="O115">
            <v>123170.51890423721</v>
          </cell>
          <cell r="P115">
            <v>152593.74454123847</v>
          </cell>
          <cell r="Q115">
            <v>176369.38218658985</v>
          </cell>
          <cell r="R115">
            <v>185569.51341504927</v>
          </cell>
        </row>
        <row r="147">
          <cell r="J147">
            <v>6045.8</v>
          </cell>
          <cell r="K147">
            <v>11573.1</v>
          </cell>
          <cell r="L147">
            <v>19090.400000000001</v>
          </cell>
          <cell r="M147">
            <v>20609.400000000001</v>
          </cell>
          <cell r="N147">
            <v>19547.000000000004</v>
          </cell>
          <cell r="O147">
            <v>34542.466666666667</v>
          </cell>
          <cell r="P147">
            <v>57474.50911557061</v>
          </cell>
          <cell r="Q147">
            <v>72974.797768379736</v>
          </cell>
          <cell r="R147">
            <v>63723.407482766808</v>
          </cell>
        </row>
        <row r="149">
          <cell r="O149">
            <v>233</v>
          </cell>
          <cell r="P149">
            <v>233</v>
          </cell>
          <cell r="Q149">
            <v>1042</v>
          </cell>
          <cell r="R149">
            <v>275</v>
          </cell>
        </row>
        <row r="150">
          <cell r="J150">
            <v>4436.1000000000004</v>
          </cell>
          <cell r="K150">
            <v>8021.1</v>
          </cell>
          <cell r="L150">
            <v>4331.3999999999996</v>
          </cell>
          <cell r="M150">
            <v>1578.6</v>
          </cell>
          <cell r="N150">
            <v>5427.9</v>
          </cell>
          <cell r="O150">
            <v>6588.8</v>
          </cell>
          <cell r="P150">
            <v>6588.8</v>
          </cell>
          <cell r="Q150">
            <v>6588.8</v>
          </cell>
          <cell r="R150">
            <v>6588.8</v>
          </cell>
        </row>
      </sheetData>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Capital History"/>
      <sheetName val="Operating Statistics"/>
      <sheetName val="Debt"/>
      <sheetName val="Debt (2)"/>
      <sheetName val="assets buildup"/>
      <sheetName val="Capex &amp; Depreciation"/>
      <sheetName val="Market Info"/>
      <sheetName val="FS1"/>
      <sheetName val="FS2"/>
      <sheetName val="Financials "/>
      <sheetName val="One Pager "/>
      <sheetName val="First Page "/>
      <sheetName val="Cover"/>
      <sheetName val="Reporting"/>
      <sheetName val="System_Defaults"/>
      <sheetName val="VbCode"/>
      <sheetName val="Templ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99">
          <cell r="I99">
            <v>165.3</v>
          </cell>
          <cell r="J99">
            <v>404.40000000000441</v>
          </cell>
          <cell r="K99">
            <v>753.59999999999854</v>
          </cell>
          <cell r="L99">
            <v>2324.1999999999935</v>
          </cell>
          <cell r="M99">
            <v>979.29999999999154</v>
          </cell>
          <cell r="N99">
            <v>3668.2000000005573</v>
          </cell>
          <cell r="O99">
            <v>14279.419079237221</v>
          </cell>
          <cell r="P99">
            <v>21497.985891021071</v>
          </cell>
          <cell r="Q99">
            <v>19449.065574666296</v>
          </cell>
          <cell r="R99">
            <v>5010.9417941237771</v>
          </cell>
        </row>
      </sheetData>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1"/>
      <sheetName val="Page2"/>
      <sheetName val="Page3"/>
      <sheetName val="Page4"/>
      <sheetName val="ChartGallery"/>
      <sheetName val="ChartData"/>
      <sheetName val="ForeignOwnership"/>
      <sheetName val="Financials "/>
      <sheetName val="Financials1"/>
    </sheetNames>
    <sheetDataSet>
      <sheetData sheetId="0"/>
      <sheetData sheetId="1"/>
      <sheetData sheetId="2"/>
      <sheetData sheetId="3"/>
      <sheetData sheetId="4"/>
      <sheetData sheetId="5" refreshError="1">
        <row r="25">
          <cell r="E25" t="str">
            <v>Rs</v>
          </cell>
        </row>
        <row r="29">
          <cell r="E29">
            <v>1</v>
          </cell>
        </row>
        <row r="39">
          <cell r="E39" t="str">
            <v>Rsm</v>
          </cell>
        </row>
        <row r="40">
          <cell r="E40" t="str">
            <v>Rs</v>
          </cell>
        </row>
        <row r="46">
          <cell r="E46" t="str">
            <v>Mutual funds</v>
          </cell>
        </row>
        <row r="47">
          <cell r="E47">
            <v>4.2999999999999997E-2</v>
          </cell>
        </row>
      </sheetData>
      <sheetData sheetId="6"/>
      <sheetData sheetId="7" refreshError="1"/>
      <sheetData sheetId="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mographics"/>
      <sheetName val="consolidation"/>
      <sheetName val="mBS"/>
      <sheetName val="DCF"/>
      <sheetName val="mloans"/>
      <sheetName val="mCF"/>
      <sheetName val="minfra"/>
      <sheetName val="mP&amp;L"/>
      <sheetName val="mIncome"/>
      <sheetName val="Sheet1"/>
      <sheetName val="national"/>
      <sheetName val="mAssmp"/>
      <sheetName val="mExpense"/>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ensus Estimates"/>
      <sheetName val="#REF"/>
      <sheetName val="mAssmp"/>
    </sheetNames>
    <sheetDataSet>
      <sheetData sheetId="0" refreshError="1"/>
      <sheetData sheetId="1" refreshError="1"/>
      <sheetData sheetId="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ecasts"/>
      <sheetName val="DCF"/>
      <sheetName val="EVA"/>
      <sheetName val="cpd"/>
      <sheetName val="WACC"/>
      <sheetName val="Ashok Leyland"/>
      <sheetName val="p &amp; l"/>
      <sheetName val="CF &amp; BS"/>
      <sheetName val="flash"/>
      <sheetName val="newFormat"/>
      <sheetName val="ecoprofit"/>
      <sheetName val="price table"/>
      <sheetName val="vaishakhi"/>
      <sheetName val="Vv-qtr"/>
      <sheetName val="Qtrly"/>
      <sheetName val="scfdeps (2)"/>
      <sheetName val="sccaphis"/>
      <sheetName val="scfdeps"/>
      <sheetName val="Workings"/>
      <sheetName val="EP"/>
      <sheetName val="Module1"/>
      <sheetName val="StdXRef"/>
      <sheetName val="Buffer"/>
      <sheetName val="MenuData"/>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Data"/>
      <sheetName val="CF &amp; BS"/>
      <sheetName val="p &amp; l"/>
      <sheetName val="cookform"/>
      <sheetName val="Forecast summary"/>
      <sheetName val="Share price table"/>
      <sheetName val="Template"/>
      <sheetName val="1"/>
      <sheetName val="2"/>
      <sheetName val="3"/>
      <sheetName val="4"/>
      <sheetName val="5"/>
      <sheetName val="6"/>
      <sheetName val="Module1"/>
      <sheetName val="StdXRef"/>
      <sheetName val="Buff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nsitivity"/>
      <sheetName val="Royalty"/>
      <sheetName val="input"/>
      <sheetName val="Prodn &amp; Sales Q"/>
      <sheetName val="Prodn &amp; Sales"/>
      <sheetName val="Qrtly"/>
      <sheetName val="P&amp;L templ"/>
      <sheetName val="Balance Sheet templ"/>
      <sheetName val="Cash Flow templ"/>
      <sheetName val="FlashTemplate"/>
      <sheetName val="Videsh-P&amp;L"/>
      <sheetName val="Videsh-BS"/>
      <sheetName val="Videsh"/>
      <sheetName val="Sudan-DCF"/>
      <sheetName val="DCF Assumptions"/>
      <sheetName val="DCF"/>
      <sheetName val="Sheet1"/>
      <sheetName val="Capital &amp; Reserves"/>
      <sheetName val="Cost Sheet"/>
      <sheetName val="Fixed Assets"/>
      <sheetName val="Producing Properties "/>
      <sheetName val="Exploratory Wells"/>
      <sheetName val="Recouped Costs"/>
      <sheetName val="Capex"/>
      <sheetName val="Investments"/>
      <sheetName val="Borrowings"/>
      <sheetName val="Interest Cost"/>
      <sheetName val="Working Capital"/>
      <sheetName val="Abandonment &amp; Impairment"/>
      <sheetName val="Other liabs"/>
      <sheetName val="Other income"/>
      <sheetName val="Other Expenditure"/>
      <sheetName val="Tax"/>
      <sheetName val="Balance Sheet"/>
      <sheetName val="Cash Flow"/>
      <sheetName val="Queries"/>
      <sheetName val="Rough"/>
      <sheetName val="BS info"/>
      <sheetName val="Production data"/>
      <sheetName val="P&amp;L"/>
      <sheetName val="fisrt page bottom fin tables"/>
      <sheetName val="fisrt page bottom fin table (Q)"/>
      <sheetName val="Template-P&amp;L"/>
      <sheetName val="Template-BS"/>
      <sheetName val="Template-CF"/>
      <sheetName val="Template-Ratios"/>
      <sheetName val="Template-Summary"/>
      <sheetName val="Temp-QartSumModel"/>
      <sheetName val="Temp-Quaterly est"/>
      <sheetName val="ratios"/>
      <sheetName val="NEW Earnings Guide"/>
      <sheetName val="QuarterlyResults"/>
      <sheetName val="Myanmar sheet"/>
      <sheetName val="Menu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efreshError="1"/>
      <sheetData sheetId="52" refreshError="1"/>
      <sheetData sheetId="5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arnings model"/>
      <sheetName val="Questions"/>
      <sheetName val="Halfye"/>
      <sheetName val="Sugar"/>
      <sheetName val="Text"/>
      <sheetName val="Final model"/>
      <sheetName val="CUS Image"/>
      <sheetName val="Gas"/>
      <sheetName val="Key Nos"/>
      <sheetName val="ET"/>
      <sheetName val="Input"/>
      <sheetName val="Tax"/>
      <sheetName val="upd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 rough"/>
      <sheetName val="Cover"/>
      <sheetName val="Financials1"/>
      <sheetName val="Financial2"/>
      <sheetName val="GEMiner"/>
      <sheetName val="UploadCheck4"/>
      <sheetName val="UploadCheck3"/>
      <sheetName val="UploadCheck2"/>
      <sheetName val="UploadCheck1"/>
      <sheetName val="UploadCheck"/>
      <sheetName val="P&amp;L"/>
      <sheetName val="Interest"/>
      <sheetName val="Work cap"/>
      <sheetName val="Depreciation"/>
      <sheetName val="Cash flow &amp; bal sheet"/>
      <sheetName val="Ratios"/>
      <sheetName val="Quarterly"/>
      <sheetName val="regional players comparision"/>
      <sheetName val="Pack"/>
      <sheetName val="Data"/>
      <sheetName val="WMT, carrefour, tesco"/>
      <sheetName val="Store sales"/>
      <sheetName val="formatwise yearly average"/>
      <sheetName val="Retail Space"/>
      <sheetName val="mexico presentation"/>
      <sheetName val="Mexico_Presentation"/>
      <sheetName val="AcornScore1_3"/>
      <sheetName val="monthly sales data actuals"/>
      <sheetName val="Std "/>
      <sheetName val="Area-wise shop space"/>
      <sheetName val="Retail Spaceworking"/>
      <sheetName val="Charts 13May2005"/>
      <sheetName val="retail present June 05"/>
      <sheetName val="charts"/>
      <sheetName val="cost struct compare"/>
      <sheetName val="PE Premium"/>
      <sheetName val="Investment arm"/>
      <sheetName val="SS and PF valuation comp"/>
      <sheetName val="change in space add"/>
      <sheetName val="revenue and costs"/>
      <sheetName val="NEW Earnings Guide"/>
      <sheetName val="Group"/>
      <sheetName val="DCF Valuation"/>
      <sheetName val="Financial Links"/>
    </sheetNames>
    <sheetDataSet>
      <sheetData sheetId="0"/>
      <sheetData sheetId="1" refreshError="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sheetData sheetId="25"/>
      <sheetData sheetId="26"/>
      <sheetData sheetId="27"/>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F"/>
      <sheetName val="KADU"/>
      <sheetName val="Sheet1"/>
      <sheetName val="sales&amp;rm"/>
      <sheetName val="Pg1"/>
      <sheetName val="Pg2"/>
      <sheetName val="Pg3"/>
      <sheetName val="Pg4"/>
      <sheetName val="HeroHonda"/>
      <sheetName val="earnmodel"/>
      <sheetName val="valuation rpt"/>
      <sheetName val="halfyear"/>
      <sheetName val="DATA"/>
      <sheetName val="Financials1"/>
      <sheetName val="Main"/>
    </sheetNames>
    <sheetDataSet>
      <sheetData sheetId="0" refreshError="1"/>
      <sheetData sheetId="1" refreshError="1"/>
      <sheetData sheetId="2" refreshError="1">
        <row r="2">
          <cell r="B2" t="str">
            <v>FY 2003</v>
          </cell>
          <cell r="C2" t="str">
            <v>FY 2004e</v>
          </cell>
          <cell r="D2" t="str">
            <v>FY 2005e</v>
          </cell>
          <cell r="E2" t="str">
            <v>FY 2006e</v>
          </cell>
        </row>
        <row r="3">
          <cell r="A3" t="str">
            <v>Motorcycle sales (nos)</v>
          </cell>
          <cell r="B3">
            <v>1677535</v>
          </cell>
          <cell r="C3">
            <v>2070147</v>
          </cell>
          <cell r="D3">
            <v>2621400</v>
          </cell>
          <cell r="E3">
            <v>3067038</v>
          </cell>
        </row>
        <row r="4">
          <cell r="A4" t="str">
            <v>Growth (%)</v>
          </cell>
          <cell r="B4">
            <v>17.696810921474881</v>
          </cell>
          <cell r="C4">
            <v>23.404101851824244</v>
          </cell>
          <cell r="D4">
            <v>26.628688687325109</v>
          </cell>
          <cell r="E4">
            <v>16.999999999999993</v>
          </cell>
        </row>
        <row r="5">
          <cell r="A5" t="str">
            <v>Average realisation (INBR)</v>
          </cell>
          <cell r="B5">
            <v>28988.366859707843</v>
          </cell>
          <cell r="C5">
            <v>26827.804981965048</v>
          </cell>
          <cell r="D5">
            <v>27036.064698252838</v>
          </cell>
          <cell r="E5">
            <v>27306.425345235366</v>
          </cell>
        </row>
        <row r="6">
          <cell r="A6" t="str">
            <v>Growth (%)</v>
          </cell>
          <cell r="B6">
            <v>-3.0566067450291889</v>
          </cell>
          <cell r="C6">
            <v>-7.4532031700821788</v>
          </cell>
          <cell r="D6">
            <v>0.77628310041686355</v>
          </cell>
          <cell r="E6">
            <v>1.0000000000000009</v>
          </cell>
        </row>
        <row r="7">
          <cell r="A7" t="str">
            <v>Source HSBC</v>
          </cell>
        </row>
      </sheetData>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F"/>
      <sheetName val="KADU"/>
      <sheetName val="Sheet1"/>
      <sheetName val="sales&amp;rm"/>
      <sheetName val="Pg1"/>
      <sheetName val="Pg2"/>
      <sheetName val="Pg3"/>
      <sheetName val="Pg4"/>
      <sheetName val="HeroHonda"/>
      <sheetName val="earnmodel"/>
      <sheetName val="valuation rpt"/>
      <sheetName val="halfyear"/>
      <sheetName val="DATA"/>
    </sheetNames>
    <sheetDataSet>
      <sheetData sheetId="0" refreshError="1"/>
      <sheetData sheetId="1" refreshError="1"/>
      <sheetData sheetId="2" refreshError="1">
        <row r="2">
          <cell r="B2" t="str">
            <v>FY 2003</v>
          </cell>
          <cell r="C2" t="str">
            <v>FY 2004e</v>
          </cell>
          <cell r="D2" t="str">
            <v>FY 2005e</v>
          </cell>
          <cell r="E2" t="str">
            <v>FY 2006e</v>
          </cell>
        </row>
        <row r="3">
          <cell r="A3" t="str">
            <v>Motorcycle sales (nos)</v>
          </cell>
          <cell r="B3">
            <v>1677535</v>
          </cell>
          <cell r="C3">
            <v>2070147</v>
          </cell>
          <cell r="D3">
            <v>2621400</v>
          </cell>
          <cell r="E3">
            <v>3067038</v>
          </cell>
        </row>
        <row r="4">
          <cell r="A4" t="str">
            <v>Growth (%)</v>
          </cell>
          <cell r="B4">
            <v>17.696810921474881</v>
          </cell>
          <cell r="C4">
            <v>23.404101851824244</v>
          </cell>
          <cell r="D4">
            <v>26.628688687325109</v>
          </cell>
          <cell r="E4">
            <v>16.999999999999993</v>
          </cell>
        </row>
        <row r="5">
          <cell r="A5" t="str">
            <v>Average realisation (INBR)</v>
          </cell>
          <cell r="B5">
            <v>28988.366859707843</v>
          </cell>
          <cell r="C5">
            <v>26827.804981965048</v>
          </cell>
          <cell r="D5">
            <v>27036.064698252838</v>
          </cell>
          <cell r="E5">
            <v>27306.425345235366</v>
          </cell>
        </row>
        <row r="6">
          <cell r="A6" t="str">
            <v>Growth (%)</v>
          </cell>
          <cell r="B6">
            <v>-3.0566067450291889</v>
          </cell>
          <cell r="C6">
            <v>-7.4532031700821788</v>
          </cell>
          <cell r="D6">
            <v>0.77628310041686355</v>
          </cell>
          <cell r="E6">
            <v>1.0000000000000009</v>
          </cell>
        </row>
        <row r="7">
          <cell r="A7" t="str">
            <v>Source HSBC</v>
          </cell>
        </row>
      </sheetData>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MMp1"/>
      <sheetName val="MMp2"/>
      <sheetName val="MMp3"/>
      <sheetName val="MMp4"/>
      <sheetName val="Price"/>
      <sheetName val="RDB"/>
      <sheetName val="other stuff"/>
      <sheetName val="stresstest"/>
    </sheetNames>
    <sheetDataSet>
      <sheetData sheetId="0" refreshError="1"/>
      <sheetData sheetId="1" refreshError="1"/>
      <sheetData sheetId="2" refreshError="1"/>
      <sheetData sheetId="3" refreshError="1"/>
      <sheetData sheetId="4" refreshError="1"/>
      <sheetData sheetId="5" refreshError="1"/>
      <sheetData sheetId="6" refreshError="1">
        <row r="1">
          <cell r="E1" t="str">
            <v>FY1993</v>
          </cell>
          <cell r="F1" t="str">
            <v>FY1994</v>
          </cell>
          <cell r="G1" t="str">
            <v>FY1995</v>
          </cell>
          <cell r="H1" t="str">
            <v>FY1996</v>
          </cell>
          <cell r="I1" t="str">
            <v>FY1997</v>
          </cell>
          <cell r="J1" t="str">
            <v>FY1998</v>
          </cell>
          <cell r="K1" t="str">
            <v>FY1999</v>
          </cell>
          <cell r="L1" t="str">
            <v>FY2000</v>
          </cell>
          <cell r="M1" t="str">
            <v>FY2001</v>
          </cell>
          <cell r="N1" t="str">
            <v>FY2002</v>
          </cell>
          <cell r="O1" t="str">
            <v>FY2003</v>
          </cell>
          <cell r="P1" t="str">
            <v>FY2004</v>
          </cell>
          <cell r="Q1" t="str">
            <v>FY2005</v>
          </cell>
        </row>
        <row r="2">
          <cell r="D2" t="str">
            <v>icd</v>
          </cell>
          <cell r="H2">
            <v>35430</v>
          </cell>
          <cell r="I2">
            <v>35795</v>
          </cell>
          <cell r="J2">
            <v>36160</v>
          </cell>
          <cell r="K2">
            <v>36525</v>
          </cell>
          <cell r="L2">
            <v>36891</v>
          </cell>
          <cell r="M2">
            <v>37256</v>
          </cell>
          <cell r="N2">
            <v>37621</v>
          </cell>
          <cell r="O2">
            <v>37986</v>
          </cell>
          <cell r="P2">
            <v>38352</v>
          </cell>
          <cell r="Q2">
            <v>38717</v>
          </cell>
        </row>
        <row r="3">
          <cell r="D3" t="str">
            <v>bae</v>
          </cell>
          <cell r="H3">
            <v>0</v>
          </cell>
          <cell r="I3">
            <v>0</v>
          </cell>
          <cell r="J3">
            <v>0</v>
          </cell>
          <cell r="K3">
            <v>0</v>
          </cell>
          <cell r="L3">
            <v>0</v>
          </cell>
          <cell r="M3">
            <v>0</v>
          </cell>
          <cell r="N3">
            <v>0</v>
          </cell>
          <cell r="O3">
            <v>0</v>
          </cell>
          <cell r="P3">
            <v>0</v>
          </cell>
          <cell r="Q3">
            <v>0</v>
          </cell>
        </row>
        <row r="4">
          <cell r="D4" t="str">
            <v>bao</v>
          </cell>
          <cell r="H4">
            <v>0</v>
          </cell>
          <cell r="I4">
            <v>0</v>
          </cell>
          <cell r="J4">
            <v>0</v>
          </cell>
          <cell r="K4">
            <v>0</v>
          </cell>
          <cell r="L4">
            <v>0</v>
          </cell>
          <cell r="M4">
            <v>0</v>
          </cell>
          <cell r="N4">
            <v>0</v>
          </cell>
          <cell r="O4">
            <v>0</v>
          </cell>
          <cell r="P4">
            <v>0</v>
          </cell>
          <cell r="Q4">
            <v>0</v>
          </cell>
        </row>
        <row r="5">
          <cell r="D5" t="str">
            <v>bap</v>
          </cell>
          <cell r="H5">
            <v>53795744</v>
          </cell>
          <cell r="I5">
            <v>40698824</v>
          </cell>
          <cell r="J5">
            <v>94436464</v>
          </cell>
          <cell r="K5">
            <v>131190392</v>
          </cell>
          <cell r="L5">
            <v>164113840</v>
          </cell>
          <cell r="M5">
            <v>189861408</v>
          </cell>
          <cell r="N5">
            <v>220762112</v>
          </cell>
          <cell r="O5">
            <v>266012064</v>
          </cell>
          <cell r="P5">
            <v>320214336</v>
          </cell>
          <cell r="Q5">
            <v>385928800</v>
          </cell>
        </row>
        <row r="6">
          <cell r="D6" t="str">
            <v>bat</v>
          </cell>
          <cell r="H6">
            <v>306262112</v>
          </cell>
          <cell r="I6">
            <v>428096576</v>
          </cell>
          <cell r="J6">
            <v>537299648</v>
          </cell>
          <cell r="K6">
            <v>750052032</v>
          </cell>
          <cell r="L6">
            <v>974292672</v>
          </cell>
          <cell r="M6">
            <v>1192921984</v>
          </cell>
          <cell r="N6">
            <v>1728591744</v>
          </cell>
          <cell r="O6">
            <v>2071773824</v>
          </cell>
          <cell r="P6">
            <v>2429164288</v>
          </cell>
          <cell r="Q6">
            <v>2840185344</v>
          </cell>
        </row>
        <row r="7">
          <cell r="D7" t="str">
            <v>bay</v>
          </cell>
          <cell r="H7">
            <v>0</v>
          </cell>
          <cell r="I7">
            <v>0</v>
          </cell>
          <cell r="J7">
            <v>0</v>
          </cell>
          <cell r="K7">
            <v>0</v>
          </cell>
          <cell r="L7">
            <v>0</v>
          </cell>
          <cell r="M7">
            <v>0</v>
          </cell>
          <cell r="N7">
            <v>0</v>
          </cell>
          <cell r="O7">
            <v>0</v>
          </cell>
          <cell r="P7">
            <v>0</v>
          </cell>
          <cell r="Q7">
            <v>0</v>
          </cell>
        </row>
        <row r="8">
          <cell r="D8" t="str">
            <v>bcb</v>
          </cell>
          <cell r="H8">
            <v>0</v>
          </cell>
          <cell r="I8">
            <v>0</v>
          </cell>
          <cell r="J8">
            <v>0</v>
          </cell>
          <cell r="K8">
            <v>0</v>
          </cell>
          <cell r="L8">
            <v>0</v>
          </cell>
          <cell r="M8">
            <v>0</v>
          </cell>
          <cell r="N8">
            <v>0</v>
          </cell>
          <cell r="O8">
            <v>0</v>
          </cell>
          <cell r="P8">
            <v>0</v>
          </cell>
          <cell r="Q8">
            <v>0</v>
          </cell>
        </row>
        <row r="9">
          <cell r="D9" t="str">
            <v>bce</v>
          </cell>
          <cell r="H9">
            <v>54924348</v>
          </cell>
          <cell r="I9">
            <v>50094848</v>
          </cell>
          <cell r="J9">
            <v>246852496</v>
          </cell>
          <cell r="K9">
            <v>550000000</v>
          </cell>
          <cell r="L9">
            <v>453159968</v>
          </cell>
          <cell r="M9">
            <v>616497984</v>
          </cell>
          <cell r="N9">
            <v>890733120</v>
          </cell>
          <cell r="O9">
            <v>1067572864</v>
          </cell>
          <cell r="P9">
            <v>1251734016</v>
          </cell>
          <cell r="Q9">
            <v>1463530752</v>
          </cell>
        </row>
        <row r="10">
          <cell r="D10" t="str">
            <v>bcm</v>
          </cell>
          <cell r="H10">
            <v>0</v>
          </cell>
          <cell r="I10">
            <v>0</v>
          </cell>
          <cell r="J10">
            <v>0</v>
          </cell>
          <cell r="K10">
            <v>0</v>
          </cell>
          <cell r="L10">
            <v>0</v>
          </cell>
          <cell r="M10">
            <v>0</v>
          </cell>
          <cell r="N10">
            <v>0</v>
          </cell>
          <cell r="O10">
            <v>0</v>
          </cell>
          <cell r="P10">
            <v>0</v>
          </cell>
          <cell r="Q10">
            <v>0</v>
          </cell>
        </row>
        <row r="11">
          <cell r="D11" t="str">
            <v>bdp</v>
          </cell>
          <cell r="H11">
            <v>5543547</v>
          </cell>
          <cell r="I11">
            <v>18429880</v>
          </cell>
          <cell r="J11">
            <v>26155282</v>
          </cell>
          <cell r="K11">
            <v>47298416</v>
          </cell>
          <cell r="L11">
            <v>53568344</v>
          </cell>
          <cell r="M11">
            <v>60264388</v>
          </cell>
          <cell r="N11">
            <v>66960432</v>
          </cell>
          <cell r="O11">
            <v>73656472</v>
          </cell>
          <cell r="P11">
            <v>80352520</v>
          </cell>
          <cell r="Q11">
            <v>93744608</v>
          </cell>
        </row>
        <row r="12">
          <cell r="D12" t="str">
            <v>bia</v>
          </cell>
          <cell r="H12">
            <v>1200853</v>
          </cell>
          <cell r="I12">
            <v>14084915</v>
          </cell>
          <cell r="J12">
            <v>74543040</v>
          </cell>
          <cell r="K12">
            <v>275000000</v>
          </cell>
          <cell r="L12">
            <v>500000000</v>
          </cell>
          <cell r="M12">
            <v>800000000</v>
          </cell>
          <cell r="N12">
            <v>1200000000</v>
          </cell>
          <cell r="O12">
            <v>1620000000</v>
          </cell>
          <cell r="P12">
            <v>2100000000</v>
          </cell>
          <cell r="Q12">
            <v>2500000000</v>
          </cell>
        </row>
        <row r="13">
          <cell r="D13" t="str">
            <v>bin</v>
          </cell>
          <cell r="H13">
            <v>2000000</v>
          </cell>
          <cell r="I13">
            <v>2000000</v>
          </cell>
          <cell r="J13">
            <v>0</v>
          </cell>
          <cell r="K13">
            <v>350000000</v>
          </cell>
          <cell r="L13">
            <v>400000000</v>
          </cell>
          <cell r="M13">
            <v>500000000</v>
          </cell>
          <cell r="N13">
            <v>600000000</v>
          </cell>
          <cell r="O13">
            <v>1550000000</v>
          </cell>
          <cell r="P13">
            <v>2670000128</v>
          </cell>
          <cell r="Q13">
            <v>4009999872</v>
          </cell>
        </row>
        <row r="14">
          <cell r="D14" t="str">
            <v>bio</v>
          </cell>
          <cell r="H14">
            <v>0</v>
          </cell>
          <cell r="I14">
            <v>0</v>
          </cell>
          <cell r="J14">
            <v>0</v>
          </cell>
          <cell r="K14">
            <v>0</v>
          </cell>
          <cell r="L14">
            <v>0</v>
          </cell>
          <cell r="M14">
            <v>0</v>
          </cell>
          <cell r="N14">
            <v>0</v>
          </cell>
          <cell r="O14">
            <v>0</v>
          </cell>
          <cell r="P14">
            <v>0</v>
          </cell>
          <cell r="Q14">
            <v>0</v>
          </cell>
        </row>
        <row r="15">
          <cell r="D15" t="str">
            <v>bir</v>
          </cell>
          <cell r="H15">
            <v>23261536</v>
          </cell>
          <cell r="I15">
            <v>43940052</v>
          </cell>
          <cell r="J15">
            <v>78482824</v>
          </cell>
          <cell r="K15">
            <v>109559360</v>
          </cell>
          <cell r="L15">
            <v>142313968</v>
          </cell>
          <cell r="M15">
            <v>174248928</v>
          </cell>
          <cell r="N15">
            <v>223700112</v>
          </cell>
          <cell r="O15">
            <v>268111904</v>
          </cell>
          <cell r="P15">
            <v>342940832</v>
          </cell>
          <cell r="Q15">
            <v>400967328</v>
          </cell>
        </row>
        <row r="16">
          <cell r="D16" t="str">
            <v>bit</v>
          </cell>
          <cell r="H16">
            <v>0</v>
          </cell>
          <cell r="I16">
            <v>0</v>
          </cell>
          <cell r="J16">
            <v>0</v>
          </cell>
          <cell r="K16">
            <v>0</v>
          </cell>
          <cell r="L16">
            <v>0</v>
          </cell>
          <cell r="M16">
            <v>0</v>
          </cell>
          <cell r="N16">
            <v>0</v>
          </cell>
          <cell r="O16">
            <v>0</v>
          </cell>
          <cell r="P16">
            <v>0</v>
          </cell>
          <cell r="Q16">
            <v>0</v>
          </cell>
        </row>
        <row r="17">
          <cell r="D17" t="str">
            <v>bll</v>
          </cell>
          <cell r="H17">
            <v>0</v>
          </cell>
          <cell r="I17">
            <v>0</v>
          </cell>
          <cell r="J17">
            <v>0</v>
          </cell>
          <cell r="K17">
            <v>0</v>
          </cell>
          <cell r="L17">
            <v>0</v>
          </cell>
          <cell r="M17">
            <v>0</v>
          </cell>
          <cell r="N17">
            <v>0</v>
          </cell>
          <cell r="O17">
            <v>0</v>
          </cell>
          <cell r="P17">
            <v>0</v>
          </cell>
          <cell r="Q17">
            <v>0</v>
          </cell>
        </row>
        <row r="18">
          <cell r="D18" t="str">
            <v>blt</v>
          </cell>
          <cell r="H18">
            <v>351579552</v>
          </cell>
          <cell r="I18">
            <v>438047840</v>
          </cell>
          <cell r="J18">
            <v>611243840</v>
          </cell>
          <cell r="K18">
            <v>529160960</v>
          </cell>
          <cell r="L18">
            <v>404878432</v>
          </cell>
          <cell r="M18">
            <v>265035056</v>
          </cell>
          <cell r="N18">
            <v>34599924</v>
          </cell>
          <cell r="O18">
            <v>6176887</v>
          </cell>
          <cell r="P18">
            <v>21927154</v>
          </cell>
          <cell r="Q18">
            <v>9509450</v>
          </cell>
        </row>
        <row r="19">
          <cell r="D19" t="str">
            <v>bmi</v>
          </cell>
          <cell r="H19">
            <v>0</v>
          </cell>
          <cell r="I19">
            <v>0</v>
          </cell>
          <cell r="J19">
            <v>0</v>
          </cell>
          <cell r="K19">
            <v>0</v>
          </cell>
          <cell r="L19">
            <v>0</v>
          </cell>
          <cell r="M19">
            <v>0</v>
          </cell>
          <cell r="N19">
            <v>0</v>
          </cell>
          <cell r="O19">
            <v>0</v>
          </cell>
          <cell r="P19">
            <v>0</v>
          </cell>
          <cell r="Q19">
            <v>0</v>
          </cell>
        </row>
        <row r="20">
          <cell r="B20">
            <v>4645.81005859375</v>
          </cell>
          <cell r="D20" t="str">
            <v>bnf</v>
          </cell>
          <cell r="H20">
            <v>258551104</v>
          </cell>
          <cell r="I20">
            <v>350996384</v>
          </cell>
          <cell r="J20">
            <v>500096480</v>
          </cell>
          <cell r="K20">
            <v>1045086912</v>
          </cell>
          <cell r="L20">
            <v>1368240512</v>
          </cell>
          <cell r="M20">
            <v>1749078656</v>
          </cell>
          <cell r="N20">
            <v>1956833024</v>
          </cell>
          <cell r="O20">
            <v>2143811968</v>
          </cell>
          <cell r="P20">
            <v>2312092928</v>
          </cell>
          <cell r="Q20">
            <v>2463545856</v>
          </cell>
        </row>
        <row r="21">
          <cell r="D21" t="str">
            <v>bol</v>
          </cell>
          <cell r="H21">
            <v>14776694</v>
          </cell>
          <cell r="I21">
            <v>23475464</v>
          </cell>
          <cell r="J21">
            <v>13500029</v>
          </cell>
          <cell r="K21">
            <v>14850032</v>
          </cell>
          <cell r="L21">
            <v>16335035</v>
          </cell>
          <cell r="M21">
            <v>17968538</v>
          </cell>
          <cell r="N21">
            <v>19765392</v>
          </cell>
          <cell r="O21">
            <v>21741932</v>
          </cell>
          <cell r="P21">
            <v>23916124</v>
          </cell>
          <cell r="Q21">
            <v>26307738</v>
          </cell>
        </row>
        <row r="22">
          <cell r="D22" t="str">
            <v>bor</v>
          </cell>
          <cell r="H22">
            <v>0</v>
          </cell>
          <cell r="I22">
            <v>0</v>
          </cell>
          <cell r="J22">
            <v>0</v>
          </cell>
          <cell r="K22">
            <v>0</v>
          </cell>
          <cell r="L22">
            <v>0</v>
          </cell>
          <cell r="M22">
            <v>0</v>
          </cell>
          <cell r="N22">
            <v>0</v>
          </cell>
          <cell r="O22">
            <v>0</v>
          </cell>
          <cell r="P22">
            <v>0</v>
          </cell>
          <cell r="Q22">
            <v>0</v>
          </cell>
        </row>
        <row r="23">
          <cell r="D23" t="str">
            <v>bot</v>
          </cell>
          <cell r="H23">
            <v>12284</v>
          </cell>
          <cell r="I23">
            <v>10237</v>
          </cell>
          <cell r="J23">
            <v>0</v>
          </cell>
          <cell r="K23">
            <v>0</v>
          </cell>
          <cell r="L23">
            <v>0</v>
          </cell>
          <cell r="M23">
            <v>0</v>
          </cell>
          <cell r="N23">
            <v>0</v>
          </cell>
          <cell r="O23">
            <v>0</v>
          </cell>
          <cell r="P23">
            <v>0</v>
          </cell>
          <cell r="Q23">
            <v>0</v>
          </cell>
        </row>
        <row r="24">
          <cell r="D24" t="str">
            <v>bpu</v>
          </cell>
          <cell r="H24">
            <v>111696240</v>
          </cell>
          <cell r="I24">
            <v>111696240</v>
          </cell>
          <cell r="J24">
            <v>111696240</v>
          </cell>
          <cell r="K24">
            <v>125096240</v>
          </cell>
          <cell r="L24">
            <v>125096240</v>
          </cell>
          <cell r="M24">
            <v>125096240</v>
          </cell>
          <cell r="N24">
            <v>125096240</v>
          </cell>
          <cell r="O24">
            <v>125096240</v>
          </cell>
          <cell r="P24">
            <v>125096240</v>
          </cell>
          <cell r="Q24">
            <v>125096240</v>
          </cell>
        </row>
        <row r="25">
          <cell r="D25" t="str">
            <v>bre</v>
          </cell>
          <cell r="H25">
            <v>179585024</v>
          </cell>
          <cell r="I25">
            <v>367428288</v>
          </cell>
          <cell r="J25">
            <v>678515072</v>
          </cell>
          <cell r="K25">
            <v>2312692224</v>
          </cell>
          <cell r="L25">
            <v>3121852928</v>
          </cell>
          <cell r="M25">
            <v>4356324352</v>
          </cell>
          <cell r="N25">
            <v>6044720640</v>
          </cell>
          <cell r="O25">
            <v>8091820544</v>
          </cell>
          <cell r="P25">
            <v>10375347200</v>
          </cell>
          <cell r="Q25">
            <v>12863738880</v>
          </cell>
        </row>
        <row r="26">
          <cell r="D26" t="str">
            <v>bst</v>
          </cell>
          <cell r="H26">
            <v>0</v>
          </cell>
          <cell r="I26">
            <v>0</v>
          </cell>
          <cell r="J26">
            <v>0</v>
          </cell>
          <cell r="K26">
            <v>0</v>
          </cell>
          <cell r="L26">
            <v>0</v>
          </cell>
          <cell r="M26">
            <v>0</v>
          </cell>
          <cell r="N26">
            <v>0</v>
          </cell>
          <cell r="O26">
            <v>0</v>
          </cell>
          <cell r="P26">
            <v>0</v>
          </cell>
          <cell r="Q26">
            <v>0</v>
          </cell>
        </row>
        <row r="27">
          <cell r="D27" t="str">
            <v>btd</v>
          </cell>
          <cell r="H27">
            <v>0</v>
          </cell>
          <cell r="I27">
            <v>0</v>
          </cell>
          <cell r="J27">
            <v>0</v>
          </cell>
          <cell r="K27">
            <v>0</v>
          </cell>
          <cell r="L27">
            <v>0</v>
          </cell>
          <cell r="M27">
            <v>0</v>
          </cell>
          <cell r="N27">
            <v>0</v>
          </cell>
          <cell r="O27">
            <v>0</v>
          </cell>
          <cell r="P27">
            <v>0</v>
          </cell>
          <cell r="Q27">
            <v>0</v>
          </cell>
        </row>
        <row r="28">
          <cell r="D28" t="str">
            <v>btp</v>
          </cell>
          <cell r="H28">
            <v>18055000</v>
          </cell>
          <cell r="I28">
            <v>76840000</v>
          </cell>
          <cell r="J28">
            <v>72406680</v>
          </cell>
          <cell r="K28">
            <v>120152816</v>
          </cell>
          <cell r="L28">
            <v>170479360</v>
          </cell>
          <cell r="M28">
            <v>255846064</v>
          </cell>
          <cell r="N28">
            <v>346866848</v>
          </cell>
          <cell r="O28">
            <v>419071584</v>
          </cell>
          <cell r="P28">
            <v>467113888</v>
          </cell>
          <cell r="Q28">
            <v>510242496</v>
          </cell>
        </row>
        <row r="29">
          <cell r="D29" t="str">
            <v>bcl</v>
          </cell>
          <cell r="H29">
            <v>92170984</v>
          </cell>
          <cell r="I29">
            <v>159444160</v>
          </cell>
          <cell r="J29">
            <v>206498464</v>
          </cell>
          <cell r="K29">
            <v>313491648</v>
          </cell>
          <cell r="L29">
            <v>404496608</v>
          </cell>
          <cell r="M29">
            <v>523940384</v>
          </cell>
          <cell r="N29">
            <v>654354816</v>
          </cell>
          <cell r="O29">
            <v>780482048</v>
          </cell>
          <cell r="P29">
            <v>891596864</v>
          </cell>
          <cell r="Q29">
            <v>1016223616</v>
          </cell>
        </row>
        <row r="30">
          <cell r="D30" t="str">
            <v>bca</v>
          </cell>
          <cell r="H30">
            <v>473267584</v>
          </cell>
          <cell r="I30">
            <v>703087104</v>
          </cell>
          <cell r="J30">
            <v>1022401152</v>
          </cell>
          <cell r="K30">
            <v>1585354240</v>
          </cell>
          <cell r="L30">
            <v>1763083648</v>
          </cell>
          <cell r="M30">
            <v>2196317696</v>
          </cell>
          <cell r="N30">
            <v>3076938496</v>
          </cell>
          <cell r="O30">
            <v>3664763648</v>
          </cell>
          <cell r="P30">
            <v>4306874880</v>
          </cell>
          <cell r="Q30">
            <v>5016022528</v>
          </cell>
        </row>
        <row r="31">
          <cell r="D31" t="str">
            <v>bet</v>
          </cell>
          <cell r="H31">
            <v>0</v>
          </cell>
          <cell r="I31">
            <v>0</v>
          </cell>
          <cell r="J31">
            <v>0</v>
          </cell>
          <cell r="K31">
            <v>0</v>
          </cell>
          <cell r="L31">
            <v>0</v>
          </cell>
          <cell r="M31">
            <v>0</v>
          </cell>
          <cell r="N31">
            <v>0</v>
          </cell>
          <cell r="O31">
            <v>0</v>
          </cell>
          <cell r="P31">
            <v>0</v>
          </cell>
          <cell r="Q31">
            <v>0</v>
          </cell>
        </row>
        <row r="32">
          <cell r="D32" t="str">
            <v>bta</v>
          </cell>
          <cell r="H32">
            <v>735031808</v>
          </cell>
          <cell r="I32">
            <v>1076616576</v>
          </cell>
          <cell r="J32">
            <v>1607971584</v>
          </cell>
          <cell r="K32">
            <v>3280441088</v>
          </cell>
          <cell r="L32">
            <v>4056324096</v>
          </cell>
          <cell r="M32">
            <v>5270396416</v>
          </cell>
          <cell r="N32">
            <v>6858771456</v>
          </cell>
          <cell r="O32">
            <v>9003575296</v>
          </cell>
          <cell r="P32">
            <v>11413967872</v>
          </cell>
          <cell r="Q32">
            <v>14014568448</v>
          </cell>
        </row>
        <row r="33">
          <cell r="D33" t="str">
            <v>bsf</v>
          </cell>
          <cell r="H33">
            <v>291281280</v>
          </cell>
          <cell r="I33">
            <v>479124544</v>
          </cell>
          <cell r="J33">
            <v>790211328</v>
          </cell>
          <cell r="K33">
            <v>2437788416</v>
          </cell>
          <cell r="L33">
            <v>3246949120</v>
          </cell>
          <cell r="M33">
            <v>4481420800</v>
          </cell>
          <cell r="N33">
            <v>6169817088</v>
          </cell>
          <cell r="O33">
            <v>8216916480</v>
          </cell>
          <cell r="P33">
            <v>10500443136</v>
          </cell>
          <cell r="Q33">
            <v>12988834816</v>
          </cell>
        </row>
        <row r="34">
          <cell r="D34" t="str">
            <v>cac</v>
          </cell>
          <cell r="H34">
            <v>0</v>
          </cell>
          <cell r="I34">
            <v>0</v>
          </cell>
          <cell r="J34">
            <v>0</v>
          </cell>
          <cell r="K34">
            <v>0</v>
          </cell>
          <cell r="L34">
            <v>0</v>
          </cell>
          <cell r="M34">
            <v>0</v>
          </cell>
          <cell r="N34">
            <v>0</v>
          </cell>
          <cell r="O34">
            <v>0</v>
          </cell>
          <cell r="P34">
            <v>0</v>
          </cell>
          <cell r="Q34">
            <v>0</v>
          </cell>
        </row>
        <row r="35">
          <cell r="D35" t="str">
            <v>cam</v>
          </cell>
          <cell r="H35">
            <v>0</v>
          </cell>
          <cell r="I35">
            <v>0</v>
          </cell>
          <cell r="J35">
            <v>0</v>
          </cell>
          <cell r="K35">
            <v>0</v>
          </cell>
          <cell r="L35">
            <v>0</v>
          </cell>
          <cell r="M35">
            <v>0</v>
          </cell>
          <cell r="N35">
            <v>0</v>
          </cell>
          <cell r="O35">
            <v>0</v>
          </cell>
          <cell r="P35">
            <v>0</v>
          </cell>
          <cell r="Q35">
            <v>0</v>
          </cell>
        </row>
        <row r="36">
          <cell r="D36" t="str">
            <v>cce</v>
          </cell>
          <cell r="H36">
            <v>-87796888</v>
          </cell>
          <cell r="I36">
            <v>-148939376</v>
          </cell>
          <cell r="J36">
            <v>-229363200</v>
          </cell>
          <cell r="K36">
            <v>-700000000</v>
          </cell>
          <cell r="L36">
            <v>-500000000</v>
          </cell>
          <cell r="M36">
            <v>-600000000</v>
          </cell>
          <cell r="N36">
            <v>-450000000</v>
          </cell>
          <cell r="O36">
            <v>-450000000</v>
          </cell>
          <cell r="P36">
            <v>-450000000</v>
          </cell>
          <cell r="Q36">
            <v>-450000000</v>
          </cell>
        </row>
        <row r="37">
          <cell r="D37" t="str">
            <v>cde</v>
          </cell>
          <cell r="H37">
            <v>18099356</v>
          </cell>
          <cell r="I37">
            <v>50674400</v>
          </cell>
          <cell r="J37">
            <v>80386032</v>
          </cell>
          <cell r="K37">
            <v>140940528</v>
          </cell>
          <cell r="L37">
            <v>176846480</v>
          </cell>
          <cell r="M37">
            <v>219161824</v>
          </cell>
          <cell r="N37">
            <v>242245648</v>
          </cell>
          <cell r="O37">
            <v>263021072</v>
          </cell>
          <cell r="P37">
            <v>281718976</v>
          </cell>
          <cell r="Q37">
            <v>298547072</v>
          </cell>
        </row>
        <row r="38">
          <cell r="D38" t="str">
            <v>cdi</v>
          </cell>
          <cell r="H38">
            <v>0</v>
          </cell>
          <cell r="I38">
            <v>0</v>
          </cell>
          <cell r="J38">
            <v>0</v>
          </cell>
          <cell r="K38">
            <v>0</v>
          </cell>
          <cell r="L38">
            <v>0</v>
          </cell>
          <cell r="M38">
            <v>0</v>
          </cell>
          <cell r="N38">
            <v>0</v>
          </cell>
          <cell r="O38">
            <v>0</v>
          </cell>
          <cell r="P38">
            <v>0</v>
          </cell>
          <cell r="Q38">
            <v>0</v>
          </cell>
        </row>
        <row r="39">
          <cell r="D39" t="str">
            <v>cdp</v>
          </cell>
          <cell r="H39">
            <v>-29418</v>
          </cell>
          <cell r="I39">
            <v>-5543546.5</v>
          </cell>
          <cell r="J39">
            <v>-18429296</v>
          </cell>
          <cell r="K39">
            <v>-26155282</v>
          </cell>
          <cell r="L39">
            <v>-47298416</v>
          </cell>
          <cell r="M39">
            <v>-53568344</v>
          </cell>
          <cell r="N39">
            <v>-60264388</v>
          </cell>
          <cell r="O39">
            <v>-66960432</v>
          </cell>
          <cell r="P39">
            <v>-73656472</v>
          </cell>
          <cell r="Q39">
            <v>-80352520</v>
          </cell>
        </row>
        <row r="40">
          <cell r="D40" t="str">
            <v>cfx</v>
          </cell>
          <cell r="H40">
            <v>0</v>
          </cell>
          <cell r="I40">
            <v>0</v>
          </cell>
          <cell r="J40">
            <v>0</v>
          </cell>
          <cell r="K40">
            <v>0</v>
          </cell>
          <cell r="L40">
            <v>0</v>
          </cell>
          <cell r="M40">
            <v>0</v>
          </cell>
          <cell r="N40">
            <v>0</v>
          </cell>
          <cell r="O40">
            <v>0</v>
          </cell>
          <cell r="P40">
            <v>0</v>
          </cell>
          <cell r="Q40">
            <v>0</v>
          </cell>
        </row>
        <row r="41">
          <cell r="D41" t="str">
            <v>cii</v>
          </cell>
          <cell r="H41">
            <v>2773461</v>
          </cell>
          <cell r="I41">
            <v>3784307</v>
          </cell>
          <cell r="J41">
            <v>8291453</v>
          </cell>
          <cell r="K41">
            <v>20969422</v>
          </cell>
          <cell r="L41">
            <v>28932678</v>
          </cell>
          <cell r="M41">
            <v>33377872</v>
          </cell>
          <cell r="N41">
            <v>42489864</v>
          </cell>
          <cell r="O41">
            <v>60784124</v>
          </cell>
          <cell r="P41">
            <v>89034344</v>
          </cell>
          <cell r="Q41">
            <v>122322176</v>
          </cell>
        </row>
        <row r="42">
          <cell r="D42" t="str">
            <v>civ</v>
          </cell>
          <cell r="H42">
            <v>-2000000</v>
          </cell>
          <cell r="I42">
            <v>-12884062</v>
          </cell>
          <cell r="J42">
            <v>-58458120</v>
          </cell>
          <cell r="K42">
            <v>-550456960</v>
          </cell>
          <cell r="L42">
            <v>-275000000</v>
          </cell>
          <cell r="M42">
            <v>-400000000</v>
          </cell>
          <cell r="N42">
            <v>-500000000</v>
          </cell>
          <cell r="O42">
            <v>-1370000000</v>
          </cell>
          <cell r="P42">
            <v>-1600000000</v>
          </cell>
          <cell r="Q42">
            <v>-1740000000</v>
          </cell>
        </row>
        <row r="43">
          <cell r="D43" t="str">
            <v>cni</v>
          </cell>
          <cell r="H43">
            <v>-81345904</v>
          </cell>
          <cell r="I43">
            <v>-80498080</v>
          </cell>
          <cell r="J43">
            <v>-103369824</v>
          </cell>
          <cell r="K43">
            <v>-79466768</v>
          </cell>
          <cell r="L43">
            <v>-58231772</v>
          </cell>
          <cell r="M43">
            <v>-37346108</v>
          </cell>
          <cell r="N43">
            <v>-14833574</v>
          </cell>
          <cell r="O43">
            <v>-1834956.375</v>
          </cell>
          <cell r="P43">
            <v>-1264681.875</v>
          </cell>
          <cell r="Q43">
            <v>-1414647.25</v>
          </cell>
        </row>
        <row r="44">
          <cell r="D44" t="str">
            <v>coi</v>
          </cell>
          <cell r="H44">
            <v>22166928</v>
          </cell>
          <cell r="I44">
            <v>-83437296</v>
          </cell>
          <cell r="J44">
            <v>11214029</v>
          </cell>
          <cell r="K44">
            <v>-14626615</v>
          </cell>
          <cell r="L44">
            <v>-16089276</v>
          </cell>
          <cell r="M44">
            <v>-17698204</v>
          </cell>
          <cell r="N44">
            <v>-19468024</v>
          </cell>
          <cell r="O44">
            <v>-21414826</v>
          </cell>
          <cell r="P44">
            <v>-23556310</v>
          </cell>
          <cell r="Q44">
            <v>-25911940</v>
          </cell>
        </row>
        <row r="45">
          <cell r="D45" t="str">
            <v>cot</v>
          </cell>
          <cell r="H45">
            <v>-222033</v>
          </cell>
          <cell r="I45">
            <v>-616160</v>
          </cell>
          <cell r="J45">
            <v>-4605763</v>
          </cell>
          <cell r="K45">
            <v>0</v>
          </cell>
          <cell r="L45">
            <v>0</v>
          </cell>
          <cell r="M45">
            <v>0</v>
          </cell>
          <cell r="N45">
            <v>0</v>
          </cell>
          <cell r="O45">
            <v>0</v>
          </cell>
          <cell r="P45">
            <v>0</v>
          </cell>
          <cell r="Q45">
            <v>0</v>
          </cell>
        </row>
        <row r="46">
          <cell r="D46" t="str">
            <v>csi</v>
          </cell>
          <cell r="H46">
            <v>0</v>
          </cell>
          <cell r="I46">
            <v>0</v>
          </cell>
          <cell r="J46">
            <v>0</v>
          </cell>
          <cell r="K46">
            <v>1172499968</v>
          </cell>
          <cell r="L46">
            <v>0</v>
          </cell>
          <cell r="M46">
            <v>0</v>
          </cell>
          <cell r="N46">
            <v>0</v>
          </cell>
          <cell r="O46">
            <v>0</v>
          </cell>
          <cell r="P46">
            <v>0</v>
          </cell>
          <cell r="Q46">
            <v>0</v>
          </cell>
        </row>
        <row r="47">
          <cell r="D47" t="str">
            <v>cta</v>
          </cell>
          <cell r="H47">
            <v>-24622</v>
          </cell>
          <cell r="I47">
            <v>-2589963</v>
          </cell>
          <cell r="J47">
            <v>-84271184</v>
          </cell>
          <cell r="K47">
            <v>-72406680</v>
          </cell>
          <cell r="L47">
            <v>-120152816</v>
          </cell>
          <cell r="M47">
            <v>-170479360</v>
          </cell>
          <cell r="N47">
            <v>-255846064</v>
          </cell>
          <cell r="O47">
            <v>-346866848</v>
          </cell>
          <cell r="P47">
            <v>-419071584</v>
          </cell>
          <cell r="Q47">
            <v>-467113888</v>
          </cell>
        </row>
        <row r="48">
          <cell r="D48" t="str">
            <v>cwo</v>
          </cell>
          <cell r="H48">
            <v>0</v>
          </cell>
          <cell r="I48">
            <v>0</v>
          </cell>
          <cell r="J48">
            <v>0</v>
          </cell>
          <cell r="K48">
            <v>0</v>
          </cell>
          <cell r="L48">
            <v>0</v>
          </cell>
          <cell r="M48">
            <v>0</v>
          </cell>
          <cell r="N48">
            <v>0</v>
          </cell>
          <cell r="O48">
            <v>0</v>
          </cell>
          <cell r="P48">
            <v>0</v>
          </cell>
          <cell r="Q48">
            <v>0</v>
          </cell>
        </row>
        <row r="49">
          <cell r="D49" t="str">
            <v>cwt</v>
          </cell>
          <cell r="H49">
            <v>-53759236</v>
          </cell>
          <cell r="I49">
            <v>-155609904</v>
          </cell>
          <cell r="J49">
            <v>-90008176</v>
          </cell>
          <cell r="K49">
            <v>-207075024</v>
          </cell>
          <cell r="L49">
            <v>-224071760</v>
          </cell>
          <cell r="M49">
            <v>-224816720</v>
          </cell>
          <cell r="N49">
            <v>-554220224</v>
          </cell>
          <cell r="O49">
            <v>-342343968</v>
          </cell>
          <cell r="P49">
            <v>-378017056</v>
          </cell>
          <cell r="Q49">
            <v>-403333056</v>
          </cell>
        </row>
        <row r="50">
          <cell r="D50" t="str">
            <v>coc</v>
          </cell>
          <cell r="H50">
            <v>253267504</v>
          </cell>
          <cell r="I50">
            <v>155989088</v>
          </cell>
          <cell r="J50">
            <v>513749280</v>
          </cell>
          <cell r="K50">
            <v>620264640</v>
          </cell>
          <cell r="L50">
            <v>999192832</v>
          </cell>
          <cell r="M50">
            <v>1531197312</v>
          </cell>
          <cell r="N50">
            <v>1743124480</v>
          </cell>
          <cell r="O50">
            <v>2380140800</v>
          </cell>
          <cell r="P50">
            <v>2623369216</v>
          </cell>
          <cell r="Q50">
            <v>2840773376</v>
          </cell>
        </row>
        <row r="51">
          <cell r="D51" t="str">
            <v>ccn</v>
          </cell>
          <cell r="H51">
            <v>84622104</v>
          </cell>
          <cell r="I51">
            <v>-91297784</v>
          </cell>
          <cell r="J51">
            <v>23543344</v>
          </cell>
          <cell r="K51">
            <v>385248384</v>
          </cell>
          <cell r="L51">
            <v>27442504</v>
          </cell>
          <cell r="M51">
            <v>303181376</v>
          </cell>
          <cell r="N51">
            <v>504670304</v>
          </cell>
          <cell r="O51">
            <v>205262768</v>
          </cell>
          <cell r="P51">
            <v>168410896</v>
          </cell>
          <cell r="Q51">
            <v>224214416</v>
          </cell>
        </row>
        <row r="52">
          <cell r="D52" t="str">
            <v>cfc</v>
          </cell>
          <cell r="H52">
            <v>174670448</v>
          </cell>
          <cell r="I52">
            <v>76685360</v>
          </cell>
          <cell r="J52">
            <v>334399744</v>
          </cell>
          <cell r="K52">
            <v>489360608</v>
          </cell>
          <cell r="L52">
            <v>849740928</v>
          </cell>
          <cell r="M52">
            <v>1356749696</v>
          </cell>
          <cell r="N52">
            <v>1514934656</v>
          </cell>
          <cell r="O52">
            <v>2092223232</v>
          </cell>
          <cell r="P52">
            <v>2292067328</v>
          </cell>
          <cell r="Q52">
            <v>2494566912</v>
          </cell>
        </row>
        <row r="53">
          <cell r="D53" t="str">
            <v>pai</v>
          </cell>
          <cell r="H53">
            <v>0</v>
          </cell>
          <cell r="I53">
            <v>0</v>
          </cell>
          <cell r="J53">
            <v>0</v>
          </cell>
          <cell r="K53">
            <v>0</v>
          </cell>
          <cell r="L53">
            <v>0</v>
          </cell>
          <cell r="M53">
            <v>0</v>
          </cell>
          <cell r="N53">
            <v>0</v>
          </cell>
          <cell r="O53">
            <v>0</v>
          </cell>
          <cell r="P53">
            <v>0</v>
          </cell>
          <cell r="Q53">
            <v>0</v>
          </cell>
        </row>
        <row r="54">
          <cell r="D54" t="str">
            <v>pco</v>
          </cell>
        </row>
        <row r="55">
          <cell r="D55" t="str">
            <v>pdp</v>
          </cell>
          <cell r="H55">
            <v>-5543547</v>
          </cell>
          <cell r="I55">
            <v>-18429878</v>
          </cell>
          <cell r="J55">
            <v>-26154700</v>
          </cell>
          <cell r="K55">
            <v>-47298416</v>
          </cell>
          <cell r="L55">
            <v>-53568344</v>
          </cell>
          <cell r="M55">
            <v>-60264388</v>
          </cell>
          <cell r="N55">
            <v>-66960432</v>
          </cell>
          <cell r="O55">
            <v>-73656472</v>
          </cell>
          <cell r="P55">
            <v>-80352520</v>
          </cell>
          <cell r="Q55">
            <v>-93744608</v>
          </cell>
        </row>
        <row r="56">
          <cell r="D56" t="str">
            <v>peb</v>
          </cell>
          <cell r="H56">
            <v>284859808</v>
          </cell>
          <cell r="I56">
            <v>395036288</v>
          </cell>
          <cell r="J56">
            <v>592543424</v>
          </cell>
          <cell r="K56">
            <v>841966272</v>
          </cell>
          <cell r="L56">
            <v>1239353856</v>
          </cell>
          <cell r="M56">
            <v>1773712256</v>
          </cell>
          <cell r="N56">
            <v>2316812800</v>
          </cell>
          <cell r="O56">
            <v>2743899648</v>
          </cell>
          <cell r="P56">
            <v>3024942592</v>
          </cell>
          <cell r="Q56">
            <v>3270018304</v>
          </cell>
        </row>
        <row r="57">
          <cell r="D57" t="str">
            <v>pfx</v>
          </cell>
          <cell r="H57">
            <v>0</v>
          </cell>
          <cell r="I57">
            <v>0</v>
          </cell>
          <cell r="J57">
            <v>0</v>
          </cell>
          <cell r="K57">
            <v>0</v>
          </cell>
          <cell r="L57">
            <v>0</v>
          </cell>
          <cell r="M57">
            <v>0</v>
          </cell>
          <cell r="N57">
            <v>0</v>
          </cell>
          <cell r="O57">
            <v>0</v>
          </cell>
          <cell r="P57">
            <v>0</v>
          </cell>
          <cell r="Q57">
            <v>0</v>
          </cell>
        </row>
        <row r="58">
          <cell r="D58" t="str">
            <v>pgp</v>
          </cell>
          <cell r="H58">
            <v>1630106496</v>
          </cell>
          <cell r="I58">
            <v>31733334</v>
          </cell>
          <cell r="J58">
            <v>2776745984</v>
          </cell>
          <cell r="K58">
            <v>3876242944</v>
          </cell>
          <cell r="L58">
            <v>5035110912</v>
          </cell>
          <cell r="M58">
            <v>6164979712</v>
          </cell>
          <cell r="N58">
            <v>7422776320</v>
          </cell>
          <cell r="O58">
            <v>8896440320</v>
          </cell>
          <cell r="P58">
            <v>10431117312</v>
          </cell>
          <cell r="Q58">
            <v>12196089856</v>
          </cell>
        </row>
        <row r="59">
          <cell r="D59" t="str">
            <v>pie</v>
          </cell>
          <cell r="H59">
            <v>-81345904</v>
          </cell>
          <cell r="I59">
            <v>-80498080</v>
          </cell>
          <cell r="J59">
            <v>-103369824</v>
          </cell>
          <cell r="K59">
            <v>-79466768</v>
          </cell>
          <cell r="L59">
            <v>-58231772</v>
          </cell>
          <cell r="M59">
            <v>-37346108</v>
          </cell>
          <cell r="N59">
            <v>-14833574</v>
          </cell>
          <cell r="O59">
            <v>-1834956.375</v>
          </cell>
          <cell r="P59">
            <v>-1264681.875</v>
          </cell>
          <cell r="Q59">
            <v>-1414647.25</v>
          </cell>
        </row>
        <row r="60">
          <cell r="D60" t="str">
            <v>pii</v>
          </cell>
          <cell r="H60">
            <v>92082</v>
          </cell>
          <cell r="I60">
            <v>824979</v>
          </cell>
          <cell r="J60">
            <v>374038</v>
          </cell>
          <cell r="K60">
            <v>11468525</v>
          </cell>
          <cell r="L60">
            <v>17531600</v>
          </cell>
          <cell r="M60">
            <v>19696580</v>
          </cell>
          <cell r="N60">
            <v>26072310</v>
          </cell>
          <cell r="O60">
            <v>41083060</v>
          </cell>
          <cell r="P60">
            <v>65393068</v>
          </cell>
          <cell r="Q60">
            <v>93952648</v>
          </cell>
        </row>
        <row r="61">
          <cell r="D61" t="str">
            <v>pin</v>
          </cell>
          <cell r="H61">
            <v>1695192</v>
          </cell>
          <cell r="I61">
            <v>1491027</v>
          </cell>
          <cell r="J61">
            <v>6560199</v>
          </cell>
          <cell r="K61">
            <v>7872239</v>
          </cell>
          <cell r="L61">
            <v>9446687</v>
          </cell>
          <cell r="M61">
            <v>11336024</v>
          </cell>
          <cell r="N61">
            <v>13603229</v>
          </cell>
          <cell r="O61">
            <v>16323874</v>
          </cell>
          <cell r="P61">
            <v>19588650</v>
          </cell>
          <cell r="Q61">
            <v>23506380</v>
          </cell>
        </row>
        <row r="62">
          <cell r="D62" t="str">
            <v>pmi</v>
          </cell>
          <cell r="H62">
            <v>0</v>
          </cell>
          <cell r="I62">
            <v>0</v>
          </cell>
          <cell r="J62">
            <v>0</v>
          </cell>
          <cell r="K62">
            <v>0</v>
          </cell>
          <cell r="L62">
            <v>0</v>
          </cell>
          <cell r="M62">
            <v>0</v>
          </cell>
          <cell r="N62">
            <v>0</v>
          </cell>
          <cell r="O62">
            <v>0</v>
          </cell>
          <cell r="P62">
            <v>0</v>
          </cell>
          <cell r="Q62">
            <v>0</v>
          </cell>
        </row>
        <row r="63">
          <cell r="D63" t="str">
            <v>pnp</v>
          </cell>
          <cell r="H63">
            <v>170122400</v>
          </cell>
          <cell r="I63">
            <v>206273152</v>
          </cell>
          <cell r="J63">
            <v>337241184</v>
          </cell>
          <cell r="K63">
            <v>522375616</v>
          </cell>
          <cell r="L63">
            <v>862728896</v>
          </cell>
          <cell r="M63">
            <v>1294736128</v>
          </cell>
          <cell r="N63">
            <v>1755356544</v>
          </cell>
          <cell r="O63">
            <v>2120756224</v>
          </cell>
          <cell r="P63">
            <v>2363879424</v>
          </cell>
          <cell r="Q63">
            <v>2582136320</v>
          </cell>
        </row>
        <row r="64">
          <cell r="D64" t="str">
            <v>poi</v>
          </cell>
          <cell r="H64">
            <v>986187</v>
          </cell>
          <cell r="I64">
            <v>1468301</v>
          </cell>
          <cell r="J64">
            <v>1357216</v>
          </cell>
          <cell r="K64">
            <v>1628659.25</v>
          </cell>
          <cell r="L64">
            <v>1954391</v>
          </cell>
          <cell r="M64">
            <v>2345269.25</v>
          </cell>
          <cell r="N64">
            <v>2814323</v>
          </cell>
          <cell r="O64">
            <v>3377187.75</v>
          </cell>
          <cell r="P64">
            <v>4052625.25</v>
          </cell>
          <cell r="Q64">
            <v>4863150.5</v>
          </cell>
        </row>
        <row r="65">
          <cell r="D65" t="str">
            <v>ppr</v>
          </cell>
          <cell r="H65">
            <v>164578848</v>
          </cell>
          <cell r="I65">
            <v>187843280</v>
          </cell>
          <cell r="J65">
            <v>311086464</v>
          </cell>
          <cell r="K65">
            <v>475077184</v>
          </cell>
          <cell r="L65">
            <v>809160576</v>
          </cell>
          <cell r="M65">
            <v>1234471680</v>
          </cell>
          <cell r="N65">
            <v>1688396032</v>
          </cell>
          <cell r="O65">
            <v>2047099776</v>
          </cell>
          <cell r="P65">
            <v>2283526912</v>
          </cell>
          <cell r="Q65">
            <v>2488391680</v>
          </cell>
        </row>
        <row r="66">
          <cell r="D66" t="str">
            <v>ppt</v>
          </cell>
          <cell r="H66">
            <v>188188016</v>
          </cell>
          <cell r="I66">
            <v>267648112</v>
          </cell>
          <cell r="J66">
            <v>417079040</v>
          </cell>
          <cell r="K66">
            <v>642528384</v>
          </cell>
          <cell r="L66">
            <v>1033208320</v>
          </cell>
          <cell r="M66">
            <v>1550582144</v>
          </cell>
          <cell r="N66">
            <v>2102223360</v>
          </cell>
          <cell r="O66">
            <v>2539827712</v>
          </cell>
          <cell r="P66">
            <v>2830993408</v>
          </cell>
          <cell r="Q66">
            <v>3092378624</v>
          </cell>
        </row>
        <row r="67">
          <cell r="D67" t="str">
            <v>pre</v>
          </cell>
          <cell r="H67">
            <v>1630106496</v>
          </cell>
          <cell r="I67">
            <v>2018253440</v>
          </cell>
          <cell r="J67">
            <v>2776745984</v>
          </cell>
          <cell r="K67">
            <v>3876242944</v>
          </cell>
          <cell r="L67">
            <v>5035110912</v>
          </cell>
          <cell r="M67">
            <v>6164979712</v>
          </cell>
          <cell r="N67">
            <v>7422776320</v>
          </cell>
          <cell r="O67">
            <v>8896440320</v>
          </cell>
          <cell r="P67">
            <v>10431117312</v>
          </cell>
          <cell r="Q67">
            <v>12196089856</v>
          </cell>
        </row>
        <row r="68">
          <cell r="D68" t="str">
            <v>pop</v>
          </cell>
          <cell r="H68">
            <v>266760464</v>
          </cell>
          <cell r="I68">
            <v>344361888</v>
          </cell>
          <cell r="J68">
            <v>512157408</v>
          </cell>
          <cell r="K68">
            <v>701025792</v>
          </cell>
          <cell r="L68">
            <v>1062507392</v>
          </cell>
          <cell r="M68">
            <v>1554550400</v>
          </cell>
          <cell r="N68">
            <v>2074567040</v>
          </cell>
          <cell r="O68">
            <v>2480878592</v>
          </cell>
          <cell r="P68">
            <v>2743223552</v>
          </cell>
          <cell r="Q68">
            <v>2971471104</v>
          </cell>
        </row>
        <row r="69">
          <cell r="D69" t="str">
            <v>pta</v>
          </cell>
          <cell r="H69">
            <v>-18065622</v>
          </cell>
          <cell r="I69">
            <v>-61374964</v>
          </cell>
          <cell r="J69">
            <v>-79837864</v>
          </cell>
          <cell r="K69">
            <v>-120152816</v>
          </cell>
          <cell r="L69">
            <v>-170479360</v>
          </cell>
          <cell r="M69">
            <v>-255846064</v>
          </cell>
          <cell r="N69">
            <v>-346866848</v>
          </cell>
          <cell r="O69">
            <v>-419071584</v>
          </cell>
          <cell r="P69">
            <v>-467113888</v>
          </cell>
          <cell r="Q69">
            <v>-510242496</v>
          </cell>
        </row>
        <row r="70">
          <cell r="D70" t="str">
            <v>swa</v>
          </cell>
          <cell r="H70">
            <v>11169623</v>
          </cell>
          <cell r="I70">
            <v>11169623</v>
          </cell>
          <cell r="J70">
            <v>11169623</v>
          </cell>
          <cell r="K70">
            <v>12174624</v>
          </cell>
          <cell r="L70">
            <v>12174624</v>
          </cell>
          <cell r="M70">
            <v>12174624</v>
          </cell>
          <cell r="N70">
            <v>12174624</v>
          </cell>
          <cell r="O70">
            <v>12174624</v>
          </cell>
          <cell r="P70">
            <v>12174624</v>
          </cell>
          <cell r="Q70">
            <v>12174624</v>
          </cell>
        </row>
        <row r="71">
          <cell r="D71" t="str">
            <v>vdp</v>
          </cell>
          <cell r="H71">
            <v>1.5</v>
          </cell>
          <cell r="I71">
            <v>1.5</v>
          </cell>
          <cell r="J71">
            <v>3</v>
          </cell>
          <cell r="K71">
            <v>3.5</v>
          </cell>
          <cell r="L71">
            <v>4</v>
          </cell>
          <cell r="M71">
            <v>4.5</v>
          </cell>
          <cell r="N71">
            <v>5</v>
          </cell>
          <cell r="O71">
            <v>5.5</v>
          </cell>
          <cell r="P71">
            <v>6</v>
          </cell>
          <cell r="Q71">
            <v>7</v>
          </cell>
        </row>
        <row r="72">
          <cell r="D72" t="str">
            <v>vep</v>
          </cell>
          <cell r="H72">
            <v>15.230809211730957</v>
          </cell>
          <cell r="I72">
            <v>18.46733283996582</v>
          </cell>
          <cell r="J72">
            <v>30.192707061767578</v>
          </cell>
          <cell r="K72">
            <v>42.906917572021484</v>
          </cell>
          <cell r="L72">
            <v>70.862876892089844</v>
          </cell>
          <cell r="M72">
            <v>106.34711456298828</v>
          </cell>
          <cell r="N72">
            <v>144.18157958984375</v>
          </cell>
          <cell r="O72">
            <v>174.19479370117188</v>
          </cell>
          <cell r="P72">
            <v>194.16447448730469</v>
          </cell>
          <cell r="Q72">
            <v>212.09165954589844</v>
          </cell>
        </row>
        <row r="73">
          <cell r="D73" t="str">
            <v>veg</v>
          </cell>
          <cell r="I73">
            <v>0.21249851584434509</v>
          </cell>
          <cell r="J73">
            <v>0.63492518663406372</v>
          </cell>
          <cell r="K73">
            <v>0.42110204696655273</v>
          </cell>
          <cell r="L73">
            <v>0.65154904127120972</v>
          </cell>
          <cell r="M73">
            <v>0.50074499845504761</v>
          </cell>
          <cell r="N73">
            <v>0.35576391220092773</v>
          </cell>
          <cell r="O73">
            <v>0.20816265046596527</v>
          </cell>
          <cell r="P73">
            <v>0.11463987827301025</v>
          </cell>
          <cell r="Q73">
            <v>9.2329926788806915E-2</v>
          </cell>
        </row>
        <row r="74">
          <cell r="D74" t="str">
            <v>vcf</v>
          </cell>
          <cell r="H74">
            <v>15.637989044189453</v>
          </cell>
          <cell r="I74">
            <v>6.8655276298522949</v>
          </cell>
          <cell r="J74">
            <v>29.938318252563477</v>
          </cell>
          <cell r="K74">
            <v>40.195133209228516</v>
          </cell>
          <cell r="L74">
            <v>69.796073913574219</v>
          </cell>
          <cell r="M74">
            <v>111.44078826904297</v>
          </cell>
          <cell r="N74">
            <v>124.43379974365234</v>
          </cell>
          <cell r="O74">
            <v>171.85115051269531</v>
          </cell>
          <cell r="P74">
            <v>188.26596069335938</v>
          </cell>
          <cell r="Q74">
            <v>204.89889526367188</v>
          </cell>
        </row>
        <row r="75">
          <cell r="D75" t="str">
            <v>vva</v>
          </cell>
          <cell r="H75">
            <v>0</v>
          </cell>
          <cell r="I75">
            <v>6437913</v>
          </cell>
          <cell r="J75">
            <v>10931000</v>
          </cell>
          <cell r="K75">
            <v>25000000</v>
          </cell>
          <cell r="L75">
            <v>25000000</v>
          </cell>
          <cell r="M75">
            <v>25000000</v>
          </cell>
          <cell r="N75">
            <v>25000000</v>
          </cell>
          <cell r="O75">
            <v>25000000</v>
          </cell>
          <cell r="P75">
            <v>25000000</v>
          </cell>
          <cell r="Q75">
            <v>25000000</v>
          </cell>
        </row>
        <row r="76">
          <cell r="D76" t="str">
            <v>vbv</v>
          </cell>
          <cell r="H76">
            <v>26.077983856201172</v>
          </cell>
          <cell r="I76">
            <v>42.895313262939453</v>
          </cell>
          <cell r="J76">
            <v>70.7464599609375</v>
          </cell>
          <cell r="K76">
            <v>194.873046875</v>
          </cell>
          <cell r="L76">
            <v>269.14871215820313</v>
          </cell>
          <cell r="M76">
            <v>367.83047485351563</v>
          </cell>
          <cell r="N76">
            <v>493.20562744140625</v>
          </cell>
          <cell r="O76">
            <v>656.84759521484375</v>
          </cell>
          <cell r="P76">
            <v>839.38922119140625</v>
          </cell>
          <cell r="Q76">
            <v>1038.307373046875</v>
          </cell>
        </row>
        <row r="77">
          <cell r="D77" t="str">
            <v>vsp</v>
          </cell>
          <cell r="H77">
            <v>272.5</v>
          </cell>
          <cell r="I77">
            <v>272.5</v>
          </cell>
          <cell r="J77">
            <v>725</v>
          </cell>
          <cell r="K77">
            <v>725</v>
          </cell>
          <cell r="L77">
            <v>725</v>
          </cell>
          <cell r="M77">
            <v>725</v>
          </cell>
          <cell r="N77">
            <v>725</v>
          </cell>
          <cell r="O77">
            <v>725</v>
          </cell>
          <cell r="P77">
            <v>725</v>
          </cell>
          <cell r="Q77">
            <v>725</v>
          </cell>
        </row>
        <row r="78">
          <cell r="D78" t="str">
            <v>boc</v>
          </cell>
          <cell r="H78">
            <v>88819576</v>
          </cell>
          <cell r="I78">
            <v>180955648</v>
          </cell>
          <cell r="J78">
            <v>159766176</v>
          </cell>
          <cell r="K78">
            <v>175742800</v>
          </cell>
          <cell r="L78">
            <v>193317072</v>
          </cell>
          <cell r="M78">
            <v>212648784</v>
          </cell>
          <cell r="N78">
            <v>233913664</v>
          </cell>
          <cell r="O78">
            <v>257305024</v>
          </cell>
          <cell r="P78">
            <v>283035520</v>
          </cell>
          <cell r="Q78">
            <v>311339072</v>
          </cell>
        </row>
        <row r="79">
          <cell r="D79" t="str">
            <v>bcp</v>
          </cell>
          <cell r="H79">
            <v>0</v>
          </cell>
          <cell r="I79">
            <v>6437913</v>
          </cell>
          <cell r="J79">
            <v>10931000</v>
          </cell>
          <cell r="K79">
            <v>25000000</v>
          </cell>
          <cell r="L79">
            <v>25000000</v>
          </cell>
          <cell r="M79">
            <v>25000000</v>
          </cell>
          <cell r="N79">
            <v>25000000</v>
          </cell>
          <cell r="O79">
            <v>25000000</v>
          </cell>
          <cell r="P79">
            <v>25000000</v>
          </cell>
          <cell r="Q79">
            <v>25000000</v>
          </cell>
        </row>
        <row r="80">
          <cell r="D80" t="str">
            <v>bpp</v>
          </cell>
          <cell r="H80">
            <v>0</v>
          </cell>
          <cell r="I80">
            <v>0</v>
          </cell>
          <cell r="J80">
            <v>0</v>
          </cell>
          <cell r="K80">
            <v>0</v>
          </cell>
          <cell r="L80">
            <v>0</v>
          </cell>
          <cell r="M80">
            <v>0</v>
          </cell>
          <cell r="N80">
            <v>0</v>
          </cell>
          <cell r="O80">
            <v>0</v>
          </cell>
          <cell r="P80">
            <v>0</v>
          </cell>
          <cell r="Q80">
            <v>0</v>
          </cell>
        </row>
        <row r="81">
          <cell r="D81" t="str">
            <v>pet</v>
          </cell>
          <cell r="H81">
            <v>0</v>
          </cell>
          <cell r="I81">
            <v>0</v>
          </cell>
          <cell r="J81">
            <v>0</v>
          </cell>
          <cell r="K81">
            <v>0</v>
          </cell>
          <cell r="L81">
            <v>0</v>
          </cell>
          <cell r="M81">
            <v>0</v>
          </cell>
          <cell r="N81">
            <v>0</v>
          </cell>
          <cell r="O81">
            <v>0</v>
          </cell>
          <cell r="P81">
            <v>0</v>
          </cell>
          <cell r="Q81">
            <v>0</v>
          </cell>
        </row>
        <row r="82">
          <cell r="D82" t="str">
            <v>tnd</v>
          </cell>
          <cell r="H82">
            <v>-296655232</v>
          </cell>
          <cell r="I82">
            <v>-387952992</v>
          </cell>
          <cell r="J82">
            <v>-364409664</v>
          </cell>
          <cell r="K82">
            <v>20857026</v>
          </cell>
          <cell r="L82">
            <v>48281528</v>
          </cell>
          <cell r="M82">
            <v>351462912</v>
          </cell>
          <cell r="N82">
            <v>856133248</v>
          </cell>
          <cell r="O82">
            <v>1061395968</v>
          </cell>
          <cell r="P82">
            <v>1229806848</v>
          </cell>
          <cell r="Q82">
            <v>1454021248</v>
          </cell>
        </row>
        <row r="83">
          <cell r="D83" t="str">
            <v>tfd</v>
          </cell>
          <cell r="H83">
            <v>0</v>
          </cell>
          <cell r="I83">
            <v>0</v>
          </cell>
          <cell r="J83">
            <v>0</v>
          </cell>
          <cell r="K83">
            <v>0</v>
          </cell>
          <cell r="L83">
            <v>0</v>
          </cell>
          <cell r="M83">
            <v>0</v>
          </cell>
          <cell r="N83">
            <v>0</v>
          </cell>
          <cell r="O83">
            <v>0</v>
          </cell>
          <cell r="P83">
            <v>0</v>
          </cell>
          <cell r="Q83">
            <v>0</v>
          </cell>
        </row>
        <row r="84">
          <cell r="D84" t="str">
            <v>tfr</v>
          </cell>
          <cell r="H84">
            <v>6627057</v>
          </cell>
          <cell r="I84">
            <v>8327578</v>
          </cell>
          <cell r="J84">
            <v>256257920</v>
          </cell>
          <cell r="K84">
            <v>732385152</v>
          </cell>
          <cell r="L84">
            <v>1391531776</v>
          </cell>
          <cell r="M84">
            <v>2087297664</v>
          </cell>
          <cell r="N84">
            <v>2922216704</v>
          </cell>
          <cell r="O84">
            <v>3798881792</v>
          </cell>
          <cell r="P84">
            <v>4558658048</v>
          </cell>
          <cell r="Q84">
            <v>5470389760</v>
          </cell>
        </row>
        <row r="85">
          <cell r="D85" t="str">
            <v>tfc</v>
          </cell>
          <cell r="H85">
            <v>229594784</v>
          </cell>
          <cell r="I85">
            <v>126780208</v>
          </cell>
          <cell r="J85">
            <v>581252224</v>
          </cell>
          <cell r="K85">
            <v>1039360640</v>
          </cell>
          <cell r="L85">
            <v>1302900864</v>
          </cell>
          <cell r="M85">
            <v>1973247616</v>
          </cell>
          <cell r="N85">
            <v>2405667840</v>
          </cell>
          <cell r="O85">
            <v>3159795968</v>
          </cell>
          <cell r="P85">
            <v>3543801344</v>
          </cell>
          <cell r="Q85">
            <v>3958097664</v>
          </cell>
        </row>
        <row r="86">
          <cell r="D86" t="str">
            <v>tci</v>
          </cell>
        </row>
        <row r="87">
          <cell r="D87" t="str">
            <v>tin</v>
          </cell>
          <cell r="H87">
            <v>5.208531379699707</v>
          </cell>
          <cell r="I87">
            <v>7.9465336799621582</v>
          </cell>
          <cell r="J87">
            <v>10.316474914550781</v>
          </cell>
          <cell r="K87">
            <v>10.316474914550781</v>
          </cell>
          <cell r="L87">
            <v>10.316474914550781</v>
          </cell>
          <cell r="M87">
            <v>10.316474914550781</v>
          </cell>
          <cell r="N87">
            <v>11</v>
          </cell>
          <cell r="O87">
            <v>11</v>
          </cell>
          <cell r="P87">
            <v>12</v>
          </cell>
          <cell r="Q87">
            <v>12</v>
          </cell>
        </row>
        <row r="88">
          <cell r="D88" t="str">
            <v>tfo</v>
          </cell>
          <cell r="H88">
            <v>-3761712</v>
          </cell>
          <cell r="I88">
            <v>-3654213</v>
          </cell>
          <cell r="J88">
            <v>-102503168</v>
          </cell>
          <cell r="K88">
            <v>-292954048</v>
          </cell>
          <cell r="L88">
            <v>-556612672</v>
          </cell>
          <cell r="M88">
            <v>-834919040</v>
          </cell>
          <cell r="N88">
            <v>-1168886656</v>
          </cell>
          <cell r="O88">
            <v>-1519552640</v>
          </cell>
          <cell r="P88">
            <v>-1823463168</v>
          </cell>
          <cell r="Q88">
            <v>-2188155904</v>
          </cell>
        </row>
        <row r="89">
          <cell r="D89" t="str">
            <v>tev</v>
          </cell>
          <cell r="H89">
            <v>0.16576781868934631</v>
          </cell>
          <cell r="I89">
            <v>0.13093939423561096</v>
          </cell>
          <cell r="J89">
            <v>0.18545570969581604</v>
          </cell>
          <cell r="K89">
            <v>9.4530105590820313E-2</v>
          </cell>
          <cell r="L89">
            <v>9.7796186804771423E-2</v>
          </cell>
          <cell r="M89">
            <v>0.13761031627655029</v>
          </cell>
          <cell r="N89">
            <v>0.13922296464443207</v>
          </cell>
          <cell r="O89">
            <v>0.10720744729042053</v>
          </cell>
          <cell r="P89">
            <v>6.548820436000824E-2</v>
          </cell>
          <cell r="Q89">
            <v>3.2724451273679733E-2</v>
          </cell>
        </row>
      </sheetData>
      <sheetData sheetId="7" refreshError="1"/>
      <sheetData sheetId="8"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ysis"/>
      <sheetName val="Sales"/>
      <sheetName val="Input"/>
      <sheetName val="Power"/>
      <sheetName val="Stores"/>
      <sheetName val="Others"/>
      <sheetName val="RDB"/>
    </sheetNames>
    <sheetDataSet>
      <sheetData sheetId="0"/>
      <sheetData sheetId="1"/>
      <sheetData sheetId="2" refreshError="1">
        <row r="1">
          <cell r="K1">
            <v>100000</v>
          </cell>
        </row>
      </sheetData>
      <sheetData sheetId="3"/>
      <sheetData sheetId="4"/>
      <sheetData sheetId="5"/>
      <sheetData sheetId="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Template"/>
      <sheetName val="blank"/>
      <sheetName val="DCFModel"/>
      <sheetName val="Chartdata"/>
      <sheetName val="Earnings model"/>
      <sheetName val="DCF"/>
      <sheetName val="Halfyear"/>
      <sheetName val="co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file"/>
      <sheetName val="Capital"/>
      <sheetName val="Sales"/>
      <sheetName val="Input"/>
      <sheetName val="salesmix"/>
      <sheetName val="Debt"/>
      <sheetName val="Tax"/>
      <sheetName val="CapEx"/>
      <sheetName val="QuanOP"/>
      <sheetName val="Formats"/>
      <sheetName val="Calc"/>
      <sheetName val="NDDS"/>
      <sheetName val="VarName"/>
      <sheetName val="CoSheet"/>
      <sheetName val="Top Brands"/>
      <sheetName val="Half Yearly"/>
      <sheetName val="Aladdin Macro1"/>
      <sheetName val="Template-Q"/>
    </sheetNames>
    <sheetDataSet>
      <sheetData sheetId="0" refreshError="1">
        <row r="16">
          <cell r="K16" t="str">
            <v>IT Depr Rate</v>
          </cell>
          <cell r="L16">
            <v>25</v>
          </cell>
          <cell r="M16">
            <v>25</v>
          </cell>
          <cell r="N16">
            <v>25</v>
          </cell>
          <cell r="O16">
            <v>25</v>
          </cell>
          <cell r="P16">
            <v>25</v>
          </cell>
          <cell r="Q16">
            <v>25</v>
          </cell>
          <cell r="R16">
            <v>25</v>
          </cell>
          <cell r="S16">
            <v>25</v>
          </cell>
          <cell r="T16">
            <v>25</v>
          </cell>
          <cell r="U16">
            <v>25</v>
          </cell>
          <cell r="V16">
            <v>25</v>
          </cell>
          <cell r="W16">
            <v>25</v>
          </cell>
          <cell r="X16">
            <v>25</v>
          </cell>
          <cell r="Y16">
            <v>25</v>
          </cell>
          <cell r="Z16">
            <v>25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Morning note"/>
      <sheetName val="P&amp;L"/>
      <sheetName val="BS"/>
      <sheetName val="Cashflow"/>
      <sheetName val="Deprn"/>
      <sheetName val="Quarterly Deprn"/>
      <sheetName val="Quarterly Exp"/>
      <sheetName val="Quarterly BS"/>
      <sheetName val="QtrlyCashflow"/>
      <sheetName val="QtrlyRatios"/>
      <sheetName val="Ratios"/>
      <sheetName val="Rev-Breakup"/>
      <sheetName val="ProgeonPL"/>
      <sheetName val="ProgeonBS"/>
      <sheetName val="ProgeonCF"/>
      <sheetName val="IT valuation links-Cons"/>
      <sheetName val="Progeon Expenses"/>
      <sheetName val="Expenses"/>
      <sheetName val="Client Revs"/>
      <sheetName val="Data  "/>
      <sheetName val="Charts"/>
      <sheetName val="Chart Data"/>
      <sheetName val="Quarterly P&amp;L"/>
      <sheetName val="Halfyear"/>
      <sheetName val="ESOP calculation"/>
      <sheetName val="Screen"/>
      <sheetName val="Info"/>
      <sheetName val="Client 2"/>
      <sheetName val="Clients"/>
      <sheetName val="Employees"/>
      <sheetName val="Infrastructure"/>
      <sheetName val="WACC"/>
      <sheetName val="DCF"/>
      <sheetName val="Flash "/>
      <sheetName val="EVA"/>
      <sheetName val="Vaishakhi"/>
      <sheetName val="cur flash"/>
      <sheetName val="Templ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1">
          <cell r="A1" t="str">
            <v>Quarterly Results</v>
          </cell>
          <cell r="B1" t="str">
            <v>1Q98</v>
          </cell>
          <cell r="C1" t="str">
            <v>2Q98</v>
          </cell>
          <cell r="D1" t="str">
            <v>3Q98</v>
          </cell>
          <cell r="E1" t="str">
            <v>4Q98</v>
          </cell>
          <cell r="F1" t="str">
            <v>1Q99</v>
          </cell>
          <cell r="G1" t="str">
            <v>2Q99</v>
          </cell>
          <cell r="H1" t="str">
            <v>3Q99</v>
          </cell>
          <cell r="I1" t="str">
            <v>4Q99</v>
          </cell>
          <cell r="J1" t="str">
            <v>1Q00</v>
          </cell>
          <cell r="K1" t="str">
            <v>2Q00</v>
          </cell>
          <cell r="L1" t="str">
            <v>3Q00</v>
          </cell>
          <cell r="M1" t="str">
            <v>4Q00</v>
          </cell>
        </row>
        <row r="2">
          <cell r="A2" t="str">
            <v>Software Exports</v>
          </cell>
          <cell r="B2">
            <v>437.85006099999998</v>
          </cell>
          <cell r="C2">
            <v>591.44023800000002</v>
          </cell>
          <cell r="D2">
            <v>710.53299300000003</v>
          </cell>
          <cell r="E2">
            <v>769.57670800000005</v>
          </cell>
          <cell r="F2">
            <v>963.78798600000005</v>
          </cell>
          <cell r="G2">
            <v>1180.9833289999999</v>
          </cell>
          <cell r="H2">
            <v>1378.271833</v>
          </cell>
          <cell r="I2">
            <v>1479.4972700000001</v>
          </cell>
          <cell r="J2">
            <v>1686.2110009999999</v>
          </cell>
          <cell r="K2">
            <v>2050.722424</v>
          </cell>
          <cell r="L2">
            <v>2244.0925309999998</v>
          </cell>
          <cell r="M2">
            <v>2715.9549750000001</v>
          </cell>
        </row>
        <row r="3">
          <cell r="A3" t="str">
            <v>Domestic Software Income</v>
          </cell>
          <cell r="B3">
            <v>15.35763</v>
          </cell>
          <cell r="C3">
            <v>14.942589999999999</v>
          </cell>
          <cell r="D3">
            <v>19.731750000000002</v>
          </cell>
          <cell r="E3">
            <v>16.968029999999999</v>
          </cell>
          <cell r="F3">
            <v>11.442086</v>
          </cell>
          <cell r="G3">
            <v>19.005057999999998</v>
          </cell>
          <cell r="H3">
            <v>16.176459999999999</v>
          </cell>
          <cell r="I3">
            <v>39.747646000000003</v>
          </cell>
          <cell r="J3">
            <v>16.495994</v>
          </cell>
          <cell r="K3">
            <v>32.264605000000003</v>
          </cell>
          <cell r="L3">
            <v>20.037227000000001</v>
          </cell>
          <cell r="M3">
            <v>57.458216</v>
          </cell>
        </row>
        <row r="4">
          <cell r="A4" t="str">
            <v>Sale of Imported S/W Packages</v>
          </cell>
          <cell r="B4">
            <v>0.16483999999999999</v>
          </cell>
          <cell r="C4">
            <v>0</v>
          </cell>
          <cell r="D4">
            <v>0</v>
          </cell>
          <cell r="E4">
            <v>0</v>
          </cell>
          <cell r="F4">
            <v>0</v>
          </cell>
          <cell r="G4">
            <v>0</v>
          </cell>
          <cell r="H4">
            <v>0</v>
          </cell>
          <cell r="I4">
            <v>0</v>
          </cell>
          <cell r="J4">
            <v>0</v>
          </cell>
          <cell r="K4">
            <v>0</v>
          </cell>
          <cell r="L4">
            <v>0</v>
          </cell>
          <cell r="M4">
            <v>0</v>
          </cell>
        </row>
        <row r="5">
          <cell r="A5" t="str">
            <v>Progeon</v>
          </cell>
        </row>
        <row r="6">
          <cell r="A6" t="str">
            <v>Total Revenues</v>
          </cell>
          <cell r="B6">
            <v>453.37253099999998</v>
          </cell>
          <cell r="C6">
            <v>606.38282800000002</v>
          </cell>
          <cell r="D6">
            <v>730.26474300000007</v>
          </cell>
          <cell r="E6">
            <v>786.54473800000005</v>
          </cell>
          <cell r="F6">
            <v>975.23007200000006</v>
          </cell>
          <cell r="G6">
            <v>1199.9883869999999</v>
          </cell>
          <cell r="H6">
            <v>1394.4482929999999</v>
          </cell>
          <cell r="I6">
            <v>1519.2449160000001</v>
          </cell>
          <cell r="J6">
            <v>1702.706995</v>
          </cell>
          <cell r="K6">
            <v>2082.9870289999999</v>
          </cell>
          <cell r="L6">
            <v>2264.1297579999996</v>
          </cell>
          <cell r="M6">
            <v>2773.4131910000001</v>
          </cell>
        </row>
        <row r="7">
          <cell r="A7" t="str">
            <v>Development Expenses</v>
          </cell>
          <cell r="B7">
            <v>-267.72352799999999</v>
          </cell>
          <cell r="C7">
            <v>-338.25788799999998</v>
          </cell>
          <cell r="D7">
            <v>-389.24003900000002</v>
          </cell>
          <cell r="E7">
            <v>-416.97854499999994</v>
          </cell>
          <cell r="F7">
            <v>-558.25497999999993</v>
          </cell>
          <cell r="G7">
            <v>-659.22733600000004</v>
          </cell>
          <cell r="H7">
            <v>-664.72387500000002</v>
          </cell>
          <cell r="I7">
            <v>-732.96222799999998</v>
          </cell>
          <cell r="J7">
            <v>-891.88126599999998</v>
          </cell>
          <cell r="K7">
            <v>-1130.7674279999999</v>
          </cell>
          <cell r="L7">
            <v>-1177.8466209999999</v>
          </cell>
          <cell r="M7">
            <v>-1462.1892389999998</v>
          </cell>
        </row>
        <row r="8">
          <cell r="A8" t="str">
            <v>Operating &amp; Admin Expenses</v>
          </cell>
          <cell r="B8">
            <v>-53.065672999999997</v>
          </cell>
          <cell r="C8">
            <v>-67.537194</v>
          </cell>
          <cell r="D8">
            <v>-88.872175999999996</v>
          </cell>
          <cell r="E8">
            <v>-94.717523999999997</v>
          </cell>
          <cell r="F8">
            <v>-99.906913000000003</v>
          </cell>
          <cell r="G8">
            <v>-99.283387000000005</v>
          </cell>
          <cell r="H8">
            <v>-121.833522</v>
          </cell>
          <cell r="I8">
            <v>-136.50617799999992</v>
          </cell>
          <cell r="J8">
            <v>-124.994429</v>
          </cell>
          <cell r="K8">
            <v>-148.33793399999999</v>
          </cell>
          <cell r="L8">
            <v>-161.14639399999999</v>
          </cell>
          <cell r="M8">
            <v>-212.489418</v>
          </cell>
        </row>
        <row r="9">
          <cell r="A9" t="str">
            <v>Selling &amp; Marketing</v>
          </cell>
          <cell r="B9">
            <v>0</v>
          </cell>
          <cell r="C9">
            <v>0</v>
          </cell>
          <cell r="D9">
            <v>0</v>
          </cell>
          <cell r="E9">
            <v>0</v>
          </cell>
          <cell r="F9">
            <v>-6.4704540000000001</v>
          </cell>
          <cell r="G9">
            <v>-60.591329000000002</v>
          </cell>
          <cell r="H9">
            <v>-110</v>
          </cell>
          <cell r="I9">
            <v>0</v>
          </cell>
          <cell r="J9">
            <v>-11.144532</v>
          </cell>
          <cell r="K9">
            <v>-5.3935300000000002</v>
          </cell>
          <cell r="L9">
            <v>-11.583689</v>
          </cell>
          <cell r="M9">
            <v>-19.742540000000002</v>
          </cell>
        </row>
        <row r="10">
          <cell r="A10" t="str">
            <v>Provision for contingency</v>
          </cell>
          <cell r="B10">
            <v>0</v>
          </cell>
          <cell r="C10">
            <v>0</v>
          </cell>
          <cell r="D10">
            <v>0</v>
          </cell>
          <cell r="E10">
            <v>0</v>
          </cell>
          <cell r="F10">
            <v>-10</v>
          </cell>
          <cell r="G10">
            <v>-25.3</v>
          </cell>
          <cell r="H10">
            <v>-68.595674000000002</v>
          </cell>
          <cell r="I10">
            <v>-33.299999999999997</v>
          </cell>
          <cell r="J10">
            <v>-33.299999999999997</v>
          </cell>
          <cell r="K10">
            <v>-35</v>
          </cell>
          <cell r="L10">
            <v>0</v>
          </cell>
          <cell r="M10">
            <v>0</v>
          </cell>
        </row>
        <row r="11">
          <cell r="A11" t="str">
            <v>Provision for investment</v>
          </cell>
        </row>
        <row r="12">
          <cell r="A12" t="str">
            <v>Total Expenses</v>
          </cell>
          <cell r="B12">
            <v>-320.78920099999999</v>
          </cell>
          <cell r="C12">
            <v>-405.79508199999998</v>
          </cell>
          <cell r="D12">
            <v>-478.11221499999999</v>
          </cell>
          <cell r="E12">
            <v>-511.69606899999997</v>
          </cell>
          <cell r="F12">
            <v>-674.63234699999998</v>
          </cell>
          <cell r="G12">
            <v>-844.40205200000003</v>
          </cell>
          <cell r="H12">
            <v>-965.15307100000007</v>
          </cell>
          <cell r="I12">
            <v>-902.76840599999991</v>
          </cell>
          <cell r="J12">
            <v>-1061.3202269999999</v>
          </cell>
          <cell r="K12">
            <v>-1319.4988919999998</v>
          </cell>
          <cell r="L12">
            <v>-1350.5767040000001</v>
          </cell>
          <cell r="M12">
            <v>-1694.4211969999999</v>
          </cell>
        </row>
        <row r="13">
          <cell r="A13" t="str">
            <v>EBITDA</v>
          </cell>
          <cell r="B13">
            <v>132.58332999999999</v>
          </cell>
          <cell r="C13">
            <v>200.58774600000004</v>
          </cell>
          <cell r="D13">
            <v>252.15252800000007</v>
          </cell>
          <cell r="E13">
            <v>274.84866900000009</v>
          </cell>
          <cell r="F13">
            <v>300.59772500000008</v>
          </cell>
          <cell r="G13">
            <v>355.58633499999985</v>
          </cell>
          <cell r="H13">
            <v>429.29522199999985</v>
          </cell>
          <cell r="I13">
            <v>616.47651000000019</v>
          </cell>
          <cell r="J13">
            <v>641.38676800000007</v>
          </cell>
          <cell r="K13">
            <v>763.48813700000005</v>
          </cell>
          <cell r="L13">
            <v>913.55305399999952</v>
          </cell>
          <cell r="M13">
            <v>1078.9919940000002</v>
          </cell>
        </row>
        <row r="14">
          <cell r="A14" t="str">
            <v>Other Income</v>
          </cell>
          <cell r="B14">
            <v>4.7</v>
          </cell>
          <cell r="C14">
            <v>12.5</v>
          </cell>
          <cell r="D14">
            <v>3.3</v>
          </cell>
          <cell r="E14">
            <v>6.6000000000000014</v>
          </cell>
          <cell r="F14">
            <v>9</v>
          </cell>
          <cell r="G14">
            <v>4.4000000000000004</v>
          </cell>
          <cell r="H14">
            <v>7.2</v>
          </cell>
          <cell r="I14">
            <v>17.870000000000005</v>
          </cell>
          <cell r="J14">
            <v>137.91324500000002</v>
          </cell>
          <cell r="K14">
            <v>95.818435999999991</v>
          </cell>
          <cell r="L14">
            <v>71.100819000000001</v>
          </cell>
          <cell r="M14">
            <v>86.578596000000005</v>
          </cell>
        </row>
        <row r="15">
          <cell r="A15" t="str">
            <v>Depreciation</v>
          </cell>
          <cell r="B15">
            <v>-35.5</v>
          </cell>
          <cell r="C15">
            <v>-59.5</v>
          </cell>
          <cell r="D15">
            <v>-58.1</v>
          </cell>
          <cell r="E15">
            <v>-74.400000000000006</v>
          </cell>
          <cell r="F15">
            <v>-49.4</v>
          </cell>
          <cell r="G15">
            <v>-74.099999999999994</v>
          </cell>
          <cell r="H15">
            <v>-91.2</v>
          </cell>
          <cell r="I15">
            <v>-144.19999999999999</v>
          </cell>
          <cell r="J15">
            <v>-93.218148999999997</v>
          </cell>
          <cell r="K15">
            <v>-107.223769</v>
          </cell>
          <cell r="L15">
            <v>-144.79908</v>
          </cell>
          <cell r="M15">
            <v>-187.08639099999999</v>
          </cell>
        </row>
        <row r="16">
          <cell r="A16" t="str">
            <v>Interest</v>
          </cell>
          <cell r="B16">
            <v>0</v>
          </cell>
          <cell r="C16">
            <v>0</v>
          </cell>
          <cell r="D16">
            <v>0</v>
          </cell>
          <cell r="E16">
            <v>0</v>
          </cell>
          <cell r="F16">
            <v>0</v>
          </cell>
          <cell r="G16">
            <v>0</v>
          </cell>
          <cell r="H16">
            <v>0</v>
          </cell>
          <cell r="I16">
            <v>0</v>
          </cell>
          <cell r="J16">
            <v>0</v>
          </cell>
          <cell r="K16">
            <v>0</v>
          </cell>
          <cell r="L16">
            <v>0</v>
          </cell>
          <cell r="M16">
            <v>0</v>
          </cell>
        </row>
        <row r="17">
          <cell r="A17" t="str">
            <v>Profit before Tax</v>
          </cell>
          <cell r="B17">
            <v>101.78332999999998</v>
          </cell>
          <cell r="C17">
            <v>153.58774600000004</v>
          </cell>
          <cell r="D17">
            <v>197.35252800000009</v>
          </cell>
          <cell r="E17">
            <v>207.0486690000001</v>
          </cell>
          <cell r="F17">
            <v>260.1977250000001</v>
          </cell>
          <cell r="G17">
            <v>285.8863349999998</v>
          </cell>
          <cell r="H17">
            <v>345.29522199999985</v>
          </cell>
          <cell r="I17">
            <v>490.14651000000021</v>
          </cell>
          <cell r="J17">
            <v>686.081864</v>
          </cell>
          <cell r="K17">
            <v>752.08280400000012</v>
          </cell>
          <cell r="L17">
            <v>839.85479299999952</v>
          </cell>
          <cell r="M17">
            <v>978.48419900000022</v>
          </cell>
        </row>
        <row r="18">
          <cell r="A18" t="str">
            <v>Taxation</v>
          </cell>
          <cell r="B18">
            <v>-9.6</v>
          </cell>
          <cell r="C18">
            <v>-15.3</v>
          </cell>
          <cell r="D18">
            <v>-15</v>
          </cell>
          <cell r="E18">
            <v>-15.100000000000001</v>
          </cell>
          <cell r="F18">
            <v>-30</v>
          </cell>
          <cell r="G18">
            <v>-62.5</v>
          </cell>
          <cell r="H18">
            <v>-77.900000000000006</v>
          </cell>
          <cell r="I18">
            <v>-58.999999999999972</v>
          </cell>
          <cell r="J18">
            <v>-80</v>
          </cell>
          <cell r="K18">
            <v>-95</v>
          </cell>
          <cell r="L18">
            <v>-102</v>
          </cell>
          <cell r="M18">
            <v>-120</v>
          </cell>
        </row>
        <row r="19">
          <cell r="A19" t="str">
            <v>Net Profit</v>
          </cell>
          <cell r="B19">
            <v>92.183329999999984</v>
          </cell>
          <cell r="C19">
            <v>138.28774600000003</v>
          </cell>
          <cell r="D19">
            <v>182.35252800000009</v>
          </cell>
          <cell r="E19">
            <v>191.94866900000011</v>
          </cell>
          <cell r="F19">
            <v>230.1977250000001</v>
          </cell>
          <cell r="G19">
            <v>223.3863349999998</v>
          </cell>
          <cell r="H19">
            <v>267.39522199999988</v>
          </cell>
          <cell r="I19">
            <v>431.14651000000026</v>
          </cell>
          <cell r="J19">
            <v>606.081864</v>
          </cell>
          <cell r="K19">
            <v>657.08280400000012</v>
          </cell>
          <cell r="L19">
            <v>737.85479299999952</v>
          </cell>
          <cell r="M19">
            <v>858.48419900000022</v>
          </cell>
        </row>
        <row r="20">
          <cell r="A20" t="str">
            <v>Prov. for investment in subs.</v>
          </cell>
          <cell r="B20">
            <v>0</v>
          </cell>
          <cell r="C20">
            <v>0</v>
          </cell>
          <cell r="D20">
            <v>0</v>
          </cell>
          <cell r="E20">
            <v>0</v>
          </cell>
          <cell r="F20">
            <v>-10</v>
          </cell>
          <cell r="G20">
            <v>-25.3</v>
          </cell>
          <cell r="H20">
            <v>-35.299999999999997</v>
          </cell>
          <cell r="I20">
            <v>0</v>
          </cell>
          <cell r="J20">
            <v>0</v>
          </cell>
          <cell r="K20">
            <v>0</v>
          </cell>
          <cell r="L20">
            <v>0</v>
          </cell>
          <cell r="M20">
            <v>0</v>
          </cell>
        </row>
        <row r="21">
          <cell r="A21" t="str">
            <v>Prov. for e-inventing the company</v>
          </cell>
          <cell r="J21">
            <v>0</v>
          </cell>
          <cell r="K21">
            <v>-35</v>
          </cell>
          <cell r="L21">
            <v>0</v>
          </cell>
          <cell r="M21">
            <v>0</v>
          </cell>
        </row>
        <row r="22">
          <cell r="A22" t="str">
            <v>Extraordinary Income</v>
          </cell>
          <cell r="B22">
            <v>0</v>
          </cell>
          <cell r="C22">
            <v>0</v>
          </cell>
          <cell r="D22">
            <v>0</v>
          </cell>
          <cell r="E22">
            <v>0</v>
          </cell>
          <cell r="F22">
            <v>0</v>
          </cell>
          <cell r="G22">
            <v>0</v>
          </cell>
          <cell r="H22">
            <v>23.5</v>
          </cell>
          <cell r="I22">
            <v>0</v>
          </cell>
          <cell r="J22">
            <v>0</v>
          </cell>
          <cell r="K22">
            <v>0</v>
          </cell>
          <cell r="L22">
            <v>0</v>
          </cell>
          <cell r="M22">
            <v>75.670845999999997</v>
          </cell>
        </row>
        <row r="24">
          <cell r="A24" t="str">
            <v>EBITDA Margin %</v>
          </cell>
          <cell r="B24">
            <v>0.29254430724124669</v>
          </cell>
          <cell r="C24">
            <v>0.33079390895944044</v>
          </cell>
          <cell r="D24">
            <v>0.34528919876938391</v>
          </cell>
          <cell r="E24">
            <v>0.34943806209787404</v>
          </cell>
          <cell r="F24">
            <v>0.30823262492668507</v>
          </cell>
          <cell r="G24">
            <v>0.29632481351671602</v>
          </cell>
          <cell r="H24">
            <v>0.3078602657086833</v>
          </cell>
          <cell r="I24">
            <v>0.40577822805760183</v>
          </cell>
          <cell r="J24">
            <v>0.37668651734175795</v>
          </cell>
          <cell r="K24">
            <v>0.36653523347504247</v>
          </cell>
          <cell r="L24">
            <v>0.40348970758945329</v>
          </cell>
          <cell r="M24">
            <v>0.38904841063763446</v>
          </cell>
        </row>
        <row r="25">
          <cell r="A25" t="str">
            <v>Net Margin %</v>
          </cell>
          <cell r="B25">
            <v>0.20340195418263543</v>
          </cell>
          <cell r="C25">
            <v>0.22805353254495528</v>
          </cell>
          <cell r="D25">
            <v>0.24970742425668505</v>
          </cell>
          <cell r="E25">
            <v>0.24404037014865909</v>
          </cell>
          <cell r="F25">
            <v>0.2360445310386205</v>
          </cell>
          <cell r="G25">
            <v>0.18615708070181503</v>
          </cell>
          <cell r="H25">
            <v>0.19175700048707356</v>
          </cell>
          <cell r="I25">
            <v>0.28378999689869638</v>
          </cell>
          <cell r="J25">
            <v>0.35595194345225556</v>
          </cell>
          <cell r="K25">
            <v>0.31545218229969119</v>
          </cell>
          <cell r="L25">
            <v>0.32588891621290184</v>
          </cell>
          <cell r="M25">
            <v>0.30954067781384553</v>
          </cell>
        </row>
        <row r="26">
          <cell r="A26" t="str">
            <v>Tax Rate %</v>
          </cell>
          <cell r="B26">
            <v>9.4317998831439306E-2</v>
          </cell>
          <cell r="C26">
            <v>9.9617322335077418E-2</v>
          </cell>
          <cell r="D26">
            <v>7.600612037764215E-2</v>
          </cell>
          <cell r="E26">
            <v>7.2929712965215887E-2</v>
          </cell>
          <cell r="F26">
            <v>0.11529693428334159</v>
          </cell>
          <cell r="G26">
            <v>0.21861835403920249</v>
          </cell>
          <cell r="H26">
            <v>0.22560404846841478</v>
          </cell>
          <cell r="I26">
            <v>0.12037217198588224</v>
          </cell>
          <cell r="J26">
            <v>0.11660416081192317</v>
          </cell>
          <cell r="K26">
            <v>0.12631587837766861</v>
          </cell>
          <cell r="L26">
            <v>0.12144956586560798</v>
          </cell>
          <cell r="M26">
            <v>0.12263866920144305</v>
          </cell>
        </row>
        <row r="28">
          <cell r="A28" t="str">
            <v>QoQ Growth</v>
          </cell>
          <cell r="C28" t="str">
            <v>2Q98</v>
          </cell>
          <cell r="D28" t="str">
            <v>3Q98</v>
          </cell>
          <cell r="E28" t="str">
            <v>4Q98</v>
          </cell>
          <cell r="F28" t="str">
            <v>1Q99</v>
          </cell>
          <cell r="G28" t="str">
            <v>2Q99</v>
          </cell>
          <cell r="H28" t="str">
            <v>3Q99</v>
          </cell>
          <cell r="I28" t="str">
            <v>4Q99</v>
          </cell>
          <cell r="J28" t="str">
            <v>1Q00</v>
          </cell>
          <cell r="K28" t="str">
            <v>2Q00</v>
          </cell>
          <cell r="L28" t="str">
            <v>3Q00</v>
          </cell>
          <cell r="M28" t="str">
            <v>4Q00</v>
          </cell>
        </row>
        <row r="30">
          <cell r="A30" t="str">
            <v>Gross Sales</v>
          </cell>
          <cell r="C30">
            <v>33.749353244341137</v>
          </cell>
          <cell r="D30">
            <v>20.429654218374417</v>
          </cell>
          <cell r="E30">
            <v>7.7067933978020253</v>
          </cell>
          <cell r="F30">
            <v>23.989141988259032</v>
          </cell>
          <cell r="G30">
            <v>23.046696513271559</v>
          </cell>
          <cell r="H30">
            <v>16.205148991996033</v>
          </cell>
          <cell r="I30">
            <v>8.9495339215134528</v>
          </cell>
          <cell r="J30">
            <v>12.075872498756478</v>
          </cell>
          <cell r="K30">
            <v>22.333850457929195</v>
          </cell>
          <cell r="L30">
            <v>8.6962965432848982</v>
          </cell>
          <cell r="M30">
            <v>22.493562093802954</v>
          </cell>
        </row>
        <row r="31">
          <cell r="A31" t="str">
            <v>Total Expenses</v>
          </cell>
          <cell r="C31">
            <v>26.498984608898969</v>
          </cell>
          <cell r="D31">
            <v>17.821096461686547</v>
          </cell>
          <cell r="E31">
            <v>7.0242618670598</v>
          </cell>
          <cell r="F31">
            <v>31.842393927009049</v>
          </cell>
          <cell r="G31">
            <v>25.164773932786243</v>
          </cell>
          <cell r="H31">
            <v>14.300180667964568</v>
          </cell>
          <cell r="I31">
            <v>-6.4637068330894998</v>
          </cell>
          <cell r="J31">
            <v>17.562845569941231</v>
          </cell>
          <cell r="K31">
            <v>24.326179642291869</v>
          </cell>
          <cell r="L31">
            <v>2.3552738231477299</v>
          </cell>
          <cell r="M31">
            <v>25.459086624375814</v>
          </cell>
        </row>
        <row r="32">
          <cell r="A32" t="str">
            <v>Operating Profit</v>
          </cell>
          <cell r="C32">
            <v>51.291829825061754</v>
          </cell>
          <cell r="D32">
            <v>25.706845521859556</v>
          </cell>
          <cell r="E32">
            <v>9.0009571508242061</v>
          </cell>
          <cell r="F32">
            <v>9.3684484970163684</v>
          </cell>
          <cell r="G32">
            <v>18.293089210838097</v>
          </cell>
          <cell r="H32">
            <v>20.728830032233958</v>
          </cell>
          <cell r="I32">
            <v>43.601996576612343</v>
          </cell>
          <cell r="J32">
            <v>4.0407473108748038</v>
          </cell>
          <cell r="K32">
            <v>19.037088866167551</v>
          </cell>
          <cell r="L32">
            <v>19.65517337173759</v>
          </cell>
          <cell r="M32">
            <v>18.109395976032804</v>
          </cell>
        </row>
        <row r="33">
          <cell r="A33" t="str">
            <v>Other Income</v>
          </cell>
          <cell r="C33">
            <v>165.95744680851064</v>
          </cell>
          <cell r="D33">
            <v>-73.599999999999994</v>
          </cell>
          <cell r="E33">
            <v>100.00000000000004</v>
          </cell>
          <cell r="F33">
            <v>36.363636363636331</v>
          </cell>
          <cell r="G33">
            <v>-51.111111111111107</v>
          </cell>
          <cell r="H33">
            <v>63.636363636363626</v>
          </cell>
          <cell r="I33">
            <v>148.19444444444451</v>
          </cell>
          <cell r="J33">
            <v>671.7585058757694</v>
          </cell>
          <cell r="K33">
            <v>-30.522673148616018</v>
          </cell>
          <cell r="L33">
            <v>-25.796306046990779</v>
          </cell>
          <cell r="M33">
            <v>21.768774562217065</v>
          </cell>
        </row>
        <row r="34">
          <cell r="A34" t="str">
            <v>Depreciation</v>
          </cell>
          <cell r="C34">
            <v>67.605633802816897</v>
          </cell>
          <cell r="D34">
            <v>-2.352941176470591</v>
          </cell>
          <cell r="E34">
            <v>28.05507745266782</v>
          </cell>
          <cell r="F34">
            <v>-33.602150537634415</v>
          </cell>
          <cell r="G34">
            <v>50</v>
          </cell>
          <cell r="H34">
            <v>23.076923076923084</v>
          </cell>
          <cell r="I34">
            <v>58.114035087719287</v>
          </cell>
          <cell r="J34">
            <v>-35.354959084604708</v>
          </cell>
          <cell r="K34">
            <v>15.024563510695765</v>
          </cell>
          <cell r="L34">
            <v>35.04382596362565</v>
          </cell>
          <cell r="M34">
            <v>29.204129611873221</v>
          </cell>
        </row>
        <row r="35">
          <cell r="A35" t="str">
            <v>Interest</v>
          </cell>
          <cell r="C35" t="e">
            <v>#DIV/0!</v>
          </cell>
          <cell r="D35" t="e">
            <v>#DIV/0!</v>
          </cell>
          <cell r="E35" t="e">
            <v>#DIV/0!</v>
          </cell>
          <cell r="F35" t="e">
            <v>#DIV/0!</v>
          </cell>
          <cell r="G35" t="e">
            <v>#DIV/0!</v>
          </cell>
          <cell r="H35" t="e">
            <v>#DIV/0!</v>
          </cell>
          <cell r="I35" t="e">
            <v>#DIV/0!</v>
          </cell>
          <cell r="J35" t="e">
            <v>#DIV/0!</v>
          </cell>
          <cell r="K35" t="e">
            <v>#DIV/0!</v>
          </cell>
          <cell r="L35" t="e">
            <v>#DIV/0!</v>
          </cell>
          <cell r="M35" t="e">
            <v>#DIV/0!</v>
          </cell>
        </row>
        <row r="36">
          <cell r="A36" t="str">
            <v>Profit before Tax</v>
          </cell>
          <cell r="C36">
            <v>50.896758830743764</v>
          </cell>
          <cell r="D36">
            <v>28.494969904695424</v>
          </cell>
          <cell r="E36">
            <v>4.9131070669639509</v>
          </cell>
          <cell r="F36">
            <v>25.669837075842295</v>
          </cell>
          <cell r="G36">
            <v>9.8727265966678459</v>
          </cell>
          <cell r="H36">
            <v>20.780596945985575</v>
          </cell>
          <cell r="I36">
            <v>41.949983310223857</v>
          </cell>
          <cell r="J36">
            <v>39.974854457292722</v>
          </cell>
          <cell r="K36">
            <v>9.6199802768726315</v>
          </cell>
          <cell r="L36">
            <v>11.670521986831561</v>
          </cell>
          <cell r="M36">
            <v>16.506354093046262</v>
          </cell>
        </row>
        <row r="37">
          <cell r="A37" t="str">
            <v>Taxation</v>
          </cell>
          <cell r="C37">
            <v>59.375000000000021</v>
          </cell>
          <cell r="D37">
            <v>-1.9607843137254943</v>
          </cell>
          <cell r="E37">
            <v>0.66666666666668206</v>
          </cell>
          <cell r="F37">
            <v>98.675496688741688</v>
          </cell>
          <cell r="G37">
            <v>108.33333333333334</v>
          </cell>
          <cell r="H37">
            <v>24.640000000000018</v>
          </cell>
          <cell r="I37">
            <v>-24.261874197689394</v>
          </cell>
          <cell r="J37">
            <v>35.593220338983109</v>
          </cell>
          <cell r="K37">
            <v>18.75</v>
          </cell>
          <cell r="L37">
            <v>7.3684210526315796</v>
          </cell>
          <cell r="M37">
            <v>17.647058823529417</v>
          </cell>
        </row>
        <row r="38">
          <cell r="A38" t="str">
            <v>Net Profit</v>
          </cell>
          <cell r="C38">
            <v>50.013832218905584</v>
          </cell>
          <cell r="D38">
            <v>31.86456014692731</v>
          </cell>
          <cell r="E38">
            <v>5.2624118268324915</v>
          </cell>
          <cell r="F38">
            <v>19.926710718686969</v>
          </cell>
          <cell r="G38">
            <v>-2.9589301979419225</v>
          </cell>
          <cell r="H38">
            <v>19.700796380405315</v>
          </cell>
          <cell r="I38">
            <v>61.239421847261141</v>
          </cell>
          <cell r="J38">
            <v>40.574456696866143</v>
          </cell>
          <cell r="K38">
            <v>8.414859943738584</v>
          </cell>
          <cell r="L38">
            <v>12.292512984406056</v>
          </cell>
          <cell r="M38">
            <v>16.348664689096992</v>
          </cell>
        </row>
        <row r="40">
          <cell r="A40" t="str">
            <v>Operating Margin %</v>
          </cell>
          <cell r="C40">
            <v>13.074806369980463</v>
          </cell>
          <cell r="D40">
            <v>4.3819699871561868</v>
          </cell>
          <cell r="E40">
            <v>1.201561862715872</v>
          </cell>
          <cell r="F40">
            <v>-11.791914402171722</v>
          </cell>
          <cell r="G40">
            <v>-3.863254713157438</v>
          </cell>
          <cell r="H40">
            <v>3.8928404459508847</v>
          </cell>
          <cell r="I40">
            <v>31.805976040303506</v>
          </cell>
          <cell r="J40">
            <v>-7.1693621550622417</v>
          </cell>
          <cell r="K40">
            <v>-2.6948890919569313</v>
          </cell>
          <cell r="L40">
            <v>10.082106913448218</v>
          </cell>
          <cell r="M40">
            <v>-3.5790992137308075</v>
          </cell>
        </row>
        <row r="41">
          <cell r="A41" t="str">
            <v>Net Margin %</v>
          </cell>
          <cell r="C41">
            <v>12.119636933372369</v>
          </cell>
          <cell r="D41">
            <v>9.4950915559535165</v>
          </cell>
          <cell r="E41">
            <v>-2.2694776196163668</v>
          </cell>
          <cell r="F41">
            <v>-3.2764411499490276</v>
          </cell>
          <cell r="G41">
            <v>-21.13476220664614</v>
          </cell>
          <cell r="H41">
            <v>3.0081691032899371</v>
          </cell>
          <cell r="I41">
            <v>47.994595335687265</v>
          </cell>
          <cell r="J41">
            <v>25.427938737149567</v>
          </cell>
          <cell r="K41">
            <v>-11.377873304966702</v>
          </cell>
          <cell r="L41">
            <v>3.3084995123905614</v>
          </cell>
          <cell r="M41">
            <v>-5.0165064185171859</v>
          </cell>
        </row>
        <row r="42">
          <cell r="A42" t="str">
            <v>Tax Rate %</v>
          </cell>
          <cell r="C42">
            <v>5.618570759870356</v>
          </cell>
          <cell r="D42">
            <v>-23.701903849629225</v>
          </cell>
          <cell r="E42">
            <v>-4.0475785333350833</v>
          </cell>
          <cell r="F42">
            <v>58.093223729446073</v>
          </cell>
          <cell r="G42">
            <v>89.613327880816911</v>
          </cell>
          <cell r="H42">
            <v>3.1953833244758645</v>
          </cell>
          <cell r="I42">
            <v>-46.644498268950748</v>
          </cell>
          <cell r="J42">
            <v>-3.1303008924695619</v>
          </cell>
          <cell r="K42">
            <v>8.3287916126852259</v>
          </cell>
          <cell r="L42">
            <v>-3.85249469390615</v>
          </cell>
          <cell r="M42">
            <v>0.97909229016996946</v>
          </cell>
        </row>
      </sheetData>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Operating Statistics"/>
      <sheetName val="half yearly"/>
      <sheetName val="Halfyear"/>
    </sheetNames>
    <sheetDataSet>
      <sheetData sheetId="0"/>
      <sheetData sheetId="1"/>
      <sheetData sheetId="2"/>
      <sheetData sheetId="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duction"/>
      <sheetName val="Annual"/>
      <sheetName val="Earnings Monitor"/>
      <sheetName val="Plantwise analysis"/>
      <sheetName val="Plant profitability"/>
      <sheetName val="Capex"/>
      <sheetName val="Capital History"/>
      <sheetName val="Tax calculations"/>
      <sheetName val="Financials"/>
      <sheetName val="Unit Analysis"/>
      <sheetName val="Operating Statistics"/>
      <sheetName val="Dashboar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VALUATION"/>
      <sheetName val="Revenues"/>
      <sheetName val="Mid-cycle"/>
      <sheetName val="Material Balance"/>
      <sheetName val="Costs"/>
      <sheetName val="pl"/>
      <sheetName val="fy03 qrtly brk up"/>
      <sheetName val="QTRLY"/>
      <sheetName val="1QFY03"/>
      <sheetName val="summary"/>
      <sheetName val="assets buildup"/>
      <sheetName val="P&amp;L"/>
      <sheetName val="Assets"/>
      <sheetName val="Capex &amp; Depreciation"/>
      <sheetName val="LIAB"/>
      <sheetName val="fixed assets"/>
      <sheetName val="loans"/>
      <sheetName val="Invmt"/>
      <sheetName val="QTLYRES"/>
      <sheetName val="Balance Sheet"/>
      <sheetName val="Cash Flow"/>
      <sheetName val="Ratios"/>
      <sheetName val="Chart-ROCEWACC"/>
      <sheetName val="Chart prdct mix FY2000"/>
      <sheetName val="Chart -PRODUCTMIX fy2003"/>
      <sheetName val="Chart- trend insales profit"/>
      <sheetName val="Profile"/>
      <sheetName val="Financials "/>
    </sheetNames>
    <sheetDataSet>
      <sheetData sheetId="0" refreshError="1">
        <row r="4">
          <cell r="B4" t="str">
            <v>Petrochemicals</v>
          </cell>
        </row>
        <row r="52">
          <cell r="C52">
            <v>1998</v>
          </cell>
          <cell r="D52">
            <v>1999</v>
          </cell>
          <cell r="E52">
            <v>2000</v>
          </cell>
          <cell r="F52">
            <v>2001</v>
          </cell>
          <cell r="G52" t="str">
            <v>2002E</v>
          </cell>
          <cell r="H52" t="str">
            <v>2003E</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F"/>
      <sheetName val="Cashflow-workings"/>
      <sheetName val="Summ-Sheet"/>
      <sheetName val="PL,BS,CF"/>
      <sheetName val="Ratios"/>
      <sheetName val="Funding"/>
      <sheetName val="Peak -ve Cash"/>
      <sheetName val="Other Assumptions "/>
      <sheetName val="Capex"/>
      <sheetName val="WorkingCapital"/>
      <sheetName val="Income Statement"/>
      <sheetName val="ROM_MUM Combine"/>
      <sheetName val="Opex"/>
      <sheetName val="Asset Class"/>
      <sheetName val="Assumptions"/>
      <sheetName val="Capex Assumptions"/>
      <sheetName val="Depreciation"/>
      <sheetName val="Comparison"/>
      <sheetName val="BillingCosts"/>
      <sheetName val="Lines-ROM"/>
      <sheetName val="Lines-Mum"/>
      <sheetName val="Dial-up-ROM"/>
      <sheetName val="Dial-up-Mumbai"/>
      <sheetName val="Revenues - ROM"/>
      <sheetName val="Revenues -Mum"/>
      <sheetName val="Tariff ROM and Mum"/>
      <sheetName val="Usage - ROM"/>
      <sheetName val="Usage - Mum"/>
      <sheetName val="Interconnect - ROM"/>
      <sheetName val="Interconnect - Mum"/>
      <sheetName val="BackboneCosts"/>
      <sheetName val="Market ARPL - ROM"/>
      <sheetName val="Market ARPL - Mum"/>
      <sheetName val="Returns"/>
      <sheetName val="Qtrly Results"/>
      <sheetName val="Module1"/>
      <sheetName val="Inpu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book"/>
      <sheetName val="sccaphis"/>
      <sheetName val="Template"/>
      <sheetName val="Pioneer"/>
      <sheetName val="Sales"/>
      <sheetName val="Forecast summary"/>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sheetName val="BS"/>
      <sheetName val="Sheet2"/>
      <sheetName val="qtrlconso"/>
      <sheetName val="Qtrl"/>
      <sheetName val="Quarterly"/>
      <sheetName val="half"/>
      <sheetName val="Notes"/>
      <sheetName val="Sheet1"/>
      <sheetName val="Chart"/>
      <sheetName val="Ambujacementeastern"/>
      <sheetName val="Sales"/>
      <sheetName val="Input1"/>
    </sheetNames>
    <sheetDataSet>
      <sheetData sheetId="0" refreshError="1">
        <row r="7">
          <cell r="B7" t="str">
            <v>Total Rs.mn</v>
          </cell>
          <cell r="C7">
            <v>4089.5010000000002</v>
          </cell>
          <cell r="D7">
            <v>7275.0739999999996</v>
          </cell>
          <cell r="E7">
            <v>9137.2260000000006</v>
          </cell>
          <cell r="F7">
            <v>11312.08</v>
          </cell>
          <cell r="G7">
            <v>12498.135</v>
          </cell>
          <cell r="H7">
            <v>12914.128000000001</v>
          </cell>
        </row>
        <row r="8">
          <cell r="B8" t="str">
            <v>Increase in Sales Volume</v>
          </cell>
          <cell r="D8">
            <v>0.54071171585521971</v>
          </cell>
          <cell r="E8">
            <v>0.30407915753452985</v>
          </cell>
          <cell r="F8">
            <v>0.25453318472314335</v>
          </cell>
          <cell r="G8">
            <v>0.1669538937786943</v>
          </cell>
          <cell r="H8">
            <v>-1.0685213899729984E-2</v>
          </cell>
        </row>
        <row r="9">
          <cell r="B9" t="str">
            <v>Increase in Realization/ tonne</v>
          </cell>
          <cell r="D9">
            <v>0.15463764131539159</v>
          </cell>
          <cell r="E9">
            <v>-3.6896418608204473E-2</v>
          </cell>
          <cell r="F9">
            <v>-1.3161811816227442E-2</v>
          </cell>
          <cell r="G9">
            <v>-5.3220063369064485E-2</v>
          </cell>
          <cell r="H9">
            <v>4.4444519126648929E-2</v>
          </cell>
        </row>
        <row r="10">
          <cell r="B10" t="str">
            <v>Increase in Sales</v>
          </cell>
          <cell r="D10">
            <v>0.77896374154206072</v>
          </cell>
          <cell r="E10">
            <v>0.255963307039901</v>
          </cell>
          <cell r="F10">
            <v>0.23802125502860494</v>
          </cell>
          <cell r="G10">
            <v>0.1048485336030156</v>
          </cell>
          <cell r="H10">
            <v>3.3284406033380121E-2</v>
          </cell>
        </row>
        <row r="11">
          <cell r="B11" t="str">
            <v>% of  Turnover</v>
          </cell>
          <cell r="C11">
            <v>0.95287093803765721</v>
          </cell>
          <cell r="D11">
            <v>0.99582496928715392</v>
          </cell>
          <cell r="E11">
            <v>0.99156598330212509</v>
          </cell>
          <cell r="F11">
            <v>1</v>
          </cell>
          <cell r="G11">
            <v>1</v>
          </cell>
          <cell r="H11">
            <v>0.99127861545986296</v>
          </cell>
        </row>
        <row r="13">
          <cell r="B13" t="str">
            <v>Clinker</v>
          </cell>
        </row>
        <row r="14">
          <cell r="B14" t="str">
            <v>Quantity ( tonnes)</v>
          </cell>
          <cell r="C14">
            <v>177647</v>
          </cell>
          <cell r="D14">
            <v>22322</v>
          </cell>
          <cell r="E14">
            <v>56137</v>
          </cell>
        </row>
        <row r="15">
          <cell r="B15" t="str">
            <v>Realization per tonne</v>
          </cell>
          <cell r="C15">
            <v>94.882454155338024</v>
          </cell>
          <cell r="D15">
            <v>113.86748499238419</v>
          </cell>
          <cell r="E15">
            <v>115.37102683316411</v>
          </cell>
        </row>
        <row r="16">
          <cell r="B16" t="str">
            <v>Total Rs.mn</v>
          </cell>
          <cell r="C16">
            <v>202.267</v>
          </cell>
          <cell r="D16">
            <v>30.501000000000001</v>
          </cell>
          <cell r="E16">
            <v>77.718999999999994</v>
          </cell>
          <cell r="H16">
            <v>113.62</v>
          </cell>
        </row>
        <row r="17">
          <cell r="B17" t="str">
            <v>Increase in Sales Volume</v>
          </cell>
          <cell r="D17">
            <v>-0.87434631600871393</v>
          </cell>
          <cell r="E17">
            <v>1.5148732192455872</v>
          </cell>
        </row>
        <row r="18">
          <cell r="B18" t="str">
            <v>Increase in Realization/ tonne</v>
          </cell>
          <cell r="D18">
            <v>0.20009000616662576</v>
          </cell>
          <cell r="E18">
            <v>1.320431237135411E-2</v>
          </cell>
        </row>
        <row r="19">
          <cell r="B19" t="str">
            <v>Increase in Sales</v>
          </cell>
          <cell r="D19">
            <v>-0.84920426960403828</v>
          </cell>
          <cell r="E19">
            <v>1.5480803908068586</v>
          </cell>
        </row>
        <row r="20">
          <cell r="B20" t="str">
            <v>% of  Turnover</v>
          </cell>
          <cell r="C20">
            <v>4.7129061962342789E-2</v>
          </cell>
          <cell r="D20">
            <v>4.175030712846012E-3</v>
          </cell>
          <cell r="E20">
            <v>8.4340166978750276E-3</v>
          </cell>
          <cell r="H20">
            <v>8.7213845401369443E-3</v>
          </cell>
        </row>
        <row r="22">
          <cell r="B22" t="str">
            <v>Total Turnover</v>
          </cell>
          <cell r="C22">
            <v>4291.768</v>
          </cell>
          <cell r="D22">
            <v>7305.5749999999998</v>
          </cell>
          <cell r="E22">
            <v>9214.9449999999997</v>
          </cell>
          <cell r="F22">
            <v>11312.08</v>
          </cell>
          <cell r="G22">
            <v>12498.135</v>
          </cell>
          <cell r="H22">
            <v>13027.748000000001</v>
          </cell>
        </row>
        <row r="24">
          <cell r="B24" t="str">
            <v>Other Income</v>
          </cell>
        </row>
        <row r="25">
          <cell r="B25" t="str">
            <v>%</v>
          </cell>
        </row>
        <row r="27">
          <cell r="A27" t="str">
            <v>Sales Volume Scenario</v>
          </cell>
        </row>
        <row r="28">
          <cell r="A28" t="str">
            <v>Standalone(inclusive of ACRL)</v>
          </cell>
          <cell r="B28" t="str">
            <v>Q1</v>
          </cell>
          <cell r="E28" t="str">
            <v>Q2</v>
          </cell>
        </row>
        <row r="29">
          <cell r="B29" t="str">
            <v>july</v>
          </cell>
          <cell r="C29" t="str">
            <v>aug</v>
          </cell>
          <cell r="D29" t="str">
            <v>Sep</v>
          </cell>
          <cell r="E29" t="str">
            <v>oct</v>
          </cell>
          <cell r="G29" t="str">
            <v>nov</v>
          </cell>
          <cell r="H29" t="str">
            <v>dec</v>
          </cell>
        </row>
        <row r="30">
          <cell r="A30" t="str">
            <v>Despatches(FY 05)</v>
          </cell>
          <cell r="B30">
            <v>1.0330599999999999</v>
          </cell>
          <cell r="C30">
            <v>0.8841</v>
          </cell>
          <cell r="D30">
            <v>1.0610799999999998</v>
          </cell>
          <cell r="E30">
            <v>1.1796300000000002</v>
          </cell>
          <cell r="G30">
            <v>1.0106299999999999</v>
          </cell>
        </row>
        <row r="31">
          <cell r="A31" t="str">
            <v>Production(FY 05)</v>
          </cell>
          <cell r="B31">
            <v>1.02884</v>
          </cell>
          <cell r="C31">
            <v>0.87275999999999998</v>
          </cell>
          <cell r="D31">
            <v>1.0580099999999999</v>
          </cell>
          <cell r="E31">
            <v>1.1577999999999999</v>
          </cell>
          <cell r="G31">
            <v>1.0206600000000001</v>
          </cell>
        </row>
        <row r="33">
          <cell r="A33" t="str">
            <v>Despatches(FY 04)</v>
          </cell>
          <cell r="B33">
            <v>0.85792000000000002</v>
          </cell>
          <cell r="C33">
            <v>0.83899999999999997</v>
          </cell>
          <cell r="D33">
            <v>0.87199999999999989</v>
          </cell>
          <cell r="E33">
            <v>0.92199999999999982</v>
          </cell>
          <cell r="G33">
            <v>0.96299999999999997</v>
          </cell>
          <cell r="H33">
            <v>1.034</v>
          </cell>
        </row>
        <row r="34">
          <cell r="A34" t="str">
            <v>Production(FY 04)</v>
          </cell>
          <cell r="B34">
            <v>0.86671999999999993</v>
          </cell>
          <cell r="C34">
            <v>0.82800000000000007</v>
          </cell>
          <cell r="D34">
            <v>0.86</v>
          </cell>
          <cell r="E34">
            <v>0.95900000000000007</v>
          </cell>
          <cell r="G34">
            <v>0.93900000000000006</v>
          </cell>
          <cell r="H34">
            <v>1.016</v>
          </cell>
        </row>
        <row r="36">
          <cell r="A36" t="str">
            <v>Despatches(FY 03)</v>
          </cell>
        </row>
        <row r="37">
          <cell r="A37" t="str">
            <v>Production(FY 03)</v>
          </cell>
        </row>
        <row r="41">
          <cell r="B41" t="str">
            <v>FORECAST</v>
          </cell>
        </row>
        <row r="42">
          <cell r="A42" t="str">
            <v>March year</v>
          </cell>
          <cell r="B42" t="str">
            <v>Net Sales</v>
          </cell>
          <cell r="C42" t="str">
            <v>PAT</v>
          </cell>
          <cell r="D42" t="str">
            <v>OPM</v>
          </cell>
          <cell r="E42" t="str">
            <v>EPS</v>
          </cell>
          <cell r="F42" t="str">
            <v>PER</v>
          </cell>
          <cell r="G42" t="str">
            <v>P/BV</v>
          </cell>
          <cell r="H42" t="str">
            <v>PBT</v>
          </cell>
        </row>
        <row r="43">
          <cell r="A43" t="str">
            <v>end</v>
          </cell>
          <cell r="B43" t="str">
            <v>(Rs mn)</v>
          </cell>
          <cell r="C43" t="str">
            <v>(Rs mn)</v>
          </cell>
          <cell r="D43" t="str">
            <v>(%)</v>
          </cell>
          <cell r="E43" t="str">
            <v>(Rs)</v>
          </cell>
          <cell r="F43" t="str">
            <v>(x)</v>
          </cell>
          <cell r="G43" t="str">
            <v>(x)</v>
          </cell>
          <cell r="H43" t="str">
            <v>(%)</v>
          </cell>
        </row>
        <row r="44">
          <cell r="A44">
            <v>2001</v>
          </cell>
          <cell r="B44">
            <v>12686</v>
          </cell>
          <cell r="C44">
            <v>1797.6450000000004</v>
          </cell>
          <cell r="D44">
            <v>35.422079457669874</v>
          </cell>
          <cell r="E44">
            <v>12.212262228260872</v>
          </cell>
          <cell r="F44">
            <v>29.396682882326594</v>
          </cell>
          <cell r="G44">
            <v>3.4651787073749274</v>
          </cell>
          <cell r="H44">
            <v>0</v>
          </cell>
        </row>
        <row r="45">
          <cell r="A45">
            <v>2002</v>
          </cell>
          <cell r="B45">
            <v>13842</v>
          </cell>
          <cell r="C45">
            <v>1865.7999999999993</v>
          </cell>
          <cell r="D45">
            <v>32.089293454703075</v>
          </cell>
          <cell r="E45">
            <v>12.014166130070826</v>
          </cell>
          <cell r="F45">
            <v>29.881391360274424</v>
          </cell>
          <cell r="G45">
            <v>3.4359592857001999</v>
          </cell>
          <cell r="H45">
            <v>15.306892848510762</v>
          </cell>
        </row>
        <row r="46">
          <cell r="A46" t="str">
            <v>2003</v>
          </cell>
          <cell r="B46">
            <v>17422</v>
          </cell>
          <cell r="C46">
            <v>2220.3999999999996</v>
          </cell>
          <cell r="D46">
            <v>27.347032487659277</v>
          </cell>
          <cell r="E46">
            <v>14.288288288288285</v>
          </cell>
          <cell r="F46">
            <v>25.125472887767973</v>
          </cell>
          <cell r="G46">
            <v>3.4508768131630223</v>
          </cell>
          <cell r="H46">
            <v>9.5773186965165724</v>
          </cell>
        </row>
        <row r="47">
          <cell r="A47">
            <v>2004</v>
          </cell>
          <cell r="B47">
            <v>19681</v>
          </cell>
          <cell r="C47">
            <v>3368.1999999999985</v>
          </cell>
          <cell r="D47">
            <v>27.285707027081951</v>
          </cell>
          <cell r="E47">
            <v>18.767482030422904</v>
          </cell>
          <cell r="F47">
            <v>19.128831423312164</v>
          </cell>
          <cell r="G47">
            <v>3.1868139640709088</v>
          </cell>
          <cell r="H47">
            <v>34.298335568352101</v>
          </cell>
        </row>
        <row r="48">
          <cell r="A48" t="str">
            <v>2005E</v>
          </cell>
          <cell r="B48">
            <v>25348.258690092989</v>
          </cell>
          <cell r="C48">
            <v>4090.2662436460369</v>
          </cell>
          <cell r="D48">
            <v>27.3</v>
          </cell>
          <cell r="E48">
            <v>22.790807620471593</v>
          </cell>
          <cell r="F48">
            <v>15.751964826271983</v>
          </cell>
          <cell r="G48">
            <v>2.8654113016468998</v>
          </cell>
          <cell r="H48">
            <v>39.219409245950956</v>
          </cell>
        </row>
        <row r="51">
          <cell r="A51" t="str">
            <v>INCOME STATEMENT</v>
          </cell>
        </row>
        <row r="52">
          <cell r="A52" t="str">
            <v>Year ended March 31</v>
          </cell>
          <cell r="B52">
            <v>1994</v>
          </cell>
          <cell r="C52">
            <v>1995</v>
          </cell>
          <cell r="D52">
            <v>1996</v>
          </cell>
          <cell r="E52">
            <v>1997</v>
          </cell>
          <cell r="F52">
            <v>1998</v>
          </cell>
          <cell r="G52">
            <v>1999</v>
          </cell>
          <cell r="H52">
            <v>2000</v>
          </cell>
        </row>
        <row r="53">
          <cell r="A53" t="str">
            <v>Gross sales</v>
          </cell>
        </row>
        <row r="54">
          <cell r="A54" t="str">
            <v>Net sales</v>
          </cell>
          <cell r="B54">
            <v>0</v>
          </cell>
          <cell r="C54">
            <v>0</v>
          </cell>
          <cell r="D54">
            <v>0</v>
          </cell>
          <cell r="E54">
            <v>0</v>
          </cell>
          <cell r="F54">
            <v>0</v>
          </cell>
          <cell r="G54">
            <v>0</v>
          </cell>
          <cell r="H54">
            <v>0</v>
          </cell>
        </row>
        <row r="55">
          <cell r="A55" t="str">
            <v>Cost of goods Sold</v>
          </cell>
          <cell r="B55">
            <v>0</v>
          </cell>
          <cell r="C55">
            <v>0</v>
          </cell>
          <cell r="D55">
            <v>0</v>
          </cell>
          <cell r="E55">
            <v>0</v>
          </cell>
          <cell r="F55">
            <v>0</v>
          </cell>
          <cell r="G55">
            <v>0</v>
          </cell>
          <cell r="H55">
            <v>0</v>
          </cell>
        </row>
        <row r="56">
          <cell r="A56" t="str">
            <v>Operating Profit (EBDIT)</v>
          </cell>
          <cell r="B56">
            <v>0</v>
          </cell>
          <cell r="C56">
            <v>0</v>
          </cell>
          <cell r="D56">
            <v>0</v>
          </cell>
          <cell r="E56">
            <v>0</v>
          </cell>
          <cell r="F56">
            <v>0</v>
          </cell>
          <cell r="G56">
            <v>0</v>
          </cell>
          <cell r="H56">
            <v>0</v>
          </cell>
        </row>
        <row r="57">
          <cell r="A57" t="str">
            <v>Depreciation</v>
          </cell>
        </row>
        <row r="58">
          <cell r="A58" t="str">
            <v>Gross profit (EBIT)</v>
          </cell>
          <cell r="B58">
            <v>0</v>
          </cell>
          <cell r="C58">
            <v>0</v>
          </cell>
          <cell r="D58">
            <v>0</v>
          </cell>
          <cell r="E58">
            <v>0</v>
          </cell>
          <cell r="F58">
            <v>0</v>
          </cell>
          <cell r="G58">
            <v>0</v>
          </cell>
          <cell r="H58">
            <v>0</v>
          </cell>
        </row>
        <row r="59">
          <cell r="A59" t="str">
            <v>Financial Expenses(net)</v>
          </cell>
        </row>
        <row r="60">
          <cell r="A60" t="str">
            <v>Other income (total)</v>
          </cell>
        </row>
        <row r="61">
          <cell r="A61" t="str">
            <v>PBT</v>
          </cell>
          <cell r="B61">
            <v>0</v>
          </cell>
          <cell r="C61">
            <v>0</v>
          </cell>
          <cell r="D61">
            <v>0</v>
          </cell>
          <cell r="E61">
            <v>0</v>
          </cell>
          <cell r="F61">
            <v>0</v>
          </cell>
          <cell r="G61">
            <v>0</v>
          </cell>
          <cell r="H61">
            <v>0</v>
          </cell>
        </row>
        <row r="62">
          <cell r="A62" t="str">
            <v>Provision for tax</v>
          </cell>
        </row>
        <row r="63">
          <cell r="A63" t="str">
            <v>Extraordinary/ P Y A</v>
          </cell>
        </row>
        <row r="64">
          <cell r="A64" t="str">
            <v>PAT</v>
          </cell>
          <cell r="B64">
            <v>0</v>
          </cell>
          <cell r="C64">
            <v>0</v>
          </cell>
          <cell r="D64">
            <v>0</v>
          </cell>
          <cell r="E64">
            <v>0</v>
          </cell>
          <cell r="F64">
            <v>0</v>
          </cell>
          <cell r="G64">
            <v>0</v>
          </cell>
          <cell r="H64">
            <v>0</v>
          </cell>
        </row>
        <row r="65">
          <cell r="A65" t="str">
            <v>Dividends-Equity</v>
          </cell>
        </row>
        <row r="66">
          <cell r="A66" t="str">
            <v>Tax on dividend</v>
          </cell>
        </row>
        <row r="67">
          <cell r="A67" t="str">
            <v>Additions to reserves</v>
          </cell>
          <cell r="B67">
            <v>0</v>
          </cell>
          <cell r="C67">
            <v>0</v>
          </cell>
          <cell r="D67">
            <v>0</v>
          </cell>
          <cell r="E67">
            <v>0</v>
          </cell>
          <cell r="F67">
            <v>0</v>
          </cell>
          <cell r="G67">
            <v>0</v>
          </cell>
          <cell r="H67">
            <v>0</v>
          </cell>
        </row>
        <row r="68">
          <cell r="A68" t="str">
            <v>Average interest</v>
          </cell>
          <cell r="B68" t="e">
            <v>#DIV/0!</v>
          </cell>
          <cell r="C68" t="e">
            <v>#DIV/0!</v>
          </cell>
          <cell r="D68" t="e">
            <v>#DIV/0!</v>
          </cell>
          <cell r="E68" t="e">
            <v>#DIV/0!</v>
          </cell>
          <cell r="F68" t="e">
            <v>#DIV/0!</v>
          </cell>
          <cell r="G68" t="e">
            <v>#DIV/0!</v>
          </cell>
          <cell r="H68" t="e">
            <v>#DIV/0!</v>
          </cell>
        </row>
        <row r="69">
          <cell r="A69" t="str">
            <v>Average Depreciation</v>
          </cell>
          <cell r="C69" t="e">
            <v>#DIV/0!</v>
          </cell>
          <cell r="D69" t="e">
            <v>#DIV/0!</v>
          </cell>
          <cell r="E69" t="e">
            <v>#DIV/0!</v>
          </cell>
          <cell r="F69" t="e">
            <v>#DIV/0!</v>
          </cell>
          <cell r="G69" t="e">
            <v>#DIV/0!</v>
          </cell>
          <cell r="H69" t="e">
            <v>#DIV/0!</v>
          </cell>
        </row>
        <row r="108">
          <cell r="A108" t="str">
            <v>EV/EBIDTA</v>
          </cell>
          <cell r="D108" t="e">
            <v>#DIV/0!</v>
          </cell>
          <cell r="E108" t="e">
            <v>#DIV/0!</v>
          </cell>
          <cell r="F108" t="e">
            <v>#DIV/0!</v>
          </cell>
          <cell r="G108" t="e">
            <v>#DIV/0!</v>
          </cell>
          <cell r="H108" t="e">
            <v>#DIV/0!</v>
          </cell>
        </row>
        <row r="126">
          <cell r="A126" t="str">
            <v>Rs mn</v>
          </cell>
          <cell r="B126">
            <v>1994</v>
          </cell>
          <cell r="C126">
            <v>1995</v>
          </cell>
          <cell r="D126">
            <v>1996</v>
          </cell>
          <cell r="E126">
            <v>1997</v>
          </cell>
          <cell r="F126">
            <v>1998</v>
          </cell>
        </row>
        <row r="127">
          <cell r="A127" t="str">
            <v>Raw material consumed</v>
          </cell>
        </row>
        <row r="128">
          <cell r="A128" t="str">
            <v>% of net sales</v>
          </cell>
          <cell r="B128" t="e">
            <v>#DIV/0!</v>
          </cell>
          <cell r="C128" t="e">
            <v>#DIV/0!</v>
          </cell>
          <cell r="D128" t="e">
            <v>#DIV/0!</v>
          </cell>
          <cell r="E128" t="e">
            <v>#DIV/0!</v>
          </cell>
          <cell r="F128" t="e">
            <v>#DIV/0!</v>
          </cell>
        </row>
        <row r="129">
          <cell r="A129" t="str">
            <v>Employee costs</v>
          </cell>
        </row>
        <row r="130">
          <cell r="A130" t="str">
            <v>% of net sales</v>
          </cell>
          <cell r="B130" t="e">
            <v>#DIV/0!</v>
          </cell>
          <cell r="C130" t="e">
            <v>#DIV/0!</v>
          </cell>
          <cell r="D130" t="e">
            <v>#DIV/0!</v>
          </cell>
          <cell r="E130" t="e">
            <v>#DIV/0!</v>
          </cell>
          <cell r="F130" t="e">
            <v>#DIV/0!</v>
          </cell>
        </row>
        <row r="131">
          <cell r="A131" t="str">
            <v>Power &amp; fuel</v>
          </cell>
        </row>
        <row r="132">
          <cell r="A132" t="str">
            <v>% of net sales</v>
          </cell>
          <cell r="B132" t="e">
            <v>#DIV/0!</v>
          </cell>
          <cell r="C132" t="e">
            <v>#DIV/0!</v>
          </cell>
          <cell r="D132" t="e">
            <v>#DIV/0!</v>
          </cell>
          <cell r="E132" t="e">
            <v>#DIV/0!</v>
          </cell>
          <cell r="F132" t="e">
            <v>#DIV/0!</v>
          </cell>
        </row>
        <row r="133">
          <cell r="A133" t="str">
            <v>Selling &amp; Distribution expenses</v>
          </cell>
        </row>
        <row r="134">
          <cell r="A134" t="str">
            <v>% of net sales</v>
          </cell>
          <cell r="B134" t="e">
            <v>#DIV/0!</v>
          </cell>
          <cell r="C134" t="e">
            <v>#DIV/0!</v>
          </cell>
          <cell r="D134" t="e">
            <v>#DIV/0!</v>
          </cell>
          <cell r="E134" t="e">
            <v>#DIV/0!</v>
          </cell>
          <cell r="F134" t="e">
            <v>#DIV/0!</v>
          </cell>
        </row>
        <row r="135">
          <cell r="A135" t="str">
            <v>Repairs &amp; maintenance</v>
          </cell>
        </row>
        <row r="136">
          <cell r="A136" t="str">
            <v>% of net sales</v>
          </cell>
          <cell r="B136" t="e">
            <v>#DIV/0!</v>
          </cell>
          <cell r="C136" t="e">
            <v>#DIV/0!</v>
          </cell>
          <cell r="D136" t="e">
            <v>#DIV/0!</v>
          </cell>
          <cell r="E136" t="e">
            <v>#DIV/0!</v>
          </cell>
          <cell r="F136" t="e">
            <v>#DIV/0!</v>
          </cell>
        </row>
        <row r="137">
          <cell r="A137" t="str">
            <v>Other expenses</v>
          </cell>
        </row>
        <row r="138">
          <cell r="A138" t="str">
            <v>% of net sales</v>
          </cell>
          <cell r="B138" t="e">
            <v>#DIV/0!</v>
          </cell>
          <cell r="C138" t="e">
            <v>#DIV/0!</v>
          </cell>
          <cell r="D138" t="e">
            <v>#DIV/0!</v>
          </cell>
          <cell r="E138" t="e">
            <v>#DIV/0!</v>
          </cell>
          <cell r="F138" t="e">
            <v>#DIV/0!</v>
          </cell>
        </row>
        <row r="139">
          <cell r="A139" t="str">
            <v>stores spares and tools consumed</v>
          </cell>
        </row>
        <row r="140">
          <cell r="A140" t="str">
            <v>% of net sales</v>
          </cell>
          <cell r="B140" t="e">
            <v>#DIV/0!</v>
          </cell>
          <cell r="C140" t="e">
            <v>#DIV/0!</v>
          </cell>
          <cell r="D140" t="e">
            <v>#DIV/0!</v>
          </cell>
          <cell r="E140" t="e">
            <v>#DIV/0!</v>
          </cell>
          <cell r="F140" t="e">
            <v>#DIV/0!</v>
          </cell>
        </row>
        <row r="141">
          <cell r="A141" t="str">
            <v>Freight &amp; handling Charges</v>
          </cell>
          <cell r="B141">
            <v>0</v>
          </cell>
          <cell r="C141">
            <v>0</v>
          </cell>
          <cell r="D141">
            <v>0</v>
          </cell>
          <cell r="E141">
            <v>0</v>
          </cell>
          <cell r="F141">
            <v>0</v>
          </cell>
        </row>
        <row r="142">
          <cell r="A142" t="str">
            <v>% of net sales</v>
          </cell>
          <cell r="B142" t="e">
            <v>#DIV/0!</v>
          </cell>
          <cell r="C142" t="e">
            <v>#DIV/0!</v>
          </cell>
          <cell r="D142" t="e">
            <v>#DIV/0!</v>
          </cell>
          <cell r="E142" t="e">
            <v>#DIV/0!</v>
          </cell>
          <cell r="F142" t="e">
            <v>#DIV/0!</v>
          </cell>
        </row>
        <row r="143">
          <cell r="A143" t="str">
            <v>Cost Of sales</v>
          </cell>
          <cell r="B143">
            <v>0</v>
          </cell>
          <cell r="C143">
            <v>0</v>
          </cell>
          <cell r="D143">
            <v>0</v>
          </cell>
          <cell r="E143">
            <v>0</v>
          </cell>
          <cell r="F143">
            <v>0</v>
          </cell>
        </row>
        <row r="144">
          <cell r="A144" t="str">
            <v>% of net sales</v>
          </cell>
          <cell r="B144" t="e">
            <v>#DIV/0!</v>
          </cell>
          <cell r="C144" t="e">
            <v>#DIV/0!</v>
          </cell>
          <cell r="D144" t="e">
            <v>#DIV/0!</v>
          </cell>
          <cell r="E144" t="e">
            <v>#DIV/0!</v>
          </cell>
          <cell r="F144" t="e">
            <v>#DIV/0!</v>
          </cell>
        </row>
        <row r="146">
          <cell r="A146" t="str">
            <v>-</v>
          </cell>
          <cell r="B146" t="str">
            <v>-</v>
          </cell>
          <cell r="C146" t="str">
            <v>-</v>
          </cell>
          <cell r="D146" t="str">
            <v>-</v>
          </cell>
          <cell r="E146" t="str">
            <v>-</v>
          </cell>
          <cell r="F146" t="str">
            <v>-</v>
          </cell>
        </row>
      </sheetData>
      <sheetData sheetId="1"/>
      <sheetData sheetId="2"/>
      <sheetData sheetId="3"/>
      <sheetData sheetId="4"/>
      <sheetData sheetId="5"/>
      <sheetData sheetId="6"/>
      <sheetData sheetId="7"/>
      <sheetData sheetId="8"/>
      <sheetData sheetId="9"/>
      <sheetData sheetId="10"/>
      <sheetData sheetId="11" refreshError="1"/>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000FF">
            <a:alpha val="10001"/>
          </a:srgbClr>
        </a:solidFill>
        <a:ln w="9525" cap="flat" cmpd="sng" algn="ctr">
          <a:solidFill>
            <a:srgbClr val="0000FF"/>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000FF">
            <a:alpha val="10001"/>
          </a:srgbClr>
        </a:solidFill>
        <a:ln w="9525" cap="flat" cmpd="sng" algn="ctr">
          <a:solidFill>
            <a:srgbClr val="0000FF"/>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9.xml"/><Relationship Id="rId1" Type="http://schemas.openxmlformats.org/officeDocument/2006/relationships/printerSettings" Target="../printerSettings/printerSettings17.bin"/><Relationship Id="rId4" Type="http://schemas.openxmlformats.org/officeDocument/2006/relationships/comments" Target="../comments7.xml"/></Relationships>
</file>

<file path=xl/worksheets/_rels/sheet2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24.xml.rels><?xml version="1.0" encoding="UTF-8" standalone="yes"?>
<Relationships xmlns="http://schemas.openxmlformats.org/package/2006/relationships"><Relationship Id="rId1" Type="http://schemas.openxmlformats.org/officeDocument/2006/relationships/hyperlink" Target="http://www.financialexpress.com/news/Prices-rise-up-to-Rs-1-000/299937/" TargetMode="Externa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1.xml"/><Relationship Id="rId1" Type="http://schemas.openxmlformats.org/officeDocument/2006/relationships/printerSettings" Target="../printerSettings/printerSettings23.bin"/><Relationship Id="rId4" Type="http://schemas.openxmlformats.org/officeDocument/2006/relationships/comments" Target="../comments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V278"/>
  <sheetViews>
    <sheetView zoomScale="85" workbookViewId="0">
      <selection activeCell="D17" sqref="D17:D18"/>
    </sheetView>
  </sheetViews>
  <sheetFormatPr defaultColWidth="10.625" defaultRowHeight="12.75"/>
  <cols>
    <col min="1" max="1" width="21.375" style="133" customWidth="1"/>
    <col min="2" max="2" width="11.75" style="133" bestFit="1" customWidth="1"/>
    <col min="3" max="4" width="10.625" style="133" customWidth="1"/>
    <col min="5" max="5" width="10.125" style="133" bestFit="1" customWidth="1"/>
    <col min="6" max="7" width="10.625" style="133" customWidth="1"/>
    <col min="8" max="8" width="5.375" style="133" customWidth="1"/>
    <col min="9" max="10" width="10.625" style="133" customWidth="1"/>
    <col min="11" max="11" width="5.125" style="133" customWidth="1"/>
    <col min="12" max="15" width="10.625" style="133"/>
    <col min="16" max="16384" width="10.625" style="187"/>
  </cols>
  <sheetData>
    <row r="1" spans="1:22">
      <c r="A1" s="1"/>
      <c r="B1" s="1"/>
      <c r="C1" s="1"/>
      <c r="D1" s="1"/>
      <c r="E1" s="1"/>
      <c r="F1" s="1"/>
      <c r="G1" s="1"/>
      <c r="H1" s="1"/>
      <c r="I1" s="1"/>
      <c r="J1" s="1"/>
      <c r="K1" s="1"/>
      <c r="L1" s="1"/>
      <c r="M1" s="1"/>
      <c r="N1" s="1"/>
      <c r="O1" s="1"/>
      <c r="P1" s="188"/>
      <c r="Q1" s="435"/>
      <c r="R1" s="435"/>
      <c r="S1" s="435"/>
      <c r="T1" s="435"/>
      <c r="U1" s="435"/>
      <c r="V1" s="435"/>
    </row>
    <row r="2" spans="1:22" ht="18">
      <c r="A2" s="1663" t="s">
        <v>559</v>
      </c>
      <c r="B2" s="1663"/>
      <c r="C2" s="1663"/>
      <c r="D2" s="1663"/>
      <c r="E2" s="1663"/>
      <c r="F2" s="1663"/>
      <c r="G2" s="1663"/>
      <c r="H2" s="1663"/>
      <c r="I2" s="1663"/>
      <c r="J2" s="1663"/>
      <c r="K2" s="1663"/>
      <c r="L2" s="1663"/>
      <c r="M2" s="1664"/>
      <c r="N2" s="1"/>
      <c r="O2" s="1"/>
      <c r="P2" s="188"/>
      <c r="Q2" s="435"/>
      <c r="R2" s="435"/>
      <c r="S2" s="435"/>
      <c r="T2" s="435"/>
      <c r="U2" s="435"/>
      <c r="V2" s="435"/>
    </row>
    <row r="3" spans="1:22" ht="13.5" thickBot="1">
      <c r="A3" s="1"/>
      <c r="B3" s="4"/>
      <c r="C3" s="4"/>
      <c r="D3" s="4"/>
      <c r="E3" s="4"/>
      <c r="F3" s="4"/>
      <c r="G3" s="4"/>
      <c r="H3" s="1"/>
      <c r="I3" s="1"/>
      <c r="J3" s="1"/>
      <c r="K3" s="1"/>
      <c r="L3" s="1"/>
      <c r="M3" s="1"/>
      <c r="N3" s="1"/>
      <c r="O3" s="1"/>
      <c r="P3" s="188"/>
      <c r="Q3" s="435"/>
      <c r="R3" s="435"/>
      <c r="S3" s="435"/>
      <c r="T3" s="435"/>
      <c r="U3" s="435"/>
      <c r="V3" s="435"/>
    </row>
    <row r="4" spans="1:22" ht="13.5" thickBot="1">
      <c r="A4" s="16"/>
      <c r="B4" s="1665" t="s">
        <v>532</v>
      </c>
      <c r="C4" s="1665"/>
      <c r="D4" s="1665" t="s">
        <v>529</v>
      </c>
      <c r="E4" s="1666"/>
      <c r="F4" s="1667"/>
      <c r="G4" s="1667"/>
      <c r="H4" s="17"/>
      <c r="I4" s="1"/>
      <c r="J4" s="1"/>
      <c r="K4" s="1"/>
      <c r="L4" s="1"/>
      <c r="M4" s="1"/>
      <c r="N4" s="1"/>
      <c r="O4" s="1"/>
      <c r="P4" s="188"/>
      <c r="Q4" s="435"/>
      <c r="R4" s="435"/>
      <c r="S4" s="435"/>
      <c r="T4" s="435"/>
      <c r="U4" s="435"/>
      <c r="V4" s="435"/>
    </row>
    <row r="5" spans="1:22" ht="18" customHeight="1" thickBot="1">
      <c r="A5" s="18" t="s">
        <v>528</v>
      </c>
      <c r="B5" s="113"/>
      <c r="C5" s="113"/>
      <c r="D5" s="1668"/>
      <c r="E5" s="1669"/>
      <c r="F5" s="14"/>
      <c r="G5" s="14"/>
      <c r="H5" s="17"/>
      <c r="I5" s="1"/>
      <c r="J5" s="12"/>
      <c r="K5" s="1"/>
      <c r="L5" s="1"/>
      <c r="M5" s="1"/>
      <c r="N5" s="1"/>
      <c r="O5" s="1"/>
      <c r="P5" s="188"/>
      <c r="Q5" s="435"/>
      <c r="R5" s="435"/>
      <c r="S5" s="435"/>
      <c r="T5" s="435"/>
      <c r="U5" s="435"/>
      <c r="V5" s="435"/>
    </row>
    <row r="6" spans="1:22" ht="18" customHeight="1" thickBot="1">
      <c r="A6" s="18" t="s">
        <v>535</v>
      </c>
      <c r="B6" s="114"/>
      <c r="C6" s="114"/>
      <c r="D6" s="1661"/>
      <c r="E6" s="1662"/>
      <c r="F6" s="1"/>
      <c r="G6" s="1"/>
      <c r="H6" s="17"/>
      <c r="I6" s="1"/>
      <c r="J6" s="1"/>
      <c r="K6" s="1"/>
      <c r="L6" s="1"/>
      <c r="M6" s="1"/>
      <c r="N6" s="1"/>
      <c r="O6" s="1"/>
      <c r="P6" s="188"/>
      <c r="Q6" s="435"/>
      <c r="R6" s="435"/>
      <c r="S6" s="435"/>
      <c r="T6" s="435"/>
      <c r="U6" s="435"/>
      <c r="V6" s="435"/>
    </row>
    <row r="7" spans="1:22" ht="18" customHeight="1" thickBot="1">
      <c r="A7" s="18" t="s">
        <v>536</v>
      </c>
      <c r="B7" s="113"/>
      <c r="C7" s="114"/>
      <c r="D7" s="701"/>
      <c r="E7" s="700"/>
      <c r="F7" s="1"/>
      <c r="G7" s="1"/>
      <c r="H7" s="17"/>
      <c r="I7" s="1"/>
      <c r="J7" s="1"/>
      <c r="K7" s="1"/>
      <c r="L7" s="1"/>
      <c r="M7" s="1"/>
      <c r="N7" s="1"/>
      <c r="O7" s="1"/>
      <c r="P7" s="188"/>
      <c r="Q7" s="435"/>
      <c r="R7" s="435"/>
      <c r="S7" s="435"/>
      <c r="T7" s="435"/>
      <c r="U7" s="435"/>
      <c r="V7" s="435"/>
    </row>
    <row r="8" spans="1:22" ht="8.4499999999999993" customHeight="1" thickBot="1">
      <c r="A8" s="19"/>
      <c r="B8" s="14"/>
      <c r="C8" s="14"/>
      <c r="D8" s="14"/>
      <c r="E8" s="14"/>
      <c r="F8" s="14"/>
      <c r="G8" s="14"/>
      <c r="H8" s="1"/>
      <c r="I8" s="1"/>
      <c r="J8" s="1"/>
      <c r="K8" s="1"/>
      <c r="L8" s="1"/>
      <c r="M8" s="1"/>
      <c r="N8" s="1"/>
      <c r="O8" s="1"/>
      <c r="P8" s="188"/>
      <c r="Q8" s="435"/>
      <c r="R8" s="435"/>
      <c r="S8" s="435"/>
      <c r="T8" s="435"/>
      <c r="U8" s="435"/>
      <c r="V8" s="435"/>
    </row>
    <row r="9" spans="1:22" ht="18" customHeight="1" thickBot="1">
      <c r="A9" s="20" t="s">
        <v>531</v>
      </c>
      <c r="B9" s="1660"/>
      <c r="C9" s="1639"/>
      <c r="D9" s="1"/>
      <c r="E9" s="1"/>
      <c r="F9" s="1"/>
      <c r="G9" s="1"/>
      <c r="H9" s="1"/>
      <c r="I9" s="12"/>
      <c r="J9" s="1"/>
      <c r="K9" s="1"/>
      <c r="L9" s="12"/>
      <c r="M9" s="1"/>
      <c r="N9" s="1"/>
      <c r="O9" s="1"/>
      <c r="P9" s="188"/>
      <c r="Q9" s="435"/>
      <c r="R9" s="435"/>
      <c r="S9" s="435"/>
      <c r="T9" s="435"/>
      <c r="U9" s="435"/>
      <c r="V9" s="435"/>
    </row>
    <row r="10" spans="1:22" ht="8.4499999999999993" customHeight="1" thickBot="1">
      <c r="A10" s="14"/>
      <c r="B10" s="1"/>
      <c r="C10" s="1"/>
      <c r="D10" s="1"/>
      <c r="E10" s="1"/>
      <c r="F10" s="1"/>
      <c r="G10" s="1"/>
      <c r="H10" s="1"/>
      <c r="I10" s="1"/>
      <c r="J10" s="1"/>
      <c r="K10" s="1"/>
      <c r="L10" s="1"/>
      <c r="M10" s="1"/>
      <c r="N10" s="1"/>
      <c r="O10" s="1"/>
      <c r="P10" s="188"/>
      <c r="Q10" s="435"/>
      <c r="R10" s="435"/>
      <c r="S10" s="435"/>
      <c r="T10" s="435"/>
      <c r="U10" s="435"/>
      <c r="V10" s="435"/>
    </row>
    <row r="11" spans="1:22" ht="18" customHeight="1" thickBot="1">
      <c r="A11" s="20" t="s">
        <v>530</v>
      </c>
      <c r="B11" s="1638"/>
      <c r="C11" s="1639"/>
      <c r="D11" s="1"/>
      <c r="E11" s="1"/>
      <c r="F11" s="1"/>
      <c r="G11" s="1"/>
      <c r="H11" s="1"/>
      <c r="I11" s="1"/>
      <c r="J11" s="1"/>
      <c r="K11" s="1"/>
      <c r="L11" s="1"/>
      <c r="M11" s="1"/>
      <c r="N11" s="1"/>
      <c r="O11" s="1"/>
      <c r="P11" s="188"/>
      <c r="Q11" s="435"/>
      <c r="R11" s="435"/>
      <c r="S11" s="435"/>
      <c r="T11" s="435"/>
      <c r="U11" s="435"/>
      <c r="V11" s="435"/>
    </row>
    <row r="12" spans="1:22" ht="8.4499999999999993" customHeight="1" thickBot="1">
      <c r="A12" s="1"/>
      <c r="B12" s="1"/>
      <c r="C12" s="1"/>
      <c r="D12" s="1"/>
      <c r="E12" s="1"/>
      <c r="F12" s="1"/>
      <c r="G12" s="1"/>
      <c r="H12" s="1"/>
      <c r="I12" s="1"/>
      <c r="J12" s="1"/>
      <c r="K12" s="1"/>
      <c r="L12" s="1"/>
      <c r="M12" s="1"/>
      <c r="N12" s="1"/>
      <c r="O12" s="1"/>
      <c r="P12" s="188"/>
      <c r="Q12" s="435"/>
      <c r="R12" s="435"/>
      <c r="S12" s="435"/>
      <c r="T12" s="435"/>
      <c r="U12" s="435"/>
      <c r="V12" s="435"/>
    </row>
    <row r="13" spans="1:22" ht="18" customHeight="1" thickBot="1">
      <c r="A13" s="20" t="s">
        <v>546</v>
      </c>
      <c r="B13" s="1638"/>
      <c r="C13" s="1639"/>
      <c r="D13" s="1"/>
      <c r="E13" s="1"/>
      <c r="F13" s="1"/>
      <c r="G13" s="1"/>
      <c r="H13" s="1"/>
      <c r="I13" s="1"/>
      <c r="J13" s="1"/>
      <c r="K13" s="1"/>
      <c r="L13" s="1"/>
      <c r="M13" s="1"/>
      <c r="N13" s="1"/>
      <c r="O13" s="1"/>
      <c r="P13" s="188"/>
      <c r="Q13" s="435"/>
      <c r="R13" s="435"/>
      <c r="S13" s="435"/>
      <c r="T13" s="435"/>
      <c r="U13" s="435"/>
      <c r="V13" s="435"/>
    </row>
    <row r="14" spans="1:22">
      <c r="A14" s="1"/>
      <c r="B14" s="1"/>
      <c r="C14" s="1"/>
      <c r="D14" s="1"/>
      <c r="E14" s="1"/>
      <c r="F14" s="1"/>
      <c r="G14" s="1"/>
      <c r="H14" s="17"/>
      <c r="I14" s="12"/>
      <c r="J14" s="1"/>
      <c r="K14" s="1"/>
      <c r="L14" s="12"/>
      <c r="M14" s="1"/>
      <c r="N14" s="1"/>
      <c r="O14" s="1"/>
      <c r="P14" s="188"/>
      <c r="Q14" s="435"/>
      <c r="R14" s="435"/>
      <c r="S14" s="435"/>
      <c r="T14" s="435"/>
      <c r="U14" s="435"/>
      <c r="V14" s="435"/>
    </row>
    <row r="15" spans="1:22">
      <c r="A15" s="1"/>
      <c r="B15" s="1"/>
      <c r="C15" s="1"/>
      <c r="D15" s="4"/>
      <c r="E15" s="118" t="e">
        <f ca="1">+E17/D17-1</f>
        <v>#NAME?</v>
      </c>
      <c r="F15" s="4"/>
      <c r="G15" s="4"/>
      <c r="H15" s="17"/>
      <c r="I15" s="1"/>
      <c r="J15" s="1"/>
      <c r="K15" s="1"/>
      <c r="L15" s="1"/>
      <c r="M15" s="1"/>
      <c r="N15" s="1"/>
      <c r="O15" s="1"/>
      <c r="P15" s="188"/>
      <c r="Q15" s="435"/>
      <c r="R15" s="435"/>
      <c r="S15" s="435"/>
      <c r="T15" s="435"/>
      <c r="U15" s="435"/>
      <c r="V15" s="435"/>
    </row>
    <row r="16" spans="1:22" ht="13.5" thickBot="1">
      <c r="A16" s="4"/>
      <c r="B16" s="4"/>
      <c r="C16" s="15"/>
      <c r="D16" s="21" t="s">
        <v>401</v>
      </c>
      <c r="E16" s="21" t="s">
        <v>544</v>
      </c>
      <c r="F16" s="21" t="s">
        <v>543</v>
      </c>
      <c r="G16" s="21" t="s">
        <v>545</v>
      </c>
      <c r="H16" s="17"/>
      <c r="I16" s="1"/>
      <c r="J16" s="1"/>
      <c r="K16" s="1"/>
      <c r="L16" s="1"/>
      <c r="M16" s="1"/>
      <c r="N16" s="1"/>
      <c r="O16" s="1"/>
      <c r="P16" s="188"/>
      <c r="Q16" s="435"/>
      <c r="R16" s="435"/>
      <c r="S16" s="435"/>
      <c r="T16" s="435"/>
      <c r="U16" s="435"/>
      <c r="V16" s="435"/>
    </row>
    <row r="17" spans="1:22">
      <c r="A17" s="22"/>
      <c r="B17" s="23"/>
      <c r="C17" s="24"/>
      <c r="D17" s="1640" t="e">
        <f ca="1">+Uploader!E11</f>
        <v>#NAME?</v>
      </c>
      <c r="E17" s="1640">
        <f>' Valuation'!E8</f>
        <v>2900</v>
      </c>
      <c r="F17" s="1640" t="s">
        <v>2228</v>
      </c>
      <c r="G17" s="1640" t="s">
        <v>594</v>
      </c>
      <c r="H17" s="17"/>
      <c r="I17" s="1"/>
      <c r="J17" s="1"/>
      <c r="K17" s="1"/>
      <c r="L17" s="1"/>
      <c r="M17" s="1"/>
      <c r="N17" s="1"/>
      <c r="O17" s="1"/>
      <c r="P17" s="188"/>
      <c r="Q17" s="435"/>
      <c r="R17" s="435"/>
      <c r="S17" s="435"/>
      <c r="T17" s="435"/>
      <c r="U17" s="435"/>
      <c r="V17" s="435"/>
    </row>
    <row r="18" spans="1:22">
      <c r="A18" s="25" t="s">
        <v>490</v>
      </c>
      <c r="B18" s="26">
        <v>532977</v>
      </c>
      <c r="C18" s="24"/>
      <c r="D18" s="1641"/>
      <c r="E18" s="1641"/>
      <c r="F18" s="1641"/>
      <c r="G18" s="1641"/>
      <c r="H18" s="17"/>
      <c r="I18" s="1"/>
      <c r="J18" s="1"/>
      <c r="K18" s="1"/>
      <c r="L18" s="1"/>
      <c r="M18" s="1"/>
      <c r="N18" s="1"/>
      <c r="O18" s="1"/>
      <c r="P18" s="188"/>
      <c r="Q18" s="435"/>
      <c r="R18" s="435"/>
      <c r="S18" s="435"/>
      <c r="T18" s="435"/>
      <c r="U18" s="435"/>
      <c r="V18" s="435"/>
    </row>
    <row r="19" spans="1:22">
      <c r="A19" s="25" t="s">
        <v>491</v>
      </c>
      <c r="B19" s="26" t="s">
        <v>592</v>
      </c>
      <c r="C19" s="24"/>
      <c r="D19" s="302"/>
      <c r="E19" s="865" t="s">
        <v>2521</v>
      </c>
      <c r="F19" s="1"/>
      <c r="G19" s="1"/>
      <c r="H19" s="17"/>
      <c r="I19" s="12"/>
      <c r="J19" s="1"/>
      <c r="K19" s="1"/>
      <c r="L19" s="1"/>
      <c r="M19" s="1"/>
      <c r="N19" s="1"/>
      <c r="O19" s="1"/>
      <c r="P19" s="188"/>
      <c r="Q19" s="435"/>
      <c r="R19" s="435"/>
      <c r="S19" s="435"/>
      <c r="T19" s="435"/>
      <c r="U19" s="435"/>
      <c r="V19" s="435"/>
    </row>
    <row r="20" spans="1:22">
      <c r="A20" s="25" t="s">
        <v>492</v>
      </c>
      <c r="B20" s="27" t="s">
        <v>593</v>
      </c>
      <c r="C20" s="24"/>
      <c r="D20" s="1"/>
      <c r="E20" s="1"/>
      <c r="F20" s="1"/>
      <c r="G20" s="1"/>
      <c r="H20" s="17"/>
      <c r="I20" s="1"/>
      <c r="J20" s="1"/>
      <c r="K20" s="1"/>
      <c r="L20" s="1"/>
      <c r="M20" s="1"/>
      <c r="N20" s="1"/>
      <c r="O20" s="1"/>
      <c r="P20" s="188"/>
      <c r="Q20" s="435"/>
      <c r="R20" s="435"/>
      <c r="S20" s="435"/>
      <c r="T20" s="435"/>
      <c r="U20" s="435"/>
      <c r="V20" s="435"/>
    </row>
    <row r="21" spans="1:22" ht="13.5" thickBot="1">
      <c r="A21" s="28"/>
      <c r="B21" s="29"/>
      <c r="C21" s="24"/>
      <c r="D21" s="1"/>
      <c r="E21" s="1"/>
      <c r="F21" s="1"/>
      <c r="G21" s="1"/>
      <c r="H21" s="17"/>
      <c r="I21" s="1"/>
      <c r="J21" s="1"/>
      <c r="K21" s="1"/>
      <c r="L21" s="1"/>
      <c r="M21" s="1"/>
      <c r="N21" s="1"/>
      <c r="O21" s="1"/>
      <c r="P21" s="188"/>
      <c r="Q21" s="435"/>
      <c r="R21" s="435"/>
      <c r="S21" s="435"/>
      <c r="T21" s="435"/>
      <c r="U21" s="435"/>
      <c r="V21" s="435"/>
    </row>
    <row r="22" spans="1:22" ht="13.5" thickBot="1">
      <c r="A22" s="14"/>
      <c r="B22" s="14"/>
      <c r="C22" s="24"/>
      <c r="D22" s="1657" t="s">
        <v>533</v>
      </c>
      <c r="E22" s="1658"/>
      <c r="F22" s="1658"/>
      <c r="G22" s="1659"/>
      <c r="H22" s="17"/>
      <c r="I22" s="1"/>
      <c r="J22" s="1"/>
      <c r="K22" s="1"/>
      <c r="L22" s="1"/>
      <c r="M22" s="1"/>
      <c r="N22" s="1"/>
      <c r="O22" s="1"/>
      <c r="P22" s="188"/>
      <c r="Q22" s="435"/>
      <c r="R22" s="435"/>
      <c r="S22" s="435"/>
      <c r="T22" s="435"/>
      <c r="U22" s="435"/>
      <c r="V22" s="435"/>
    </row>
    <row r="23" spans="1:22" ht="13.5" thickBot="1">
      <c r="A23" s="1"/>
      <c r="B23" s="1"/>
      <c r="C23" s="30"/>
      <c r="D23" s="31" t="s">
        <v>302</v>
      </c>
      <c r="E23" s="1651" t="s">
        <v>534</v>
      </c>
      <c r="F23" s="1652"/>
      <c r="G23" s="1653"/>
      <c r="H23" s="17"/>
      <c r="I23" s="1"/>
      <c r="J23" s="1"/>
      <c r="K23" s="1"/>
      <c r="L23" s="1"/>
      <c r="M23" s="1"/>
      <c r="N23" s="1"/>
      <c r="O23" s="1"/>
      <c r="P23" s="188"/>
      <c r="Q23" s="435"/>
      <c r="R23" s="435"/>
      <c r="S23" s="435"/>
      <c r="T23" s="435"/>
      <c r="U23" s="435"/>
      <c r="V23" s="435"/>
    </row>
    <row r="24" spans="1:22">
      <c r="A24" s="1"/>
      <c r="B24" s="1"/>
      <c r="C24" s="1"/>
      <c r="D24" s="32"/>
      <c r="E24" s="1654"/>
      <c r="F24" s="1655"/>
      <c r="G24" s="1656"/>
      <c r="H24" s="17"/>
      <c r="I24" s="12"/>
      <c r="J24" s="1"/>
      <c r="K24" s="1"/>
      <c r="L24" s="1"/>
      <c r="M24" s="1"/>
      <c r="N24" s="1"/>
      <c r="O24" s="1"/>
      <c r="P24" s="188"/>
      <c r="Q24" s="435"/>
      <c r="R24" s="435"/>
      <c r="S24" s="435"/>
      <c r="T24" s="435"/>
      <c r="U24" s="435"/>
      <c r="V24" s="435"/>
    </row>
    <row r="25" spans="1:22">
      <c r="A25" s="1"/>
      <c r="B25" s="1"/>
      <c r="C25" s="1"/>
      <c r="D25" s="74"/>
      <c r="E25" s="1642"/>
      <c r="F25" s="1643"/>
      <c r="G25" s="1644"/>
      <c r="H25" s="17"/>
      <c r="I25" s="1"/>
      <c r="J25" s="1"/>
      <c r="K25" s="1"/>
      <c r="L25" s="1"/>
      <c r="M25" s="1"/>
      <c r="N25" s="1"/>
      <c r="O25" s="1"/>
      <c r="P25" s="188"/>
      <c r="Q25" s="435"/>
      <c r="R25" s="435"/>
      <c r="S25" s="435"/>
      <c r="T25" s="435"/>
      <c r="U25" s="435"/>
      <c r="V25" s="435"/>
    </row>
    <row r="26" spans="1:22">
      <c r="A26" s="1"/>
      <c r="B26" s="1"/>
      <c r="C26" s="1"/>
      <c r="D26" s="74"/>
      <c r="E26" s="1642"/>
      <c r="F26" s="1643"/>
      <c r="G26" s="1644"/>
      <c r="H26" s="17"/>
      <c r="I26" s="1"/>
      <c r="J26" s="1"/>
      <c r="K26" s="1"/>
      <c r="L26" s="1"/>
      <c r="M26" s="1"/>
      <c r="N26" s="1"/>
      <c r="O26" s="1"/>
      <c r="P26" s="188"/>
      <c r="Q26" s="435"/>
      <c r="R26" s="435"/>
      <c r="S26" s="435"/>
      <c r="T26" s="435"/>
      <c r="U26" s="435"/>
      <c r="V26" s="435"/>
    </row>
    <row r="27" spans="1:22">
      <c r="A27" s="1"/>
      <c r="B27" s="1"/>
      <c r="C27" s="1"/>
      <c r="D27" s="74"/>
      <c r="E27" s="1642"/>
      <c r="F27" s="1643"/>
      <c r="G27" s="1644"/>
      <c r="H27" s="17"/>
      <c r="I27" s="1"/>
      <c r="J27" s="1"/>
      <c r="K27" s="1"/>
      <c r="L27" s="1"/>
      <c r="M27" s="1"/>
      <c r="N27" s="1"/>
      <c r="O27" s="1"/>
      <c r="P27" s="188"/>
      <c r="Q27" s="435"/>
      <c r="R27" s="435"/>
      <c r="S27" s="435"/>
      <c r="T27" s="435"/>
      <c r="U27" s="435"/>
      <c r="V27" s="435"/>
    </row>
    <row r="28" spans="1:22">
      <c r="A28" s="1"/>
      <c r="B28" s="1"/>
      <c r="C28" s="1"/>
      <c r="D28" s="74"/>
      <c r="E28" s="1642"/>
      <c r="F28" s="1643"/>
      <c r="G28" s="1644"/>
      <c r="H28" s="17"/>
      <c r="I28" s="1"/>
      <c r="J28" s="1"/>
      <c r="K28" s="1"/>
      <c r="L28" s="1"/>
      <c r="M28" s="1"/>
      <c r="N28" s="1"/>
      <c r="O28" s="1"/>
      <c r="P28" s="188"/>
      <c r="Q28" s="435"/>
      <c r="R28" s="435"/>
      <c r="S28" s="435"/>
      <c r="T28" s="435"/>
      <c r="U28" s="435"/>
      <c r="V28" s="435"/>
    </row>
    <row r="29" spans="1:22">
      <c r="A29" s="1"/>
      <c r="B29" s="1"/>
      <c r="C29" s="1"/>
      <c r="D29" s="74"/>
      <c r="E29" s="1642"/>
      <c r="F29" s="1643"/>
      <c r="G29" s="1644"/>
      <c r="H29" s="17"/>
      <c r="I29" s="12"/>
      <c r="J29" s="1"/>
      <c r="K29" s="1"/>
      <c r="L29" s="1"/>
      <c r="M29" s="1"/>
      <c r="N29" s="1"/>
      <c r="O29" s="1"/>
      <c r="P29" s="188"/>
      <c r="Q29" s="435"/>
      <c r="R29" s="435"/>
      <c r="S29" s="435"/>
      <c r="T29" s="435"/>
      <c r="U29" s="435"/>
      <c r="V29" s="435"/>
    </row>
    <row r="30" spans="1:22">
      <c r="A30" s="1"/>
      <c r="B30" s="1"/>
      <c r="C30" s="1"/>
      <c r="D30" s="74"/>
      <c r="E30" s="1642"/>
      <c r="F30" s="1643"/>
      <c r="G30" s="1644"/>
      <c r="H30" s="17"/>
      <c r="I30" s="1"/>
      <c r="J30" s="1"/>
      <c r="K30" s="1"/>
      <c r="L30" s="1"/>
      <c r="M30" s="1"/>
      <c r="N30" s="1"/>
      <c r="O30" s="1"/>
      <c r="P30" s="188"/>
      <c r="Q30" s="435"/>
      <c r="R30" s="435"/>
      <c r="S30" s="435"/>
      <c r="T30" s="435"/>
      <c r="U30" s="435"/>
      <c r="V30" s="435"/>
    </row>
    <row r="31" spans="1:22">
      <c r="A31" s="1"/>
      <c r="B31" s="1"/>
      <c r="C31" s="1"/>
      <c r="D31" s="74"/>
      <c r="E31" s="1642"/>
      <c r="F31" s="1643"/>
      <c r="G31" s="1644"/>
      <c r="H31" s="17"/>
      <c r="I31" s="1"/>
      <c r="J31" s="1"/>
      <c r="K31" s="1"/>
      <c r="L31" s="1"/>
      <c r="M31" s="1"/>
      <c r="N31" s="1"/>
      <c r="O31" s="1"/>
      <c r="P31" s="188"/>
      <c r="Q31" s="435"/>
      <c r="R31" s="435"/>
      <c r="S31" s="435"/>
      <c r="T31" s="435"/>
      <c r="U31" s="435"/>
      <c r="V31" s="435"/>
    </row>
    <row r="32" spans="1:22">
      <c r="A32" s="1"/>
      <c r="B32" s="1"/>
      <c r="C32" s="1"/>
      <c r="D32" s="33"/>
      <c r="E32" s="1648"/>
      <c r="F32" s="1649"/>
      <c r="G32" s="1650"/>
      <c r="H32" s="17"/>
      <c r="I32" s="1"/>
      <c r="J32" s="1"/>
      <c r="K32" s="1"/>
      <c r="L32" s="1"/>
      <c r="M32" s="1"/>
      <c r="N32" s="1"/>
      <c r="O32" s="1"/>
      <c r="P32" s="188"/>
      <c r="Q32" s="435"/>
      <c r="R32" s="435"/>
      <c r="S32" s="435"/>
      <c r="T32" s="435"/>
      <c r="U32" s="435"/>
      <c r="V32" s="435"/>
    </row>
    <row r="33" spans="1:22">
      <c r="A33" s="1"/>
      <c r="B33" s="1"/>
      <c r="C33" s="1"/>
      <c r="D33" s="33"/>
      <c r="E33" s="1648"/>
      <c r="F33" s="1649"/>
      <c r="G33" s="1650"/>
      <c r="H33" s="17"/>
      <c r="I33" s="1"/>
      <c r="J33" s="1"/>
      <c r="K33" s="1"/>
      <c r="L33" s="1"/>
      <c r="M33" s="1"/>
      <c r="N33" s="1"/>
      <c r="O33" s="1"/>
      <c r="P33" s="188"/>
      <c r="Q33" s="435"/>
      <c r="R33" s="435"/>
      <c r="S33" s="435"/>
      <c r="T33" s="435"/>
      <c r="U33" s="435"/>
      <c r="V33" s="435"/>
    </row>
    <row r="34" spans="1:22">
      <c r="A34" s="1"/>
      <c r="B34" s="1"/>
      <c r="C34" s="1"/>
      <c r="D34" s="33"/>
      <c r="E34" s="1648"/>
      <c r="F34" s="1649"/>
      <c r="G34" s="1650"/>
      <c r="H34" s="17"/>
      <c r="I34" s="12"/>
      <c r="J34" s="1"/>
      <c r="K34" s="1"/>
      <c r="L34" s="1"/>
      <c r="M34" s="1"/>
      <c r="N34" s="12"/>
      <c r="O34" s="1"/>
      <c r="P34" s="188"/>
      <c r="Q34" s="435"/>
      <c r="R34" s="435"/>
      <c r="S34" s="435"/>
      <c r="T34" s="435"/>
      <c r="U34" s="435"/>
      <c r="V34" s="435"/>
    </row>
    <row r="35" spans="1:22">
      <c r="A35" s="1"/>
      <c r="B35" s="1"/>
      <c r="C35" s="1"/>
      <c r="D35" s="33"/>
      <c r="E35" s="1648"/>
      <c r="F35" s="1649"/>
      <c r="G35" s="1650"/>
      <c r="H35" s="17"/>
      <c r="I35" s="1"/>
      <c r="J35" s="1"/>
      <c r="K35" s="1"/>
      <c r="L35" s="1"/>
      <c r="M35" s="1"/>
      <c r="N35" s="1"/>
      <c r="O35" s="1"/>
      <c r="P35" s="188"/>
      <c r="Q35" s="435"/>
      <c r="R35" s="435"/>
      <c r="S35" s="435"/>
      <c r="T35" s="435"/>
      <c r="U35" s="435"/>
      <c r="V35" s="435"/>
    </row>
    <row r="36" spans="1:22">
      <c r="A36" s="1"/>
      <c r="B36" s="1"/>
      <c r="C36" s="1"/>
      <c r="D36" s="33"/>
      <c r="E36" s="1648"/>
      <c r="F36" s="1649"/>
      <c r="G36" s="1650"/>
      <c r="H36" s="1"/>
      <c r="I36" s="1"/>
      <c r="J36" s="1"/>
      <c r="K36" s="1"/>
      <c r="L36" s="1"/>
      <c r="M36" s="1"/>
      <c r="N36" s="1"/>
      <c r="O36" s="1"/>
      <c r="P36" s="188"/>
      <c r="Q36" s="435"/>
      <c r="R36" s="435"/>
      <c r="S36" s="435"/>
      <c r="T36" s="435"/>
      <c r="U36" s="435"/>
      <c r="V36" s="435"/>
    </row>
    <row r="37" spans="1:22" ht="13.5" thickBot="1">
      <c r="A37" s="1"/>
      <c r="B37" s="1"/>
      <c r="C37" s="1"/>
      <c r="D37" s="34"/>
      <c r="E37" s="1645"/>
      <c r="F37" s="1646"/>
      <c r="G37" s="1647"/>
      <c r="H37" s="1"/>
      <c r="I37" s="1"/>
      <c r="J37" s="1"/>
      <c r="K37" s="1"/>
      <c r="L37" s="1"/>
      <c r="M37" s="1"/>
      <c r="N37" s="1"/>
      <c r="O37" s="1"/>
      <c r="P37" s="188"/>
      <c r="Q37" s="435"/>
      <c r="R37" s="435"/>
      <c r="S37" s="435"/>
      <c r="T37" s="435"/>
      <c r="U37" s="435"/>
      <c r="V37" s="435"/>
    </row>
    <row r="38" spans="1:22">
      <c r="A38" s="1"/>
      <c r="B38" s="1"/>
      <c r="C38" s="1"/>
      <c r="D38" s="1"/>
      <c r="E38" s="1"/>
      <c r="F38" s="1"/>
      <c r="G38" s="1"/>
      <c r="H38" s="1"/>
      <c r="I38" s="1"/>
      <c r="J38" s="1"/>
      <c r="K38" s="1"/>
      <c r="L38" s="1"/>
      <c r="M38" s="1"/>
      <c r="N38" s="1"/>
      <c r="O38" s="1"/>
      <c r="P38" s="188"/>
      <c r="Q38" s="435"/>
      <c r="R38" s="435"/>
      <c r="S38" s="435"/>
      <c r="T38" s="435"/>
      <c r="U38" s="435"/>
      <c r="V38" s="435"/>
    </row>
    <row r="39" spans="1:22">
      <c r="A39" s="1"/>
      <c r="B39" s="1"/>
      <c r="C39" s="1"/>
      <c r="D39" s="1"/>
      <c r="E39" s="1"/>
      <c r="F39" s="1"/>
      <c r="G39" s="1"/>
      <c r="H39" s="1"/>
      <c r="I39" s="1"/>
      <c r="J39" s="1"/>
      <c r="K39" s="1"/>
      <c r="L39" s="1"/>
      <c r="M39" s="1"/>
      <c r="N39" s="1"/>
      <c r="O39" s="1"/>
      <c r="P39" s="188"/>
      <c r="Q39" s="435"/>
      <c r="R39" s="435"/>
      <c r="S39" s="435"/>
      <c r="T39" s="435"/>
      <c r="U39" s="435"/>
      <c r="V39" s="435"/>
    </row>
    <row r="40" spans="1:22">
      <c r="A40" s="1"/>
      <c r="B40" s="1"/>
      <c r="C40" s="1"/>
      <c r="D40" s="1"/>
      <c r="E40" s="1"/>
      <c r="F40" s="1"/>
      <c r="G40" s="1"/>
      <c r="H40" s="1"/>
      <c r="I40" s="1"/>
      <c r="J40" s="1"/>
      <c r="K40" s="1"/>
      <c r="L40" s="1"/>
      <c r="M40" s="1"/>
      <c r="N40" s="1"/>
      <c r="O40" s="1"/>
      <c r="P40" s="188"/>
      <c r="Q40" s="435"/>
      <c r="R40" s="435"/>
      <c r="S40" s="435"/>
      <c r="T40" s="435"/>
      <c r="U40" s="435"/>
      <c r="V40" s="435"/>
    </row>
    <row r="41" spans="1:22">
      <c r="A41" s="1"/>
      <c r="B41" s="1"/>
      <c r="C41" s="1"/>
      <c r="D41" s="1"/>
      <c r="E41" s="1"/>
      <c r="F41" s="1"/>
      <c r="G41" s="1"/>
      <c r="H41" s="1"/>
      <c r="I41" s="1"/>
      <c r="J41" s="1"/>
      <c r="K41" s="1"/>
      <c r="L41" s="1"/>
      <c r="M41" s="1"/>
      <c r="N41" s="1"/>
      <c r="O41" s="1"/>
      <c r="P41" s="188"/>
      <c r="Q41" s="435"/>
      <c r="R41" s="435"/>
      <c r="S41" s="435"/>
      <c r="T41" s="435"/>
      <c r="U41" s="435"/>
      <c r="V41" s="435"/>
    </row>
    <row r="42" spans="1:22">
      <c r="A42" s="1"/>
      <c r="B42" s="1"/>
      <c r="C42" s="1"/>
      <c r="D42" s="1"/>
      <c r="E42" s="1"/>
      <c r="F42" s="1"/>
      <c r="G42" s="1"/>
      <c r="H42" s="1"/>
      <c r="I42" s="1"/>
      <c r="J42" s="1"/>
      <c r="K42" s="1"/>
      <c r="L42" s="1"/>
      <c r="M42" s="1"/>
      <c r="N42" s="1"/>
      <c r="O42" s="1"/>
      <c r="P42" s="188"/>
      <c r="Q42" s="435"/>
      <c r="R42" s="435"/>
      <c r="S42" s="435"/>
      <c r="T42" s="435"/>
      <c r="U42" s="435"/>
      <c r="V42" s="435"/>
    </row>
    <row r="43" spans="1:22">
      <c r="A43" s="1"/>
      <c r="B43" s="1"/>
      <c r="C43" s="1"/>
      <c r="D43" s="1"/>
      <c r="E43" s="1"/>
      <c r="F43" s="1"/>
      <c r="G43" s="1"/>
      <c r="H43" s="1"/>
      <c r="I43" s="1"/>
      <c r="J43" s="1"/>
      <c r="K43" s="1"/>
      <c r="L43" s="1"/>
      <c r="M43" s="1"/>
      <c r="N43" s="1"/>
      <c r="O43" s="1"/>
      <c r="P43" s="188"/>
      <c r="Q43" s="435"/>
      <c r="R43" s="435"/>
      <c r="S43" s="435"/>
      <c r="T43" s="435"/>
      <c r="U43" s="435"/>
      <c r="V43" s="435"/>
    </row>
    <row r="44" spans="1:22">
      <c r="A44" s="1"/>
      <c r="B44" s="1"/>
      <c r="C44" s="1"/>
      <c r="D44" s="1"/>
      <c r="E44" s="1"/>
      <c r="F44" s="1"/>
      <c r="G44" s="1"/>
      <c r="H44" s="1"/>
      <c r="I44" s="1"/>
      <c r="J44" s="1"/>
      <c r="K44" s="1"/>
      <c r="L44" s="1"/>
      <c r="M44" s="1"/>
      <c r="N44" s="1"/>
      <c r="O44" s="1"/>
      <c r="P44" s="188"/>
      <c r="Q44" s="435"/>
      <c r="R44" s="435"/>
      <c r="S44" s="435"/>
      <c r="T44" s="435"/>
      <c r="U44" s="435"/>
      <c r="V44" s="435"/>
    </row>
    <row r="45" spans="1:22">
      <c r="A45" s="1"/>
      <c r="B45" s="1"/>
      <c r="C45" s="1"/>
      <c r="D45" s="1"/>
      <c r="E45" s="1"/>
      <c r="F45" s="1"/>
      <c r="G45" s="1"/>
      <c r="H45" s="1"/>
      <c r="I45" s="1"/>
      <c r="J45" s="1"/>
      <c r="K45" s="1"/>
      <c r="L45" s="1"/>
      <c r="M45" s="1"/>
      <c r="N45" s="1"/>
      <c r="O45" s="1"/>
      <c r="P45" s="188"/>
      <c r="Q45" s="435"/>
      <c r="R45" s="435"/>
      <c r="S45" s="435"/>
      <c r="T45" s="435"/>
      <c r="U45" s="435"/>
      <c r="V45" s="435"/>
    </row>
    <row r="46" spans="1:22">
      <c r="A46" s="1"/>
      <c r="B46" s="1"/>
      <c r="C46" s="1"/>
      <c r="D46" s="1"/>
      <c r="E46" s="1"/>
      <c r="F46" s="1"/>
      <c r="G46" s="1"/>
      <c r="H46" s="1"/>
      <c r="I46" s="1"/>
      <c r="J46" s="1"/>
      <c r="K46" s="1"/>
      <c r="L46" s="1"/>
      <c r="M46" s="1"/>
      <c r="N46" s="1"/>
      <c r="O46" s="1"/>
      <c r="P46" s="188"/>
      <c r="Q46" s="435"/>
      <c r="R46" s="435"/>
      <c r="S46" s="435"/>
      <c r="T46" s="435"/>
      <c r="U46" s="435"/>
      <c r="V46" s="435"/>
    </row>
    <row r="47" spans="1:22">
      <c r="A47" s="1"/>
      <c r="B47" s="1"/>
      <c r="C47" s="1"/>
      <c r="D47" s="1"/>
      <c r="E47" s="1"/>
      <c r="F47" s="1"/>
      <c r="G47" s="1"/>
      <c r="H47" s="1"/>
      <c r="I47" s="1"/>
      <c r="J47" s="1"/>
      <c r="K47" s="1"/>
      <c r="L47" s="1"/>
      <c r="M47" s="1"/>
      <c r="N47" s="1"/>
      <c r="O47" s="1"/>
      <c r="P47" s="188"/>
      <c r="Q47" s="435"/>
      <c r="R47" s="435"/>
      <c r="S47" s="435"/>
      <c r="T47" s="435"/>
      <c r="U47" s="435"/>
      <c r="V47" s="435"/>
    </row>
    <row r="48" spans="1:22">
      <c r="A48" s="1"/>
      <c r="B48" s="1"/>
      <c r="C48" s="1"/>
      <c r="D48" s="1"/>
      <c r="E48" s="1"/>
      <c r="F48" s="1"/>
      <c r="G48" s="1"/>
      <c r="H48" s="1"/>
      <c r="I48" s="1"/>
      <c r="J48" s="1"/>
      <c r="K48" s="1"/>
      <c r="L48" s="1"/>
      <c r="M48" s="1"/>
      <c r="N48" s="1"/>
      <c r="O48" s="1"/>
      <c r="P48" s="188"/>
      <c r="Q48" s="435"/>
      <c r="R48" s="435"/>
      <c r="S48" s="435"/>
      <c r="T48" s="435"/>
      <c r="U48" s="435"/>
      <c r="V48" s="435"/>
    </row>
    <row r="49" spans="1:22">
      <c r="A49" s="1"/>
      <c r="B49" s="1"/>
      <c r="C49" s="1"/>
      <c r="D49" s="1"/>
      <c r="E49" s="1"/>
      <c r="F49" s="1"/>
      <c r="G49" s="1"/>
      <c r="H49" s="1"/>
      <c r="I49" s="1"/>
      <c r="J49" s="1"/>
      <c r="K49" s="1"/>
      <c r="L49" s="1"/>
      <c r="M49" s="1"/>
      <c r="N49" s="1"/>
      <c r="O49" s="1"/>
      <c r="P49" s="188"/>
      <c r="Q49" s="435"/>
      <c r="R49" s="435"/>
      <c r="S49" s="435"/>
      <c r="T49" s="435"/>
      <c r="U49" s="435"/>
      <c r="V49" s="435"/>
    </row>
    <row r="50" spans="1:22">
      <c r="A50" s="1"/>
      <c r="B50" s="1"/>
      <c r="C50" s="1"/>
      <c r="D50" s="1"/>
      <c r="E50" s="1"/>
      <c r="F50" s="1"/>
      <c r="G50" s="1"/>
      <c r="H50" s="1"/>
      <c r="I50" s="1"/>
      <c r="J50" s="1"/>
      <c r="K50" s="1"/>
      <c r="L50" s="1"/>
      <c r="M50" s="1"/>
      <c r="N50" s="1"/>
      <c r="O50" s="1"/>
      <c r="P50" s="188"/>
      <c r="Q50" s="435"/>
      <c r="R50" s="435"/>
      <c r="S50" s="435"/>
      <c r="T50" s="435"/>
      <c r="U50" s="435"/>
      <c r="V50" s="435"/>
    </row>
    <row r="51" spans="1:22">
      <c r="A51" s="1"/>
      <c r="B51" s="1"/>
      <c r="C51" s="1"/>
      <c r="D51" s="1"/>
      <c r="E51" s="1"/>
      <c r="F51" s="1"/>
      <c r="G51" s="1"/>
      <c r="H51" s="1"/>
      <c r="I51" s="1"/>
      <c r="J51" s="1"/>
      <c r="K51" s="1"/>
      <c r="L51" s="1"/>
      <c r="M51" s="1"/>
      <c r="N51" s="1"/>
      <c r="O51" s="1"/>
      <c r="P51" s="188"/>
      <c r="Q51" s="435"/>
      <c r="R51" s="435"/>
      <c r="S51" s="435"/>
      <c r="T51" s="435"/>
      <c r="U51" s="435"/>
      <c r="V51" s="435"/>
    </row>
    <row r="52" spans="1:22">
      <c r="A52" s="1"/>
      <c r="B52" s="1"/>
      <c r="C52" s="1"/>
      <c r="D52" s="1"/>
      <c r="E52" s="1"/>
      <c r="F52" s="1"/>
      <c r="G52" s="1"/>
      <c r="H52" s="1"/>
      <c r="I52" s="1"/>
      <c r="J52" s="1"/>
      <c r="K52" s="1"/>
      <c r="L52" s="1"/>
      <c r="M52" s="1"/>
      <c r="N52" s="1"/>
      <c r="O52" s="1"/>
      <c r="P52" s="188"/>
      <c r="Q52" s="435"/>
      <c r="R52" s="435"/>
      <c r="S52" s="435"/>
      <c r="T52" s="435"/>
      <c r="U52" s="435"/>
      <c r="V52" s="435"/>
    </row>
    <row r="53" spans="1:22">
      <c r="A53" s="1"/>
      <c r="B53" s="1"/>
      <c r="C53" s="1"/>
      <c r="D53" s="1"/>
      <c r="E53" s="1"/>
      <c r="F53" s="1"/>
      <c r="G53" s="1"/>
      <c r="H53" s="1"/>
      <c r="I53" s="1"/>
      <c r="J53" s="1"/>
      <c r="K53" s="1"/>
      <c r="L53" s="1"/>
      <c r="M53" s="1"/>
      <c r="N53" s="1"/>
      <c r="O53" s="1"/>
      <c r="P53" s="188"/>
      <c r="Q53" s="435"/>
      <c r="R53" s="435"/>
      <c r="S53" s="435"/>
      <c r="T53" s="435"/>
      <c r="U53" s="435"/>
      <c r="V53" s="435"/>
    </row>
    <row r="54" spans="1:22">
      <c r="A54" s="1"/>
      <c r="B54" s="1"/>
      <c r="C54" s="1"/>
      <c r="D54" s="1"/>
      <c r="E54" s="1"/>
      <c r="F54" s="1"/>
      <c r="G54" s="1"/>
      <c r="H54" s="1"/>
      <c r="I54" s="1"/>
      <c r="J54" s="1"/>
      <c r="K54" s="1"/>
      <c r="L54" s="1"/>
      <c r="M54" s="1"/>
      <c r="N54" s="1"/>
      <c r="O54" s="1"/>
      <c r="P54" s="188"/>
      <c r="Q54" s="435"/>
      <c r="R54" s="435"/>
      <c r="S54" s="435"/>
      <c r="T54" s="435"/>
      <c r="U54" s="435"/>
      <c r="V54" s="435"/>
    </row>
    <row r="55" spans="1:22">
      <c r="A55" s="1"/>
      <c r="B55" s="1"/>
      <c r="C55" s="1"/>
      <c r="D55" s="1"/>
      <c r="E55" s="1"/>
      <c r="F55" s="1"/>
      <c r="G55" s="1"/>
      <c r="H55" s="1"/>
      <c r="I55" s="1"/>
      <c r="J55" s="1"/>
      <c r="K55" s="1"/>
      <c r="L55" s="1"/>
      <c r="M55" s="1"/>
      <c r="N55" s="1"/>
      <c r="O55" s="1"/>
      <c r="P55" s="188"/>
      <c r="Q55" s="435"/>
      <c r="R55" s="435"/>
      <c r="S55" s="435"/>
      <c r="T55" s="435"/>
      <c r="U55" s="435"/>
      <c r="V55" s="435"/>
    </row>
    <row r="56" spans="1:22">
      <c r="A56" s="1"/>
      <c r="B56" s="1"/>
      <c r="C56" s="1"/>
      <c r="D56" s="1"/>
      <c r="E56" s="1"/>
      <c r="F56" s="1"/>
      <c r="G56" s="1"/>
      <c r="H56" s="1"/>
      <c r="I56" s="1"/>
      <c r="J56" s="1"/>
      <c r="K56" s="1"/>
      <c r="L56" s="1"/>
      <c r="M56" s="1"/>
      <c r="N56" s="1"/>
      <c r="O56" s="1"/>
      <c r="P56" s="188"/>
      <c r="Q56" s="435"/>
      <c r="R56" s="435"/>
      <c r="S56" s="435"/>
      <c r="T56" s="435"/>
      <c r="U56" s="435"/>
      <c r="V56" s="435"/>
    </row>
    <row r="57" spans="1:22">
      <c r="A57" s="1"/>
      <c r="B57" s="1"/>
      <c r="C57" s="1"/>
      <c r="D57" s="1"/>
      <c r="E57" s="1"/>
      <c r="F57" s="1"/>
      <c r="G57" s="1"/>
      <c r="H57" s="1"/>
      <c r="I57" s="1"/>
      <c r="J57" s="1"/>
      <c r="K57" s="1"/>
      <c r="L57" s="1"/>
      <c r="M57" s="1"/>
      <c r="N57" s="1"/>
      <c r="O57" s="1"/>
      <c r="P57" s="188"/>
      <c r="Q57" s="435"/>
      <c r="R57" s="435"/>
      <c r="S57" s="435"/>
      <c r="T57" s="435"/>
      <c r="U57" s="435"/>
      <c r="V57" s="435"/>
    </row>
    <row r="58" spans="1:22">
      <c r="A58" s="1"/>
      <c r="B58" s="1"/>
      <c r="C58" s="1"/>
      <c r="D58" s="1"/>
      <c r="E58" s="1"/>
      <c r="F58" s="1"/>
      <c r="G58" s="1"/>
      <c r="H58" s="1"/>
      <c r="I58" s="1"/>
      <c r="J58" s="1"/>
      <c r="K58" s="1"/>
      <c r="L58" s="1"/>
      <c r="M58" s="1"/>
      <c r="N58" s="1"/>
      <c r="O58" s="1"/>
      <c r="P58" s="188"/>
      <c r="Q58" s="435"/>
      <c r="R58" s="435"/>
      <c r="S58" s="435"/>
      <c r="T58" s="435"/>
      <c r="U58" s="435"/>
      <c r="V58" s="435"/>
    </row>
    <row r="59" spans="1:22">
      <c r="A59" s="1"/>
      <c r="B59" s="1"/>
      <c r="C59" s="1"/>
      <c r="D59" s="1"/>
      <c r="E59" s="1"/>
      <c r="F59" s="1"/>
      <c r="G59" s="1"/>
      <c r="H59" s="1"/>
      <c r="I59" s="1"/>
      <c r="J59" s="1"/>
      <c r="K59" s="1"/>
      <c r="L59" s="1"/>
      <c r="M59" s="1"/>
      <c r="N59" s="1"/>
      <c r="O59" s="1"/>
      <c r="P59" s="188"/>
      <c r="Q59" s="435"/>
      <c r="R59" s="435"/>
      <c r="S59" s="435"/>
      <c r="T59" s="435"/>
      <c r="U59" s="435"/>
      <c r="V59" s="435"/>
    </row>
    <row r="60" spans="1:22">
      <c r="A60" s="1"/>
      <c r="B60" s="1"/>
      <c r="C60" s="1"/>
      <c r="D60" s="1"/>
      <c r="E60" s="1"/>
      <c r="F60" s="1"/>
      <c r="G60" s="1"/>
      <c r="H60" s="1"/>
      <c r="I60" s="1"/>
      <c r="J60" s="1"/>
      <c r="K60" s="1"/>
      <c r="L60" s="1"/>
      <c r="M60" s="1"/>
      <c r="N60" s="1"/>
      <c r="O60" s="1"/>
      <c r="P60" s="188"/>
      <c r="Q60" s="435"/>
      <c r="R60" s="435"/>
      <c r="S60" s="435"/>
      <c r="T60" s="435"/>
      <c r="U60" s="435"/>
      <c r="V60" s="435"/>
    </row>
    <row r="61" spans="1:22">
      <c r="A61" s="1"/>
      <c r="B61" s="1"/>
      <c r="C61" s="1"/>
      <c r="D61" s="1"/>
      <c r="E61" s="1"/>
      <c r="F61" s="1"/>
      <c r="G61" s="1"/>
      <c r="H61" s="1"/>
      <c r="I61" s="1"/>
      <c r="J61" s="1"/>
      <c r="K61" s="1"/>
      <c r="L61" s="1"/>
      <c r="M61" s="1"/>
      <c r="N61" s="1"/>
      <c r="O61" s="1"/>
      <c r="P61" s="188"/>
      <c r="Q61" s="435"/>
      <c r="R61" s="435"/>
      <c r="S61" s="435"/>
      <c r="T61" s="435"/>
      <c r="U61" s="435"/>
      <c r="V61" s="435"/>
    </row>
    <row r="62" spans="1:22">
      <c r="A62" s="1"/>
      <c r="B62" s="1"/>
      <c r="C62" s="1"/>
      <c r="D62" s="1"/>
      <c r="E62" s="1"/>
      <c r="F62" s="1"/>
      <c r="G62" s="1"/>
      <c r="H62" s="1"/>
      <c r="I62" s="1"/>
      <c r="J62" s="1"/>
      <c r="K62" s="1"/>
      <c r="L62" s="1"/>
      <c r="M62" s="1"/>
      <c r="N62" s="1"/>
      <c r="O62" s="1"/>
      <c r="P62" s="188"/>
      <c r="Q62" s="435"/>
      <c r="R62" s="435"/>
      <c r="S62" s="435"/>
      <c r="T62" s="435"/>
      <c r="U62" s="435"/>
      <c r="V62" s="435"/>
    </row>
    <row r="63" spans="1:22">
      <c r="A63" s="1"/>
      <c r="B63" s="1"/>
      <c r="C63" s="1"/>
      <c r="D63" s="1"/>
      <c r="E63" s="1"/>
      <c r="F63" s="1"/>
      <c r="G63" s="1"/>
      <c r="H63" s="1"/>
      <c r="I63" s="1"/>
      <c r="J63" s="1"/>
      <c r="K63" s="1"/>
      <c r="L63" s="1"/>
      <c r="M63" s="1"/>
      <c r="N63" s="1"/>
      <c r="O63" s="1"/>
      <c r="P63" s="188"/>
      <c r="Q63" s="435"/>
      <c r="R63" s="435"/>
      <c r="S63" s="435"/>
      <c r="T63" s="435"/>
      <c r="U63" s="435"/>
      <c r="V63" s="435"/>
    </row>
    <row r="64" spans="1:22">
      <c r="A64" s="1"/>
      <c r="B64" s="1"/>
      <c r="C64" s="1"/>
      <c r="D64" s="1"/>
      <c r="E64" s="1"/>
      <c r="F64" s="1"/>
      <c r="G64" s="1"/>
      <c r="H64" s="1"/>
      <c r="I64" s="1"/>
      <c r="J64" s="1"/>
      <c r="K64" s="1"/>
      <c r="L64" s="1"/>
      <c r="M64" s="1"/>
      <c r="N64" s="1"/>
      <c r="O64" s="1"/>
      <c r="P64" s="188"/>
      <c r="Q64" s="435"/>
      <c r="R64" s="435"/>
      <c r="S64" s="435"/>
      <c r="T64" s="435"/>
      <c r="U64" s="435"/>
      <c r="V64" s="435"/>
    </row>
    <row r="65" spans="1:22">
      <c r="A65" s="1"/>
      <c r="B65" s="1"/>
      <c r="C65" s="1"/>
      <c r="D65" s="1"/>
      <c r="E65" s="1"/>
      <c r="F65" s="1"/>
      <c r="G65" s="1"/>
      <c r="H65" s="1"/>
      <c r="I65" s="1"/>
      <c r="J65" s="1"/>
      <c r="K65" s="1"/>
      <c r="L65" s="1"/>
      <c r="M65" s="1"/>
      <c r="N65" s="1"/>
      <c r="O65" s="1"/>
      <c r="P65" s="188"/>
      <c r="Q65" s="435"/>
      <c r="R65" s="435"/>
      <c r="S65" s="435"/>
      <c r="T65" s="435"/>
      <c r="U65" s="435"/>
      <c r="V65" s="435"/>
    </row>
    <row r="66" spans="1:22">
      <c r="A66" s="1"/>
      <c r="B66" s="1"/>
      <c r="C66" s="1"/>
      <c r="D66" s="1"/>
      <c r="E66" s="1"/>
      <c r="F66" s="1"/>
      <c r="G66" s="1"/>
      <c r="H66" s="1"/>
      <c r="I66" s="1"/>
      <c r="J66" s="1"/>
      <c r="K66" s="1"/>
      <c r="L66" s="1"/>
      <c r="M66" s="1"/>
      <c r="N66" s="1"/>
      <c r="O66" s="1"/>
      <c r="P66" s="188"/>
      <c r="Q66" s="435"/>
      <c r="R66" s="435"/>
      <c r="S66" s="435"/>
      <c r="T66" s="435"/>
      <c r="U66" s="435"/>
      <c r="V66" s="435"/>
    </row>
    <row r="67" spans="1:22">
      <c r="A67" s="1"/>
      <c r="B67" s="1"/>
      <c r="C67" s="1"/>
      <c r="D67" s="1"/>
      <c r="E67" s="1"/>
      <c r="F67" s="1"/>
      <c r="G67" s="1"/>
      <c r="H67" s="1"/>
      <c r="I67" s="1"/>
      <c r="J67" s="1"/>
      <c r="K67" s="1"/>
      <c r="L67" s="1"/>
      <c r="M67" s="1"/>
      <c r="N67" s="1"/>
      <c r="O67" s="1"/>
      <c r="P67" s="188"/>
      <c r="Q67" s="435"/>
      <c r="R67" s="435"/>
      <c r="S67" s="435"/>
      <c r="T67" s="435"/>
      <c r="U67" s="435"/>
      <c r="V67" s="435"/>
    </row>
    <row r="68" spans="1:22">
      <c r="A68" s="1"/>
      <c r="B68" s="1"/>
      <c r="C68" s="1"/>
      <c r="D68" s="1"/>
      <c r="E68" s="1"/>
      <c r="F68" s="1"/>
      <c r="G68" s="1"/>
      <c r="H68" s="1"/>
      <c r="I68" s="1"/>
      <c r="J68" s="1"/>
      <c r="K68" s="1"/>
      <c r="L68" s="1"/>
      <c r="M68" s="1"/>
      <c r="N68" s="1"/>
      <c r="O68" s="1"/>
      <c r="P68" s="188"/>
      <c r="Q68" s="435"/>
      <c r="R68" s="435"/>
      <c r="S68" s="435"/>
      <c r="T68" s="435"/>
      <c r="U68" s="435"/>
      <c r="V68" s="435"/>
    </row>
    <row r="69" spans="1:22">
      <c r="A69" s="1"/>
      <c r="B69" s="1"/>
      <c r="C69" s="1"/>
      <c r="D69" s="1"/>
      <c r="E69" s="1"/>
      <c r="F69" s="1"/>
      <c r="G69" s="1"/>
      <c r="H69" s="1"/>
      <c r="I69" s="1"/>
      <c r="J69" s="1"/>
      <c r="K69" s="1"/>
      <c r="L69" s="1"/>
      <c r="M69" s="1"/>
      <c r="N69" s="1"/>
      <c r="O69" s="1"/>
      <c r="P69" s="188"/>
      <c r="Q69" s="435"/>
      <c r="R69" s="435"/>
      <c r="S69" s="435"/>
      <c r="T69" s="435"/>
      <c r="U69" s="435"/>
      <c r="V69" s="435"/>
    </row>
    <row r="70" spans="1:22">
      <c r="A70" s="1"/>
      <c r="B70" s="1"/>
      <c r="C70" s="1"/>
      <c r="D70" s="1"/>
      <c r="E70" s="1"/>
      <c r="F70" s="1"/>
      <c r="G70" s="1"/>
      <c r="H70" s="1"/>
      <c r="I70" s="1"/>
      <c r="J70" s="1"/>
      <c r="K70" s="1"/>
      <c r="L70" s="1"/>
      <c r="M70" s="1"/>
      <c r="N70" s="1"/>
      <c r="O70" s="1"/>
      <c r="P70" s="188"/>
      <c r="Q70" s="435"/>
      <c r="R70" s="435"/>
      <c r="S70" s="435"/>
      <c r="T70" s="435"/>
      <c r="U70" s="435"/>
      <c r="V70" s="435"/>
    </row>
    <row r="71" spans="1:22">
      <c r="A71" s="1"/>
      <c r="B71" s="1"/>
      <c r="C71" s="1"/>
      <c r="D71" s="1"/>
      <c r="E71" s="1"/>
      <c r="F71" s="1"/>
      <c r="G71" s="1"/>
      <c r="H71" s="1"/>
      <c r="I71" s="1"/>
      <c r="J71" s="1"/>
      <c r="K71" s="1"/>
      <c r="L71" s="1"/>
      <c r="M71" s="1"/>
      <c r="N71" s="1"/>
      <c r="O71" s="1"/>
      <c r="P71" s="188"/>
      <c r="Q71" s="435"/>
      <c r="R71" s="435"/>
      <c r="S71" s="435"/>
      <c r="T71" s="435"/>
      <c r="U71" s="435"/>
      <c r="V71" s="435"/>
    </row>
    <row r="72" spans="1:22">
      <c r="A72" s="1"/>
      <c r="B72" s="1"/>
      <c r="C72" s="1"/>
      <c r="D72" s="1"/>
      <c r="E72" s="1"/>
      <c r="F72" s="1"/>
      <c r="G72" s="1"/>
      <c r="H72" s="1"/>
      <c r="I72" s="1"/>
      <c r="J72" s="1"/>
      <c r="K72" s="1"/>
      <c r="L72" s="1"/>
      <c r="M72" s="1"/>
      <c r="N72" s="1"/>
      <c r="O72" s="1"/>
      <c r="P72" s="188"/>
      <c r="Q72" s="435"/>
      <c r="R72" s="435"/>
      <c r="S72" s="435"/>
      <c r="T72" s="435"/>
      <c r="U72" s="435"/>
      <c r="V72" s="435"/>
    </row>
    <row r="73" spans="1:22">
      <c r="A73" s="1"/>
      <c r="B73" s="1"/>
      <c r="C73" s="1"/>
      <c r="D73" s="1"/>
      <c r="E73" s="1"/>
      <c r="F73" s="1"/>
      <c r="G73" s="1"/>
      <c r="H73" s="1"/>
      <c r="I73" s="1"/>
      <c r="J73" s="1"/>
      <c r="K73" s="1"/>
      <c r="L73" s="1"/>
      <c r="M73" s="1"/>
      <c r="N73" s="1"/>
      <c r="O73" s="1"/>
      <c r="P73" s="188"/>
      <c r="Q73" s="435"/>
      <c r="R73" s="435"/>
      <c r="S73" s="435"/>
      <c r="T73" s="435"/>
      <c r="U73" s="435"/>
      <c r="V73" s="435"/>
    </row>
    <row r="74" spans="1:22">
      <c r="A74" s="1"/>
      <c r="B74" s="1"/>
      <c r="C74" s="1"/>
      <c r="D74" s="1"/>
      <c r="E74" s="1"/>
      <c r="F74" s="1"/>
      <c r="G74" s="1"/>
      <c r="H74" s="1"/>
      <c r="I74" s="1"/>
      <c r="J74" s="1"/>
      <c r="K74" s="1"/>
      <c r="L74" s="1"/>
      <c r="M74" s="1"/>
      <c r="N74" s="1"/>
      <c r="O74" s="1"/>
      <c r="P74" s="188"/>
      <c r="Q74" s="435"/>
      <c r="R74" s="435"/>
      <c r="S74" s="435"/>
      <c r="T74" s="435"/>
      <c r="U74" s="435"/>
      <c r="V74" s="435"/>
    </row>
    <row r="75" spans="1:22">
      <c r="A75" s="1"/>
      <c r="B75" s="1"/>
      <c r="C75" s="1"/>
      <c r="D75" s="1"/>
      <c r="E75" s="1"/>
      <c r="F75" s="1"/>
      <c r="G75" s="1"/>
      <c r="H75" s="1"/>
      <c r="I75" s="1"/>
      <c r="J75" s="1"/>
      <c r="K75" s="1"/>
      <c r="L75" s="1"/>
      <c r="M75" s="1"/>
      <c r="N75" s="1"/>
      <c r="O75" s="1"/>
      <c r="P75" s="188"/>
      <c r="Q75" s="435"/>
      <c r="R75" s="435"/>
      <c r="S75" s="435"/>
      <c r="T75" s="435"/>
      <c r="U75" s="435"/>
      <c r="V75" s="435"/>
    </row>
    <row r="76" spans="1:22">
      <c r="A76" s="1"/>
      <c r="B76" s="1"/>
      <c r="C76" s="1"/>
      <c r="D76" s="1"/>
      <c r="E76" s="1"/>
      <c r="F76" s="1"/>
      <c r="G76" s="1"/>
      <c r="H76" s="1"/>
      <c r="I76" s="1"/>
      <c r="J76" s="1"/>
      <c r="K76" s="1"/>
      <c r="L76" s="1"/>
      <c r="M76" s="1"/>
      <c r="N76" s="1"/>
      <c r="O76" s="1"/>
      <c r="P76" s="188"/>
      <c r="Q76" s="435"/>
      <c r="R76" s="435"/>
      <c r="S76" s="435"/>
      <c r="T76" s="435"/>
      <c r="U76" s="435"/>
      <c r="V76" s="435"/>
    </row>
    <row r="77" spans="1:22">
      <c r="A77" s="1"/>
      <c r="B77" s="1"/>
      <c r="C77" s="1"/>
      <c r="D77" s="1"/>
      <c r="E77" s="1"/>
      <c r="F77" s="1"/>
      <c r="G77" s="1"/>
      <c r="H77" s="1"/>
      <c r="I77" s="1"/>
      <c r="J77" s="1"/>
      <c r="K77" s="1"/>
      <c r="L77" s="1"/>
      <c r="M77" s="1"/>
      <c r="N77" s="1"/>
      <c r="O77" s="1"/>
      <c r="P77" s="188"/>
      <c r="Q77" s="435"/>
      <c r="R77" s="435"/>
      <c r="S77" s="435"/>
      <c r="T77" s="435"/>
      <c r="U77" s="435"/>
      <c r="V77" s="435"/>
    </row>
    <row r="78" spans="1:22">
      <c r="A78" s="1"/>
      <c r="B78" s="1"/>
      <c r="C78" s="1"/>
      <c r="D78" s="1"/>
      <c r="E78" s="1"/>
      <c r="F78" s="1"/>
      <c r="G78" s="1"/>
      <c r="H78" s="1"/>
      <c r="I78" s="1"/>
      <c r="J78" s="1"/>
      <c r="K78" s="1"/>
      <c r="L78" s="1"/>
      <c r="M78" s="1"/>
      <c r="N78" s="1"/>
      <c r="O78" s="1"/>
      <c r="P78" s="188"/>
      <c r="Q78" s="435"/>
      <c r="R78" s="435"/>
      <c r="S78" s="435"/>
      <c r="T78" s="435"/>
      <c r="U78" s="435"/>
      <c r="V78" s="435"/>
    </row>
    <row r="79" spans="1:22">
      <c r="A79" s="1"/>
      <c r="B79" s="1"/>
      <c r="C79" s="1"/>
      <c r="D79" s="1"/>
      <c r="E79" s="1"/>
      <c r="F79" s="1"/>
      <c r="G79" s="1"/>
      <c r="H79" s="1"/>
      <c r="I79" s="1"/>
      <c r="J79" s="1"/>
      <c r="K79" s="1"/>
      <c r="L79" s="1"/>
      <c r="M79" s="1"/>
      <c r="N79" s="1"/>
      <c r="O79" s="1"/>
      <c r="P79" s="188"/>
      <c r="Q79" s="435"/>
      <c r="R79" s="435"/>
      <c r="S79" s="435"/>
      <c r="T79" s="435"/>
      <c r="U79" s="435"/>
      <c r="V79" s="435"/>
    </row>
    <row r="80" spans="1:22">
      <c r="A80" s="1"/>
      <c r="B80" s="1"/>
      <c r="C80" s="1"/>
      <c r="D80" s="1"/>
      <c r="E80" s="1"/>
      <c r="F80" s="1"/>
      <c r="G80" s="1"/>
      <c r="H80" s="1"/>
      <c r="I80" s="1"/>
      <c r="J80" s="1"/>
      <c r="K80" s="1"/>
      <c r="L80" s="1"/>
      <c r="M80" s="1"/>
      <c r="N80" s="1"/>
      <c r="O80" s="1"/>
      <c r="P80" s="188"/>
      <c r="Q80" s="435"/>
      <c r="R80" s="435"/>
      <c r="S80" s="435"/>
      <c r="T80" s="435"/>
      <c r="U80" s="435"/>
      <c r="V80" s="435"/>
    </row>
    <row r="81" spans="1:22">
      <c r="A81" s="1"/>
      <c r="B81" s="1"/>
      <c r="C81" s="1"/>
      <c r="D81" s="1"/>
      <c r="E81" s="1"/>
      <c r="F81" s="1"/>
      <c r="G81" s="1"/>
      <c r="H81" s="1"/>
      <c r="I81" s="1"/>
      <c r="J81" s="1"/>
      <c r="K81" s="1"/>
      <c r="L81" s="1"/>
      <c r="M81" s="1"/>
      <c r="N81" s="1"/>
      <c r="O81" s="1"/>
      <c r="P81" s="188"/>
      <c r="Q81" s="435"/>
      <c r="R81" s="435"/>
      <c r="S81" s="435"/>
      <c r="T81" s="435"/>
      <c r="U81" s="435"/>
      <c r="V81" s="435"/>
    </row>
    <row r="82" spans="1:22">
      <c r="A82" s="1"/>
      <c r="B82" s="1"/>
      <c r="C82" s="1"/>
      <c r="D82" s="1"/>
      <c r="E82" s="1"/>
      <c r="F82" s="1"/>
      <c r="G82" s="1"/>
      <c r="H82" s="1"/>
      <c r="I82" s="1"/>
      <c r="J82" s="1"/>
      <c r="K82" s="1"/>
      <c r="L82" s="1"/>
      <c r="M82" s="1"/>
      <c r="N82" s="1"/>
      <c r="O82" s="1"/>
      <c r="P82" s="188"/>
      <c r="Q82" s="435"/>
      <c r="R82" s="435"/>
      <c r="S82" s="435"/>
      <c r="T82" s="435"/>
      <c r="U82" s="435"/>
      <c r="V82" s="435"/>
    </row>
    <row r="83" spans="1:22">
      <c r="A83" s="1"/>
      <c r="B83" s="1"/>
      <c r="C83" s="1"/>
      <c r="D83" s="1"/>
      <c r="E83" s="1"/>
      <c r="F83" s="1"/>
      <c r="G83" s="1"/>
      <c r="H83" s="1"/>
      <c r="I83" s="1"/>
      <c r="J83" s="1"/>
      <c r="K83" s="1"/>
      <c r="L83" s="1"/>
      <c r="M83" s="1"/>
      <c r="N83" s="1"/>
      <c r="O83" s="1"/>
      <c r="P83" s="188"/>
      <c r="Q83" s="435"/>
      <c r="R83" s="435"/>
      <c r="S83" s="435"/>
      <c r="T83" s="435"/>
      <c r="U83" s="435"/>
      <c r="V83" s="435"/>
    </row>
    <row r="84" spans="1:22">
      <c r="A84" s="1"/>
      <c r="B84" s="1"/>
      <c r="C84" s="1"/>
      <c r="D84" s="1"/>
      <c r="E84" s="1"/>
      <c r="F84" s="1"/>
      <c r="G84" s="1"/>
      <c r="H84" s="1"/>
      <c r="I84" s="1"/>
      <c r="J84" s="1"/>
      <c r="K84" s="1"/>
      <c r="L84" s="1"/>
      <c r="M84" s="1"/>
      <c r="N84" s="1"/>
      <c r="O84" s="1"/>
      <c r="P84" s="188"/>
      <c r="Q84" s="435"/>
      <c r="R84" s="435"/>
      <c r="S84" s="435"/>
      <c r="T84" s="435"/>
      <c r="U84" s="435"/>
      <c r="V84" s="435"/>
    </row>
    <row r="85" spans="1:22">
      <c r="A85" s="1"/>
      <c r="B85" s="1"/>
      <c r="C85" s="1"/>
      <c r="D85" s="1"/>
      <c r="E85" s="1"/>
      <c r="F85" s="1"/>
      <c r="G85" s="1"/>
      <c r="H85" s="1"/>
      <c r="I85" s="1"/>
      <c r="J85" s="1"/>
      <c r="K85" s="1"/>
      <c r="L85" s="1"/>
      <c r="M85" s="1"/>
      <c r="N85" s="1"/>
      <c r="O85" s="1"/>
      <c r="P85" s="188"/>
      <c r="Q85" s="435"/>
      <c r="R85" s="435"/>
      <c r="S85" s="435"/>
      <c r="T85" s="435"/>
      <c r="U85" s="435"/>
      <c r="V85" s="435"/>
    </row>
    <row r="86" spans="1:22">
      <c r="A86" s="1"/>
      <c r="B86" s="1"/>
      <c r="C86" s="1"/>
      <c r="D86" s="1"/>
      <c r="E86" s="1"/>
      <c r="F86" s="1"/>
      <c r="G86" s="1"/>
      <c r="H86" s="1"/>
      <c r="I86" s="1"/>
      <c r="J86" s="1"/>
      <c r="K86" s="1"/>
      <c r="L86" s="1"/>
      <c r="M86" s="1"/>
      <c r="N86" s="1"/>
      <c r="O86" s="1"/>
      <c r="P86" s="188"/>
      <c r="Q86" s="435"/>
      <c r="R86" s="435"/>
      <c r="S86" s="435"/>
      <c r="T86" s="435"/>
      <c r="U86" s="435"/>
      <c r="V86" s="435"/>
    </row>
    <row r="87" spans="1:22">
      <c r="A87" s="1"/>
      <c r="B87" s="1"/>
      <c r="C87" s="1"/>
      <c r="D87" s="1"/>
      <c r="E87" s="1"/>
      <c r="F87" s="1"/>
      <c r="G87" s="1"/>
      <c r="H87" s="1"/>
      <c r="I87" s="1"/>
      <c r="J87" s="1"/>
      <c r="K87" s="1"/>
      <c r="L87" s="1"/>
      <c r="M87" s="1"/>
      <c r="N87" s="1"/>
      <c r="O87" s="1"/>
      <c r="P87" s="188"/>
      <c r="Q87" s="435"/>
      <c r="R87" s="435"/>
      <c r="S87" s="435"/>
      <c r="T87" s="435"/>
      <c r="U87" s="435"/>
      <c r="V87" s="435"/>
    </row>
    <row r="88" spans="1:22">
      <c r="A88" s="1"/>
      <c r="B88" s="1"/>
      <c r="C88" s="1"/>
      <c r="D88" s="1"/>
      <c r="E88" s="1"/>
      <c r="F88" s="1"/>
      <c r="G88" s="1"/>
      <c r="H88" s="1"/>
      <c r="I88" s="1"/>
      <c r="J88" s="1"/>
      <c r="K88" s="1"/>
      <c r="L88" s="1"/>
      <c r="M88" s="1"/>
      <c r="N88" s="1"/>
      <c r="O88" s="1"/>
      <c r="P88" s="188"/>
      <c r="Q88" s="435"/>
      <c r="R88" s="435"/>
      <c r="S88" s="435"/>
      <c r="T88" s="435"/>
      <c r="U88" s="435"/>
      <c r="V88" s="435"/>
    </row>
    <row r="89" spans="1:22">
      <c r="A89" s="1"/>
      <c r="B89" s="1"/>
      <c r="C89" s="1"/>
      <c r="D89" s="1"/>
      <c r="E89" s="1"/>
      <c r="F89" s="1"/>
      <c r="G89" s="1"/>
      <c r="H89" s="1"/>
      <c r="I89" s="1"/>
      <c r="J89" s="1"/>
      <c r="K89" s="1"/>
      <c r="L89" s="1"/>
      <c r="M89" s="1"/>
      <c r="N89" s="1"/>
      <c r="O89" s="1"/>
      <c r="P89" s="188"/>
      <c r="Q89" s="435"/>
      <c r="R89" s="435"/>
      <c r="S89" s="435"/>
      <c r="T89" s="435"/>
      <c r="U89" s="435"/>
      <c r="V89" s="435"/>
    </row>
    <row r="90" spans="1:22">
      <c r="A90" s="1"/>
      <c r="B90" s="1"/>
      <c r="C90" s="1"/>
      <c r="D90" s="1"/>
      <c r="E90" s="1"/>
      <c r="F90" s="1"/>
      <c r="G90" s="1"/>
      <c r="H90" s="1"/>
      <c r="I90" s="1"/>
      <c r="J90" s="1"/>
      <c r="K90" s="1"/>
      <c r="L90" s="1"/>
      <c r="M90" s="1"/>
      <c r="N90" s="1"/>
      <c r="O90" s="1"/>
      <c r="P90" s="188"/>
      <c r="Q90" s="435"/>
      <c r="R90" s="435"/>
      <c r="S90" s="435"/>
      <c r="T90" s="435"/>
      <c r="U90" s="435"/>
      <c r="V90" s="435"/>
    </row>
    <row r="91" spans="1:22">
      <c r="A91" s="1"/>
      <c r="B91" s="1"/>
      <c r="C91" s="1"/>
      <c r="D91" s="1"/>
      <c r="E91" s="1"/>
      <c r="F91" s="1"/>
      <c r="G91" s="1"/>
      <c r="H91" s="1"/>
      <c r="I91" s="1"/>
      <c r="J91" s="1"/>
      <c r="K91" s="1"/>
      <c r="L91" s="1"/>
      <c r="M91" s="1"/>
      <c r="N91" s="1"/>
      <c r="O91" s="1"/>
      <c r="P91" s="188"/>
      <c r="Q91" s="435"/>
      <c r="R91" s="435"/>
      <c r="S91" s="435"/>
      <c r="T91" s="435"/>
      <c r="U91" s="435"/>
      <c r="V91" s="435"/>
    </row>
    <row r="92" spans="1:22">
      <c r="A92" s="1"/>
      <c r="B92" s="1"/>
      <c r="C92" s="1"/>
      <c r="D92" s="1"/>
      <c r="E92" s="1"/>
      <c r="F92" s="1"/>
      <c r="G92" s="1"/>
      <c r="H92" s="1"/>
      <c r="I92" s="1"/>
      <c r="J92" s="1"/>
      <c r="K92" s="1"/>
      <c r="L92" s="1"/>
      <c r="M92" s="1"/>
      <c r="N92" s="1"/>
      <c r="O92" s="1"/>
      <c r="P92" s="188"/>
      <c r="Q92" s="435"/>
      <c r="R92" s="435"/>
      <c r="S92" s="435"/>
      <c r="T92" s="435"/>
      <c r="U92" s="435"/>
      <c r="V92" s="435"/>
    </row>
    <row r="93" spans="1:22">
      <c r="A93" s="1"/>
      <c r="B93" s="1"/>
      <c r="C93" s="1"/>
      <c r="D93" s="1"/>
      <c r="E93" s="1"/>
      <c r="F93" s="1"/>
      <c r="G93" s="1"/>
      <c r="H93" s="1"/>
      <c r="I93" s="1"/>
      <c r="J93" s="1"/>
      <c r="K93" s="1"/>
      <c r="L93" s="1"/>
      <c r="M93" s="1"/>
      <c r="N93" s="1"/>
      <c r="O93" s="1"/>
      <c r="P93" s="188"/>
      <c r="Q93" s="435"/>
      <c r="R93" s="435"/>
      <c r="S93" s="435"/>
      <c r="T93" s="435"/>
      <c r="U93" s="435"/>
      <c r="V93" s="435"/>
    </row>
    <row r="94" spans="1:22">
      <c r="A94" s="1"/>
      <c r="B94" s="1"/>
      <c r="C94" s="1"/>
      <c r="D94" s="1"/>
      <c r="E94" s="1"/>
      <c r="F94" s="1"/>
      <c r="G94" s="1"/>
      <c r="H94" s="1"/>
      <c r="I94" s="1"/>
      <c r="J94" s="1"/>
      <c r="K94" s="1"/>
      <c r="L94" s="1"/>
      <c r="M94" s="1"/>
      <c r="N94" s="1"/>
      <c r="O94" s="1"/>
      <c r="P94" s="188"/>
      <c r="Q94" s="435"/>
      <c r="R94" s="435"/>
      <c r="S94" s="435"/>
      <c r="T94" s="435"/>
      <c r="U94" s="435"/>
      <c r="V94" s="435"/>
    </row>
    <row r="95" spans="1:22">
      <c r="A95" s="1"/>
      <c r="B95" s="1"/>
      <c r="C95" s="1"/>
      <c r="D95" s="1"/>
      <c r="E95" s="1"/>
      <c r="F95" s="1"/>
      <c r="G95" s="1"/>
      <c r="H95" s="1"/>
      <c r="I95" s="1"/>
      <c r="J95" s="1"/>
      <c r="K95" s="1"/>
      <c r="L95" s="1"/>
      <c r="M95" s="1"/>
      <c r="N95" s="1"/>
      <c r="O95" s="1"/>
      <c r="P95" s="188"/>
      <c r="Q95" s="435"/>
      <c r="R95" s="435"/>
      <c r="S95" s="435"/>
      <c r="T95" s="435"/>
      <c r="U95" s="435"/>
      <c r="V95" s="435"/>
    </row>
    <row r="96" spans="1:22">
      <c r="A96" s="1"/>
      <c r="B96" s="1"/>
      <c r="C96" s="1"/>
      <c r="D96" s="1"/>
      <c r="E96" s="1"/>
      <c r="F96" s="1"/>
      <c r="G96" s="1"/>
      <c r="H96" s="1"/>
      <c r="I96" s="1"/>
      <c r="J96" s="1"/>
      <c r="K96" s="1"/>
      <c r="L96" s="1"/>
      <c r="M96" s="1"/>
      <c r="N96" s="1"/>
      <c r="O96" s="1"/>
      <c r="P96" s="188"/>
      <c r="Q96" s="435"/>
      <c r="R96" s="435"/>
      <c r="S96" s="435"/>
      <c r="T96" s="435"/>
      <c r="U96" s="435"/>
      <c r="V96" s="435"/>
    </row>
    <row r="97" spans="1:22">
      <c r="A97" s="1"/>
      <c r="B97" s="1"/>
      <c r="C97" s="1"/>
      <c r="D97" s="1"/>
      <c r="E97" s="1"/>
      <c r="F97" s="1"/>
      <c r="G97" s="1"/>
      <c r="H97" s="1"/>
      <c r="I97" s="1"/>
      <c r="J97" s="1"/>
      <c r="K97" s="1"/>
      <c r="L97" s="1"/>
      <c r="M97" s="1"/>
      <c r="N97" s="1"/>
      <c r="O97" s="1"/>
      <c r="P97" s="188"/>
      <c r="Q97" s="435"/>
      <c r="R97" s="435"/>
      <c r="S97" s="435"/>
      <c r="T97" s="435"/>
      <c r="U97" s="435"/>
      <c r="V97" s="435"/>
    </row>
    <row r="98" spans="1:22">
      <c r="A98" s="1"/>
      <c r="B98" s="1"/>
      <c r="C98" s="1"/>
      <c r="D98" s="1"/>
      <c r="E98" s="1"/>
      <c r="F98" s="1"/>
      <c r="G98" s="1"/>
      <c r="H98" s="1"/>
      <c r="I98" s="1"/>
      <c r="J98" s="1"/>
      <c r="K98" s="1"/>
      <c r="L98" s="1"/>
      <c r="M98" s="1"/>
      <c r="N98" s="1"/>
      <c r="O98" s="1"/>
      <c r="P98" s="188"/>
      <c r="Q98" s="435"/>
      <c r="R98" s="435"/>
      <c r="S98" s="435"/>
      <c r="T98" s="435"/>
      <c r="U98" s="435"/>
      <c r="V98" s="435"/>
    </row>
    <row r="99" spans="1:22">
      <c r="A99" s="1"/>
      <c r="B99" s="1"/>
      <c r="C99" s="1"/>
      <c r="D99" s="1"/>
      <c r="E99" s="1"/>
      <c r="F99" s="1"/>
      <c r="G99" s="1"/>
      <c r="H99" s="1"/>
      <c r="I99" s="1"/>
      <c r="J99" s="1"/>
      <c r="K99" s="1"/>
      <c r="L99" s="1"/>
      <c r="M99" s="1"/>
      <c r="N99" s="1"/>
      <c r="O99" s="1"/>
      <c r="P99" s="188"/>
      <c r="Q99" s="435"/>
      <c r="R99" s="435"/>
      <c r="S99" s="435"/>
      <c r="T99" s="435"/>
      <c r="U99" s="435"/>
      <c r="V99" s="435"/>
    </row>
    <row r="100" spans="1:22">
      <c r="A100" s="1"/>
      <c r="B100" s="1"/>
      <c r="C100" s="1"/>
      <c r="D100" s="1"/>
      <c r="E100" s="1"/>
      <c r="F100" s="1"/>
      <c r="G100" s="1"/>
      <c r="H100" s="1"/>
      <c r="I100" s="1"/>
      <c r="J100" s="1"/>
      <c r="K100" s="1"/>
      <c r="L100" s="1"/>
      <c r="M100" s="1"/>
      <c r="N100" s="1"/>
      <c r="O100" s="1"/>
      <c r="P100" s="188"/>
      <c r="Q100" s="435"/>
      <c r="R100" s="435"/>
      <c r="S100" s="435"/>
      <c r="T100" s="435"/>
      <c r="U100" s="435"/>
      <c r="V100" s="435"/>
    </row>
    <row r="101" spans="1:22">
      <c r="A101" s="1"/>
      <c r="B101" s="1"/>
      <c r="C101" s="1"/>
      <c r="D101" s="1"/>
      <c r="E101" s="1"/>
      <c r="F101" s="1"/>
      <c r="G101" s="1"/>
      <c r="H101" s="1"/>
      <c r="I101" s="1"/>
      <c r="J101" s="1"/>
      <c r="K101" s="1"/>
      <c r="L101" s="1"/>
      <c r="M101" s="1"/>
      <c r="N101" s="1"/>
      <c r="O101" s="1"/>
      <c r="P101" s="188"/>
      <c r="Q101" s="435"/>
      <c r="R101" s="435"/>
      <c r="S101" s="435"/>
      <c r="T101" s="435"/>
      <c r="U101" s="435"/>
      <c r="V101" s="435"/>
    </row>
    <row r="102" spans="1:22">
      <c r="A102" s="1"/>
      <c r="B102" s="1"/>
      <c r="C102" s="1"/>
      <c r="D102" s="1"/>
      <c r="E102" s="1"/>
      <c r="F102" s="1"/>
      <c r="G102" s="1"/>
      <c r="H102" s="1"/>
      <c r="I102" s="1"/>
      <c r="J102" s="1"/>
      <c r="K102" s="1"/>
      <c r="L102" s="1"/>
      <c r="M102" s="1"/>
      <c r="N102" s="1"/>
      <c r="O102" s="1"/>
      <c r="P102" s="188"/>
      <c r="Q102" s="435"/>
      <c r="R102" s="435"/>
      <c r="S102" s="435"/>
      <c r="T102" s="435"/>
      <c r="U102" s="435"/>
      <c r="V102" s="435"/>
    </row>
    <row r="103" spans="1:22">
      <c r="A103" s="1"/>
      <c r="B103" s="1"/>
      <c r="C103" s="1"/>
      <c r="D103" s="1"/>
      <c r="E103" s="1"/>
      <c r="F103" s="1"/>
      <c r="G103" s="1"/>
      <c r="H103" s="1"/>
      <c r="I103" s="1"/>
      <c r="J103" s="1"/>
      <c r="K103" s="1"/>
      <c r="L103" s="1"/>
      <c r="M103" s="1"/>
      <c r="N103" s="1"/>
      <c r="O103" s="1"/>
      <c r="P103" s="188"/>
      <c r="Q103" s="435"/>
      <c r="R103" s="435"/>
      <c r="S103" s="435"/>
      <c r="T103" s="435"/>
      <c r="U103" s="435"/>
      <c r="V103" s="435"/>
    </row>
    <row r="104" spans="1:22">
      <c r="A104" s="1"/>
      <c r="B104" s="1"/>
      <c r="C104" s="1"/>
      <c r="D104" s="1"/>
      <c r="E104" s="1"/>
      <c r="F104" s="1"/>
      <c r="G104" s="1"/>
      <c r="H104" s="1"/>
      <c r="I104" s="1"/>
      <c r="J104" s="1"/>
      <c r="K104" s="1"/>
      <c r="L104" s="1"/>
      <c r="M104" s="1"/>
      <c r="N104" s="1"/>
      <c r="O104" s="1"/>
      <c r="P104" s="188"/>
      <c r="Q104" s="435"/>
      <c r="R104" s="435"/>
      <c r="S104" s="435"/>
      <c r="T104" s="435"/>
      <c r="U104" s="435"/>
      <c r="V104" s="435"/>
    </row>
    <row r="105" spans="1:22">
      <c r="A105" s="1"/>
      <c r="B105" s="1"/>
      <c r="C105" s="1"/>
      <c r="D105" s="1"/>
      <c r="E105" s="1"/>
      <c r="F105" s="1"/>
      <c r="G105" s="1"/>
      <c r="H105" s="1"/>
      <c r="I105" s="1"/>
      <c r="J105" s="1"/>
      <c r="K105" s="1"/>
      <c r="L105" s="1"/>
      <c r="M105" s="1"/>
      <c r="N105" s="1"/>
      <c r="O105" s="1"/>
      <c r="P105" s="188"/>
      <c r="Q105" s="435"/>
      <c r="R105" s="435"/>
      <c r="S105" s="435"/>
      <c r="T105" s="435"/>
      <c r="U105" s="435"/>
      <c r="V105" s="435"/>
    </row>
    <row r="106" spans="1:22">
      <c r="A106" s="1"/>
      <c r="B106" s="1"/>
      <c r="C106" s="1"/>
      <c r="D106" s="1"/>
      <c r="E106" s="1"/>
      <c r="F106" s="1"/>
      <c r="G106" s="1"/>
      <c r="H106" s="1"/>
      <c r="I106" s="1"/>
      <c r="J106" s="1"/>
      <c r="K106" s="1"/>
      <c r="L106" s="1"/>
      <c r="M106" s="1"/>
      <c r="N106" s="1"/>
      <c r="O106" s="1"/>
      <c r="P106" s="188"/>
      <c r="Q106" s="435"/>
      <c r="R106" s="435"/>
      <c r="S106" s="435"/>
      <c r="T106" s="435"/>
      <c r="U106" s="435"/>
      <c r="V106" s="435"/>
    </row>
    <row r="107" spans="1:22">
      <c r="A107" s="1"/>
      <c r="B107" s="1"/>
      <c r="C107" s="1"/>
      <c r="D107" s="1"/>
      <c r="E107" s="1"/>
      <c r="F107" s="1"/>
      <c r="G107" s="1"/>
      <c r="H107" s="1"/>
      <c r="I107" s="1"/>
      <c r="J107" s="1"/>
      <c r="K107" s="1"/>
      <c r="L107" s="1"/>
      <c r="M107" s="1"/>
      <c r="N107" s="1"/>
      <c r="O107" s="1"/>
      <c r="P107" s="188"/>
      <c r="Q107" s="435"/>
      <c r="R107" s="435"/>
      <c r="S107" s="435"/>
      <c r="T107" s="435"/>
      <c r="U107" s="435"/>
      <c r="V107" s="435"/>
    </row>
    <row r="108" spans="1:22">
      <c r="A108" s="1"/>
      <c r="B108" s="1"/>
      <c r="C108" s="1"/>
      <c r="D108" s="1"/>
      <c r="E108" s="1"/>
      <c r="F108" s="1"/>
      <c r="G108" s="1"/>
      <c r="H108" s="1"/>
      <c r="I108" s="1"/>
      <c r="J108" s="1"/>
      <c r="K108" s="1"/>
      <c r="L108" s="1"/>
      <c r="M108" s="1"/>
      <c r="N108" s="1"/>
      <c r="O108" s="1"/>
      <c r="P108" s="188"/>
      <c r="Q108" s="435"/>
      <c r="R108" s="435"/>
      <c r="S108" s="435"/>
      <c r="T108" s="435"/>
      <c r="U108" s="435"/>
      <c r="V108" s="435"/>
    </row>
    <row r="109" spans="1:22">
      <c r="A109" s="1"/>
      <c r="B109" s="1"/>
      <c r="C109" s="1"/>
      <c r="D109" s="1"/>
      <c r="E109" s="1"/>
      <c r="F109" s="1"/>
      <c r="G109" s="1"/>
      <c r="H109" s="1"/>
      <c r="I109" s="1"/>
      <c r="J109" s="1"/>
      <c r="K109" s="1"/>
      <c r="L109" s="1"/>
      <c r="M109" s="1"/>
      <c r="N109" s="1"/>
      <c r="O109" s="1"/>
      <c r="P109" s="188"/>
      <c r="Q109" s="435"/>
      <c r="R109" s="435"/>
      <c r="S109" s="435"/>
      <c r="T109" s="435"/>
      <c r="U109" s="435"/>
      <c r="V109" s="435"/>
    </row>
    <row r="110" spans="1:22">
      <c r="A110" s="1"/>
      <c r="B110" s="1"/>
      <c r="C110" s="1"/>
      <c r="D110" s="1"/>
      <c r="E110" s="1"/>
      <c r="F110" s="1"/>
      <c r="G110" s="1"/>
      <c r="H110" s="1"/>
      <c r="I110" s="1"/>
      <c r="J110" s="1"/>
      <c r="K110" s="1"/>
      <c r="L110" s="1"/>
      <c r="M110" s="1"/>
      <c r="N110" s="1"/>
      <c r="O110" s="1"/>
      <c r="P110" s="188"/>
      <c r="Q110" s="435"/>
      <c r="R110" s="435"/>
      <c r="S110" s="435"/>
      <c r="T110" s="435"/>
      <c r="U110" s="435"/>
      <c r="V110" s="435"/>
    </row>
    <row r="111" spans="1:22">
      <c r="A111" s="1"/>
      <c r="B111" s="1"/>
      <c r="C111" s="1"/>
      <c r="D111" s="1"/>
      <c r="E111" s="1"/>
      <c r="F111" s="1"/>
      <c r="G111" s="1"/>
      <c r="H111" s="1"/>
      <c r="I111" s="1"/>
      <c r="J111" s="1"/>
      <c r="K111" s="1"/>
      <c r="L111" s="1"/>
      <c r="M111" s="1"/>
      <c r="N111" s="1"/>
      <c r="O111" s="1"/>
      <c r="P111" s="188"/>
      <c r="Q111" s="435"/>
      <c r="R111" s="435"/>
      <c r="S111" s="435"/>
      <c r="T111" s="435"/>
      <c r="U111" s="435"/>
      <c r="V111" s="435"/>
    </row>
    <row r="112" spans="1:22">
      <c r="A112" s="1"/>
      <c r="B112" s="1"/>
      <c r="C112" s="1"/>
      <c r="D112" s="1"/>
      <c r="E112" s="1"/>
      <c r="F112" s="1"/>
      <c r="G112" s="1"/>
      <c r="H112" s="1"/>
      <c r="I112" s="1"/>
      <c r="J112" s="1"/>
      <c r="K112" s="1"/>
      <c r="L112" s="1"/>
      <c r="M112" s="1"/>
      <c r="N112" s="1"/>
      <c r="O112" s="1"/>
      <c r="P112" s="188"/>
      <c r="Q112" s="435"/>
      <c r="R112" s="435"/>
      <c r="S112" s="435"/>
      <c r="T112" s="435"/>
      <c r="U112" s="435"/>
      <c r="V112" s="435"/>
    </row>
    <row r="113" spans="1:22">
      <c r="A113" s="1"/>
      <c r="B113" s="1"/>
      <c r="C113" s="1"/>
      <c r="D113" s="1"/>
      <c r="E113" s="1"/>
      <c r="F113" s="1"/>
      <c r="G113" s="1"/>
      <c r="H113" s="1"/>
      <c r="I113" s="1"/>
      <c r="J113" s="1"/>
      <c r="K113" s="1"/>
      <c r="L113" s="1"/>
      <c r="M113" s="1"/>
      <c r="N113" s="1"/>
      <c r="O113" s="1"/>
      <c r="P113" s="188"/>
      <c r="Q113" s="435"/>
      <c r="R113" s="435"/>
      <c r="S113" s="435"/>
      <c r="T113" s="435"/>
      <c r="U113" s="435"/>
      <c r="V113" s="435"/>
    </row>
    <row r="114" spans="1:22">
      <c r="A114" s="1"/>
      <c r="B114" s="1"/>
      <c r="C114" s="1"/>
      <c r="D114" s="1"/>
      <c r="E114" s="1"/>
      <c r="F114" s="1"/>
      <c r="G114" s="1"/>
      <c r="H114" s="1"/>
      <c r="I114" s="1"/>
      <c r="J114" s="1"/>
      <c r="K114" s="1"/>
      <c r="L114" s="1"/>
      <c r="M114" s="1"/>
      <c r="N114" s="1"/>
      <c r="O114" s="1"/>
      <c r="P114" s="188"/>
      <c r="Q114" s="435"/>
      <c r="R114" s="435"/>
      <c r="S114" s="435"/>
      <c r="T114" s="435"/>
      <c r="U114" s="435"/>
      <c r="V114" s="435"/>
    </row>
    <row r="115" spans="1:22">
      <c r="A115" s="1"/>
      <c r="B115" s="1"/>
      <c r="C115" s="1"/>
      <c r="D115" s="1"/>
      <c r="E115" s="1"/>
      <c r="F115" s="1"/>
      <c r="G115" s="1"/>
      <c r="H115" s="1"/>
      <c r="I115" s="1"/>
      <c r="J115" s="1"/>
      <c r="K115" s="1"/>
      <c r="L115" s="1"/>
      <c r="M115" s="1"/>
      <c r="N115" s="1"/>
      <c r="O115" s="1"/>
      <c r="P115" s="188"/>
      <c r="Q115" s="435"/>
      <c r="R115" s="435"/>
      <c r="S115" s="435"/>
      <c r="T115" s="435"/>
      <c r="U115" s="435"/>
      <c r="V115" s="435"/>
    </row>
    <row r="116" spans="1:22">
      <c r="A116" s="1"/>
      <c r="B116" s="1"/>
      <c r="C116" s="1"/>
      <c r="D116" s="1"/>
      <c r="E116" s="1"/>
      <c r="F116" s="1"/>
      <c r="G116" s="1"/>
      <c r="H116" s="1"/>
      <c r="I116" s="1"/>
      <c r="J116" s="1"/>
      <c r="K116" s="1"/>
      <c r="L116" s="1"/>
      <c r="M116" s="1"/>
      <c r="N116" s="1"/>
      <c r="O116" s="1"/>
      <c r="P116" s="188"/>
      <c r="Q116" s="435"/>
      <c r="R116" s="435"/>
      <c r="S116" s="435"/>
      <c r="T116" s="435"/>
      <c r="U116" s="435"/>
      <c r="V116" s="435"/>
    </row>
    <row r="117" spans="1:22">
      <c r="A117" s="1"/>
      <c r="B117" s="1"/>
      <c r="C117" s="1"/>
      <c r="D117" s="1"/>
      <c r="E117" s="1"/>
      <c r="F117" s="1"/>
      <c r="G117" s="1"/>
      <c r="H117" s="1"/>
      <c r="I117" s="1"/>
      <c r="J117" s="1"/>
      <c r="K117" s="1"/>
      <c r="L117" s="1"/>
      <c r="M117" s="1"/>
      <c r="N117" s="1"/>
      <c r="O117" s="1"/>
      <c r="P117" s="188"/>
      <c r="Q117" s="435"/>
      <c r="R117" s="435"/>
      <c r="S117" s="435"/>
      <c r="T117" s="435"/>
      <c r="U117" s="435"/>
      <c r="V117" s="435"/>
    </row>
    <row r="118" spans="1:22">
      <c r="A118" s="1"/>
      <c r="B118" s="1"/>
      <c r="C118" s="1"/>
      <c r="D118" s="1"/>
      <c r="E118" s="1"/>
      <c r="F118" s="1"/>
      <c r="G118" s="1"/>
      <c r="H118" s="1"/>
      <c r="I118" s="1"/>
      <c r="J118" s="1"/>
      <c r="K118" s="1"/>
      <c r="L118" s="1"/>
      <c r="M118" s="1"/>
      <c r="N118" s="1"/>
      <c r="O118" s="1"/>
      <c r="P118" s="188"/>
      <c r="Q118" s="435"/>
      <c r="R118" s="435"/>
      <c r="S118" s="435"/>
      <c r="T118" s="435"/>
      <c r="U118" s="435"/>
      <c r="V118" s="435"/>
    </row>
    <row r="119" spans="1:22">
      <c r="A119" s="1"/>
      <c r="B119" s="1"/>
      <c r="C119" s="1"/>
      <c r="D119" s="1"/>
      <c r="E119" s="1"/>
      <c r="F119" s="1"/>
      <c r="G119" s="1"/>
      <c r="H119" s="1"/>
      <c r="I119" s="1"/>
      <c r="J119" s="1"/>
      <c r="K119" s="1"/>
      <c r="L119" s="1"/>
      <c r="M119" s="1"/>
      <c r="N119" s="1"/>
      <c r="O119" s="1"/>
      <c r="P119" s="188"/>
      <c r="Q119" s="435"/>
      <c r="R119" s="435"/>
      <c r="S119" s="435"/>
      <c r="T119" s="435"/>
      <c r="U119" s="435"/>
      <c r="V119" s="435"/>
    </row>
    <row r="120" spans="1:22">
      <c r="A120" s="1"/>
      <c r="B120" s="1"/>
      <c r="C120" s="1"/>
      <c r="D120" s="1"/>
      <c r="E120" s="1"/>
      <c r="F120" s="1"/>
      <c r="G120" s="1"/>
      <c r="H120" s="1"/>
      <c r="I120" s="1"/>
      <c r="J120" s="1"/>
      <c r="K120" s="1"/>
      <c r="L120" s="1"/>
      <c r="M120" s="1"/>
      <c r="N120" s="1"/>
      <c r="O120" s="1"/>
      <c r="P120" s="188"/>
      <c r="Q120" s="435"/>
      <c r="R120" s="435"/>
      <c r="S120" s="435"/>
      <c r="T120" s="435"/>
      <c r="U120" s="435"/>
      <c r="V120" s="435"/>
    </row>
    <row r="121" spans="1:22">
      <c r="A121" s="1"/>
      <c r="B121" s="1"/>
      <c r="C121" s="1"/>
      <c r="D121" s="1"/>
      <c r="E121" s="1"/>
      <c r="F121" s="1"/>
      <c r="G121" s="1"/>
      <c r="H121" s="1"/>
      <c r="I121" s="1"/>
      <c r="J121" s="1"/>
      <c r="K121" s="1"/>
      <c r="L121" s="1"/>
      <c r="M121" s="1"/>
      <c r="N121" s="1"/>
      <c r="O121" s="1"/>
      <c r="P121" s="188"/>
      <c r="Q121" s="435"/>
      <c r="R121" s="435"/>
      <c r="S121" s="435"/>
      <c r="T121" s="435"/>
      <c r="U121" s="435"/>
      <c r="V121" s="435"/>
    </row>
    <row r="122" spans="1:22">
      <c r="A122" s="1"/>
      <c r="B122" s="1"/>
      <c r="C122" s="1"/>
      <c r="D122" s="1"/>
      <c r="E122" s="1"/>
      <c r="F122" s="1"/>
      <c r="G122" s="1"/>
      <c r="H122" s="1"/>
      <c r="I122" s="1"/>
      <c r="J122" s="1"/>
      <c r="K122" s="1"/>
      <c r="L122" s="1"/>
      <c r="M122" s="1"/>
      <c r="N122" s="1"/>
      <c r="O122" s="1"/>
      <c r="P122" s="188"/>
      <c r="Q122" s="435"/>
      <c r="R122" s="435"/>
      <c r="S122" s="435"/>
      <c r="T122" s="435"/>
      <c r="U122" s="435"/>
      <c r="V122" s="435"/>
    </row>
    <row r="123" spans="1:22">
      <c r="A123" s="1"/>
      <c r="B123" s="1"/>
      <c r="C123" s="1"/>
      <c r="D123" s="1"/>
      <c r="E123" s="1"/>
      <c r="F123" s="1"/>
      <c r="G123" s="1"/>
      <c r="H123" s="1"/>
      <c r="I123" s="1"/>
      <c r="J123" s="1"/>
      <c r="K123" s="1"/>
      <c r="L123" s="1"/>
      <c r="M123" s="1"/>
      <c r="N123" s="1"/>
      <c r="O123" s="1"/>
      <c r="P123" s="188"/>
      <c r="Q123" s="435"/>
      <c r="R123" s="435"/>
      <c r="S123" s="435"/>
      <c r="T123" s="435"/>
      <c r="U123" s="435"/>
      <c r="V123" s="435"/>
    </row>
    <row r="124" spans="1:22">
      <c r="A124" s="1"/>
      <c r="B124" s="1"/>
      <c r="C124" s="1"/>
      <c r="D124" s="1"/>
      <c r="E124" s="1"/>
      <c r="F124" s="1"/>
      <c r="G124" s="1"/>
      <c r="H124" s="1"/>
      <c r="I124" s="1"/>
      <c r="J124" s="1"/>
      <c r="K124" s="1"/>
      <c r="L124" s="1"/>
      <c r="M124" s="1"/>
      <c r="N124" s="1"/>
      <c r="O124" s="1"/>
      <c r="P124" s="188"/>
      <c r="Q124" s="435"/>
      <c r="R124" s="435"/>
      <c r="S124" s="435"/>
      <c r="T124" s="435"/>
      <c r="U124" s="435"/>
      <c r="V124" s="435"/>
    </row>
    <row r="125" spans="1:22">
      <c r="A125" s="1"/>
      <c r="B125" s="1"/>
      <c r="C125" s="1"/>
      <c r="D125" s="1"/>
      <c r="E125" s="1"/>
      <c r="F125" s="1"/>
      <c r="G125" s="1"/>
      <c r="H125" s="1"/>
      <c r="I125" s="1"/>
      <c r="J125" s="1"/>
      <c r="K125" s="1"/>
      <c r="L125" s="1"/>
      <c r="M125" s="1"/>
      <c r="N125" s="1"/>
      <c r="O125" s="1"/>
      <c r="P125" s="188"/>
      <c r="Q125" s="435"/>
      <c r="R125" s="435"/>
      <c r="S125" s="435"/>
      <c r="T125" s="435"/>
      <c r="U125" s="435"/>
      <c r="V125" s="435"/>
    </row>
    <row r="126" spans="1:22">
      <c r="A126" s="1"/>
      <c r="B126" s="1"/>
      <c r="C126" s="1"/>
      <c r="D126" s="1"/>
      <c r="E126" s="1"/>
      <c r="F126" s="1"/>
      <c r="G126" s="1"/>
      <c r="H126" s="1"/>
      <c r="I126" s="1"/>
      <c r="J126" s="1"/>
      <c r="K126" s="1"/>
      <c r="L126" s="1"/>
      <c r="M126" s="1"/>
      <c r="N126" s="1"/>
      <c r="O126" s="1"/>
      <c r="P126" s="188"/>
      <c r="Q126" s="435"/>
      <c r="R126" s="435"/>
      <c r="S126" s="435"/>
      <c r="T126" s="435"/>
      <c r="U126" s="435"/>
      <c r="V126" s="435"/>
    </row>
    <row r="127" spans="1:22">
      <c r="A127" s="1"/>
      <c r="B127" s="1"/>
      <c r="C127" s="1"/>
      <c r="D127" s="1"/>
      <c r="E127" s="1"/>
      <c r="F127" s="1"/>
      <c r="G127" s="1"/>
      <c r="H127" s="1"/>
      <c r="I127" s="1"/>
      <c r="J127" s="1"/>
      <c r="K127" s="1"/>
      <c r="L127" s="1"/>
      <c r="M127" s="1"/>
      <c r="N127" s="1"/>
      <c r="O127" s="1"/>
      <c r="P127" s="188"/>
      <c r="Q127" s="435"/>
      <c r="R127" s="435"/>
      <c r="S127" s="435"/>
      <c r="T127" s="435"/>
      <c r="U127" s="435"/>
      <c r="V127" s="435"/>
    </row>
    <row r="128" spans="1:22">
      <c r="A128" s="1"/>
      <c r="B128" s="1"/>
      <c r="C128" s="1"/>
      <c r="D128" s="1"/>
      <c r="E128" s="1"/>
      <c r="F128" s="1"/>
      <c r="G128" s="1"/>
      <c r="H128" s="1"/>
      <c r="I128" s="1"/>
      <c r="J128" s="1"/>
      <c r="K128" s="1"/>
      <c r="L128" s="1"/>
      <c r="M128" s="1"/>
      <c r="N128" s="1"/>
      <c r="O128" s="1"/>
      <c r="P128" s="188"/>
      <c r="Q128" s="435"/>
      <c r="R128" s="435"/>
      <c r="S128" s="435"/>
      <c r="T128" s="435"/>
      <c r="U128" s="435"/>
      <c r="V128" s="435"/>
    </row>
    <row r="129" spans="1:22">
      <c r="A129" s="1"/>
      <c r="B129" s="1"/>
      <c r="C129" s="1"/>
      <c r="D129" s="1"/>
      <c r="E129" s="1"/>
      <c r="F129" s="1"/>
      <c r="G129" s="1"/>
      <c r="H129" s="1"/>
      <c r="I129" s="1"/>
      <c r="J129" s="1"/>
      <c r="K129" s="1"/>
      <c r="L129" s="1"/>
      <c r="M129" s="1"/>
      <c r="N129" s="1"/>
      <c r="O129" s="1"/>
      <c r="P129" s="188"/>
      <c r="Q129" s="435"/>
      <c r="R129" s="435"/>
      <c r="S129" s="435"/>
      <c r="T129" s="435"/>
      <c r="U129" s="435"/>
      <c r="V129" s="435"/>
    </row>
    <row r="130" spans="1:22">
      <c r="A130" s="1"/>
      <c r="B130" s="1"/>
      <c r="C130" s="1"/>
      <c r="D130" s="1"/>
      <c r="E130" s="1"/>
      <c r="F130" s="1"/>
      <c r="G130" s="1"/>
      <c r="H130" s="1"/>
      <c r="I130" s="1"/>
      <c r="J130" s="1"/>
      <c r="K130" s="1"/>
      <c r="L130" s="1"/>
      <c r="M130" s="1"/>
      <c r="N130" s="1"/>
      <c r="O130" s="1"/>
      <c r="P130" s="188"/>
      <c r="Q130" s="435"/>
      <c r="R130" s="435"/>
      <c r="S130" s="435"/>
      <c r="T130" s="435"/>
      <c r="U130" s="435"/>
      <c r="V130" s="435"/>
    </row>
    <row r="131" spans="1:22">
      <c r="A131" s="1"/>
      <c r="B131" s="1"/>
      <c r="C131" s="1"/>
      <c r="D131" s="1"/>
      <c r="E131" s="1"/>
      <c r="F131" s="1"/>
      <c r="G131" s="1"/>
      <c r="H131" s="1"/>
      <c r="I131" s="1"/>
      <c r="J131" s="1"/>
      <c r="K131" s="1"/>
      <c r="L131" s="1"/>
      <c r="M131" s="1"/>
      <c r="N131" s="1"/>
      <c r="O131" s="1"/>
      <c r="P131" s="188"/>
      <c r="Q131" s="435"/>
      <c r="R131" s="435"/>
      <c r="S131" s="435"/>
      <c r="T131" s="435"/>
      <c r="U131" s="435"/>
      <c r="V131" s="435"/>
    </row>
    <row r="132" spans="1:22">
      <c r="A132" s="1"/>
      <c r="B132" s="1"/>
      <c r="C132" s="1"/>
      <c r="D132" s="1"/>
      <c r="E132" s="1"/>
      <c r="F132" s="1"/>
      <c r="G132" s="1"/>
      <c r="H132" s="1"/>
      <c r="I132" s="1"/>
      <c r="J132" s="1"/>
      <c r="K132" s="1"/>
      <c r="L132" s="1"/>
      <c r="M132" s="1"/>
      <c r="N132" s="1"/>
      <c r="O132" s="1"/>
      <c r="P132" s="188"/>
      <c r="Q132" s="435"/>
      <c r="R132" s="435"/>
      <c r="S132" s="435"/>
      <c r="T132" s="435"/>
      <c r="U132" s="435"/>
      <c r="V132" s="435"/>
    </row>
    <row r="133" spans="1:22">
      <c r="A133" s="1"/>
      <c r="B133" s="1"/>
      <c r="C133" s="1"/>
      <c r="D133" s="1"/>
      <c r="E133" s="1"/>
      <c r="F133" s="1"/>
      <c r="G133" s="1"/>
      <c r="H133" s="1"/>
      <c r="I133" s="1"/>
      <c r="J133" s="1"/>
      <c r="K133" s="1"/>
      <c r="L133" s="1"/>
      <c r="M133" s="1"/>
      <c r="N133" s="1"/>
      <c r="O133" s="1"/>
      <c r="P133" s="188"/>
      <c r="Q133" s="435"/>
      <c r="R133" s="435"/>
      <c r="S133" s="435"/>
      <c r="T133" s="435"/>
      <c r="U133" s="435"/>
      <c r="V133" s="435"/>
    </row>
    <row r="134" spans="1:22">
      <c r="A134" s="1"/>
      <c r="B134" s="1"/>
      <c r="C134" s="1"/>
      <c r="D134" s="1"/>
      <c r="E134" s="1"/>
      <c r="F134" s="1"/>
      <c r="G134" s="1"/>
      <c r="H134" s="1"/>
      <c r="I134" s="1"/>
      <c r="J134" s="1"/>
      <c r="K134" s="1"/>
      <c r="L134" s="1"/>
      <c r="M134" s="1"/>
      <c r="N134" s="1"/>
      <c r="O134" s="1"/>
      <c r="P134" s="188"/>
      <c r="Q134" s="435"/>
      <c r="R134" s="435"/>
      <c r="S134" s="435"/>
      <c r="T134" s="435"/>
      <c r="U134" s="435"/>
      <c r="V134" s="435"/>
    </row>
    <row r="135" spans="1:22">
      <c r="A135" s="1"/>
      <c r="B135" s="1"/>
      <c r="C135" s="1"/>
      <c r="D135" s="1"/>
      <c r="E135" s="1"/>
      <c r="F135" s="1"/>
      <c r="G135" s="1"/>
      <c r="H135" s="1"/>
      <c r="I135" s="1"/>
      <c r="J135" s="1"/>
      <c r="K135" s="1"/>
      <c r="L135" s="1"/>
      <c r="M135" s="1"/>
      <c r="N135" s="1"/>
      <c r="O135" s="1"/>
      <c r="P135" s="188"/>
      <c r="Q135" s="435"/>
      <c r="R135" s="435"/>
      <c r="S135" s="435"/>
      <c r="T135" s="435"/>
      <c r="U135" s="435"/>
      <c r="V135" s="435"/>
    </row>
    <row r="136" spans="1:22">
      <c r="A136" s="1"/>
      <c r="B136" s="1"/>
      <c r="C136" s="1"/>
      <c r="D136" s="1"/>
      <c r="E136" s="1"/>
      <c r="F136" s="1"/>
      <c r="G136" s="1"/>
      <c r="H136" s="1"/>
      <c r="I136" s="1"/>
      <c r="J136" s="1"/>
      <c r="K136" s="1"/>
      <c r="L136" s="1"/>
      <c r="M136" s="1"/>
      <c r="N136" s="1"/>
      <c r="O136" s="1"/>
      <c r="P136" s="188"/>
      <c r="Q136" s="435"/>
      <c r="R136" s="435"/>
      <c r="S136" s="435"/>
      <c r="T136" s="435"/>
      <c r="U136" s="435"/>
      <c r="V136" s="435"/>
    </row>
    <row r="137" spans="1:22">
      <c r="A137" s="1"/>
      <c r="B137" s="1"/>
      <c r="C137" s="1"/>
      <c r="D137" s="1"/>
      <c r="E137" s="1"/>
      <c r="F137" s="1"/>
      <c r="G137" s="1"/>
      <c r="H137" s="1"/>
      <c r="I137" s="1"/>
      <c r="J137" s="1"/>
      <c r="K137" s="1"/>
      <c r="L137" s="1"/>
      <c r="M137" s="1"/>
      <c r="N137" s="1"/>
      <c r="O137" s="1"/>
      <c r="P137" s="188"/>
      <c r="Q137" s="435"/>
      <c r="R137" s="435"/>
      <c r="S137" s="435"/>
      <c r="T137" s="435"/>
      <c r="U137" s="435"/>
      <c r="V137" s="435"/>
    </row>
    <row r="138" spans="1:22">
      <c r="A138" s="1"/>
      <c r="B138" s="1"/>
      <c r="C138" s="1"/>
      <c r="D138" s="1"/>
      <c r="E138" s="1"/>
      <c r="F138" s="1"/>
      <c r="G138" s="1"/>
      <c r="H138" s="1"/>
      <c r="I138" s="1"/>
      <c r="J138" s="1"/>
      <c r="K138" s="1"/>
      <c r="L138" s="1"/>
      <c r="M138" s="1"/>
      <c r="N138" s="1"/>
      <c r="O138" s="1"/>
      <c r="P138" s="188"/>
      <c r="Q138" s="435"/>
      <c r="R138" s="435"/>
      <c r="S138" s="435"/>
      <c r="T138" s="435"/>
      <c r="U138" s="435"/>
      <c r="V138" s="435"/>
    </row>
    <row r="139" spans="1:22">
      <c r="A139" s="1"/>
      <c r="B139" s="1"/>
      <c r="C139" s="1"/>
      <c r="D139" s="1"/>
      <c r="E139" s="1"/>
      <c r="F139" s="1"/>
      <c r="G139" s="1"/>
      <c r="H139" s="1"/>
      <c r="I139" s="1"/>
      <c r="J139" s="1"/>
      <c r="K139" s="1"/>
      <c r="L139" s="1"/>
      <c r="M139" s="1"/>
      <c r="N139" s="1"/>
      <c r="O139" s="1"/>
      <c r="P139" s="188"/>
      <c r="Q139" s="435"/>
      <c r="R139" s="435"/>
      <c r="S139" s="435"/>
      <c r="T139" s="435"/>
      <c r="U139" s="435"/>
      <c r="V139" s="435"/>
    </row>
    <row r="140" spans="1:22">
      <c r="A140" s="1"/>
      <c r="B140" s="1"/>
      <c r="C140" s="1"/>
      <c r="D140" s="1"/>
      <c r="E140" s="1"/>
      <c r="F140" s="1"/>
      <c r="G140" s="1"/>
      <c r="H140" s="1"/>
      <c r="I140" s="1"/>
      <c r="J140" s="1"/>
      <c r="K140" s="1"/>
      <c r="L140" s="1"/>
      <c r="M140" s="1"/>
      <c r="N140" s="1"/>
      <c r="O140" s="1"/>
      <c r="P140" s="188"/>
      <c r="Q140" s="435"/>
      <c r="R140" s="435"/>
      <c r="S140" s="435"/>
      <c r="T140" s="435"/>
      <c r="U140" s="435"/>
      <c r="V140" s="435"/>
    </row>
    <row r="141" spans="1:22">
      <c r="A141" s="1"/>
      <c r="B141" s="1"/>
      <c r="C141" s="1"/>
      <c r="D141" s="1"/>
      <c r="E141" s="1"/>
      <c r="F141" s="1"/>
      <c r="G141" s="1"/>
      <c r="H141" s="1"/>
      <c r="I141" s="1"/>
      <c r="J141" s="1"/>
      <c r="K141" s="1"/>
      <c r="L141" s="1"/>
      <c r="M141" s="1"/>
      <c r="N141" s="1"/>
      <c r="O141" s="1"/>
      <c r="P141" s="188"/>
      <c r="Q141" s="435"/>
      <c r="R141" s="435"/>
      <c r="S141" s="435"/>
      <c r="T141" s="435"/>
      <c r="U141" s="435"/>
      <c r="V141" s="435"/>
    </row>
    <row r="142" spans="1:22">
      <c r="A142" s="1"/>
      <c r="B142" s="1"/>
      <c r="C142" s="1"/>
      <c r="D142" s="1"/>
      <c r="E142" s="1"/>
      <c r="F142" s="1"/>
      <c r="G142" s="1"/>
      <c r="H142" s="1"/>
      <c r="I142" s="1"/>
      <c r="J142" s="1"/>
      <c r="K142" s="1"/>
      <c r="L142" s="1"/>
      <c r="M142" s="1"/>
      <c r="N142" s="1"/>
      <c r="O142" s="1"/>
      <c r="P142" s="188"/>
      <c r="Q142" s="435"/>
      <c r="R142" s="435"/>
      <c r="S142" s="435"/>
      <c r="T142" s="435"/>
      <c r="U142" s="435"/>
      <c r="V142" s="435"/>
    </row>
    <row r="143" spans="1:22">
      <c r="A143" s="1"/>
      <c r="B143" s="1"/>
      <c r="C143" s="1"/>
      <c r="D143" s="1"/>
      <c r="E143" s="1"/>
      <c r="F143" s="1"/>
      <c r="G143" s="1"/>
      <c r="H143" s="1"/>
      <c r="I143" s="1"/>
      <c r="J143" s="1"/>
      <c r="K143" s="1"/>
      <c r="L143" s="1"/>
      <c r="M143" s="1"/>
      <c r="N143" s="1"/>
      <c r="O143" s="1"/>
      <c r="P143" s="188"/>
      <c r="Q143" s="435"/>
      <c r="R143" s="435"/>
      <c r="S143" s="435"/>
      <c r="T143" s="435"/>
      <c r="U143" s="435"/>
      <c r="V143" s="435"/>
    </row>
    <row r="144" spans="1:22">
      <c r="A144" s="1"/>
      <c r="B144" s="1"/>
      <c r="C144" s="1"/>
      <c r="D144" s="1"/>
      <c r="E144" s="1"/>
      <c r="F144" s="1"/>
      <c r="G144" s="1"/>
      <c r="H144" s="1"/>
      <c r="I144" s="1"/>
      <c r="J144" s="1"/>
      <c r="K144" s="1"/>
      <c r="L144" s="1"/>
      <c r="M144" s="1"/>
      <c r="N144" s="1"/>
      <c r="O144" s="1"/>
      <c r="P144" s="188"/>
      <c r="Q144" s="435"/>
      <c r="R144" s="435"/>
      <c r="S144" s="435"/>
      <c r="T144" s="435"/>
      <c r="U144" s="435"/>
      <c r="V144" s="435"/>
    </row>
    <row r="145" spans="1:22">
      <c r="A145" s="1"/>
      <c r="B145" s="1"/>
      <c r="C145" s="1"/>
      <c r="D145" s="1"/>
      <c r="E145" s="1"/>
      <c r="F145" s="1"/>
      <c r="G145" s="1"/>
      <c r="H145" s="1"/>
      <c r="I145" s="1"/>
      <c r="J145" s="1"/>
      <c r="K145" s="1"/>
      <c r="L145" s="1"/>
      <c r="M145" s="1"/>
      <c r="N145" s="1"/>
      <c r="O145" s="1"/>
      <c r="P145" s="188"/>
      <c r="Q145" s="435"/>
      <c r="R145" s="435"/>
      <c r="S145" s="435"/>
      <c r="T145" s="435"/>
      <c r="U145" s="435"/>
      <c r="V145" s="435"/>
    </row>
    <row r="146" spans="1:22">
      <c r="A146" s="1"/>
      <c r="B146" s="1"/>
      <c r="C146" s="1"/>
      <c r="D146" s="1"/>
      <c r="E146" s="1"/>
      <c r="F146" s="1"/>
      <c r="G146" s="1"/>
      <c r="H146" s="1"/>
      <c r="I146" s="1"/>
      <c r="J146" s="1"/>
      <c r="K146" s="1"/>
      <c r="L146" s="1"/>
      <c r="M146" s="1"/>
      <c r="N146" s="1"/>
      <c r="O146" s="1"/>
      <c r="P146" s="188"/>
      <c r="Q146" s="435"/>
      <c r="R146" s="435"/>
      <c r="S146" s="435"/>
      <c r="T146" s="435"/>
      <c r="U146" s="435"/>
      <c r="V146" s="435"/>
    </row>
    <row r="147" spans="1:22">
      <c r="A147" s="1"/>
      <c r="B147" s="1"/>
      <c r="C147" s="1"/>
      <c r="D147" s="1"/>
      <c r="E147" s="1"/>
      <c r="F147" s="1"/>
      <c r="G147" s="1"/>
      <c r="H147" s="1"/>
      <c r="I147" s="1"/>
      <c r="J147" s="1"/>
      <c r="K147" s="1"/>
      <c r="L147" s="1"/>
      <c r="M147" s="1"/>
      <c r="N147" s="1"/>
      <c r="O147" s="1"/>
      <c r="P147" s="188"/>
      <c r="Q147" s="435"/>
      <c r="R147" s="435"/>
      <c r="S147" s="435"/>
      <c r="T147" s="435"/>
      <c r="U147" s="435"/>
      <c r="V147" s="435"/>
    </row>
    <row r="148" spans="1:22">
      <c r="A148" s="1"/>
      <c r="B148" s="1"/>
      <c r="C148" s="1"/>
      <c r="D148" s="1"/>
      <c r="E148" s="1"/>
      <c r="F148" s="1"/>
      <c r="G148" s="1"/>
      <c r="H148" s="1"/>
      <c r="I148" s="1"/>
      <c r="J148" s="1"/>
      <c r="K148" s="1"/>
      <c r="L148" s="1"/>
      <c r="M148" s="1"/>
      <c r="N148" s="1"/>
      <c r="O148" s="1"/>
      <c r="P148" s="188"/>
      <c r="Q148" s="435"/>
      <c r="R148" s="435"/>
      <c r="S148" s="435"/>
      <c r="T148" s="435"/>
      <c r="U148" s="435"/>
      <c r="V148" s="435"/>
    </row>
    <row r="149" spans="1:22">
      <c r="A149" s="1"/>
      <c r="B149" s="1"/>
      <c r="C149" s="1"/>
      <c r="D149" s="1"/>
      <c r="E149" s="1"/>
      <c r="F149" s="1"/>
      <c r="G149" s="1"/>
      <c r="H149" s="1"/>
      <c r="I149" s="1"/>
      <c r="J149" s="1"/>
      <c r="K149" s="1"/>
      <c r="L149" s="1"/>
      <c r="M149" s="1"/>
      <c r="N149" s="1"/>
      <c r="O149" s="1"/>
      <c r="P149" s="188"/>
      <c r="Q149" s="435"/>
      <c r="R149" s="435"/>
      <c r="S149" s="435"/>
      <c r="T149" s="435"/>
      <c r="U149" s="435"/>
      <c r="V149" s="435"/>
    </row>
    <row r="150" spans="1:22">
      <c r="A150" s="1"/>
      <c r="B150" s="1"/>
      <c r="C150" s="1"/>
      <c r="D150" s="1"/>
      <c r="E150" s="1"/>
      <c r="F150" s="1"/>
      <c r="G150" s="1"/>
      <c r="H150" s="1"/>
      <c r="I150" s="1"/>
      <c r="J150" s="1"/>
      <c r="K150" s="1"/>
      <c r="L150" s="1"/>
      <c r="M150" s="1"/>
      <c r="N150" s="1"/>
      <c r="O150" s="1"/>
      <c r="P150" s="188"/>
      <c r="Q150" s="435"/>
      <c r="R150" s="435"/>
      <c r="S150" s="435"/>
      <c r="T150" s="435"/>
      <c r="U150" s="435"/>
      <c r="V150" s="435"/>
    </row>
    <row r="151" spans="1:22">
      <c r="A151" s="1"/>
      <c r="B151" s="1"/>
      <c r="C151" s="1"/>
      <c r="D151" s="1"/>
      <c r="E151" s="1"/>
      <c r="F151" s="1"/>
      <c r="G151" s="1"/>
      <c r="H151" s="1"/>
      <c r="I151" s="1"/>
      <c r="J151" s="1"/>
      <c r="K151" s="1"/>
      <c r="L151" s="1"/>
      <c r="M151" s="1"/>
      <c r="N151" s="1"/>
      <c r="O151" s="1"/>
      <c r="P151" s="188"/>
      <c r="Q151" s="435"/>
      <c r="R151" s="435"/>
      <c r="S151" s="435"/>
      <c r="T151" s="435"/>
      <c r="U151" s="435"/>
      <c r="V151" s="435"/>
    </row>
    <row r="152" spans="1:22">
      <c r="A152" s="1"/>
      <c r="B152" s="1"/>
      <c r="C152" s="1"/>
      <c r="D152" s="1"/>
      <c r="E152" s="1"/>
      <c r="F152" s="1"/>
      <c r="G152" s="1"/>
      <c r="H152" s="1"/>
      <c r="I152" s="1"/>
      <c r="J152" s="1"/>
      <c r="K152" s="1"/>
      <c r="L152" s="1"/>
      <c r="M152" s="1"/>
      <c r="N152" s="1"/>
      <c r="O152" s="1"/>
      <c r="P152" s="188"/>
      <c r="Q152" s="435"/>
      <c r="R152" s="435"/>
      <c r="S152" s="435"/>
      <c r="T152" s="435"/>
      <c r="U152" s="435"/>
      <c r="V152" s="435"/>
    </row>
    <row r="153" spans="1:22">
      <c r="A153" s="1"/>
      <c r="B153" s="1"/>
      <c r="C153" s="1"/>
      <c r="D153" s="1"/>
      <c r="E153" s="1"/>
      <c r="F153" s="1"/>
      <c r="G153" s="1"/>
      <c r="H153" s="1"/>
      <c r="I153" s="1"/>
      <c r="J153" s="1"/>
      <c r="K153" s="1"/>
      <c r="L153" s="1"/>
      <c r="M153" s="1"/>
      <c r="N153" s="1"/>
      <c r="O153" s="1"/>
      <c r="P153" s="188"/>
      <c r="Q153" s="435"/>
      <c r="R153" s="435"/>
      <c r="S153" s="435"/>
      <c r="T153" s="435"/>
      <c r="U153" s="435"/>
      <c r="V153" s="435"/>
    </row>
    <row r="154" spans="1:22">
      <c r="A154" s="1"/>
      <c r="B154" s="1"/>
      <c r="C154" s="1"/>
      <c r="D154" s="1"/>
      <c r="E154" s="1"/>
      <c r="F154" s="1"/>
      <c r="G154" s="1"/>
      <c r="H154" s="1"/>
      <c r="I154" s="1"/>
      <c r="J154" s="1"/>
      <c r="K154" s="1"/>
      <c r="L154" s="1"/>
      <c r="M154" s="1"/>
      <c r="N154" s="1"/>
      <c r="O154" s="1"/>
      <c r="P154" s="188"/>
      <c r="Q154" s="435"/>
      <c r="R154" s="435"/>
      <c r="S154" s="435"/>
      <c r="T154" s="435"/>
      <c r="U154" s="435"/>
      <c r="V154" s="435"/>
    </row>
    <row r="155" spans="1:22">
      <c r="A155" s="4"/>
      <c r="B155" s="4"/>
      <c r="C155" s="4"/>
      <c r="D155" s="4"/>
      <c r="E155" s="4"/>
      <c r="F155" s="4"/>
      <c r="G155" s="4"/>
      <c r="H155" s="4"/>
      <c r="I155" s="4"/>
      <c r="J155" s="4"/>
      <c r="K155" s="4"/>
      <c r="L155" s="4"/>
      <c r="M155" s="4"/>
      <c r="N155" s="4"/>
      <c r="O155" s="4"/>
      <c r="P155" s="189"/>
      <c r="Q155" s="435"/>
      <c r="R155" s="435"/>
      <c r="S155" s="435"/>
      <c r="T155" s="435"/>
      <c r="U155" s="435"/>
      <c r="V155" s="435"/>
    </row>
    <row r="156" spans="1:22">
      <c r="Q156" s="435"/>
      <c r="R156" s="435"/>
      <c r="S156" s="435"/>
      <c r="T156" s="435"/>
      <c r="U156" s="435"/>
      <c r="V156" s="435"/>
    </row>
    <row r="157" spans="1:22">
      <c r="Q157" s="435"/>
      <c r="R157" s="435"/>
      <c r="S157" s="435"/>
      <c r="T157" s="435"/>
      <c r="U157" s="435"/>
      <c r="V157" s="435"/>
    </row>
    <row r="158" spans="1:22">
      <c r="Q158" s="435"/>
      <c r="R158" s="435"/>
      <c r="S158" s="435"/>
      <c r="T158" s="435"/>
      <c r="U158" s="435"/>
      <c r="V158" s="435"/>
    </row>
    <row r="159" spans="1:22">
      <c r="Q159" s="435"/>
      <c r="R159" s="435"/>
      <c r="S159" s="435"/>
      <c r="T159" s="435"/>
      <c r="U159" s="435"/>
      <c r="V159" s="435"/>
    </row>
    <row r="160" spans="1:22">
      <c r="Q160" s="435"/>
      <c r="R160" s="435"/>
      <c r="S160" s="435"/>
      <c r="T160" s="435"/>
      <c r="U160" s="435"/>
      <c r="V160" s="435"/>
    </row>
    <row r="161" spans="17:22">
      <c r="Q161" s="435"/>
      <c r="R161" s="435"/>
      <c r="S161" s="435"/>
      <c r="T161" s="435"/>
      <c r="U161" s="435"/>
      <c r="V161" s="435"/>
    </row>
    <row r="162" spans="17:22">
      <c r="Q162" s="435"/>
      <c r="R162" s="435"/>
      <c r="S162" s="435"/>
      <c r="T162" s="435"/>
      <c r="U162" s="435"/>
      <c r="V162" s="435"/>
    </row>
    <row r="163" spans="17:22">
      <c r="Q163" s="435"/>
      <c r="R163" s="435"/>
      <c r="S163" s="435"/>
      <c r="T163" s="435"/>
      <c r="U163" s="435"/>
      <c r="V163" s="435"/>
    </row>
    <row r="164" spans="17:22">
      <c r="Q164" s="435"/>
      <c r="R164" s="435"/>
      <c r="S164" s="435"/>
      <c r="T164" s="435"/>
      <c r="U164" s="435"/>
      <c r="V164" s="435"/>
    </row>
    <row r="165" spans="17:22">
      <c r="Q165" s="435"/>
      <c r="R165" s="435"/>
      <c r="S165" s="435"/>
      <c r="T165" s="435"/>
      <c r="U165" s="435"/>
      <c r="V165" s="435"/>
    </row>
    <row r="166" spans="17:22">
      <c r="Q166" s="435"/>
      <c r="R166" s="435"/>
      <c r="S166" s="435"/>
      <c r="T166" s="435"/>
      <c r="U166" s="435"/>
      <c r="V166" s="435"/>
    </row>
    <row r="167" spans="17:22">
      <c r="Q167" s="435"/>
      <c r="R167" s="435"/>
      <c r="S167" s="435"/>
      <c r="T167" s="435"/>
      <c r="U167" s="435"/>
      <c r="V167" s="435"/>
    </row>
    <row r="168" spans="17:22">
      <c r="Q168" s="435"/>
      <c r="R168" s="435"/>
      <c r="S168" s="435"/>
      <c r="T168" s="435"/>
      <c r="U168" s="435"/>
      <c r="V168" s="435"/>
    </row>
    <row r="169" spans="17:22">
      <c r="Q169" s="435"/>
      <c r="R169" s="435"/>
      <c r="S169" s="435"/>
      <c r="T169" s="435"/>
      <c r="U169" s="435"/>
      <c r="V169" s="435"/>
    </row>
    <row r="170" spans="17:22">
      <c r="Q170" s="435"/>
      <c r="R170" s="435"/>
      <c r="S170" s="435"/>
      <c r="T170" s="435"/>
      <c r="U170" s="435"/>
      <c r="V170" s="435"/>
    </row>
    <row r="171" spans="17:22">
      <c r="Q171" s="435"/>
      <c r="R171" s="435"/>
      <c r="S171" s="435"/>
      <c r="T171" s="435"/>
      <c r="U171" s="435"/>
      <c r="V171" s="435"/>
    </row>
    <row r="172" spans="17:22">
      <c r="Q172" s="435"/>
      <c r="R172" s="435"/>
      <c r="S172" s="435"/>
      <c r="T172" s="435"/>
      <c r="U172" s="435"/>
      <c r="V172" s="435"/>
    </row>
    <row r="173" spans="17:22">
      <c r="Q173" s="435"/>
      <c r="R173" s="435"/>
      <c r="S173" s="435"/>
      <c r="T173" s="435"/>
      <c r="U173" s="435"/>
      <c r="V173" s="435"/>
    </row>
    <row r="174" spans="17:22">
      <c r="Q174" s="435"/>
      <c r="R174" s="435"/>
      <c r="S174" s="435"/>
      <c r="T174" s="435"/>
      <c r="U174" s="435"/>
      <c r="V174" s="435"/>
    </row>
    <row r="175" spans="17:22">
      <c r="Q175" s="435"/>
      <c r="R175" s="435"/>
      <c r="S175" s="435"/>
      <c r="T175" s="435"/>
      <c r="U175" s="435"/>
      <c r="V175" s="435"/>
    </row>
    <row r="176" spans="17:22">
      <c r="Q176" s="435"/>
      <c r="R176" s="435"/>
      <c r="S176" s="435"/>
      <c r="T176" s="435"/>
      <c r="U176" s="435"/>
      <c r="V176" s="435"/>
    </row>
    <row r="177" spans="17:22">
      <c r="Q177" s="435"/>
      <c r="R177" s="435"/>
      <c r="S177" s="435"/>
      <c r="T177" s="435"/>
      <c r="U177" s="435"/>
      <c r="V177" s="435"/>
    </row>
    <row r="178" spans="17:22">
      <c r="Q178" s="435"/>
      <c r="R178" s="435"/>
      <c r="S178" s="435"/>
      <c r="T178" s="435"/>
      <c r="U178" s="435"/>
      <c r="V178" s="435"/>
    </row>
    <row r="179" spans="17:22">
      <c r="Q179" s="435"/>
      <c r="R179" s="435"/>
      <c r="S179" s="435"/>
      <c r="T179" s="435"/>
      <c r="U179" s="435"/>
      <c r="V179" s="435"/>
    </row>
    <row r="180" spans="17:22">
      <c r="Q180" s="435"/>
      <c r="R180" s="435"/>
      <c r="S180" s="435"/>
      <c r="T180" s="435"/>
      <c r="U180" s="435"/>
      <c r="V180" s="435"/>
    </row>
    <row r="181" spans="17:22">
      <c r="Q181" s="435"/>
      <c r="R181" s="435"/>
      <c r="S181" s="435"/>
      <c r="T181" s="435"/>
      <c r="U181" s="435"/>
      <c r="V181" s="435"/>
    </row>
    <row r="182" spans="17:22">
      <c r="Q182" s="435"/>
      <c r="R182" s="435"/>
      <c r="S182" s="435"/>
      <c r="T182" s="435"/>
      <c r="U182" s="435"/>
      <c r="V182" s="435"/>
    </row>
    <row r="183" spans="17:22">
      <c r="Q183" s="435"/>
      <c r="R183" s="435"/>
      <c r="S183" s="435"/>
      <c r="T183" s="435"/>
      <c r="U183" s="435"/>
      <c r="V183" s="435"/>
    </row>
    <row r="184" spans="17:22">
      <c r="Q184" s="435"/>
      <c r="R184" s="435"/>
      <c r="S184" s="435"/>
      <c r="T184" s="435"/>
      <c r="U184" s="435"/>
      <c r="V184" s="435"/>
    </row>
    <row r="185" spans="17:22">
      <c r="Q185" s="435"/>
      <c r="R185" s="435"/>
      <c r="S185" s="435"/>
      <c r="T185" s="435"/>
      <c r="U185" s="435"/>
      <c r="V185" s="435"/>
    </row>
    <row r="186" spans="17:22">
      <c r="Q186" s="435"/>
      <c r="R186" s="435"/>
      <c r="S186" s="435"/>
      <c r="T186" s="435"/>
      <c r="U186" s="435"/>
      <c r="V186" s="435"/>
    </row>
    <row r="187" spans="17:22">
      <c r="Q187" s="435"/>
      <c r="R187" s="435"/>
      <c r="S187" s="435"/>
      <c r="T187" s="435"/>
      <c r="U187" s="435"/>
      <c r="V187" s="435"/>
    </row>
    <row r="188" spans="17:22">
      <c r="Q188" s="435"/>
      <c r="R188" s="435"/>
      <c r="S188" s="435"/>
      <c r="T188" s="435"/>
      <c r="U188" s="435"/>
      <c r="V188" s="435"/>
    </row>
    <row r="189" spans="17:22">
      <c r="Q189" s="435"/>
      <c r="R189" s="435"/>
      <c r="S189" s="435"/>
      <c r="T189" s="435"/>
      <c r="U189" s="435"/>
      <c r="V189" s="435"/>
    </row>
    <row r="190" spans="17:22">
      <c r="Q190" s="435"/>
      <c r="R190" s="435"/>
      <c r="S190" s="435"/>
      <c r="T190" s="435"/>
      <c r="U190" s="435"/>
      <c r="V190" s="435"/>
    </row>
    <row r="191" spans="17:22">
      <c r="Q191" s="435"/>
      <c r="R191" s="435"/>
      <c r="S191" s="435"/>
      <c r="T191" s="435"/>
      <c r="U191" s="435"/>
      <c r="V191" s="435"/>
    </row>
    <row r="192" spans="17:22">
      <c r="Q192" s="435"/>
      <c r="R192" s="435"/>
      <c r="S192" s="435"/>
      <c r="T192" s="435"/>
      <c r="U192" s="435"/>
      <c r="V192" s="435"/>
    </row>
    <row r="193" spans="17:22">
      <c r="Q193" s="435"/>
      <c r="R193" s="435"/>
      <c r="S193" s="435"/>
      <c r="T193" s="435"/>
      <c r="U193" s="435"/>
      <c r="V193" s="435"/>
    </row>
    <row r="194" spans="17:22">
      <c r="Q194" s="435"/>
      <c r="R194" s="435"/>
      <c r="S194" s="435"/>
      <c r="T194" s="435"/>
      <c r="U194" s="435"/>
      <c r="V194" s="435"/>
    </row>
    <row r="195" spans="17:22">
      <c r="Q195" s="435"/>
      <c r="R195" s="435"/>
      <c r="S195" s="435"/>
      <c r="T195" s="435"/>
      <c r="U195" s="435"/>
      <c r="V195" s="435"/>
    </row>
    <row r="196" spans="17:22">
      <c r="Q196" s="435"/>
      <c r="R196" s="435"/>
      <c r="S196" s="435"/>
      <c r="T196" s="435"/>
      <c r="U196" s="435"/>
      <c r="V196" s="435"/>
    </row>
    <row r="197" spans="17:22">
      <c r="Q197" s="435"/>
      <c r="R197" s="435"/>
      <c r="S197" s="435"/>
      <c r="T197" s="435"/>
      <c r="U197" s="435"/>
      <c r="V197" s="435"/>
    </row>
    <row r="198" spans="17:22">
      <c r="Q198" s="435"/>
      <c r="R198" s="435"/>
      <c r="S198" s="435"/>
      <c r="T198" s="435"/>
      <c r="U198" s="435"/>
      <c r="V198" s="435"/>
    </row>
    <row r="199" spans="17:22">
      <c r="Q199" s="435"/>
      <c r="R199" s="435"/>
      <c r="S199" s="435"/>
      <c r="T199" s="435"/>
      <c r="U199" s="435"/>
      <c r="V199" s="435"/>
    </row>
    <row r="200" spans="17:22">
      <c r="Q200" s="435"/>
      <c r="R200" s="435"/>
      <c r="S200" s="435"/>
      <c r="T200" s="435"/>
      <c r="U200" s="435"/>
      <c r="V200" s="435"/>
    </row>
    <row r="201" spans="17:22">
      <c r="Q201" s="435"/>
      <c r="R201" s="435"/>
      <c r="S201" s="435"/>
      <c r="T201" s="435"/>
      <c r="U201" s="435"/>
      <c r="V201" s="435"/>
    </row>
    <row r="202" spans="17:22">
      <c r="Q202" s="435"/>
      <c r="R202" s="435"/>
      <c r="S202" s="435"/>
      <c r="T202" s="435"/>
      <c r="U202" s="435"/>
      <c r="V202" s="435"/>
    </row>
    <row r="203" spans="17:22">
      <c r="Q203" s="435"/>
      <c r="R203" s="435"/>
      <c r="S203" s="435"/>
      <c r="T203" s="435"/>
      <c r="U203" s="435"/>
      <c r="V203" s="435"/>
    </row>
    <row r="204" spans="17:22">
      <c r="Q204" s="435"/>
      <c r="R204" s="435"/>
      <c r="S204" s="435"/>
      <c r="T204" s="435"/>
      <c r="U204" s="435"/>
      <c r="V204" s="435"/>
    </row>
    <row r="205" spans="17:22">
      <c r="Q205" s="435"/>
      <c r="R205" s="435"/>
      <c r="S205" s="435"/>
      <c r="T205" s="435"/>
      <c r="U205" s="435"/>
      <c r="V205" s="435"/>
    </row>
    <row r="206" spans="17:22">
      <c r="Q206" s="435"/>
      <c r="R206" s="435"/>
      <c r="S206" s="435"/>
      <c r="T206" s="435"/>
      <c r="U206" s="435"/>
      <c r="V206" s="435"/>
    </row>
    <row r="207" spans="17:22">
      <c r="Q207" s="435"/>
      <c r="R207" s="435"/>
      <c r="S207" s="435"/>
      <c r="T207" s="435"/>
      <c r="U207" s="435"/>
      <c r="V207" s="435"/>
    </row>
    <row r="208" spans="17:22">
      <c r="Q208" s="435"/>
      <c r="R208" s="435"/>
      <c r="S208" s="435"/>
      <c r="T208" s="435"/>
      <c r="U208" s="435"/>
      <c r="V208" s="435"/>
    </row>
    <row r="209" spans="17:22">
      <c r="Q209" s="435"/>
      <c r="R209" s="435"/>
      <c r="S209" s="435"/>
      <c r="T209" s="435"/>
      <c r="U209" s="435"/>
      <c r="V209" s="435"/>
    </row>
    <row r="210" spans="17:22">
      <c r="Q210" s="435"/>
      <c r="R210" s="435"/>
      <c r="S210" s="435"/>
      <c r="T210" s="435"/>
      <c r="U210" s="435"/>
      <c r="V210" s="435"/>
    </row>
    <row r="211" spans="17:22">
      <c r="Q211" s="435"/>
      <c r="R211" s="435"/>
      <c r="S211" s="435"/>
      <c r="T211" s="435"/>
      <c r="U211" s="435"/>
      <c r="V211" s="435"/>
    </row>
    <row r="212" spans="17:22">
      <c r="Q212" s="435"/>
      <c r="R212" s="435"/>
      <c r="S212" s="435"/>
      <c r="T212" s="435"/>
      <c r="U212" s="435"/>
      <c r="V212" s="435"/>
    </row>
    <row r="213" spans="17:22">
      <c r="Q213" s="435"/>
      <c r="R213" s="435"/>
      <c r="S213" s="435"/>
      <c r="T213" s="435"/>
      <c r="U213" s="435"/>
      <c r="V213" s="435"/>
    </row>
    <row r="214" spans="17:22">
      <c r="Q214" s="435"/>
      <c r="R214" s="435"/>
      <c r="S214" s="435"/>
      <c r="T214" s="435"/>
      <c r="U214" s="435"/>
      <c r="V214" s="435"/>
    </row>
    <row r="215" spans="17:22">
      <c r="Q215" s="435"/>
      <c r="R215" s="435"/>
      <c r="S215" s="435"/>
      <c r="T215" s="435"/>
      <c r="U215" s="435"/>
      <c r="V215" s="435"/>
    </row>
    <row r="216" spans="17:22">
      <c r="Q216" s="435"/>
      <c r="R216" s="435"/>
      <c r="S216" s="435"/>
      <c r="T216" s="435"/>
      <c r="U216" s="435"/>
      <c r="V216" s="435"/>
    </row>
    <row r="217" spans="17:22">
      <c r="Q217" s="435"/>
      <c r="R217" s="435"/>
      <c r="S217" s="435"/>
      <c r="T217" s="435"/>
      <c r="U217" s="435"/>
      <c r="V217" s="435"/>
    </row>
    <row r="218" spans="17:22">
      <c r="Q218" s="435"/>
      <c r="R218" s="435"/>
      <c r="S218" s="435"/>
      <c r="T218" s="435"/>
      <c r="U218" s="435"/>
      <c r="V218" s="435"/>
    </row>
    <row r="219" spans="17:22">
      <c r="Q219" s="435"/>
      <c r="R219" s="435"/>
      <c r="S219" s="435"/>
      <c r="T219" s="435"/>
      <c r="U219" s="435"/>
      <c r="V219" s="435"/>
    </row>
    <row r="220" spans="17:22">
      <c r="Q220" s="435"/>
      <c r="R220" s="435"/>
      <c r="S220" s="435"/>
      <c r="T220" s="435"/>
      <c r="U220" s="435"/>
      <c r="V220" s="435"/>
    </row>
    <row r="221" spans="17:22">
      <c r="Q221" s="435"/>
      <c r="R221" s="435"/>
      <c r="S221" s="435"/>
      <c r="T221" s="435"/>
      <c r="U221" s="435"/>
      <c r="V221" s="435"/>
    </row>
    <row r="222" spans="17:22">
      <c r="Q222" s="435"/>
      <c r="R222" s="435"/>
      <c r="S222" s="435"/>
      <c r="T222" s="435"/>
      <c r="U222" s="435"/>
      <c r="V222" s="435"/>
    </row>
    <row r="223" spans="17:22">
      <c r="Q223" s="435"/>
      <c r="R223" s="435"/>
      <c r="S223" s="435"/>
      <c r="T223" s="435"/>
      <c r="U223" s="435"/>
      <c r="V223" s="435"/>
    </row>
    <row r="224" spans="17:22">
      <c r="Q224" s="435"/>
      <c r="R224" s="435"/>
      <c r="S224" s="435"/>
      <c r="T224" s="435"/>
      <c r="U224" s="435"/>
      <c r="V224" s="435"/>
    </row>
    <row r="225" spans="17:22">
      <c r="Q225" s="435"/>
      <c r="R225" s="435"/>
      <c r="S225" s="435"/>
      <c r="T225" s="435"/>
      <c r="U225" s="435"/>
      <c r="V225" s="435"/>
    </row>
    <row r="226" spans="17:22">
      <c r="Q226" s="435"/>
      <c r="R226" s="435"/>
      <c r="S226" s="435"/>
      <c r="T226" s="435"/>
      <c r="U226" s="435"/>
      <c r="V226" s="435"/>
    </row>
    <row r="227" spans="17:22">
      <c r="Q227" s="435"/>
      <c r="R227" s="435"/>
      <c r="S227" s="435"/>
      <c r="T227" s="435"/>
      <c r="U227" s="435"/>
      <c r="V227" s="435"/>
    </row>
    <row r="228" spans="17:22">
      <c r="Q228" s="435"/>
      <c r="R228" s="435"/>
      <c r="S228" s="435"/>
      <c r="T228" s="435"/>
      <c r="U228" s="435"/>
      <c r="V228" s="435"/>
    </row>
    <row r="229" spans="17:22">
      <c r="Q229" s="435"/>
      <c r="R229" s="435"/>
      <c r="S229" s="435"/>
      <c r="T229" s="435"/>
      <c r="U229" s="435"/>
      <c r="V229" s="435"/>
    </row>
    <row r="230" spans="17:22">
      <c r="Q230" s="435"/>
      <c r="R230" s="435"/>
      <c r="S230" s="435"/>
      <c r="T230" s="435"/>
      <c r="U230" s="435"/>
      <c r="V230" s="435"/>
    </row>
    <row r="231" spans="17:22">
      <c r="Q231" s="435"/>
      <c r="R231" s="435"/>
      <c r="S231" s="435"/>
      <c r="T231" s="435"/>
      <c r="U231" s="435"/>
      <c r="V231" s="435"/>
    </row>
    <row r="232" spans="17:22">
      <c r="Q232" s="435"/>
      <c r="R232" s="435"/>
      <c r="S232" s="435"/>
      <c r="T232" s="435"/>
      <c r="U232" s="435"/>
      <c r="V232" s="435"/>
    </row>
    <row r="233" spans="17:22">
      <c r="Q233" s="435"/>
      <c r="R233" s="435"/>
      <c r="S233" s="435"/>
      <c r="T233" s="435"/>
      <c r="U233" s="435"/>
      <c r="V233" s="435"/>
    </row>
    <row r="234" spans="17:22">
      <c r="Q234" s="435"/>
      <c r="R234" s="435"/>
      <c r="S234" s="435"/>
      <c r="T234" s="435"/>
      <c r="U234" s="435"/>
      <c r="V234" s="435"/>
    </row>
    <row r="235" spans="17:22">
      <c r="Q235" s="435"/>
      <c r="R235" s="435"/>
      <c r="S235" s="435"/>
      <c r="T235" s="435"/>
      <c r="U235" s="435"/>
      <c r="V235" s="435"/>
    </row>
    <row r="236" spans="17:22">
      <c r="Q236" s="435"/>
      <c r="R236" s="435"/>
      <c r="S236" s="435"/>
      <c r="T236" s="435"/>
      <c r="U236" s="435"/>
      <c r="V236" s="435"/>
    </row>
    <row r="237" spans="17:22">
      <c r="Q237" s="435"/>
      <c r="R237" s="435"/>
      <c r="S237" s="435"/>
      <c r="T237" s="435"/>
      <c r="U237" s="435"/>
      <c r="V237" s="435"/>
    </row>
    <row r="238" spans="17:22">
      <c r="Q238" s="435"/>
      <c r="R238" s="435"/>
      <c r="S238" s="435"/>
      <c r="T238" s="435"/>
      <c r="U238" s="435"/>
      <c r="V238" s="435"/>
    </row>
    <row r="239" spans="17:22">
      <c r="Q239" s="435"/>
      <c r="R239" s="435"/>
      <c r="S239" s="435"/>
      <c r="T239" s="435"/>
      <c r="U239" s="435"/>
      <c r="V239" s="435"/>
    </row>
    <row r="240" spans="17:22">
      <c r="Q240" s="435"/>
      <c r="R240" s="435"/>
      <c r="S240" s="435"/>
      <c r="T240" s="435"/>
      <c r="U240" s="435"/>
      <c r="V240" s="435"/>
    </row>
    <row r="241" spans="17:22">
      <c r="Q241" s="435"/>
      <c r="R241" s="435"/>
      <c r="S241" s="435"/>
      <c r="T241" s="435"/>
      <c r="U241" s="435"/>
      <c r="V241" s="435"/>
    </row>
    <row r="242" spans="17:22">
      <c r="Q242" s="435"/>
      <c r="R242" s="435"/>
      <c r="S242" s="435"/>
      <c r="T242" s="435"/>
      <c r="U242" s="435"/>
      <c r="V242" s="435"/>
    </row>
    <row r="243" spans="17:22">
      <c r="Q243" s="435"/>
      <c r="R243" s="435"/>
      <c r="S243" s="435"/>
      <c r="T243" s="435"/>
      <c r="U243" s="435"/>
      <c r="V243" s="435"/>
    </row>
    <row r="244" spans="17:22">
      <c r="Q244" s="435"/>
      <c r="R244" s="435"/>
      <c r="S244" s="435"/>
      <c r="T244" s="435"/>
      <c r="U244" s="435"/>
      <c r="V244" s="435"/>
    </row>
    <row r="245" spans="17:22">
      <c r="Q245" s="435"/>
      <c r="R245" s="435"/>
      <c r="S245" s="435"/>
      <c r="T245" s="435"/>
      <c r="U245" s="435"/>
      <c r="V245" s="435"/>
    </row>
    <row r="246" spans="17:22">
      <c r="Q246" s="435"/>
      <c r="R246" s="435"/>
      <c r="S246" s="435"/>
      <c r="T246" s="435"/>
      <c r="U246" s="435"/>
      <c r="V246" s="435"/>
    </row>
    <row r="247" spans="17:22">
      <c r="Q247" s="435"/>
      <c r="R247" s="435"/>
      <c r="S247" s="435"/>
      <c r="T247" s="435"/>
      <c r="U247" s="435"/>
      <c r="V247" s="435"/>
    </row>
    <row r="248" spans="17:22">
      <c r="Q248" s="435"/>
      <c r="R248" s="435"/>
      <c r="S248" s="435"/>
      <c r="T248" s="435"/>
      <c r="U248" s="435"/>
      <c r="V248" s="435"/>
    </row>
    <row r="249" spans="17:22">
      <c r="Q249" s="435"/>
      <c r="R249" s="435"/>
      <c r="S249" s="435"/>
      <c r="T249" s="435"/>
      <c r="U249" s="435"/>
      <c r="V249" s="435"/>
    </row>
    <row r="250" spans="17:22">
      <c r="Q250" s="435"/>
      <c r="R250" s="435"/>
      <c r="S250" s="435"/>
      <c r="T250" s="435"/>
      <c r="U250" s="435"/>
      <c r="V250" s="435"/>
    </row>
    <row r="251" spans="17:22">
      <c r="Q251" s="435"/>
      <c r="R251" s="435"/>
      <c r="S251" s="435"/>
      <c r="T251" s="435"/>
      <c r="U251" s="435"/>
      <c r="V251" s="435"/>
    </row>
    <row r="252" spans="17:22">
      <c r="Q252" s="435"/>
      <c r="R252" s="435"/>
      <c r="S252" s="435"/>
      <c r="T252" s="435"/>
      <c r="U252" s="435"/>
      <c r="V252" s="435"/>
    </row>
    <row r="253" spans="17:22">
      <c r="Q253" s="435"/>
      <c r="R253" s="435"/>
      <c r="S253" s="435"/>
      <c r="T253" s="435"/>
      <c r="U253" s="435"/>
      <c r="V253" s="435"/>
    </row>
    <row r="254" spans="17:22">
      <c r="Q254" s="435"/>
      <c r="R254" s="435"/>
      <c r="S254" s="435"/>
      <c r="T254" s="435"/>
      <c r="U254" s="435"/>
      <c r="V254" s="435"/>
    </row>
    <row r="255" spans="17:22">
      <c r="Q255" s="435"/>
      <c r="R255" s="435"/>
      <c r="S255" s="435"/>
      <c r="T255" s="435"/>
      <c r="U255" s="435"/>
      <c r="V255" s="435"/>
    </row>
    <row r="256" spans="17:22">
      <c r="Q256" s="435"/>
      <c r="R256" s="435"/>
      <c r="S256" s="435"/>
      <c r="T256" s="435"/>
      <c r="U256" s="435"/>
      <c r="V256" s="435"/>
    </row>
    <row r="257" spans="17:22">
      <c r="Q257" s="435"/>
      <c r="R257" s="435"/>
      <c r="S257" s="435"/>
      <c r="T257" s="435"/>
      <c r="U257" s="435"/>
      <c r="V257" s="435"/>
    </row>
    <row r="258" spans="17:22">
      <c r="Q258" s="435"/>
      <c r="R258" s="435"/>
      <c r="S258" s="435"/>
      <c r="T258" s="435"/>
      <c r="U258" s="435"/>
      <c r="V258" s="435"/>
    </row>
    <row r="259" spans="17:22">
      <c r="Q259" s="435"/>
      <c r="R259" s="435"/>
      <c r="S259" s="435"/>
      <c r="T259" s="435"/>
      <c r="U259" s="435"/>
      <c r="V259" s="435"/>
    </row>
    <row r="260" spans="17:22">
      <c r="Q260" s="435"/>
      <c r="R260" s="435"/>
      <c r="S260" s="435"/>
      <c r="T260" s="435"/>
      <c r="U260" s="435"/>
      <c r="V260" s="435"/>
    </row>
    <row r="261" spans="17:22">
      <c r="Q261" s="435"/>
      <c r="R261" s="435"/>
      <c r="S261" s="435"/>
      <c r="T261" s="435"/>
      <c r="U261" s="435"/>
      <c r="V261" s="435"/>
    </row>
    <row r="262" spans="17:22">
      <c r="Q262" s="435"/>
      <c r="R262" s="435"/>
      <c r="S262" s="435"/>
      <c r="T262" s="435"/>
      <c r="U262" s="435"/>
      <c r="V262" s="435"/>
    </row>
    <row r="263" spans="17:22">
      <c r="Q263" s="435"/>
      <c r="R263" s="435"/>
      <c r="S263" s="435"/>
      <c r="T263" s="435"/>
      <c r="U263" s="435"/>
      <c r="V263" s="435"/>
    </row>
    <row r="264" spans="17:22">
      <c r="Q264" s="435"/>
      <c r="R264" s="435"/>
      <c r="S264" s="435"/>
      <c r="T264" s="435"/>
      <c r="U264" s="435"/>
      <c r="V264" s="435"/>
    </row>
    <row r="265" spans="17:22">
      <c r="Q265" s="435"/>
      <c r="R265" s="435"/>
      <c r="S265" s="435"/>
      <c r="T265" s="435"/>
      <c r="U265" s="435"/>
      <c r="V265" s="435"/>
    </row>
    <row r="266" spans="17:22">
      <c r="Q266" s="435"/>
      <c r="R266" s="435"/>
      <c r="S266" s="435"/>
      <c r="T266" s="435"/>
      <c r="U266" s="435"/>
      <c r="V266" s="435"/>
    </row>
    <row r="267" spans="17:22">
      <c r="Q267" s="435"/>
      <c r="R267" s="435"/>
      <c r="S267" s="435"/>
      <c r="T267" s="435"/>
      <c r="U267" s="435"/>
      <c r="V267" s="435"/>
    </row>
    <row r="268" spans="17:22">
      <c r="Q268" s="435"/>
      <c r="R268" s="435"/>
      <c r="S268" s="435"/>
      <c r="T268" s="435"/>
      <c r="U268" s="435"/>
      <c r="V268" s="435"/>
    </row>
    <row r="269" spans="17:22">
      <c r="Q269" s="435"/>
      <c r="R269" s="435"/>
      <c r="S269" s="435"/>
      <c r="T269" s="435"/>
      <c r="U269" s="435"/>
      <c r="V269" s="435"/>
    </row>
    <row r="270" spans="17:22">
      <c r="Q270" s="435"/>
      <c r="R270" s="435"/>
      <c r="S270" s="435"/>
      <c r="T270" s="435"/>
      <c r="U270" s="435"/>
      <c r="V270" s="435"/>
    </row>
    <row r="271" spans="17:22">
      <c r="Q271" s="435"/>
      <c r="R271" s="435"/>
      <c r="S271" s="435"/>
      <c r="T271" s="435"/>
      <c r="U271" s="435"/>
      <c r="V271" s="435"/>
    </row>
    <row r="272" spans="17:22">
      <c r="Q272" s="435"/>
      <c r="R272" s="435"/>
      <c r="S272" s="435"/>
      <c r="T272" s="435"/>
      <c r="U272" s="435"/>
      <c r="V272" s="435"/>
    </row>
    <row r="273" spans="17:22">
      <c r="Q273" s="435"/>
      <c r="R273" s="435"/>
      <c r="S273" s="435"/>
      <c r="T273" s="435"/>
      <c r="U273" s="435"/>
      <c r="V273" s="435"/>
    </row>
    <row r="274" spans="17:22">
      <c r="Q274" s="435"/>
      <c r="R274" s="435"/>
      <c r="S274" s="435"/>
      <c r="T274" s="435"/>
      <c r="U274" s="435"/>
      <c r="V274" s="435"/>
    </row>
    <row r="275" spans="17:22">
      <c r="Q275" s="435"/>
      <c r="R275" s="435"/>
      <c r="S275" s="435"/>
      <c r="T275" s="435"/>
      <c r="U275" s="435"/>
      <c r="V275" s="435"/>
    </row>
    <row r="276" spans="17:22">
      <c r="Q276" s="435"/>
      <c r="R276" s="435"/>
      <c r="S276" s="435"/>
      <c r="T276" s="435"/>
      <c r="U276" s="435"/>
      <c r="V276" s="435"/>
    </row>
    <row r="277" spans="17:22">
      <c r="Q277" s="435"/>
      <c r="R277" s="435"/>
      <c r="S277" s="435"/>
      <c r="T277" s="435"/>
      <c r="U277" s="435"/>
      <c r="V277" s="435"/>
    </row>
    <row r="278" spans="17:22">
      <c r="Q278" s="435"/>
      <c r="R278" s="435"/>
      <c r="S278" s="435"/>
      <c r="T278" s="435"/>
      <c r="U278" s="435"/>
      <c r="V278" s="435"/>
    </row>
  </sheetData>
  <sheetProtection sheet="1" formatCells="0" formatColumns="0" formatRows="0" insertColumns="0" insertRows="0" insertHyperlinks="0" sort="0" autoFilter="0" pivotTables="0"/>
  <mergeCells count="29">
    <mergeCell ref="B9:C9"/>
    <mergeCell ref="D6:E6"/>
    <mergeCell ref="A2:M2"/>
    <mergeCell ref="B4:C4"/>
    <mergeCell ref="D4:E4"/>
    <mergeCell ref="F4:G4"/>
    <mergeCell ref="D5:E5"/>
    <mergeCell ref="E37:G37"/>
    <mergeCell ref="B13:C13"/>
    <mergeCell ref="E34:G34"/>
    <mergeCell ref="E23:G23"/>
    <mergeCell ref="E24:G24"/>
    <mergeCell ref="E25:G25"/>
    <mergeCell ref="E31:G31"/>
    <mergeCell ref="D22:G22"/>
    <mergeCell ref="E35:G35"/>
    <mergeCell ref="E36:G36"/>
    <mergeCell ref="E32:G32"/>
    <mergeCell ref="E33:G33"/>
    <mergeCell ref="E29:G29"/>
    <mergeCell ref="E30:G30"/>
    <mergeCell ref="B11:C11"/>
    <mergeCell ref="F17:F18"/>
    <mergeCell ref="G17:G18"/>
    <mergeCell ref="E26:G26"/>
    <mergeCell ref="E28:G28"/>
    <mergeCell ref="D17:D18"/>
    <mergeCell ref="E17:E18"/>
    <mergeCell ref="E27:G27"/>
  </mergeCells>
  <phoneticPr fontId="6"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AD133"/>
  <sheetViews>
    <sheetView showGridLines="0" topLeftCell="A10" zoomScaleNormal="100" workbookViewId="0">
      <selection activeCell="M18" sqref="M18"/>
    </sheetView>
  </sheetViews>
  <sheetFormatPr defaultRowHeight="10.5" customHeight="1"/>
  <cols>
    <col min="1" max="1" width="21.375" style="1113" customWidth="1"/>
    <col min="2" max="3" width="7" style="1152" hidden="1" customWidth="1"/>
    <col min="4" max="5" width="7.875" style="1152" hidden="1" customWidth="1"/>
    <col min="6" max="6" width="7" style="1152" hidden="1" customWidth="1"/>
    <col min="7" max="7" width="7.875" style="1152" hidden="1" customWidth="1"/>
    <col min="8" max="10" width="7.875" style="1113" hidden="1" customWidth="1"/>
    <col min="11" max="13" width="7.875" style="1113" customWidth="1"/>
    <col min="14" max="16" width="8.25" style="1113" customWidth="1"/>
    <col min="17" max="17" width="17" style="1113" customWidth="1"/>
    <col min="18" max="20" width="7.25" style="1152" hidden="1" customWidth="1"/>
    <col min="21" max="21" width="7.875" style="1113" hidden="1" customWidth="1"/>
    <col min="22" max="22" width="9" style="1113" hidden="1" customWidth="1"/>
    <col min="23" max="24" width="0" style="1113" hidden="1" customWidth="1"/>
    <col min="25" max="16384" width="9" style="1113"/>
  </cols>
  <sheetData>
    <row r="1" spans="1:30" s="1106" customFormat="1" ht="10.5" customHeight="1">
      <c r="B1" s="1107"/>
      <c r="C1" s="1107"/>
      <c r="D1" s="1107"/>
      <c r="E1" s="1107"/>
      <c r="F1" s="1107"/>
      <c r="G1" s="1107"/>
      <c r="O1" s="1108"/>
      <c r="P1" s="1108"/>
      <c r="Q1" s="1108"/>
      <c r="R1" s="1109"/>
      <c r="S1" s="1109"/>
      <c r="T1" s="1107"/>
    </row>
    <row r="2" spans="1:30" s="1106" customFormat="1" ht="10.5" customHeight="1" thickBot="1">
      <c r="A2" s="1110" t="s">
        <v>498</v>
      </c>
      <c r="B2" s="1111"/>
      <c r="C2" s="1107"/>
      <c r="D2" s="1110"/>
      <c r="E2" s="1110"/>
      <c r="F2" s="1107"/>
      <c r="G2" s="1107"/>
      <c r="K2" s="1110"/>
      <c r="L2" s="1112"/>
      <c r="M2" s="1112"/>
      <c r="N2" s="1112"/>
      <c r="O2" s="1113"/>
      <c r="P2" s="1113"/>
      <c r="Q2" s="1114"/>
      <c r="R2" s="1114"/>
      <c r="S2" s="1114"/>
      <c r="T2" s="1115"/>
    </row>
    <row r="3" spans="1:30" s="1106" customFormat="1" ht="10.5" customHeight="1">
      <c r="A3" s="1116" t="s">
        <v>541</v>
      </c>
      <c r="C3" s="1107"/>
      <c r="G3" s="1107"/>
      <c r="K3" s="1117">
        <v>860534.11242700007</v>
      </c>
      <c r="L3" s="1112"/>
      <c r="M3" s="1112"/>
      <c r="N3" s="1112"/>
      <c r="O3" s="1113"/>
      <c r="P3" s="1113"/>
      <c r="Q3" s="1118"/>
      <c r="R3" s="1119"/>
      <c r="S3" s="1119"/>
      <c r="T3" s="1115"/>
    </row>
    <row r="4" spans="1:30" s="1106" customFormat="1" ht="10.5" customHeight="1">
      <c r="A4" s="1106" t="s">
        <v>542</v>
      </c>
      <c r="C4" s="1107"/>
      <c r="G4" s="1107"/>
      <c r="K4" s="1120">
        <f>K3/67.5</f>
        <v>12748.653517437038</v>
      </c>
      <c r="L4" s="1112"/>
      <c r="M4" s="1112"/>
      <c r="N4" s="1112"/>
      <c r="O4" s="1113"/>
      <c r="P4" s="1113"/>
      <c r="Q4" s="1121"/>
      <c r="R4" s="1122"/>
      <c r="S4" s="1122"/>
      <c r="T4" s="1115"/>
    </row>
    <row r="5" spans="1:30" s="1106" customFormat="1" ht="10.5" customHeight="1">
      <c r="A5" s="1106" t="s">
        <v>493</v>
      </c>
      <c r="C5" s="1107"/>
      <c r="G5" s="1107"/>
      <c r="K5" s="1117">
        <f>G37</f>
        <v>289.36702000000002</v>
      </c>
      <c r="L5" s="1112"/>
      <c r="M5" s="1112"/>
      <c r="N5" s="1112"/>
      <c r="O5" s="1113"/>
      <c r="P5" s="1113"/>
      <c r="Q5" s="1121"/>
      <c r="R5" s="1122"/>
      <c r="S5" s="1122"/>
      <c r="T5" s="1115"/>
    </row>
    <row r="6" spans="1:30" s="1106" customFormat="1" ht="10.5" hidden="1" customHeight="1">
      <c r="A6" s="1106" t="s">
        <v>494</v>
      </c>
      <c r="C6" s="1107"/>
      <c r="G6" s="1107"/>
      <c r="K6" s="1107" t="e">
        <f ca="1">+_xll.BDP(CONCATENATE(Dashboard!B20," Equity"),"eqy_float")</f>
        <v>#NAME?</v>
      </c>
      <c r="L6" s="1112"/>
      <c r="M6" s="1112"/>
      <c r="N6" s="1112"/>
      <c r="O6" s="1113"/>
      <c r="P6" s="1113"/>
      <c r="Q6" s="1121"/>
      <c r="R6" s="1122"/>
      <c r="S6" s="1122"/>
      <c r="T6" s="1115"/>
    </row>
    <row r="7" spans="1:30" s="1106" customFormat="1" ht="10.5" customHeight="1">
      <c r="A7" s="1106" t="s">
        <v>495</v>
      </c>
      <c r="C7" s="1107"/>
      <c r="G7" s="1107"/>
      <c r="K7" s="1107">
        <v>1.3450599845897329</v>
      </c>
      <c r="L7" s="1112"/>
      <c r="M7" s="1112"/>
      <c r="N7" s="1112"/>
      <c r="O7" s="1113"/>
      <c r="P7" s="1113"/>
      <c r="Q7" s="1121"/>
      <c r="R7" s="1122"/>
      <c r="S7" s="1122"/>
      <c r="T7" s="1115"/>
    </row>
    <row r="8" spans="1:30" s="1106" customFormat="1" ht="10.5" hidden="1" customHeight="1">
      <c r="A8" s="1106" t="s">
        <v>496</v>
      </c>
      <c r="C8" s="1107"/>
      <c r="G8" s="1107"/>
      <c r="K8" s="1120" t="e">
        <f ca="1">+CONCATENATE(ROUND(_xll.BDP(CONCATENATE(Dashboard!B20," Equity"),"high_52week"),0)," / ",ROUND(_xll.BDP(CONCATENATE(Dashboard!B20," Equity"),"low_52week"),0))</f>
        <v>#NAME?</v>
      </c>
      <c r="O8" s="1123"/>
      <c r="P8" s="1123"/>
    </row>
    <row r="9" spans="1:30" s="1106" customFormat="1" ht="10.5" hidden="1" customHeight="1" thickBot="1">
      <c r="A9" s="1125" t="s">
        <v>547</v>
      </c>
      <c r="C9" s="1107"/>
      <c r="G9" s="1107"/>
      <c r="K9" s="1126" t="e">
        <f ca="1">+_xll.BDP(CONCATENATE(Dashboard!B20," Equity"),"volume_avg_40d")</f>
        <v>#NAME?</v>
      </c>
      <c r="O9" s="1123"/>
      <c r="P9" s="1123"/>
    </row>
    <row r="10" spans="1:30" s="1106" customFormat="1" ht="10.5" customHeight="1" thickBot="1">
      <c r="C10" s="1107"/>
      <c r="G10" s="1107"/>
      <c r="I10" s="1108"/>
      <c r="K10" s="1107"/>
      <c r="Q10" s="1124" t="s">
        <v>497</v>
      </c>
      <c r="R10" s="1124"/>
      <c r="S10" s="1124"/>
      <c r="T10" s="1107"/>
    </row>
    <row r="11" spans="1:30" s="1106" customFormat="1" ht="10.5" customHeight="1" thickBot="1">
      <c r="A11" s="1110" t="s">
        <v>512</v>
      </c>
      <c r="C11" s="1107"/>
      <c r="G11" s="1107"/>
      <c r="H11" s="1112"/>
      <c r="I11" s="1129"/>
      <c r="J11" s="1130"/>
      <c r="K11" s="1111"/>
      <c r="Q11" s="1127" t="s">
        <v>499</v>
      </c>
      <c r="R11" s="1128" t="str">
        <f t="shared" ref="R11:AD11" si="0">+D18</f>
        <v>FY08</v>
      </c>
      <c r="S11" s="1128" t="str">
        <f t="shared" si="0"/>
        <v>FY09</v>
      </c>
      <c r="T11" s="1128" t="str">
        <f t="shared" si="0"/>
        <v>FY10</v>
      </c>
      <c r="U11" s="1128" t="str">
        <f t="shared" si="0"/>
        <v>FY11</v>
      </c>
      <c r="V11" s="1128" t="str">
        <f t="shared" si="0"/>
        <v>FY12</v>
      </c>
      <c r="W11" s="1128" t="str">
        <f t="shared" si="0"/>
        <v>FY13</v>
      </c>
      <c r="X11" s="1128" t="str">
        <f t="shared" si="0"/>
        <v>FY14</v>
      </c>
      <c r="Y11" s="1128" t="str">
        <f t="shared" si="0"/>
        <v>FY15</v>
      </c>
      <c r="Z11" s="1128" t="str">
        <f t="shared" si="0"/>
        <v>FY16</v>
      </c>
      <c r="AA11" s="1128" t="str">
        <f t="shared" si="0"/>
        <v>FY17E</v>
      </c>
      <c r="AB11" s="1128" t="str">
        <f t="shared" si="0"/>
        <v>FY18E</v>
      </c>
      <c r="AC11" s="1128" t="str">
        <f t="shared" si="0"/>
        <v>FY19E</v>
      </c>
      <c r="AD11" s="1128" t="str">
        <f t="shared" si="0"/>
        <v>FY20E</v>
      </c>
    </row>
    <row r="12" spans="1:30" s="1106" customFormat="1" ht="10.5" customHeight="1">
      <c r="A12" s="1116" t="s">
        <v>401</v>
      </c>
      <c r="C12" s="1107"/>
      <c r="I12" s="1116"/>
      <c r="K12" s="1117">
        <v>2973.85</v>
      </c>
      <c r="Q12" s="1106" t="s">
        <v>500</v>
      </c>
      <c r="R12" s="1107">
        <f t="shared" ref="R12:AD12" si="1">+R67</f>
        <v>104.4659413524062</v>
      </c>
      <c r="S12" s="1107">
        <f t="shared" si="1"/>
        <v>127.0395629402564</v>
      </c>
      <c r="T12" s="1107">
        <f t="shared" si="1"/>
        <v>48.420771041768063</v>
      </c>
      <c r="U12" s="1107">
        <f t="shared" si="1"/>
        <v>30.380245059725471</v>
      </c>
      <c r="V12" s="1107">
        <f t="shared" si="1"/>
        <v>28.645798586142043</v>
      </c>
      <c r="W12" s="1107">
        <f t="shared" si="1"/>
        <v>29.986201403354329</v>
      </c>
      <c r="X12" s="1107">
        <f t="shared" si="1"/>
        <v>26.279774672523637</v>
      </c>
      <c r="Y12" s="1107">
        <f t="shared" si="1"/>
        <v>27.93625373056754</v>
      </c>
      <c r="Z12" s="1107">
        <f t="shared" si="1"/>
        <v>21.8983810963007</v>
      </c>
      <c r="AA12" s="1107">
        <f t="shared" si="1"/>
        <v>22.482576691861137</v>
      </c>
      <c r="AB12" s="1107" t="str">
        <f t="shared" si="1"/>
        <v>-</v>
      </c>
      <c r="AC12" s="1107" t="str">
        <f t="shared" si="1"/>
        <v>-</v>
      </c>
      <c r="AD12" s="1107" t="str">
        <f t="shared" si="1"/>
        <v>-</v>
      </c>
    </row>
    <row r="13" spans="1:30" s="1106" customFormat="1" ht="10.5" customHeight="1">
      <c r="A13" s="1116" t="s">
        <v>513</v>
      </c>
      <c r="C13" s="1107"/>
      <c r="K13" s="1117">
        <f>+K12*K37</f>
        <v>860534.11242700007</v>
      </c>
      <c r="O13" s="1108"/>
      <c r="P13" s="1108"/>
      <c r="Q13" s="1106" t="s">
        <v>501</v>
      </c>
      <c r="R13" s="1107">
        <f>+Dashboard!$E$17/D38</f>
        <v>101.87172517846494</v>
      </c>
      <c r="S13" s="1107">
        <f>+Dashboard!$E$17/E38</f>
        <v>123.88477311456315</v>
      </c>
      <c r="T13" s="1107">
        <f>+Dashboard!$E$17/F38</f>
        <v>47.218331799225709</v>
      </c>
      <c r="U13" s="1107"/>
      <c r="V13" s="1107"/>
      <c r="W13" s="1107"/>
      <c r="X13" s="1107"/>
      <c r="Y13" s="1107"/>
      <c r="Z13" s="1107"/>
      <c r="AA13" s="1107"/>
      <c r="AB13" s="1107"/>
      <c r="AC13" s="1107"/>
      <c r="AD13" s="1107"/>
    </row>
    <row r="14" spans="1:30" s="1106" customFormat="1" ht="10.5" customHeight="1">
      <c r="A14" s="1116" t="s">
        <v>303</v>
      </c>
      <c r="C14" s="1107"/>
      <c r="K14" s="1117">
        <f>-'Bal Sheet'!P36</f>
        <v>-91905</v>
      </c>
      <c r="Q14" s="1106" t="s">
        <v>308</v>
      </c>
      <c r="R14" s="1107">
        <f t="shared" ref="R14:AD14" si="2">+R66</f>
        <v>62.517618501374564</v>
      </c>
      <c r="S14" s="1107">
        <f t="shared" si="2"/>
        <v>68.364518009001031</v>
      </c>
      <c r="T14" s="1107">
        <f t="shared" si="2"/>
        <v>30.047462419694703</v>
      </c>
      <c r="U14" s="1107">
        <f t="shared" si="2"/>
        <v>24.214739760539612</v>
      </c>
      <c r="V14" s="1107">
        <f t="shared" si="2"/>
        <v>20.662128458060376</v>
      </c>
      <c r="W14" s="1107">
        <f t="shared" si="2"/>
        <v>21.127502712359636</v>
      </c>
      <c r="X14" s="1107">
        <f t="shared" si="2"/>
        <v>18.101021645208927</v>
      </c>
      <c r="Y14" s="1107">
        <f t="shared" si="2"/>
        <v>18.446641221545701</v>
      </c>
      <c r="Z14" s="1107">
        <f t="shared" si="2"/>
        <v>16.073583366311578</v>
      </c>
      <c r="AA14" s="1107">
        <f t="shared" si="2"/>
        <v>17.38055812920733</v>
      </c>
      <c r="AB14" s="1107">
        <f t="shared" si="2"/>
        <v>14.78776999161262</v>
      </c>
      <c r="AC14" s="1107">
        <f t="shared" si="2"/>
        <v>12.712969965985963</v>
      </c>
      <c r="AD14" s="1107">
        <f t="shared" si="2"/>
        <v>11.517271092943059</v>
      </c>
    </row>
    <row r="15" spans="1:30" s="1106" customFormat="1" ht="10.5" customHeight="1" thickBot="1">
      <c r="A15" s="1125" t="s">
        <v>514</v>
      </c>
      <c r="C15" s="1107"/>
      <c r="K15" s="1126">
        <f>+K13+K14</f>
        <v>768629.11242700007</v>
      </c>
      <c r="Q15" s="1125"/>
      <c r="R15" s="1111"/>
      <c r="S15" s="1111"/>
      <c r="T15" s="1111"/>
      <c r="U15" s="1111"/>
      <c r="V15" s="1111"/>
      <c r="W15" s="1111"/>
      <c r="X15" s="1111"/>
      <c r="Y15" s="1111"/>
      <c r="Z15" s="1111"/>
      <c r="AA15" s="1111"/>
      <c r="AB15" s="1111"/>
      <c r="AC15" s="1111"/>
      <c r="AD15" s="1111"/>
    </row>
    <row r="16" spans="1:30" s="1106" customFormat="1" ht="10.5" customHeight="1">
      <c r="B16" s="1107"/>
      <c r="C16" s="1107"/>
      <c r="D16" s="1107"/>
      <c r="E16" s="1107"/>
      <c r="F16" s="1107"/>
      <c r="G16" s="1107"/>
      <c r="O16" s="1131">
        <f>(O19/M19)^(1/2)-1</f>
        <v>0.18143576622708801</v>
      </c>
      <c r="R16" s="1107"/>
      <c r="S16" s="1107"/>
      <c r="T16" s="1107"/>
    </row>
    <row r="17" spans="1:30" s="1134" customFormat="1" ht="10.5" customHeight="1">
      <c r="A17" s="1132" t="s">
        <v>402</v>
      </c>
      <c r="B17" s="1133"/>
      <c r="C17" s="1133"/>
      <c r="D17" s="1133"/>
      <c r="E17" s="1133"/>
      <c r="F17" s="1133"/>
      <c r="G17" s="1133"/>
      <c r="O17" s="1131">
        <f>(O35/M35)^(1/2)-1</f>
        <v>0.15371399340228731</v>
      </c>
      <c r="Q17" s="1132" t="s">
        <v>403</v>
      </c>
      <c r="R17" s="1135"/>
      <c r="S17" s="1135"/>
      <c r="T17" s="1135"/>
    </row>
    <row r="18" spans="1:30" s="1134" customFormat="1" ht="10.5" customHeight="1">
      <c r="A18" s="1136" t="s">
        <v>520</v>
      </c>
      <c r="B18" s="1137" t="s">
        <v>670</v>
      </c>
      <c r="C18" s="1137" t="s">
        <v>669</v>
      </c>
      <c r="D18" s="1137" t="s">
        <v>668</v>
      </c>
      <c r="E18" s="1137" t="s">
        <v>314</v>
      </c>
      <c r="F18" s="1137" t="s">
        <v>612</v>
      </c>
      <c r="G18" s="1137" t="s">
        <v>195</v>
      </c>
      <c r="H18" s="1137" t="s">
        <v>395</v>
      </c>
      <c r="I18" s="1137" t="s">
        <v>279</v>
      </c>
      <c r="J18" s="1137" t="s">
        <v>1419</v>
      </c>
      <c r="K18" s="1137" t="s">
        <v>1857</v>
      </c>
      <c r="L18" s="1137" t="s">
        <v>1858</v>
      </c>
      <c r="M18" s="1137" t="s">
        <v>1633</v>
      </c>
      <c r="N18" s="1137" t="s">
        <v>1634</v>
      </c>
      <c r="O18" s="1137" t="s">
        <v>1635</v>
      </c>
      <c r="P18" s="1137" t="s">
        <v>1636</v>
      </c>
      <c r="Q18" s="1136" t="s">
        <v>520</v>
      </c>
      <c r="R18" s="1137" t="str">
        <f t="shared" ref="R18:AB18" si="3">+D18</f>
        <v>FY08</v>
      </c>
      <c r="S18" s="1137" t="str">
        <f t="shared" si="3"/>
        <v>FY09</v>
      </c>
      <c r="T18" s="1137" t="str">
        <f t="shared" si="3"/>
        <v>FY10</v>
      </c>
      <c r="U18" s="1137" t="str">
        <f t="shared" si="3"/>
        <v>FY11</v>
      </c>
      <c r="V18" s="1137" t="str">
        <f t="shared" si="3"/>
        <v>FY12</v>
      </c>
      <c r="W18" s="1137" t="str">
        <f t="shared" si="3"/>
        <v>FY13</v>
      </c>
      <c r="X18" s="1137" t="str">
        <f t="shared" si="3"/>
        <v>FY14</v>
      </c>
      <c r="Y18" s="1137" t="str">
        <f t="shared" si="3"/>
        <v>FY15</v>
      </c>
      <c r="Z18" s="1137" t="str">
        <f t="shared" si="3"/>
        <v>FY16</v>
      </c>
      <c r="AA18" s="1137" t="str">
        <f t="shared" si="3"/>
        <v>FY17E</v>
      </c>
      <c r="AB18" s="1137" t="str">
        <f t="shared" si="3"/>
        <v>FY18E</v>
      </c>
      <c r="AC18" s="1137" t="str">
        <f t="shared" ref="AC18:AD18" si="4">+O18</f>
        <v>FY19E</v>
      </c>
      <c r="AD18" s="1137" t="str">
        <f t="shared" si="4"/>
        <v>FY20E</v>
      </c>
    </row>
    <row r="19" spans="1:30" s="1106" customFormat="1" ht="10.5" customHeight="1">
      <c r="A19" s="1138" t="s">
        <v>404</v>
      </c>
      <c r="B19" s="1139" t="s">
        <v>679</v>
      </c>
      <c r="C19" s="1139" t="s">
        <v>679</v>
      </c>
      <c r="D19" s="1139">
        <f>+'Inc Stmt'!H9</f>
        <v>90169.5</v>
      </c>
      <c r="E19" s="1139">
        <f>+'Inc Stmt'!I9</f>
        <v>88148.1</v>
      </c>
      <c r="F19" s="1139">
        <f>+'Inc Stmt'!J9</f>
        <v>118864.7</v>
      </c>
      <c r="G19" s="1139">
        <f>+'Inc Stmt'!K9</f>
        <v>163982.29999999999</v>
      </c>
      <c r="H19" s="1139">
        <f>+'Inc Stmt'!L9</f>
        <v>195289.8</v>
      </c>
      <c r="I19" s="1139">
        <f>+'Inc Stmt'!M9</f>
        <v>199972.5</v>
      </c>
      <c r="J19" s="1139">
        <f>+'Inc Stmt'!N9</f>
        <v>201495.1</v>
      </c>
      <c r="K19" s="1139">
        <f>+'Inc Stmt'!O9</f>
        <v>216120.1</v>
      </c>
      <c r="L19" s="1139">
        <f>+'Inc Stmt'!P9</f>
        <v>225865.2</v>
      </c>
      <c r="M19" s="1139">
        <f>+'Inc Stmt'!Q9</f>
        <v>217666.80000000002</v>
      </c>
      <c r="N19" s="1139">
        <f>+'Inc Stmt'!R9</f>
        <v>262363.62891264667</v>
      </c>
      <c r="O19" s="1139">
        <f>+'Inc Stmt'!S9</f>
        <v>303817.245014577</v>
      </c>
      <c r="P19" s="1139">
        <f>+'Inc Stmt'!T9</f>
        <v>352252.66332878638</v>
      </c>
      <c r="Q19" s="1138" t="s">
        <v>405</v>
      </c>
      <c r="R19" s="1139">
        <f>+'Bal Sheet'!H13</f>
        <v>712.4000000000002</v>
      </c>
      <c r="S19" s="1139">
        <f>+'Bal Sheet'!I13</f>
        <v>1426.4</v>
      </c>
      <c r="T19" s="1139">
        <f>+'Bal Sheet'!J13</f>
        <v>1014.1</v>
      </c>
      <c r="U19" s="1139">
        <f>+'Bal Sheet'!K13</f>
        <v>5564.9</v>
      </c>
      <c r="V19" s="1139">
        <f>+'Bal Sheet'!L13</f>
        <v>16538.3</v>
      </c>
      <c r="W19" s="1139">
        <f>+'Bal Sheet'!M13</f>
        <v>5588.5</v>
      </c>
      <c r="X19" s="1139">
        <f>+'Bal Sheet'!N13</f>
        <v>4862.8</v>
      </c>
      <c r="Y19" s="1139">
        <f>+'Bal Sheet'!O13</f>
        <v>5750.7</v>
      </c>
      <c r="Z19" s="1139">
        <f>+'Bal Sheet'!P13</f>
        <v>8595.2000000000007</v>
      </c>
      <c r="AA19" s="1139">
        <f>+'Bal Sheet'!Q13</f>
        <v>5567.4985222216674</v>
      </c>
      <c r="AB19" s="1139">
        <f>+'Bal Sheet'!R13</f>
        <v>5362</v>
      </c>
      <c r="AC19" s="1139">
        <f>+'Bal Sheet'!S13</f>
        <v>10610</v>
      </c>
      <c r="AD19" s="1139">
        <f>+'Bal Sheet'!T13</f>
        <v>33834</v>
      </c>
    </row>
    <row r="20" spans="1:30" s="1106" customFormat="1" ht="10.5" customHeight="1">
      <c r="A20" s="1140" t="s">
        <v>406</v>
      </c>
      <c r="B20" s="1139" t="s">
        <v>679</v>
      </c>
      <c r="C20" s="1139" t="s">
        <v>679</v>
      </c>
      <c r="D20" s="1139" t="s">
        <v>679</v>
      </c>
      <c r="E20" s="1141">
        <f t="shared" ref="E20:K20" si="5">+(E19/D19-1)*100</f>
        <v>-2.2417779847953012</v>
      </c>
      <c r="F20" s="1141">
        <f t="shared" si="5"/>
        <v>34.846582059057418</v>
      </c>
      <c r="G20" s="1141">
        <f t="shared" si="5"/>
        <v>37.957105852284137</v>
      </c>
      <c r="H20" s="1141">
        <f t="shared" si="5"/>
        <v>19.091999563367512</v>
      </c>
      <c r="I20" s="1141">
        <f t="shared" si="5"/>
        <v>2.3978210843577097</v>
      </c>
      <c r="J20" s="1141">
        <f t="shared" si="5"/>
        <v>0.76140469314531778</v>
      </c>
      <c r="K20" s="1141">
        <f t="shared" si="5"/>
        <v>7.258241019260514</v>
      </c>
      <c r="L20" s="1141">
        <f>+(L19/K19-1)*100</f>
        <v>4.509113219918004</v>
      </c>
      <c r="M20" s="1141">
        <f>+(M19/L19-1)*100</f>
        <v>-3.6297756360873623</v>
      </c>
      <c r="N20" s="1141">
        <f>+(N19/M19-1)*100</f>
        <v>20.534518315446661</v>
      </c>
      <c r="O20" s="1141">
        <f t="shared" ref="O20:P20" si="6">+(O19/N19-1)*100</f>
        <v>15.800062026025795</v>
      </c>
      <c r="P20" s="1141">
        <f t="shared" si="6"/>
        <v>15.942287381312227</v>
      </c>
      <c r="Q20" s="1138" t="s">
        <v>407</v>
      </c>
      <c r="R20" s="1139">
        <f>+'Bal Sheet'!H10</f>
        <v>2528.5</v>
      </c>
      <c r="S20" s="1139">
        <f>+'Bal Sheet'!I10</f>
        <v>2809.4</v>
      </c>
      <c r="T20" s="1139">
        <f>+'Bal Sheet'!J10</f>
        <v>2728.4</v>
      </c>
      <c r="U20" s="1139">
        <f>+'Bal Sheet'!K10</f>
        <v>3627.6</v>
      </c>
      <c r="V20" s="1139">
        <f>+'Bal Sheet'!L10</f>
        <v>4227.8999999999996</v>
      </c>
      <c r="W20" s="1139">
        <f>+'Bal Sheet'!M10</f>
        <v>7675.8</v>
      </c>
      <c r="X20" s="1139">
        <f>+'Bal Sheet'!N10</f>
        <v>7962.1</v>
      </c>
      <c r="Y20" s="1139">
        <f>+'Bal Sheet'!O10</f>
        <v>7169.6</v>
      </c>
      <c r="Z20" s="1139">
        <f>+'Bal Sheet'!P10</f>
        <v>7179.3</v>
      </c>
      <c r="AA20" s="1139">
        <f>+'Bal Sheet'!Q10</f>
        <v>6559.8213698630143</v>
      </c>
      <c r="AB20" s="1139">
        <f>+'Bal Sheet'!R10</f>
        <v>7188.0446277437441</v>
      </c>
      <c r="AC20" s="1139">
        <f>+'Bal Sheet'!S10</f>
        <v>8323.7601373856705</v>
      </c>
      <c r="AD20" s="1139">
        <f>+'Bal Sheet'!T10</f>
        <v>9650.7578994188043</v>
      </c>
    </row>
    <row r="21" spans="1:30" s="1106" customFormat="1" ht="10.5" customHeight="1">
      <c r="A21" s="1138" t="s">
        <v>659</v>
      </c>
      <c r="B21" s="1139" t="s">
        <v>679</v>
      </c>
      <c r="C21" s="1139" t="s">
        <v>679</v>
      </c>
      <c r="D21" s="1139">
        <f>+'Inc Stmt'!H21</f>
        <v>12294.600000000006</v>
      </c>
      <c r="E21" s="1139">
        <f>+'Inc Stmt'!I21</f>
        <v>11243.100000000009</v>
      </c>
      <c r="F21" s="1139">
        <f>+'Inc Stmt'!J21</f>
        <v>25580.499999999989</v>
      </c>
      <c r="G21" s="1139">
        <f>+'Inc Stmt'!K21</f>
        <v>31742.199999999983</v>
      </c>
      <c r="H21" s="1139">
        <f>+'Inc Stmt'!L21</f>
        <v>37199.899999999994</v>
      </c>
      <c r="I21" s="1139">
        <f>+'Inc Stmt'!M21</f>
        <v>36380.500000000015</v>
      </c>
      <c r="J21" s="1139">
        <f>+'Inc Stmt'!N21</f>
        <v>42463.299999999988</v>
      </c>
      <c r="K21" s="1139">
        <f>+'Inc Stmt'!O21</f>
        <v>41667.700000000012</v>
      </c>
      <c r="L21" s="1139">
        <f>+'Inc Stmt'!P21</f>
        <v>47819.400000000009</v>
      </c>
      <c r="M21" s="1139">
        <f>+'Inc Stmt'!Q21</f>
        <v>44223.499999999985</v>
      </c>
      <c r="N21" s="1139">
        <f>+'Inc Stmt'!R21</f>
        <v>51977.351072065219</v>
      </c>
      <c r="O21" s="1139">
        <f>+'Inc Stmt'!S21</f>
        <v>60460.231911464958</v>
      </c>
      <c r="P21" s="1139">
        <f>+'Inc Stmt'!T21</f>
        <v>66737.086087863281</v>
      </c>
      <c r="Q21" s="1138" t="s">
        <v>695</v>
      </c>
      <c r="R21" s="1139">
        <f>+'Bal Sheet'!H9</f>
        <v>3661.3</v>
      </c>
      <c r="S21" s="1139">
        <f>+'Bal Sheet'!I9</f>
        <v>3717.6</v>
      </c>
      <c r="T21" s="1139">
        <f>+'Bal Sheet'!J9</f>
        <v>4462.1000000000004</v>
      </c>
      <c r="U21" s="1139">
        <f>+'Bal Sheet'!K9</f>
        <v>5472.7999999999993</v>
      </c>
      <c r="V21" s="1139">
        <f>+'Bal Sheet'!L9</f>
        <v>6785.3</v>
      </c>
      <c r="W21" s="1139">
        <f>+'Bal Sheet'!M9</f>
        <v>6362.8</v>
      </c>
      <c r="X21" s="1139">
        <f>+'Bal Sheet'!N9</f>
        <v>6397.2</v>
      </c>
      <c r="Y21" s="1139">
        <f>+'Bal Sheet'!O9</f>
        <v>8141.5</v>
      </c>
      <c r="Z21" s="1139">
        <f>+'Bal Sheet'!P9</f>
        <v>7190.7</v>
      </c>
      <c r="AA21" s="1139">
        <f>+'Bal Sheet'!Q9</f>
        <v>6811.2479452054804</v>
      </c>
      <c r="AB21" s="1139">
        <f>+'Bal Sheet'!R9</f>
        <v>7832.0934263895824</v>
      </c>
      <c r="AC21" s="1139">
        <f>+'Bal Sheet'!S9</f>
        <v>9096.2050781350608</v>
      </c>
      <c r="AD21" s="1139">
        <f>+'Bal Sheet'!T9</f>
        <v>10669.87793359743</v>
      </c>
    </row>
    <row r="22" spans="1:30" s="1106" customFormat="1" ht="10.5" customHeight="1">
      <c r="A22" s="1140" t="s">
        <v>406</v>
      </c>
      <c r="B22" s="1139" t="s">
        <v>679</v>
      </c>
      <c r="C22" s="1139" t="s">
        <v>679</v>
      </c>
      <c r="D22" s="1139" t="s">
        <v>679</v>
      </c>
      <c r="E22" s="1141">
        <f t="shared" ref="E22:K22" si="7">+(E21/D21-1)*100</f>
        <v>-8.5525352593821324</v>
      </c>
      <c r="F22" s="1141">
        <f t="shared" si="7"/>
        <v>127.52176890715164</v>
      </c>
      <c r="G22" s="1141">
        <f t="shared" si="7"/>
        <v>24.087488516643528</v>
      </c>
      <c r="H22" s="1141">
        <f t="shared" si="7"/>
        <v>17.193830295316694</v>
      </c>
      <c r="I22" s="1141">
        <f t="shared" si="7"/>
        <v>-2.2026940932636352</v>
      </c>
      <c r="J22" s="1141">
        <f t="shared" si="7"/>
        <v>16.719946124984464</v>
      </c>
      <c r="K22" s="1141">
        <f t="shared" si="7"/>
        <v>-1.8736179241838902</v>
      </c>
      <c r="L22" s="1141">
        <f>+(L21/K21-1)*100</f>
        <v>14.763713859896255</v>
      </c>
      <c r="M22" s="1141">
        <f>+(M21/L21-1)*100</f>
        <v>-7.5197513979682329</v>
      </c>
      <c r="N22" s="1141">
        <f>+(N21/M21-1)*100</f>
        <v>17.533327466313686</v>
      </c>
      <c r="O22" s="1141">
        <f t="shared" ref="O22:P22" si="8">+(O21/N21-1)*100</f>
        <v>16.320340810824408</v>
      </c>
      <c r="P22" s="1141">
        <f t="shared" si="8"/>
        <v>10.381789778097183</v>
      </c>
      <c r="Q22" s="1138" t="s">
        <v>408</v>
      </c>
      <c r="R22" s="1139">
        <f>+'Bal Sheet'!H12+'Bal Sheet'!H11</f>
        <v>9778.2999999999993</v>
      </c>
      <c r="S22" s="1139">
        <f>+'Bal Sheet'!I12+'Bal Sheet'!I11</f>
        <v>15065.8</v>
      </c>
      <c r="T22" s="1139">
        <f>+'Bal Sheet'!J12+'Bal Sheet'!J11</f>
        <v>21804.9</v>
      </c>
      <c r="U22" s="1139">
        <f>+'Bal Sheet'!K12+'Bal Sheet'!K11</f>
        <v>14060.599999999999</v>
      </c>
      <c r="V22" s="1139">
        <f>+'Bal Sheet'!L12+'Bal Sheet'!L11</f>
        <v>19197.3</v>
      </c>
      <c r="W22" s="1139">
        <f>+'Bal Sheet'!M12+'Bal Sheet'!M11</f>
        <v>19874.8</v>
      </c>
      <c r="X22" s="1139">
        <f>+'Bal Sheet'!N12+'Bal Sheet'!N11</f>
        <v>21164.6</v>
      </c>
      <c r="Y22" s="1139">
        <f>+'Bal Sheet'!O12+'Bal Sheet'!O11</f>
        <v>21195.200000000001</v>
      </c>
      <c r="Z22" s="1139">
        <f>+'Bal Sheet'!P12+'Bal Sheet'!P11</f>
        <v>17856.5</v>
      </c>
      <c r="AA22" s="1139">
        <f>+'Bal Sheet'!Q12+'Bal Sheet'!Q11</f>
        <v>16699.902000000002</v>
      </c>
      <c r="AB22" s="1139">
        <f>+'Bal Sheet'!R12+'Bal Sheet'!R11</f>
        <v>18023.806476933507</v>
      </c>
      <c r="AC22" s="1139">
        <f>+'Bal Sheet'!S12+'Bal Sheet'!S11</f>
        <v>20708.787810845468</v>
      </c>
      <c r="AD22" s="1139">
        <f>+'Bal Sheet'!T12+'Bal Sheet'!T11</f>
        <v>23826.780833069613</v>
      </c>
    </row>
    <row r="23" spans="1:30" s="1106" customFormat="1" ht="10.5" customHeight="1">
      <c r="A23" s="1138" t="s">
        <v>309</v>
      </c>
      <c r="B23" s="1139" t="s">
        <v>679</v>
      </c>
      <c r="C23" s="1139" t="s">
        <v>679</v>
      </c>
      <c r="D23" s="1139">
        <f>+'Inc Stmt'!H23+'Inc Stmt'!H24</f>
        <v>1746.1</v>
      </c>
      <c r="E23" s="1139">
        <f>+'Inc Stmt'!I23+'Inc Stmt'!I24</f>
        <v>1306.2</v>
      </c>
      <c r="F23" s="1139">
        <f>+'Inc Stmt'!J23+'Inc Stmt'!J24</f>
        <v>1364.5</v>
      </c>
      <c r="G23" s="1139">
        <f>+'Inc Stmt'!K23+'Inc Stmt'!K24</f>
        <v>1228.4000000000001</v>
      </c>
      <c r="H23" s="1139">
        <f>+'Inc Stmt'!L23+'Inc Stmt'!L24</f>
        <v>1456.2</v>
      </c>
      <c r="I23" s="1139">
        <f>+'Inc Stmt'!M23+'Inc Stmt'!M24</f>
        <v>1667.7</v>
      </c>
      <c r="J23" s="1139">
        <f>+'Inc Stmt'!N23+'Inc Stmt'!N24</f>
        <v>1796.1</v>
      </c>
      <c r="K23" s="1139">
        <f>+'Inc Stmt'!O23+'Inc Stmt'!O24</f>
        <v>2674</v>
      </c>
      <c r="L23" s="1139">
        <f>+'Inc Stmt'!P23+'Inc Stmt'!P24</f>
        <v>3071.6</v>
      </c>
      <c r="M23" s="1139">
        <f>+'Inc Stmt'!Q23+'Inc Stmt'!Q24</f>
        <v>3072.9</v>
      </c>
      <c r="N23" s="1139">
        <f>+'Inc Stmt'!R23+'Inc Stmt'!R24</f>
        <v>3374.2725000000005</v>
      </c>
      <c r="O23" s="1139">
        <f>+'Inc Stmt'!S23+'Inc Stmt'!S24</f>
        <v>3650.2725000000005</v>
      </c>
      <c r="P23" s="1139">
        <f>+'Inc Stmt'!T23+'Inc Stmt'!T24</f>
        <v>3983.1750000000002</v>
      </c>
      <c r="Q23" s="1138" t="s">
        <v>60</v>
      </c>
      <c r="R23" s="1139">
        <f>+'Bal Sheet'!H17</f>
        <v>15632.6</v>
      </c>
      <c r="S23" s="1139">
        <f>+'Bal Sheet'!I17</f>
        <v>14231.9</v>
      </c>
      <c r="T23" s="1139">
        <f>+'Bal Sheet'!J17</f>
        <v>40215.199999999997</v>
      </c>
      <c r="U23" s="1139">
        <f>+'Bal Sheet'!K17</f>
        <v>47952</v>
      </c>
      <c r="V23" s="1139">
        <f>+'Bal Sheet'!L17</f>
        <v>48828.399999999994</v>
      </c>
      <c r="W23" s="1139">
        <f>+'Bal Sheet'!M17</f>
        <v>64304.899999999994</v>
      </c>
      <c r="X23" s="1139">
        <f>+'Bal Sheet'!N17</f>
        <v>85588.3</v>
      </c>
      <c r="Y23" s="1139">
        <f>+'Bal Sheet'!O17</f>
        <v>91644</v>
      </c>
      <c r="Z23" s="1139">
        <f>+'Bal Sheet'!P17</f>
        <v>95126.6</v>
      </c>
      <c r="AA23" s="1139">
        <f>+'Bal Sheet'!Q17</f>
        <v>135126.59999999998</v>
      </c>
      <c r="AB23" s="1139">
        <f>+'Bal Sheet'!R17</f>
        <v>155126.59999999998</v>
      </c>
      <c r="AC23" s="1139">
        <f>+'Bal Sheet'!S17</f>
        <v>170126.59999999998</v>
      </c>
      <c r="AD23" s="1139">
        <f>+'Bal Sheet'!T17</f>
        <v>170126.59999999998</v>
      </c>
    </row>
    <row r="24" spans="1:30" s="1106" customFormat="1" ht="10.5" customHeight="1">
      <c r="A24" s="1138" t="s">
        <v>663</v>
      </c>
      <c r="B24" s="1139" t="s">
        <v>679</v>
      </c>
      <c r="C24" s="1139" t="s">
        <v>679</v>
      </c>
      <c r="D24" s="1139">
        <f>+'Inc Stmt'!H25</f>
        <v>10548.500000000005</v>
      </c>
      <c r="E24" s="1139">
        <f>+'Inc Stmt'!I25</f>
        <v>9936.9000000000087</v>
      </c>
      <c r="F24" s="1139">
        <f>+'Inc Stmt'!J25</f>
        <v>24215.999999999989</v>
      </c>
      <c r="G24" s="1139">
        <f>+'Inc Stmt'!K25</f>
        <v>30513.799999999981</v>
      </c>
      <c r="H24" s="1139">
        <f>+'Inc Stmt'!L25</f>
        <v>35743.699999999997</v>
      </c>
      <c r="I24" s="1139">
        <f>+'Inc Stmt'!M25</f>
        <v>34712.800000000017</v>
      </c>
      <c r="J24" s="1139">
        <f>+'Inc Stmt'!N25</f>
        <v>40667.19999999999</v>
      </c>
      <c r="K24" s="1139">
        <f>+'Inc Stmt'!O25</f>
        <v>38993.700000000012</v>
      </c>
      <c r="L24" s="1139">
        <f>+'Inc Stmt'!P25</f>
        <v>44747.80000000001</v>
      </c>
      <c r="M24" s="1139">
        <f>+'Inc Stmt'!Q25</f>
        <v>41150.599999999984</v>
      </c>
      <c r="N24" s="1139">
        <f>+'Inc Stmt'!R25</f>
        <v>48603.07857206522</v>
      </c>
      <c r="O24" s="1139">
        <f>+'Inc Stmt'!S25</f>
        <v>56809.959411464959</v>
      </c>
      <c r="P24" s="1139">
        <f>+'Inc Stmt'!T25</f>
        <v>62753.911087863278</v>
      </c>
      <c r="Q24" s="1138" t="s">
        <v>457</v>
      </c>
      <c r="R24" s="1139">
        <f>+'Bal Sheet'!H86</f>
        <v>29895.5</v>
      </c>
      <c r="S24" s="1139">
        <f>+'Bal Sheet'!I86</f>
        <v>33395.1</v>
      </c>
      <c r="T24" s="1139">
        <f>+'Bal Sheet'!J86</f>
        <v>33792.5</v>
      </c>
      <c r="U24" s="1139">
        <f>+'Bal Sheet'!K86</f>
        <v>33908.800000000003</v>
      </c>
      <c r="V24" s="1139">
        <f>+'Bal Sheet'!L86</f>
        <v>33939.199999999997</v>
      </c>
      <c r="W24" s="1139">
        <f>+'Bal Sheet'!M86</f>
        <v>38288.5</v>
      </c>
      <c r="X24" s="1139">
        <f>+'Bal Sheet'!N86</f>
        <v>40770.400000000001</v>
      </c>
      <c r="Y24" s="1139">
        <f>+'Bal Sheet'!O86</f>
        <v>41009.1</v>
      </c>
      <c r="Z24" s="1139">
        <f>+'Bal Sheet'!P86</f>
        <v>43902.5</v>
      </c>
      <c r="AA24" s="1139">
        <f>+'Bal Sheet'!Q86</f>
        <v>46902.5</v>
      </c>
      <c r="AB24" s="1139">
        <f>+'Bal Sheet'!R86</f>
        <v>50902.5</v>
      </c>
      <c r="AC24" s="1139">
        <f>+'Bal Sheet'!S86</f>
        <v>54902.5</v>
      </c>
      <c r="AD24" s="1139">
        <f>+'Bal Sheet'!T86</f>
        <v>58902.5</v>
      </c>
    </row>
    <row r="25" spans="1:30" s="1106" customFormat="1" ht="10.5" customHeight="1">
      <c r="A25" s="1140" t="s">
        <v>406</v>
      </c>
      <c r="B25" s="1139" t="s">
        <v>679</v>
      </c>
      <c r="C25" s="1139" t="s">
        <v>679</v>
      </c>
      <c r="D25" s="1139" t="s">
        <v>679</v>
      </c>
      <c r="E25" s="1141">
        <f t="shared" ref="E25:K25" si="9">+(E24/D24-1)*100</f>
        <v>-5.7979807555576297</v>
      </c>
      <c r="F25" s="1141">
        <f t="shared" si="9"/>
        <v>143.69773269329437</v>
      </c>
      <c r="G25" s="1141">
        <f t="shared" si="9"/>
        <v>26.006772381896237</v>
      </c>
      <c r="H25" s="1141">
        <f t="shared" si="9"/>
        <v>17.139458212349879</v>
      </c>
      <c r="I25" s="1141">
        <f t="shared" si="9"/>
        <v>-2.8841446184921571</v>
      </c>
      <c r="J25" s="1141">
        <f t="shared" si="9"/>
        <v>17.153326726740481</v>
      </c>
      <c r="K25" s="1141">
        <f t="shared" si="9"/>
        <v>-4.1151099657708912</v>
      </c>
      <c r="L25" s="1141">
        <f>+(L24/K24-1)*100</f>
        <v>14.756486304197857</v>
      </c>
      <c r="M25" s="1141">
        <f>+(M24/L24-1)*100</f>
        <v>-8.0388309592874343</v>
      </c>
      <c r="N25" s="1141">
        <f>+(N24/M24-1)*100</f>
        <v>18.110254946623485</v>
      </c>
      <c r="O25" s="1141">
        <f t="shared" ref="O25:P25" si="10">+(O24/N24-1)*100</f>
        <v>16.885516474498942</v>
      </c>
      <c r="P25" s="1141">
        <f t="shared" si="10"/>
        <v>10.462869077844751</v>
      </c>
      <c r="Q25" s="1138" t="s">
        <v>725</v>
      </c>
      <c r="R25" s="1139">
        <f>+'Bal Sheet'!H88</f>
        <v>12627.599999999999</v>
      </c>
      <c r="S25" s="1139">
        <f>+'Bal Sheet'!I88</f>
        <v>15301.199999999997</v>
      </c>
      <c r="T25" s="1139">
        <f>+'Bal Sheet'!J88</f>
        <v>14795.900000000001</v>
      </c>
      <c r="U25" s="1139">
        <f>+'Bal Sheet'!K88</f>
        <v>14784.300000000003</v>
      </c>
      <c r="V25" s="1139">
        <f>+'Bal Sheet'!L88</f>
        <v>14795.899999999998</v>
      </c>
      <c r="W25" s="1139">
        <f>+'Bal Sheet'!M88</f>
        <v>18044.3</v>
      </c>
      <c r="X25" s="1139">
        <f>+'Bal Sheet'!N88</f>
        <v>20060.400000000001</v>
      </c>
      <c r="Y25" s="1139">
        <f>+'Bal Sheet'!O88</f>
        <v>19172.399999999998</v>
      </c>
      <c r="Z25" s="1139">
        <f>+'Bal Sheet'!P88</f>
        <v>20256.7</v>
      </c>
      <c r="AA25" s="1139">
        <f>+'Bal Sheet'!Q88</f>
        <v>20183.8</v>
      </c>
      <c r="AB25" s="1139">
        <f>+'Bal Sheet'!R88</f>
        <v>20809.5275</v>
      </c>
      <c r="AC25" s="1139">
        <f>+'Bal Sheet'!S88</f>
        <v>21159.254999999997</v>
      </c>
      <c r="AD25" s="1139">
        <f>+'Bal Sheet'!T88</f>
        <v>21176.079999999994</v>
      </c>
    </row>
    <row r="26" spans="1:30" s="1106" customFormat="1" ht="10.5" customHeight="1">
      <c r="A26" s="1138" t="s">
        <v>409</v>
      </c>
      <c r="B26" s="1139" t="s">
        <v>679</v>
      </c>
      <c r="C26" s="1139" t="s">
        <v>679</v>
      </c>
      <c r="D26" s="1139">
        <f>+'Inc Stmt'!H27</f>
        <v>51.6</v>
      </c>
      <c r="E26" s="1139">
        <f>+'Inc Stmt'!I27</f>
        <v>218.9</v>
      </c>
      <c r="F26" s="1139">
        <f>+'Inc Stmt'!J27</f>
        <v>59.8</v>
      </c>
      <c r="G26" s="1139">
        <f>+'Inc Stmt'!K27</f>
        <v>16.899999999999999</v>
      </c>
      <c r="H26" s="1139">
        <f>+'Inc Stmt'!L27</f>
        <v>222.4</v>
      </c>
      <c r="I26" s="1139">
        <f>+'Inc Stmt'!M27</f>
        <v>5.4</v>
      </c>
      <c r="J26" s="1139">
        <f>+'Inc Stmt'!N27</f>
        <v>5.4</v>
      </c>
      <c r="K26" s="1139">
        <f>+'Inc Stmt'!O27</f>
        <v>64.900000000000006</v>
      </c>
      <c r="L26" s="1139">
        <f>+'Inc Stmt'!P27</f>
        <v>10.5</v>
      </c>
      <c r="M26" s="1139">
        <f>+'Inc Stmt'!Q27</f>
        <v>14</v>
      </c>
      <c r="N26" s="1139">
        <f>+'Inc Stmt'!R27</f>
        <v>10</v>
      </c>
      <c r="O26" s="1139">
        <f>+'Inc Stmt'!S27</f>
        <v>10</v>
      </c>
      <c r="P26" s="1139">
        <f>+'Inc Stmt'!T27</f>
        <v>10</v>
      </c>
      <c r="Q26" s="1138" t="s">
        <v>726</v>
      </c>
      <c r="R26" s="1139">
        <f>+'Bal Sheet'!H89</f>
        <v>347.4</v>
      </c>
      <c r="S26" s="1139">
        <f>+'Bal Sheet'!I89</f>
        <v>220.6</v>
      </c>
      <c r="T26" s="1139">
        <f>+'Bal Sheet'!J89</f>
        <v>415.2</v>
      </c>
      <c r="U26" s="1139">
        <f>+'Bal Sheet'!K89</f>
        <v>698.6</v>
      </c>
      <c r="V26" s="1139">
        <f>+'Bal Sheet'!L89</f>
        <v>416.5</v>
      </c>
      <c r="W26" s="1139">
        <f>+'Bal Sheet'!M89</f>
        <v>2935.5</v>
      </c>
      <c r="X26" s="1139">
        <f>+'Bal Sheet'!N89</f>
        <v>1440.6</v>
      </c>
      <c r="Y26" s="1139">
        <f>+'Bal Sheet'!O89</f>
        <v>2549.4</v>
      </c>
      <c r="Z26" s="1139">
        <f>+'Bal Sheet'!P89</f>
        <v>522.4</v>
      </c>
      <c r="AA26" s="1139">
        <f>+'Bal Sheet'!Q89</f>
        <v>522.4</v>
      </c>
      <c r="AB26" s="1139">
        <f>+'Bal Sheet'!R89</f>
        <v>522.4</v>
      </c>
      <c r="AC26" s="1139">
        <f>+'Bal Sheet'!S89</f>
        <v>522.4</v>
      </c>
      <c r="AD26" s="1139">
        <f>+'Bal Sheet'!T89</f>
        <v>522.4</v>
      </c>
    </row>
    <row r="27" spans="1:30" s="1106" customFormat="1" ht="10.5" customHeight="1">
      <c r="A27" s="1138" t="s">
        <v>665</v>
      </c>
      <c r="B27" s="1139" t="s">
        <v>679</v>
      </c>
      <c r="C27" s="1139" t="s">
        <v>679</v>
      </c>
      <c r="D27" s="1139">
        <f>+'Inc Stmt'!H28+'Inc Stmt'!H29</f>
        <v>446.89999999999975</v>
      </c>
      <c r="E27" s="1139">
        <f>+'Inc Stmt'!I28+'Inc Stmt'!I29</f>
        <v>-832</v>
      </c>
      <c r="F27" s="1139">
        <f>+'Inc Stmt'!J28+'Inc Stmt'!J29</f>
        <v>-44.900000000000091</v>
      </c>
      <c r="G27" s="1139">
        <f>+'Inc Stmt'!K28+'Inc Stmt'!K29</f>
        <v>13010.599999999999</v>
      </c>
      <c r="H27" s="1139">
        <f>+'Inc Stmt'!L28+'Inc Stmt'!L29</f>
        <v>4740.4000000000005</v>
      </c>
      <c r="I27" s="1139">
        <f>+'Inc Stmt'!M28+'Inc Stmt'!M29</f>
        <v>5472</v>
      </c>
      <c r="J27" s="1139">
        <f>+'Inc Stmt'!N28+'Inc Stmt'!N29</f>
        <v>6118.2000000000007</v>
      </c>
      <c r="K27" s="1139">
        <f>+'Inc Stmt'!O28+'Inc Stmt'!O29</f>
        <v>2324.8999999999992</v>
      </c>
      <c r="L27" s="1139">
        <f>+'Inc Stmt'!P28+'Inc Stmt'!P29</f>
        <v>10735.9</v>
      </c>
      <c r="M27" s="1139">
        <f>+'Inc Stmt'!Q28+'Inc Stmt'!Q29</f>
        <v>12219.7</v>
      </c>
      <c r="N27" s="1139">
        <f>+'Inc Stmt'!R28+'Inc Stmt'!R29</f>
        <v>13359.569299999997</v>
      </c>
      <c r="O27" s="1139">
        <f>+'Inc Stmt'!S28+'Inc Stmt'!S29</f>
        <v>14956.331029999998</v>
      </c>
      <c r="P27" s="1139">
        <f>+'Inc Stmt'!T28+'Inc Stmt'!T29</f>
        <v>14193.774933000001</v>
      </c>
      <c r="Q27" s="1138" t="s">
        <v>410</v>
      </c>
      <c r="R27" s="1139">
        <f>+'Bal Sheet'!H16</f>
        <v>105.29999999999998</v>
      </c>
      <c r="S27" s="1139">
        <f>+'Bal Sheet'!I16</f>
        <v>162.6</v>
      </c>
      <c r="T27" s="1139">
        <f>+'Bal Sheet'!J16</f>
        <v>0</v>
      </c>
      <c r="U27" s="1139">
        <f>+'Bal Sheet'!K16</f>
        <v>42.800000000000004</v>
      </c>
      <c r="V27" s="1139">
        <f>+'Bal Sheet'!L16</f>
        <v>21.4</v>
      </c>
      <c r="W27" s="1139">
        <f>+'Bal Sheet'!M16</f>
        <v>0</v>
      </c>
      <c r="X27" s="1139">
        <f>+'Bal Sheet'!N16</f>
        <v>0</v>
      </c>
      <c r="Y27" s="1139">
        <f>+'Bal Sheet'!O16</f>
        <v>0</v>
      </c>
      <c r="Z27" s="1139">
        <f>+'Bal Sheet'!P16</f>
        <v>0</v>
      </c>
      <c r="AA27" s="1139">
        <f>+'Bal Sheet'!Q16</f>
        <v>0</v>
      </c>
      <c r="AB27" s="1139">
        <f>+'Bal Sheet'!R16</f>
        <v>0</v>
      </c>
      <c r="AC27" s="1139">
        <f>+'Bal Sheet'!S16</f>
        <v>0</v>
      </c>
      <c r="AD27" s="1139">
        <f>+'Bal Sheet'!T16</f>
        <v>0</v>
      </c>
    </row>
    <row r="28" spans="1:30" s="1106" customFormat="1" ht="10.5" customHeight="1">
      <c r="A28" s="1138" t="s">
        <v>458</v>
      </c>
      <c r="B28" s="1139" t="s">
        <v>679</v>
      </c>
      <c r="C28" s="1139" t="s">
        <v>679</v>
      </c>
      <c r="D28" s="1139">
        <f>+'Inc Stmt'!H30</f>
        <v>10943.800000000005</v>
      </c>
      <c r="E28" s="1139">
        <f>+'Inc Stmt'!I30</f>
        <v>8886.0000000000091</v>
      </c>
      <c r="F28" s="1139">
        <f>+'Inc Stmt'!J30</f>
        <v>24111.299999999988</v>
      </c>
      <c r="G28" s="1139">
        <f>+'Inc Stmt'!K30</f>
        <v>43507.499999999978</v>
      </c>
      <c r="H28" s="1139">
        <f>+'Inc Stmt'!L30</f>
        <v>40261.699999999997</v>
      </c>
      <c r="I28" s="1139">
        <f>+'Inc Stmt'!M30</f>
        <v>40179.400000000016</v>
      </c>
      <c r="J28" s="1139">
        <f>+'Inc Stmt'!N30</f>
        <v>46779.999999999985</v>
      </c>
      <c r="K28" s="1139">
        <f>+'Inc Stmt'!O30</f>
        <v>41253.700000000004</v>
      </c>
      <c r="L28" s="1139">
        <f>+'Inc Stmt'!P30</f>
        <v>55473.200000000012</v>
      </c>
      <c r="M28" s="1139">
        <f>+'Inc Stmt'!Q30</f>
        <v>53356.299999999988</v>
      </c>
      <c r="N28" s="1139">
        <f>+'Inc Stmt'!R30</f>
        <v>61952.647872065216</v>
      </c>
      <c r="O28" s="1139">
        <f>+'Inc Stmt'!S30</f>
        <v>71756.290441464953</v>
      </c>
      <c r="P28" s="1139">
        <f>+'Inc Stmt'!T30</f>
        <v>76937.686020863272</v>
      </c>
      <c r="Q28" s="1138" t="s">
        <v>411</v>
      </c>
      <c r="R28" s="1139">
        <f>+'Bal Sheet'!H18</f>
        <v>-109.80000000000018</v>
      </c>
      <c r="S28" s="1139">
        <f>+'Bal Sheet'!I18</f>
        <v>221.69999999999982</v>
      </c>
      <c r="T28" s="1139">
        <f>+'Bal Sheet'!J18</f>
        <v>-16.899999999999864</v>
      </c>
      <c r="U28" s="1139">
        <f>+'Bal Sheet'!K18</f>
        <v>-297.09999999999991</v>
      </c>
      <c r="V28" s="1139">
        <f>+'Bal Sheet'!L18</f>
        <v>-484.40000000000009</v>
      </c>
      <c r="W28" s="1139">
        <f>+'Bal Sheet'!M18</f>
        <v>-1151</v>
      </c>
      <c r="X28" s="1139">
        <f>+'Bal Sheet'!N18</f>
        <v>-1431.8</v>
      </c>
      <c r="Y28" s="1139">
        <f>+'Bal Sheet'!O18</f>
        <v>-1415.8</v>
      </c>
      <c r="Z28" s="1139">
        <f>+'Bal Sheet'!P18</f>
        <v>-1882.5</v>
      </c>
      <c r="AA28" s="1139">
        <f>+'Bal Sheet'!Q18</f>
        <v>-1882.5</v>
      </c>
      <c r="AB28" s="1139">
        <f>+'Bal Sheet'!R18</f>
        <v>-1882.5</v>
      </c>
      <c r="AC28" s="1139">
        <f>+'Bal Sheet'!S18</f>
        <v>-1882.5</v>
      </c>
      <c r="AD28" s="1139">
        <f>+'Bal Sheet'!T18</f>
        <v>-1882.5</v>
      </c>
    </row>
    <row r="29" spans="1:30" s="1106" customFormat="1" ht="10.5" customHeight="1">
      <c r="A29" s="1138" t="s">
        <v>675</v>
      </c>
      <c r="B29" s="1139" t="s">
        <v>679</v>
      </c>
      <c r="C29" s="1139" t="s">
        <v>679</v>
      </c>
      <c r="D29" s="1139">
        <f>+'Inc Stmt'!H32</f>
        <v>3684.2</v>
      </c>
      <c r="E29" s="1139">
        <f>+'Inc Stmt'!I32</f>
        <v>2888.8</v>
      </c>
      <c r="F29" s="1139">
        <f>+'Inc Stmt'!J32</f>
        <v>7075</v>
      </c>
      <c r="G29" s="1139">
        <f>+'Inc Stmt'!K32</f>
        <v>10110.200000000001</v>
      </c>
      <c r="H29" s="1139">
        <f>+'Inc Stmt'!L32</f>
        <v>10221.199999999999</v>
      </c>
      <c r="I29" s="1139">
        <f>+'Inc Stmt'!M32</f>
        <v>12226.6</v>
      </c>
      <c r="J29" s="1139">
        <f>+'Inc Stmt'!N32</f>
        <v>13901</v>
      </c>
      <c r="K29" s="1139">
        <f>+'Inc Stmt'!O32</f>
        <v>12710.5</v>
      </c>
      <c r="L29" s="1139">
        <f>+'Inc Stmt'!P32</f>
        <v>16176.5</v>
      </c>
      <c r="M29" s="1139">
        <f>+'Inc Stmt'!Q32</f>
        <v>15080.7</v>
      </c>
      <c r="N29" s="1139">
        <f>+'Inc Stmt'!R32</f>
        <v>17966.267882898912</v>
      </c>
      <c r="O29" s="1139">
        <f>+'Inc Stmt'!S32</f>
        <v>20809.324228024834</v>
      </c>
      <c r="P29" s="1139">
        <f>+'Inc Stmt'!T32</f>
        <v>22311.928946050346</v>
      </c>
      <c r="Q29" s="1138" t="s">
        <v>731</v>
      </c>
      <c r="R29" s="1139">
        <f>+'Bal Sheet'!H20+'Bal Sheet'!H19</f>
        <v>3258.1</v>
      </c>
      <c r="S29" s="1139">
        <f>+'Bal Sheet'!I20+'Bal Sheet'!I19</f>
        <v>5505.3</v>
      </c>
      <c r="T29" s="1139">
        <f>+'Bal Sheet'!J20+'Bal Sheet'!J19</f>
        <v>0</v>
      </c>
      <c r="U29" s="1139">
        <f>+'Bal Sheet'!K20+'Bal Sheet'!K19</f>
        <v>0</v>
      </c>
      <c r="V29" s="1139">
        <f>+'Bal Sheet'!L20+'Bal Sheet'!L19</f>
        <v>0</v>
      </c>
      <c r="W29" s="1139">
        <f>+'Bal Sheet'!M20+'Bal Sheet'!M19</f>
        <v>0</v>
      </c>
      <c r="X29" s="1139">
        <f>+'Bal Sheet'!N20+'Bal Sheet'!N19</f>
        <v>0</v>
      </c>
      <c r="Y29" s="1139">
        <f>+'Bal Sheet'!O20+'Bal Sheet'!O19</f>
        <v>0.4</v>
      </c>
      <c r="Z29" s="1139">
        <f>+'Bal Sheet'!P20+'Bal Sheet'!P19</f>
        <v>0</v>
      </c>
      <c r="AA29" s="1139">
        <f>+'Bal Sheet'!Q20+'Bal Sheet'!Q19</f>
        <v>0</v>
      </c>
      <c r="AB29" s="1139">
        <f>+'Bal Sheet'!R20+'Bal Sheet'!R19</f>
        <v>0</v>
      </c>
      <c r="AC29" s="1139">
        <f>+'Bal Sheet'!S20+'Bal Sheet'!S19</f>
        <v>0</v>
      </c>
      <c r="AD29" s="1139">
        <f>+'Bal Sheet'!T20+'Bal Sheet'!T19</f>
        <v>0</v>
      </c>
    </row>
    <row r="30" spans="1:30" s="1106" customFormat="1" ht="10.5" customHeight="1">
      <c r="A30" s="1140" t="s">
        <v>412</v>
      </c>
      <c r="B30" s="1139" t="s">
        <v>679</v>
      </c>
      <c r="C30" s="1139" t="s">
        <v>679</v>
      </c>
      <c r="D30" s="1142">
        <f t="shared" ref="D30:K30" si="11">+D29/D28%</f>
        <v>33.664723405032973</v>
      </c>
      <c r="E30" s="1142">
        <f t="shared" si="11"/>
        <v>32.50956560882284</v>
      </c>
      <c r="F30" s="1142">
        <f t="shared" si="11"/>
        <v>29.343088095623227</v>
      </c>
      <c r="G30" s="1142">
        <f t="shared" si="11"/>
        <v>23.237832557605024</v>
      </c>
      <c r="H30" s="1142">
        <f t="shared" si="11"/>
        <v>25.386906166406288</v>
      </c>
      <c r="I30" s="1142">
        <f t="shared" si="11"/>
        <v>30.430021354226284</v>
      </c>
      <c r="J30" s="1142">
        <f t="shared" si="11"/>
        <v>29.715690466011125</v>
      </c>
      <c r="K30" s="1142">
        <f t="shared" si="11"/>
        <v>30.810569718594934</v>
      </c>
      <c r="L30" s="1142">
        <f>+L29/L28%</f>
        <v>29.160928159904238</v>
      </c>
      <c r="M30" s="1142">
        <f>+M29/M28%</f>
        <v>28.264141254172429</v>
      </c>
      <c r="N30" s="1142">
        <f>+N29/N28%</f>
        <v>29</v>
      </c>
      <c r="O30" s="1142">
        <f t="shared" ref="O30:P30" si="12">+O29/O28%</f>
        <v>28.999999999999996</v>
      </c>
      <c r="P30" s="1142">
        <f t="shared" si="12"/>
        <v>28.999999999999996</v>
      </c>
      <c r="Q30" s="1143" t="s">
        <v>732</v>
      </c>
      <c r="R30" s="1144">
        <f t="shared" ref="R30:Y30" si="13">+SUM(R19:R29)-R24</f>
        <v>48541.7</v>
      </c>
      <c r="S30" s="1144">
        <f t="shared" si="13"/>
        <v>58662.500000000007</v>
      </c>
      <c r="T30" s="1144">
        <f t="shared" si="13"/>
        <v>85418.900000000009</v>
      </c>
      <c r="U30" s="1144">
        <f t="shared" si="13"/>
        <v>91906.5</v>
      </c>
      <c r="V30" s="1144">
        <f t="shared" si="13"/>
        <v>110326.59999999999</v>
      </c>
      <c r="W30" s="1144">
        <f t="shared" si="13"/>
        <v>123635.59999999998</v>
      </c>
      <c r="X30" s="1144">
        <f t="shared" si="13"/>
        <v>146044.20000000001</v>
      </c>
      <c r="Y30" s="1144">
        <f t="shared" si="13"/>
        <v>154207.4</v>
      </c>
      <c r="Z30" s="1144">
        <f>+SUM(Z19:Z29)-Z24</f>
        <v>154844.9</v>
      </c>
      <c r="AA30" s="1144">
        <f>+SUM(AA19:AA29)-AA24</f>
        <v>189588.76983729014</v>
      </c>
      <c r="AB30" s="1144">
        <f>+SUM(AB19:AB29)-AB24</f>
        <v>212981.97203106683</v>
      </c>
      <c r="AC30" s="1144">
        <f t="shared" ref="AC30:AD30" si="14">+SUM(AC19:AC29)-AC24</f>
        <v>238664.50802636624</v>
      </c>
      <c r="AD30" s="1144">
        <f t="shared" si="14"/>
        <v>267923.99666608585</v>
      </c>
    </row>
    <row r="31" spans="1:30" s="1106" customFormat="1" ht="10.5" customHeight="1">
      <c r="A31" s="1138" t="s">
        <v>415</v>
      </c>
      <c r="B31" s="1139" t="s">
        <v>679</v>
      </c>
      <c r="C31" s="1139" t="s">
        <v>679</v>
      </c>
      <c r="D31" s="1139">
        <f>+'Inc Stmt'!H33</f>
        <v>0</v>
      </c>
      <c r="E31" s="1139">
        <f>+'Inc Stmt'!I33</f>
        <v>0</v>
      </c>
      <c r="F31" s="1139">
        <f>+'Inc Stmt'!J33</f>
        <v>0</v>
      </c>
      <c r="G31" s="1139">
        <f>+'Inc Stmt'!K33</f>
        <v>0</v>
      </c>
      <c r="H31" s="1139">
        <f>+'Inc Stmt'!L33</f>
        <v>0</v>
      </c>
      <c r="I31" s="1139">
        <f>+'Inc Stmt'!M33</f>
        <v>2482.9</v>
      </c>
      <c r="J31" s="1139">
        <f>+'Inc Stmt'!N33</f>
        <v>-446.29999999999984</v>
      </c>
      <c r="K31" s="1139">
        <f>+'Inc Stmt'!O33</f>
        <v>-405.79999999999995</v>
      </c>
      <c r="L31" s="1139">
        <f>+'Inc Stmt'!P33</f>
        <v>0</v>
      </c>
      <c r="M31" s="1139">
        <f>+'Inc Stmt'!Q33</f>
        <v>0</v>
      </c>
      <c r="N31" s="1139">
        <f>+'Inc Stmt'!R33</f>
        <v>0</v>
      </c>
      <c r="O31" s="1139">
        <f>+'Inc Stmt'!S33</f>
        <v>0</v>
      </c>
      <c r="P31" s="1139">
        <f>+'Inc Stmt'!T33</f>
        <v>0</v>
      </c>
      <c r="Q31" s="1138" t="s">
        <v>414</v>
      </c>
      <c r="R31" s="1139">
        <f>+'Bal Sheet'!H135</f>
        <v>9509.0999999999985</v>
      </c>
      <c r="S31" s="1139">
        <f>+'Bal Sheet'!I135</f>
        <v>12339.5</v>
      </c>
      <c r="T31" s="1139">
        <f>+'Bal Sheet'!J135</f>
        <v>15712</v>
      </c>
      <c r="U31" s="1139">
        <f>+'Bal Sheet'!K135</f>
        <v>19430.8</v>
      </c>
      <c r="V31" s="1139">
        <f>+'Bal Sheet'!L135</f>
        <v>17240.800000000003</v>
      </c>
      <c r="W31" s="1139">
        <f>+'Bal Sheet'!M135</f>
        <v>19796.099999999999</v>
      </c>
      <c r="X31" s="1139">
        <f>+'Bal Sheet'!N135</f>
        <v>21114</v>
      </c>
      <c r="Y31" s="1139">
        <f>+'Bal Sheet'!O135</f>
        <v>17997.5</v>
      </c>
      <c r="Z31" s="1139">
        <f>+'Bal Sheet'!P135</f>
        <v>20270.400000000001</v>
      </c>
      <c r="AA31" s="1139">
        <f>+'Bal Sheet'!Q135</f>
        <v>17845.659837290139</v>
      </c>
      <c r="AB31" s="1139">
        <f>+'Bal Sheet'!R135</f>
        <v>19341.127542303315</v>
      </c>
      <c r="AC31" s="1139">
        <f>+'Bal Sheet'!S135</f>
        <v>19705.25074592459</v>
      </c>
      <c r="AD31" s="1139">
        <f>+'Bal Sheet'!T135</f>
        <v>19990.001579155585</v>
      </c>
    </row>
    <row r="32" spans="1:30" s="1106" customFormat="1" ht="10.5" customHeight="1">
      <c r="A32" s="1138" t="s">
        <v>472</v>
      </c>
      <c r="B32" s="1139" t="s">
        <v>679</v>
      </c>
      <c r="C32" s="1139" t="s">
        <v>679</v>
      </c>
      <c r="D32" s="1139">
        <f>+'Inc Stmt'!H34+'Inc Stmt'!H35</f>
        <v>223</v>
      </c>
      <c r="E32" s="1139">
        <f>+'Inc Stmt'!I34+'Inc Stmt'!I35</f>
        <v>-626.9</v>
      </c>
      <c r="F32" s="1139">
        <f>+'Inc Stmt'!J34+'Inc Stmt'!J35</f>
        <v>0</v>
      </c>
      <c r="G32" s="1139">
        <f>+'Inc Stmt'!K34+'Inc Stmt'!K35</f>
        <v>0</v>
      </c>
      <c r="H32" s="1139">
        <f>+'Inc Stmt'!L34+'Inc Stmt'!L35</f>
        <v>0</v>
      </c>
      <c r="I32" s="1139">
        <f>+'Inc Stmt'!M34+'Inc Stmt'!M35</f>
        <v>0</v>
      </c>
      <c r="J32" s="1139">
        <f>+'Inc Stmt'!N34+'Inc Stmt'!N35</f>
        <v>0</v>
      </c>
      <c r="K32" s="1139">
        <f>+'Inc Stmt'!O34+'Inc Stmt'!O35</f>
        <v>0</v>
      </c>
      <c r="L32" s="1139">
        <f>+'Inc Stmt'!P34+'Inc Stmt'!P35</f>
        <v>0</v>
      </c>
      <c r="M32" s="1139">
        <f>+'Inc Stmt'!Q34+'Inc Stmt'!Q35</f>
        <v>0</v>
      </c>
      <c r="N32" s="1139">
        <f>+'Inc Stmt'!R34+'Inc Stmt'!R35</f>
        <v>0</v>
      </c>
      <c r="O32" s="1139">
        <f>+'Inc Stmt'!S34+'Inc Stmt'!S35</f>
        <v>0</v>
      </c>
      <c r="P32" s="1139">
        <f>+'Inc Stmt'!T34+'Inc Stmt'!T35</f>
        <v>0</v>
      </c>
      <c r="Q32" s="1138" t="s">
        <v>78</v>
      </c>
      <c r="R32" s="1139">
        <f>+'Bal Sheet'!H140-'Bal Sheet'!H135</f>
        <v>987.89999999999964</v>
      </c>
      <c r="S32" s="1139">
        <f>+'Bal Sheet'!I140-'Bal Sheet'!I135</f>
        <v>0</v>
      </c>
      <c r="T32" s="1139">
        <f>+'Bal Sheet'!J140-'Bal Sheet'!J135</f>
        <v>4550.5</v>
      </c>
      <c r="U32" s="1139">
        <f>+'Bal Sheet'!K140-'Bal Sheet'!K135</f>
        <v>4835.7000000000007</v>
      </c>
      <c r="V32" s="1139">
        <f>+'Bal Sheet'!L140-'Bal Sheet'!L135</f>
        <v>9951.0999999999985</v>
      </c>
      <c r="W32" s="1139">
        <f>+'Bal Sheet'!M140-'Bal Sheet'!M135</f>
        <v>6682.1999999999971</v>
      </c>
      <c r="X32" s="1139">
        <f>+'Bal Sheet'!N140-'Bal Sheet'!N135</f>
        <v>8535.7000000000007</v>
      </c>
      <c r="Y32" s="1139">
        <f>+'Bal Sheet'!O140-'Bal Sheet'!O135</f>
        <v>8250.0200000000041</v>
      </c>
      <c r="Z32" s="1139">
        <f>+'Bal Sheet'!P140-'Bal Sheet'!P135</f>
        <v>6343.0999999999985</v>
      </c>
      <c r="AA32" s="1139">
        <f>+'Bal Sheet'!Q140-'Bal Sheet'!Q135</f>
        <v>6977.4100000000035</v>
      </c>
      <c r="AB32" s="1139">
        <f>+'Bal Sheet'!R140-'Bal Sheet'!R135</f>
        <v>0</v>
      </c>
      <c r="AC32" s="1139">
        <f>+'Bal Sheet'!S140-'Bal Sheet'!S135</f>
        <v>0</v>
      </c>
      <c r="AD32" s="1139">
        <f>+'Bal Sheet'!T140-'Bal Sheet'!T135</f>
        <v>0</v>
      </c>
    </row>
    <row r="33" spans="1:30" s="1106" customFormat="1" ht="10.5" customHeight="1">
      <c r="A33" s="1138" t="s">
        <v>417</v>
      </c>
      <c r="B33" s="1139" t="s">
        <v>679</v>
      </c>
      <c r="C33" s="1139" t="s">
        <v>679</v>
      </c>
      <c r="D33" s="1139">
        <f>+'Inc Stmt'!H36</f>
        <v>7495.6000000000049</v>
      </c>
      <c r="E33" s="1139">
        <f>+'Inc Stmt'!I36</f>
        <v>5379.3000000000093</v>
      </c>
      <c r="F33" s="1139">
        <f>+'Inc Stmt'!J36</f>
        <v>17036.299999999988</v>
      </c>
      <c r="G33" s="1139">
        <f>+'Inc Stmt'!K36</f>
        <v>33397.299999999974</v>
      </c>
      <c r="H33" s="1139">
        <f>+'Inc Stmt'!L36</f>
        <v>30040.5</v>
      </c>
      <c r="I33" s="1139">
        <f>+'Inc Stmt'!M36</f>
        <v>30435.700000000019</v>
      </c>
      <c r="J33" s="1139">
        <f>+'Inc Stmt'!N36</f>
        <v>32432.699999999986</v>
      </c>
      <c r="K33" s="1139">
        <f>+'Inc Stmt'!O36</f>
        <v>28137.400000000005</v>
      </c>
      <c r="L33" s="1139">
        <f>+'Inc Stmt'!P36</f>
        <v>39296.700000000012</v>
      </c>
      <c r="M33" s="1139">
        <f>+'Inc Stmt'!Q36</f>
        <v>38275.599999999991</v>
      </c>
      <c r="N33" s="1139">
        <f>+'Inc Stmt'!R36</f>
        <v>43986.379989166307</v>
      </c>
      <c r="O33" s="1139">
        <f>+'Inc Stmt'!S36</f>
        <v>50946.966213440115</v>
      </c>
      <c r="P33" s="1139">
        <f>+'Inc Stmt'!T36</f>
        <v>54625.757074812922</v>
      </c>
      <c r="Q33" s="1138" t="s">
        <v>70</v>
      </c>
      <c r="R33" s="1139">
        <f>+'Bal Sheet'!H24</f>
        <v>8341.2999999999993</v>
      </c>
      <c r="S33" s="1139">
        <f>+'Bal Sheet'!I24</f>
        <v>12241.5</v>
      </c>
      <c r="T33" s="1139">
        <f>+'Bal Sheet'!J24</f>
        <v>22487.200000000001</v>
      </c>
      <c r="U33" s="1139">
        <f>+'Bal Sheet'!K24</f>
        <v>15286.3</v>
      </c>
      <c r="V33" s="1139">
        <f>+'Bal Sheet'!L24</f>
        <v>21748.9</v>
      </c>
      <c r="W33" s="1139">
        <f>+'Bal Sheet'!M24</f>
        <v>17424.7</v>
      </c>
      <c r="X33" s="1139">
        <f>+'Bal Sheet'!N24</f>
        <v>19736.900000000001</v>
      </c>
      <c r="Y33" s="1139">
        <f>+'Bal Sheet'!O24</f>
        <v>19920.100000000002</v>
      </c>
      <c r="Z33" s="1139">
        <f>+'Bal Sheet'!P24</f>
        <v>3690.2</v>
      </c>
      <c r="AA33" s="1139">
        <f>+'Bal Sheet'!Q24</f>
        <v>23955.261871000006</v>
      </c>
      <c r="AB33" s="1139">
        <f>+'Bal Sheet'!R24</f>
        <v>27340.856005000005</v>
      </c>
      <c r="AC33" s="1139">
        <f>+'Bal Sheet'!S24</f>
        <v>27340.856005000005</v>
      </c>
      <c r="AD33" s="1139">
        <f>+'Bal Sheet'!T24</f>
        <v>27340.856005000005</v>
      </c>
    </row>
    <row r="34" spans="1:30" s="1106" customFormat="1" ht="10.5" customHeight="1">
      <c r="A34" s="1138" t="s">
        <v>686</v>
      </c>
      <c r="B34" s="1139" t="s">
        <v>679</v>
      </c>
      <c r="C34" s="1139" t="s">
        <v>679</v>
      </c>
      <c r="D34" s="1139">
        <f>+'Inc Stmt'!H38</f>
        <v>-446.74120000000005</v>
      </c>
      <c r="E34" s="1139">
        <f>+'Inc Stmt'!I38</f>
        <v>-1992.0700000000002</v>
      </c>
      <c r="F34" s="1139">
        <f>+'Inc Stmt'!J38</f>
        <v>-1051.0050000000001</v>
      </c>
      <c r="G34" s="1139">
        <f>+'Inc Stmt'!K38</f>
        <v>7245.5</v>
      </c>
      <c r="H34" s="1139">
        <f>+'Inc Stmt'!L38</f>
        <v>0</v>
      </c>
      <c r="I34" s="1139">
        <f>+'Inc Stmt'!M38</f>
        <v>2482.9</v>
      </c>
      <c r="J34" s="1139">
        <f>+'Inc Stmt'!N38</f>
        <v>-446.29999999999984</v>
      </c>
      <c r="K34" s="1139">
        <f>+'Inc Stmt'!O38</f>
        <v>-3808.7</v>
      </c>
      <c r="L34" s="1139">
        <f>+'Inc Stmt'!P38</f>
        <v>0</v>
      </c>
      <c r="M34" s="1139">
        <f>+'Inc Stmt'!Q38</f>
        <v>0</v>
      </c>
      <c r="N34" s="1139">
        <f>+'Inc Stmt'!R38</f>
        <v>0</v>
      </c>
      <c r="O34" s="1139">
        <f>+'Inc Stmt'!S38</f>
        <v>0</v>
      </c>
      <c r="P34" s="1139">
        <f>+'Inc Stmt'!T38</f>
        <v>0</v>
      </c>
      <c r="Q34" s="1138" t="s">
        <v>416</v>
      </c>
      <c r="R34" s="1139">
        <f>+'Bal Sheet'!H25+'Bal Sheet'!H26</f>
        <v>13463.8</v>
      </c>
      <c r="S34" s="1139">
        <f>+'Bal Sheet'!I25+'Bal Sheet'!I26</f>
        <v>15953.6</v>
      </c>
      <c r="T34" s="1139">
        <f>+'Bal Sheet'!J25+'Bal Sheet'!J26</f>
        <v>13385.599999999999</v>
      </c>
      <c r="U34" s="1139">
        <f>+'Bal Sheet'!K25+'Bal Sheet'!K26</f>
        <v>3251.5</v>
      </c>
      <c r="V34" s="1139">
        <f>+'Bal Sheet'!L25+'Bal Sheet'!L26</f>
        <v>974.8</v>
      </c>
      <c r="W34" s="1139">
        <f>+'Bal Sheet'!M25+'Bal Sheet'!M26</f>
        <v>712.7</v>
      </c>
      <c r="X34" s="1139">
        <f>+'Bal Sheet'!N25+'Bal Sheet'!N26</f>
        <v>577.4</v>
      </c>
      <c r="Y34" s="1139">
        <f>+'Bal Sheet'!O25+'Bal Sheet'!O26</f>
        <v>1118.28</v>
      </c>
      <c r="Z34" s="1139">
        <f>+'Bal Sheet'!P25+'Bal Sheet'!P26</f>
        <v>1624.8</v>
      </c>
      <c r="AA34" s="1139">
        <f>+'Bal Sheet'!Q25+'Bal Sheet'!Q26</f>
        <v>1624.8</v>
      </c>
      <c r="AB34" s="1139">
        <f>+'Bal Sheet'!R25+'Bal Sheet'!R26</f>
        <v>1624.8</v>
      </c>
      <c r="AC34" s="1139">
        <f>+'Bal Sheet'!S25+'Bal Sheet'!S26</f>
        <v>1624.8</v>
      </c>
      <c r="AD34" s="1139">
        <f>+'Bal Sheet'!T25+'Bal Sheet'!T26</f>
        <v>1624.8</v>
      </c>
    </row>
    <row r="35" spans="1:30" s="1106" customFormat="1" ht="10.5" customHeight="1">
      <c r="A35" s="1138" t="s">
        <v>413</v>
      </c>
      <c r="B35" s="1139" t="s">
        <v>679</v>
      </c>
      <c r="C35" s="1139" t="s">
        <v>679</v>
      </c>
      <c r="D35" s="1139">
        <f>+'Inc Stmt'!H40</f>
        <v>7942.3412000000053</v>
      </c>
      <c r="E35" s="1139">
        <f>+'Inc Stmt'!I40</f>
        <v>6773.7490000000089</v>
      </c>
      <c r="F35" s="1139">
        <f>+'Inc Stmt'!J40</f>
        <v>17772.003499999988</v>
      </c>
      <c r="G35" s="1139">
        <f>+'Inc Stmt'!K40</f>
        <v>28325.449999999975</v>
      </c>
      <c r="H35" s="1139">
        <f>+'Inc Stmt'!L40</f>
        <v>30040.5</v>
      </c>
      <c r="I35" s="1139">
        <f>+'Inc Stmt'!M40</f>
        <v>28697.67000000002</v>
      </c>
      <c r="J35" s="1139">
        <f>+'Inc Stmt'!N40</f>
        <v>32745.109999999986</v>
      </c>
      <c r="K35" s="1139">
        <f>+'Inc Stmt'!O40</f>
        <v>30803.490000000005</v>
      </c>
      <c r="L35" s="1139">
        <f>+'Inc Stmt'!P40</f>
        <v>39296.700000000012</v>
      </c>
      <c r="M35" s="1139">
        <f>+'Inc Stmt'!Q40</f>
        <v>38275.599999999991</v>
      </c>
      <c r="N35" s="1139">
        <f>+'Inc Stmt'!R40</f>
        <v>43986.379989166307</v>
      </c>
      <c r="O35" s="1139">
        <f>+'Inc Stmt'!S40</f>
        <v>50946.966213440115</v>
      </c>
      <c r="P35" s="1139">
        <f>+'Inc Stmt'!T40</f>
        <v>54625.757074812922</v>
      </c>
      <c r="Q35" s="1138" t="s">
        <v>93</v>
      </c>
      <c r="R35" s="1139">
        <f>+'Bal Sheet'!H27+'Bal Sheet'!H28</f>
        <v>4.2</v>
      </c>
      <c r="S35" s="1139">
        <f>+'Bal Sheet'!I27+'Bal Sheet'!I28</f>
        <v>0</v>
      </c>
      <c r="T35" s="1139">
        <f>+'Bal Sheet'!J27+'Bal Sheet'!J28</f>
        <v>0</v>
      </c>
      <c r="U35" s="1139">
        <f>+'Bal Sheet'!K27+'Bal Sheet'!K28</f>
        <v>0</v>
      </c>
      <c r="V35" s="1139">
        <f>+'Bal Sheet'!L27+'Bal Sheet'!L28</f>
        <v>0</v>
      </c>
      <c r="W35" s="1139">
        <f>+'Bal Sheet'!M27+'Bal Sheet'!M28</f>
        <v>0</v>
      </c>
      <c r="X35" s="1139">
        <f>+'Bal Sheet'!N27+'Bal Sheet'!N28</f>
        <v>0</v>
      </c>
      <c r="Y35" s="1139">
        <f>+'Bal Sheet'!O27+'Bal Sheet'!O28</f>
        <v>0</v>
      </c>
      <c r="Z35" s="1139">
        <f>+'Bal Sheet'!P27+'Bal Sheet'!P28</f>
        <v>0</v>
      </c>
      <c r="AA35" s="1139">
        <f>+'Bal Sheet'!Q27+'Bal Sheet'!Q28</f>
        <v>0</v>
      </c>
      <c r="AB35" s="1139">
        <f>+'Bal Sheet'!R27+'Bal Sheet'!R28</f>
        <v>0</v>
      </c>
      <c r="AC35" s="1139">
        <f>+'Bal Sheet'!S27+'Bal Sheet'!S28</f>
        <v>0</v>
      </c>
      <c r="AD35" s="1139">
        <f>+'Bal Sheet'!T27+'Bal Sheet'!T28</f>
        <v>0</v>
      </c>
    </row>
    <row r="36" spans="1:30" s="1106" customFormat="1" ht="10.5" customHeight="1">
      <c r="A36" s="1140" t="s">
        <v>406</v>
      </c>
      <c r="B36" s="1139" t="s">
        <v>679</v>
      </c>
      <c r="C36" s="1139" t="s">
        <v>679</v>
      </c>
      <c r="D36" s="1139" t="s">
        <v>679</v>
      </c>
      <c r="E36" s="1141">
        <f t="shared" ref="E36:K36" si="15">+(E35/D35-1)*100</f>
        <v>-14.713447465591079</v>
      </c>
      <c r="F36" s="1141">
        <f t="shared" si="15"/>
        <v>162.36584054118279</v>
      </c>
      <c r="G36" s="1141">
        <f t="shared" si="15"/>
        <v>59.382424159437022</v>
      </c>
      <c r="H36" s="1141">
        <f t="shared" si="15"/>
        <v>6.0548023067595658</v>
      </c>
      <c r="I36" s="1141">
        <f t="shared" si="15"/>
        <v>-4.4700654116941463</v>
      </c>
      <c r="J36" s="1141">
        <f t="shared" si="15"/>
        <v>14.103723403328438</v>
      </c>
      <c r="K36" s="1141">
        <f t="shared" si="15"/>
        <v>-5.9294960377289314</v>
      </c>
      <c r="L36" s="1141">
        <f>+(L35/K35-1)*100</f>
        <v>27.572232886598247</v>
      </c>
      <c r="M36" s="1141">
        <f>+(M35/L35-1)*100</f>
        <v>-2.5984370188845918</v>
      </c>
      <c r="N36" s="1141">
        <f>+(N35/M35-1)*100</f>
        <v>14.920157983588279</v>
      </c>
      <c r="O36" s="1141">
        <f t="shared" ref="O36:P36" si="16">+(O35/N35-1)*100</f>
        <v>15.824412524941067</v>
      </c>
      <c r="P36" s="1141">
        <f t="shared" si="16"/>
        <v>7.2208241918874538</v>
      </c>
      <c r="Q36" s="1138" t="s">
        <v>100</v>
      </c>
      <c r="R36" s="1139">
        <f>+'Bal Sheet'!H173+'Bal Sheet'!H177</f>
        <v>2893.6702000000005</v>
      </c>
      <c r="S36" s="1139">
        <f>+'Bal Sheet'!I173+'Bal Sheet'!I177</f>
        <v>2893.6702000000005</v>
      </c>
      <c r="T36" s="1139">
        <f>+'Bal Sheet'!J173+'Bal Sheet'!J177</f>
        <v>2893.6702000000005</v>
      </c>
      <c r="U36" s="1139">
        <f>+'Bal Sheet'!K173+'Bal Sheet'!K177</f>
        <v>2893.6702000000005</v>
      </c>
      <c r="V36" s="1139">
        <f>+'Bal Sheet'!L173+'Bal Sheet'!L177</f>
        <v>2893.6702000000005</v>
      </c>
      <c r="W36" s="1139">
        <f>+'Bal Sheet'!M173+'Bal Sheet'!M177</f>
        <v>2893.6702000000005</v>
      </c>
      <c r="X36" s="1139">
        <f>+'Bal Sheet'!N173+'Bal Sheet'!N177</f>
        <v>2893.6702000000005</v>
      </c>
      <c r="Y36" s="1139">
        <f>+'Bal Sheet'!O173+'Bal Sheet'!O177</f>
        <v>2893.7</v>
      </c>
      <c r="Z36" s="1139">
        <f>+'Bal Sheet'!P173+'Bal Sheet'!P177</f>
        <v>2893.6702000000005</v>
      </c>
      <c r="AA36" s="1139">
        <f>+'Bal Sheet'!Q173+'Bal Sheet'!Q177</f>
        <v>2893.6702000000005</v>
      </c>
      <c r="AB36" s="1139">
        <f>+'Bal Sheet'!R173+'Bal Sheet'!R177</f>
        <v>2893.6702000000005</v>
      </c>
      <c r="AC36" s="1139">
        <f>+'Bal Sheet'!S173+'Bal Sheet'!S177</f>
        <v>2893.6702000000005</v>
      </c>
      <c r="AD36" s="1139">
        <f>+'Bal Sheet'!T173+'Bal Sheet'!T177</f>
        <v>2893.6702000000005</v>
      </c>
    </row>
    <row r="37" spans="1:30" s="1106" customFormat="1" ht="10.5" customHeight="1">
      <c r="A37" s="1138" t="s">
        <v>418</v>
      </c>
      <c r="B37" s="1139" t="s">
        <v>679</v>
      </c>
      <c r="C37" s="1139" t="s">
        <v>679</v>
      </c>
      <c r="D37" s="1115">
        <f>+'Inc Stmt'!H45</f>
        <v>289.36702000000002</v>
      </c>
      <c r="E37" s="1115">
        <f>+'Inc Stmt'!I45</f>
        <v>289.36702000000002</v>
      </c>
      <c r="F37" s="1115">
        <f>+'Inc Stmt'!J45</f>
        <v>289.36702000000002</v>
      </c>
      <c r="G37" s="1115">
        <f>+'Inc Stmt'!K45</f>
        <v>289.36702000000002</v>
      </c>
      <c r="H37" s="1115">
        <f>+'Inc Stmt'!L45</f>
        <v>289.36702000000002</v>
      </c>
      <c r="I37" s="1115">
        <f>+'Inc Stmt'!M45</f>
        <v>289.36702000000002</v>
      </c>
      <c r="J37" s="1115">
        <f>+'Inc Stmt'!N45</f>
        <v>289.36702000000002</v>
      </c>
      <c r="K37" s="1115">
        <f>+'Inc Stmt'!O45</f>
        <v>289.36702000000002</v>
      </c>
      <c r="L37" s="1115">
        <f>+'Inc Stmt'!P45</f>
        <v>289.36702000000002</v>
      </c>
      <c r="M37" s="1115">
        <f>+'Inc Stmt'!Q45</f>
        <v>289.36702000000002</v>
      </c>
      <c r="N37" s="1115">
        <f>+'Inc Stmt'!R45</f>
        <v>289.36702000000002</v>
      </c>
      <c r="O37" s="1115">
        <f>+'Inc Stmt'!S45</f>
        <v>289.36702000000002</v>
      </c>
      <c r="P37" s="1115">
        <f>+'Inc Stmt'!T45</f>
        <v>289.36702000000002</v>
      </c>
      <c r="Q37" s="1138" t="s">
        <v>459</v>
      </c>
      <c r="R37" s="1139">
        <f>+'Bal Sheet'!H186-'Bal Sheet'!H177</f>
        <v>13342.064899999999</v>
      </c>
      <c r="S37" s="1139">
        <f>+'Bal Sheet'!I186-'Bal Sheet'!I177</f>
        <v>15234.264900000002</v>
      </c>
      <c r="T37" s="1139">
        <f>+'Bal Sheet'!J186-'Bal Sheet'!J177</f>
        <v>26389.8649</v>
      </c>
      <c r="U37" s="1139">
        <f>+'Bal Sheet'!K186-'Bal Sheet'!K177</f>
        <v>46208.5</v>
      </c>
      <c r="V37" s="1139">
        <f>+'Bal Sheet'!L186-'Bal Sheet'!L177</f>
        <v>57517</v>
      </c>
      <c r="W37" s="1139">
        <f>+'Bal Sheet'!M186-'Bal Sheet'!M177</f>
        <v>76125.800000000017</v>
      </c>
      <c r="X37" s="1139">
        <f>+'Bal Sheet'!N186-'Bal Sheet'!N177</f>
        <v>93186.5</v>
      </c>
      <c r="Y37" s="1139">
        <f>+'Bal Sheet'!O186-'Bal Sheet'!O177</f>
        <v>104027.80000000002</v>
      </c>
      <c r="Z37" s="1139">
        <f>+'Bal Sheet'!P186-'Bal Sheet'!P177</f>
        <v>120022.9</v>
      </c>
      <c r="AA37" s="1139">
        <f>+'Bal Sheet'!Q186-'Bal Sheet'!Q177</f>
        <v>136292.13812899997</v>
      </c>
      <c r="AB37" s="1139">
        <f>+'Bal Sheet'!R186-'Bal Sheet'!R177</f>
        <v>154886.56211316629</v>
      </c>
      <c r="AC37" s="1139">
        <f>+'Bal Sheet'!S186-'Bal Sheet'!S177</f>
        <v>180441.57232160639</v>
      </c>
      <c r="AD37" s="1139">
        <f>+'Bal Sheet'!T186-'Bal Sheet'!T177</f>
        <v>235067.32939641931</v>
      </c>
    </row>
    <row r="38" spans="1:30" s="1106" customFormat="1" ht="10.5" customHeight="1">
      <c r="A38" s="1138" t="s">
        <v>2647</v>
      </c>
      <c r="B38" s="1139" t="s">
        <v>679</v>
      </c>
      <c r="C38" s="1139" t="s">
        <v>679</v>
      </c>
      <c r="D38" s="1115">
        <f>+'Inc Stmt'!H57</f>
        <v>28.467172759856648</v>
      </c>
      <c r="E38" s="1115">
        <f>+'Inc Stmt'!I57</f>
        <v>23.408849425895212</v>
      </c>
      <c r="F38" s="1115">
        <f>+'Inc Stmt'!J57</f>
        <v>61.41682455726982</v>
      </c>
      <c r="G38" s="1115">
        <f>+'Inc Stmt'!K57</f>
        <v>97.887623821125061</v>
      </c>
      <c r="H38" s="1115">
        <f>+'Inc Stmt'!L57</f>
        <v>103.81452592627866</v>
      </c>
      <c r="I38" s="1115">
        <f>+'Inc Stmt'!M57</f>
        <v>99.173948710533836</v>
      </c>
      <c r="J38" s="1115">
        <f>+'Inc Stmt'!N57</f>
        <v>113.16116812482633</v>
      </c>
      <c r="K38" s="1115">
        <f>+'Inc Stmt'!O57</f>
        <v>106.45128114461697</v>
      </c>
      <c r="L38" s="1115">
        <f>+'Inc Stmt'!P57</f>
        <v>135.80227629257823</v>
      </c>
      <c r="M38" s="1115">
        <f>+'Inc Stmt'!Q57</f>
        <v>132.27353967290395</v>
      </c>
      <c r="N38" s="1115">
        <f>+'Inc Stmt'!R57</f>
        <v>0</v>
      </c>
      <c r="O38" s="1115">
        <f>+'Inc Stmt'!S57</f>
        <v>0</v>
      </c>
      <c r="P38" s="1115">
        <f>+'Inc Stmt'!T57</f>
        <v>0</v>
      </c>
      <c r="Q38" s="1138" t="s">
        <v>419</v>
      </c>
      <c r="R38" s="1139">
        <f t="shared" ref="R38:Y38" si="17">+R37+R36</f>
        <v>16235.7351</v>
      </c>
      <c r="S38" s="1139">
        <f t="shared" si="17"/>
        <v>18127.935100000002</v>
      </c>
      <c r="T38" s="1139">
        <f t="shared" si="17"/>
        <v>29283.535100000001</v>
      </c>
      <c r="U38" s="1139">
        <f t="shared" si="17"/>
        <v>49102.1702</v>
      </c>
      <c r="V38" s="1139">
        <f t="shared" si="17"/>
        <v>60410.6702</v>
      </c>
      <c r="W38" s="1139">
        <f t="shared" si="17"/>
        <v>79019.470200000011</v>
      </c>
      <c r="X38" s="1139">
        <f t="shared" si="17"/>
        <v>96080.170199999993</v>
      </c>
      <c r="Y38" s="1139">
        <f t="shared" si="17"/>
        <v>106921.50000000001</v>
      </c>
      <c r="Z38" s="1139">
        <f>+Z37+Z36</f>
        <v>122916.57019999999</v>
      </c>
      <c r="AA38" s="1139">
        <f>+AA37+AA36</f>
        <v>139185.80832899996</v>
      </c>
      <c r="AB38" s="1139">
        <f>+AB37+AB36</f>
        <v>157780.23231316629</v>
      </c>
      <c r="AC38" s="1139">
        <f t="shared" ref="AC38:AD38" si="18">+AC37+AC36</f>
        <v>183335.24252160639</v>
      </c>
      <c r="AD38" s="1139">
        <f t="shared" si="18"/>
        <v>237960.99959641931</v>
      </c>
    </row>
    <row r="39" spans="1:30" s="1106" customFormat="1" ht="10.5" customHeight="1">
      <c r="A39" s="1140" t="s">
        <v>406</v>
      </c>
      <c r="B39" s="1139" t="s">
        <v>679</v>
      </c>
      <c r="C39" s="1139" t="s">
        <v>679</v>
      </c>
      <c r="D39" s="1139" t="s">
        <v>679</v>
      </c>
      <c r="E39" s="1141">
        <f t="shared" ref="E39:K39" si="19">+(E38/D38-1)*100</f>
        <v>-17.768969811763313</v>
      </c>
      <c r="F39" s="1141">
        <f t="shared" si="19"/>
        <v>162.36584054118279</v>
      </c>
      <c r="G39" s="1141">
        <f t="shared" si="19"/>
        <v>59.382424159437022</v>
      </c>
      <c r="H39" s="1141">
        <f t="shared" si="19"/>
        <v>6.0548023067595658</v>
      </c>
      <c r="I39" s="1141">
        <f t="shared" si="19"/>
        <v>-4.4700654116941347</v>
      </c>
      <c r="J39" s="1141">
        <f t="shared" si="19"/>
        <v>14.103723403328438</v>
      </c>
      <c r="K39" s="1141">
        <f t="shared" si="19"/>
        <v>-5.929496037728943</v>
      </c>
      <c r="L39" s="1141">
        <f>+(L38/K38-1)*100</f>
        <v>27.572232886598268</v>
      </c>
      <c r="M39" s="1141">
        <f>+(M38/L38-1)*100</f>
        <v>-2.5984370188845807</v>
      </c>
      <c r="N39" s="1141">
        <f>+(N38/M38-1)*100</f>
        <v>-100</v>
      </c>
      <c r="O39" s="1141" t="e">
        <f t="shared" ref="O39:P39" si="20">+(O38/N38-1)*100</f>
        <v>#DIV/0!</v>
      </c>
      <c r="P39" s="1141" t="e">
        <f t="shared" si="20"/>
        <v>#DIV/0!</v>
      </c>
      <c r="Q39" s="1143" t="s">
        <v>420</v>
      </c>
      <c r="R39" s="1144">
        <f t="shared" ref="R39:Y39" si="21">+R38+SUM(R31:R35)</f>
        <v>48542.035099999994</v>
      </c>
      <c r="S39" s="1144">
        <f t="shared" si="21"/>
        <v>58662.535100000001</v>
      </c>
      <c r="T39" s="1144">
        <f t="shared" si="21"/>
        <v>85418.835099999997</v>
      </c>
      <c r="U39" s="1144">
        <f t="shared" si="21"/>
        <v>91906.470200000011</v>
      </c>
      <c r="V39" s="1144">
        <f t="shared" si="21"/>
        <v>110326.2702</v>
      </c>
      <c r="W39" s="1144">
        <f t="shared" si="21"/>
        <v>123635.17020000001</v>
      </c>
      <c r="X39" s="1144">
        <f t="shared" si="21"/>
        <v>146044.17019999999</v>
      </c>
      <c r="Y39" s="1144">
        <f t="shared" si="21"/>
        <v>154207.40000000002</v>
      </c>
      <c r="Z39" s="1144">
        <f>+Z38+SUM(Z31:Z35)</f>
        <v>154845.07019999999</v>
      </c>
      <c r="AA39" s="1144">
        <f>+AA38+SUM(AA31:AA35)</f>
        <v>189588.9400372901</v>
      </c>
      <c r="AB39" s="1144">
        <f>+AB38+SUM(AB31:AB35)</f>
        <v>206087.0158604696</v>
      </c>
      <c r="AC39" s="1144">
        <f t="shared" ref="AC39:AD39" si="22">+AC38+SUM(AC31:AC35)</f>
        <v>232006.14927253098</v>
      </c>
      <c r="AD39" s="1144">
        <f t="shared" si="22"/>
        <v>286916.6571805749</v>
      </c>
    </row>
    <row r="40" spans="1:30" s="1106" customFormat="1" ht="10.5" customHeight="1">
      <c r="A40" s="1138" t="s">
        <v>421</v>
      </c>
      <c r="B40" s="1139" t="s">
        <v>679</v>
      </c>
      <c r="C40" s="1139" t="s">
        <v>679</v>
      </c>
      <c r="D40" s="1115">
        <f>+'Inc Stmt'!H62</f>
        <v>10</v>
      </c>
      <c r="E40" s="1115">
        <f>+'Inc Stmt'!I62</f>
        <v>11</v>
      </c>
      <c r="F40" s="1115">
        <f>+'Inc Stmt'!J62</f>
        <v>19.999860384918779</v>
      </c>
      <c r="G40" s="1115">
        <f>+'Inc Stmt'!K62</f>
        <v>40.00006635172177</v>
      </c>
      <c r="H40" s="1115">
        <f>+'Inc Stmt'!L62</f>
        <v>44.999945052480406</v>
      </c>
      <c r="I40" s="1115">
        <f>+'Inc Stmt'!M62</f>
        <v>45</v>
      </c>
      <c r="J40" s="1115">
        <f>+'Inc Stmt'!N62</f>
        <v>50</v>
      </c>
      <c r="K40" s="1115">
        <f>+'Inc Stmt'!O62</f>
        <v>50</v>
      </c>
      <c r="L40" s="1115">
        <f>+'Inc Stmt'!P62</f>
        <v>55</v>
      </c>
      <c r="M40" s="1115">
        <f>+'Inc Stmt'!Q62</f>
        <v>65</v>
      </c>
      <c r="N40" s="1115">
        <f>+'Inc Stmt'!R62</f>
        <v>75</v>
      </c>
      <c r="O40" s="1115">
        <f>+'Inc Stmt'!S62</f>
        <v>75</v>
      </c>
      <c r="P40" s="1115">
        <f>+'Inc Stmt'!T62</f>
        <v>75</v>
      </c>
      <c r="Q40" s="1138" t="s">
        <v>422</v>
      </c>
      <c r="R40" s="1115">
        <f>+'Ratio Sheet'!H62</f>
        <v>56.107759274018157</v>
      </c>
      <c r="S40" s="1115">
        <f>+'Ratio Sheet'!I62</f>
        <v>62.646859687050728</v>
      </c>
      <c r="T40" s="1115">
        <f>+'Ratio Sheet'!J62</f>
        <v>101.19859236204596</v>
      </c>
      <c r="U40" s="1115">
        <f>+'Ratio Sheet'!K62</f>
        <v>169.6882049654449</v>
      </c>
      <c r="V40" s="1115">
        <f>+'Ratio Sheet'!L62</f>
        <v>208.76833234139812</v>
      </c>
      <c r="W40" s="1115">
        <f>+'Ratio Sheet'!M62</f>
        <v>273.0769740103762</v>
      </c>
      <c r="X40" s="1115">
        <f>+'Ratio Sheet'!N62</f>
        <v>332.0356625298902</v>
      </c>
      <c r="Y40" s="1115">
        <f>+'Ratio Sheet'!O62</f>
        <v>369.50133432621317</v>
      </c>
      <c r="Z40" s="1115">
        <f>+'Ratio Sheet'!P62</f>
        <v>424.77739930417772</v>
      </c>
      <c r="AA40" s="1115">
        <f>+'Ratio Sheet'!Q62</f>
        <v>481.0009389770816</v>
      </c>
      <c r="AB40" s="1115">
        <f>+'Ratio Sheet'!R62</f>
        <v>0</v>
      </c>
      <c r="AC40" s="1115">
        <f>+'Ratio Sheet'!S62</f>
        <v>0</v>
      </c>
      <c r="AD40" s="1115">
        <f>+'Ratio Sheet'!T62</f>
        <v>0</v>
      </c>
    </row>
    <row r="41" spans="1:30" s="1106" customFormat="1" ht="10.5" customHeight="1">
      <c r="A41" s="1116"/>
      <c r="B41" s="1107"/>
      <c r="C41" s="1107"/>
      <c r="D41" s="1107"/>
      <c r="E41" s="1107"/>
      <c r="F41" s="1107"/>
      <c r="G41" s="1107"/>
      <c r="Q41" s="1116"/>
      <c r="R41" s="1107"/>
      <c r="S41" s="1107"/>
      <c r="T41" s="1107"/>
      <c r="U41" s="1107"/>
      <c r="V41" s="1107"/>
      <c r="W41" s="1107"/>
      <c r="X41" s="1107"/>
      <c r="Y41" s="1107"/>
      <c r="Z41" s="1107"/>
      <c r="AA41" s="1107"/>
      <c r="AB41" s="1107"/>
      <c r="AC41" s="1107"/>
      <c r="AD41" s="1107"/>
    </row>
    <row r="42" spans="1:30" s="1106" customFormat="1" ht="10.5" customHeight="1">
      <c r="A42" s="1106" t="s">
        <v>597</v>
      </c>
      <c r="B42" s="1107"/>
      <c r="C42" s="1107"/>
      <c r="D42" s="1107"/>
      <c r="E42" s="1145">
        <f>(S19-S34+SUM('Bal Sheet'!I109:I112))/'Summary Financials'!E37</f>
        <v>-12.323104409065003</v>
      </c>
      <c r="F42" s="1145">
        <f>(T19-T34+SUM('Bal Sheet'!J109:J112))/'Summary Financials'!F37</f>
        <v>68.276267281599672</v>
      </c>
      <c r="G42" s="1145">
        <f>(U19-U34+SUM('Bal Sheet'!K109:K112))/'Summary Financials'!G37</f>
        <v>141.024018563</v>
      </c>
      <c r="H42" s="1145">
        <f>(V19-V34+SUM('Bal Sheet'!L109:L112))/'Summary Financials'!H37</f>
        <v>187.48784847699642</v>
      </c>
      <c r="I42" s="1145">
        <f>(W19-W34+SUM('Bal Sheet'!M109:M112))/'Summary Financials'!I37</f>
        <v>201.84055529203016</v>
      </c>
      <c r="J42" s="1145">
        <f>(X19-X34+SUM('Bal Sheet'!N109:N112))/'Summary Financials'!J37</f>
        <v>275.36552023102007</v>
      </c>
      <c r="K42" s="1145">
        <f>(Y19-Y34+SUM('Bal Sheet'!O109:O112))/'Summary Financials'!K37</f>
        <v>297.4921606477476</v>
      </c>
      <c r="L42" s="1145">
        <f>(Z19-Z34+SUM('Bal Sheet'!P109:P112))/'Summary Financials'!L37</f>
        <v>317.60703068373164</v>
      </c>
      <c r="M42" s="1145">
        <f>(AA19-AA34+SUM('Bal Sheet'!Q109:Q112))/'Summary Financials'!M37</f>
        <v>445.37659655278497</v>
      </c>
      <c r="N42" s="1145">
        <f>(AB19-AB34+SUM('Bal Sheet'!R109:R112))/'Summary Financials'!N37</f>
        <v>513.78280772978212</v>
      </c>
      <c r="O42" s="1145">
        <f>(AC19-AC34+SUM('Bal Sheet'!S109:S112))/'Summary Financials'!O37</f>
        <v>583.75622764473985</v>
      </c>
      <c r="P42" s="1145">
        <f>(AD19-AD34+SUM('Bal Sheet'!T109:T112))/'Summary Financials'!P37</f>
        <v>664.01416443380447</v>
      </c>
      <c r="Q42" s="1146" t="s">
        <v>432</v>
      </c>
      <c r="R42" s="1147"/>
      <c r="S42" s="1147">
        <f t="shared" ref="S42:AB42" si="23">+IF(ROUND(S19-E60,0)&lt;&gt;0,"Error",0)</f>
        <v>0</v>
      </c>
      <c r="T42" s="1147">
        <f t="shared" si="23"/>
        <v>0</v>
      </c>
      <c r="U42" s="1147">
        <f t="shared" si="23"/>
        <v>0</v>
      </c>
      <c r="V42" s="1147">
        <f t="shared" si="23"/>
        <v>0</v>
      </c>
      <c r="W42" s="1147">
        <f t="shared" si="23"/>
        <v>0</v>
      </c>
      <c r="X42" s="1147">
        <f t="shared" si="23"/>
        <v>0</v>
      </c>
      <c r="Y42" s="1147">
        <f t="shared" si="23"/>
        <v>0</v>
      </c>
      <c r="Z42" s="1147">
        <f t="shared" si="23"/>
        <v>0</v>
      </c>
      <c r="AA42" s="1147">
        <f t="shared" si="23"/>
        <v>0</v>
      </c>
      <c r="AB42" s="1147" t="str">
        <f t="shared" si="23"/>
        <v>Error</v>
      </c>
      <c r="AC42" s="1147" t="str">
        <f t="shared" ref="AC42:AD42" si="24">+IF(ROUND(AC19-O60,0)&lt;&gt;0,"Error",0)</f>
        <v>Error</v>
      </c>
      <c r="AD42" s="1147" t="str">
        <f t="shared" si="24"/>
        <v>Error</v>
      </c>
    </row>
    <row r="43" spans="1:30" s="1106" customFormat="1" ht="10.5" customHeight="1">
      <c r="A43" s="1106" t="s">
        <v>598</v>
      </c>
      <c r="B43" s="1107"/>
      <c r="C43" s="1107"/>
      <c r="D43" s="1107"/>
      <c r="E43" s="1107">
        <f t="shared" ref="E43:K43" si="25">E47/E37</f>
        <v>23.103876868898219</v>
      </c>
      <c r="F43" s="1107">
        <f t="shared" si="25"/>
        <v>62.474293027588246</v>
      </c>
      <c r="G43" s="1107">
        <f t="shared" si="25"/>
        <v>119.660146481102</v>
      </c>
      <c r="H43" s="1107">
        <f t="shared" si="25"/>
        <v>114.82200010215398</v>
      </c>
      <c r="I43" s="1107">
        <f t="shared" si="25"/>
        <v>78.078697427232839</v>
      </c>
      <c r="J43" s="1107">
        <f t="shared" si="25"/>
        <v>98.687473092130489</v>
      </c>
      <c r="K43" s="1107">
        <f t="shared" si="25"/>
        <v>99.846554731772869</v>
      </c>
      <c r="L43" s="1107">
        <f>L47/L37</f>
        <v>109.31584394102684</v>
      </c>
      <c r="M43" s="1107">
        <f>M47/M37</f>
        <v>100.66385588793085</v>
      </c>
      <c r="N43" s="1107">
        <f>N47/N37</f>
        <v>117.50158393712698</v>
      </c>
      <c r="O43" s="1107">
        <f t="shared" ref="O43:P43" si="26">O47/O37</f>
        <v>136.99179569060806</v>
      </c>
      <c r="P43" s="1107">
        <f t="shared" si="26"/>
        <v>153.4907369257663</v>
      </c>
      <c r="Q43" s="1146" t="s">
        <v>433</v>
      </c>
      <c r="R43" s="1147">
        <f t="shared" ref="R43:Y43" si="27">+IF(ROUND(R30-R39,0)&lt;&gt;0,"Error",0)</f>
        <v>0</v>
      </c>
      <c r="S43" s="1147">
        <f t="shared" si="27"/>
        <v>0</v>
      </c>
      <c r="T43" s="1147">
        <f t="shared" si="27"/>
        <v>0</v>
      </c>
      <c r="U43" s="1147">
        <f t="shared" si="27"/>
        <v>0</v>
      </c>
      <c r="V43" s="1147">
        <f t="shared" si="27"/>
        <v>0</v>
      </c>
      <c r="W43" s="1147">
        <f t="shared" si="27"/>
        <v>0</v>
      </c>
      <c r="X43" s="1147">
        <f t="shared" si="27"/>
        <v>0</v>
      </c>
      <c r="Y43" s="1147">
        <f t="shared" si="27"/>
        <v>0</v>
      </c>
      <c r="Z43" s="1147">
        <f>+IF(ROUND(Z30-Z39,0)&lt;&gt;0,"Error",0)</f>
        <v>0</v>
      </c>
      <c r="AA43" s="1147">
        <f>+IF(ROUND(AA30-AA39,0)&lt;&gt;0,"Error",0)</f>
        <v>0</v>
      </c>
      <c r="AB43" s="1147" t="str">
        <f>+IF(ROUND(AB30-AB39,0)&lt;&gt;0,"Error",0)</f>
        <v>Error</v>
      </c>
      <c r="AC43" s="1147" t="str">
        <f t="shared" ref="AC43:AD43" si="28">+IF(ROUND(AC30-AC39,0)&lt;&gt;0,"Error",0)</f>
        <v>Error</v>
      </c>
      <c r="AD43" s="1147" t="str">
        <f t="shared" si="28"/>
        <v>Error</v>
      </c>
    </row>
    <row r="44" spans="1:30" s="1106" customFormat="1" ht="10.5" customHeight="1">
      <c r="B44" s="1107"/>
      <c r="C44" s="1107"/>
      <c r="D44" s="1107"/>
      <c r="E44" s="1107"/>
      <c r="F44" s="1107"/>
      <c r="G44" s="1107"/>
      <c r="R44" s="1107"/>
      <c r="S44" s="1107"/>
      <c r="T44" s="1107"/>
    </row>
    <row r="45" spans="1:30" s="1134" customFormat="1" ht="10.5" customHeight="1">
      <c r="A45" s="1132" t="s">
        <v>434</v>
      </c>
      <c r="B45" s="1133"/>
      <c r="C45" s="1133"/>
      <c r="D45" s="1133"/>
      <c r="E45" s="1133"/>
      <c r="F45" s="1133"/>
      <c r="G45" s="1133"/>
      <c r="Q45" s="1132" t="s">
        <v>435</v>
      </c>
      <c r="R45" s="1133"/>
      <c r="S45" s="1133"/>
      <c r="T45" s="1133"/>
    </row>
    <row r="46" spans="1:30" s="1134" customFormat="1" ht="10.5" customHeight="1">
      <c r="A46" s="1136" t="s">
        <v>520</v>
      </c>
      <c r="B46" s="1137" t="str">
        <f t="shared" ref="B46:K46" si="29">+B18</f>
        <v>FY06</v>
      </c>
      <c r="C46" s="1137" t="str">
        <f t="shared" si="29"/>
        <v>FY07</v>
      </c>
      <c r="D46" s="1137" t="str">
        <f t="shared" si="29"/>
        <v>FY08</v>
      </c>
      <c r="E46" s="1137" t="str">
        <f t="shared" si="29"/>
        <v>FY09</v>
      </c>
      <c r="F46" s="1137" t="str">
        <f t="shared" si="29"/>
        <v>FY10</v>
      </c>
      <c r="G46" s="1137" t="str">
        <f t="shared" si="29"/>
        <v>FY11</v>
      </c>
      <c r="H46" s="1137" t="str">
        <f t="shared" si="29"/>
        <v>FY12</v>
      </c>
      <c r="I46" s="1137" t="str">
        <f t="shared" si="29"/>
        <v>FY13</v>
      </c>
      <c r="J46" s="1137" t="str">
        <f t="shared" si="29"/>
        <v>FY14</v>
      </c>
      <c r="K46" s="1137" t="str">
        <f t="shared" si="29"/>
        <v>FY15</v>
      </c>
      <c r="L46" s="1137" t="str">
        <f>+L18</f>
        <v>FY16</v>
      </c>
      <c r="M46" s="1137" t="str">
        <f>+M18</f>
        <v>FY17E</v>
      </c>
      <c r="N46" s="1137" t="str">
        <f>+N18</f>
        <v>FY18E</v>
      </c>
      <c r="O46" s="1137" t="str">
        <f t="shared" ref="O46:P46" si="30">+O18</f>
        <v>FY19E</v>
      </c>
      <c r="P46" s="1137" t="str">
        <f t="shared" si="30"/>
        <v>FY20E</v>
      </c>
      <c r="Q46" s="1136" t="s">
        <v>454</v>
      </c>
      <c r="R46" s="1148" t="str">
        <f t="shared" ref="R46:AB46" si="31">+D46</f>
        <v>FY08</v>
      </c>
      <c r="S46" s="1148" t="str">
        <f t="shared" si="31"/>
        <v>FY09</v>
      </c>
      <c r="T46" s="1148" t="str">
        <f t="shared" si="31"/>
        <v>FY10</v>
      </c>
      <c r="U46" s="1148" t="str">
        <f t="shared" si="31"/>
        <v>FY11</v>
      </c>
      <c r="V46" s="1148" t="str">
        <f t="shared" si="31"/>
        <v>FY12</v>
      </c>
      <c r="W46" s="1148" t="str">
        <f t="shared" si="31"/>
        <v>FY13</v>
      </c>
      <c r="X46" s="1148" t="str">
        <f t="shared" si="31"/>
        <v>FY14</v>
      </c>
      <c r="Y46" s="1148" t="str">
        <f t="shared" si="31"/>
        <v>FY15</v>
      </c>
      <c r="Z46" s="1148" t="str">
        <f t="shared" si="31"/>
        <v>FY16</v>
      </c>
      <c r="AA46" s="1148" t="str">
        <f t="shared" si="31"/>
        <v>FY17E</v>
      </c>
      <c r="AB46" s="1148" t="str">
        <f t="shared" si="31"/>
        <v>FY18E</v>
      </c>
      <c r="AC46" s="1148" t="str">
        <f t="shared" ref="AC46:AD46" si="32">+O46</f>
        <v>FY19E</v>
      </c>
      <c r="AD46" s="1148" t="str">
        <f t="shared" si="32"/>
        <v>FY20E</v>
      </c>
    </row>
    <row r="47" spans="1:30" s="1106" customFormat="1" ht="10.5" customHeight="1">
      <c r="A47" s="1138" t="s">
        <v>2520</v>
      </c>
      <c r="B47" s="1139" t="s">
        <v>679</v>
      </c>
      <c r="C47" s="1139" t="s">
        <v>679</v>
      </c>
      <c r="D47" s="1139" t="s">
        <v>679</v>
      </c>
      <c r="E47" s="1139">
        <f>+Cashflow!I63+Cashflow!I64+Cashflow!I65</f>
        <v>6685.5000000000091</v>
      </c>
      <c r="F47" s="1139">
        <f>+Cashflow!J63+Cashflow!J64+Cashflow!J65</f>
        <v>18077.999999999989</v>
      </c>
      <c r="G47" s="1139">
        <f>+Cashflow!K63+Cashflow!K64+Cashflow!K65</f>
        <v>34625.699999999975</v>
      </c>
      <c r="H47" s="1139">
        <f>+Cashflow!L63+Cashflow!L64+Cashflow!L65</f>
        <v>33225.699999999997</v>
      </c>
      <c r="I47" s="1139">
        <f>+Cashflow!M63+Cashflow!M64+Cashflow!M65</f>
        <v>22593.400000000034</v>
      </c>
      <c r="J47" s="1139">
        <f>+Cashflow!N63+Cashflow!N64+Cashflow!N65</f>
        <v>28556.899999999987</v>
      </c>
      <c r="K47" s="1139">
        <f>+Cashflow!O63+Cashflow!O64+Cashflow!O65</f>
        <v>28892.300000000017</v>
      </c>
      <c r="L47" s="1139">
        <f>+Cashflow!P63+Cashflow!P64+Cashflow!P65</f>
        <v>31632.399999999994</v>
      </c>
      <c r="M47" s="1139">
        <f>+Cashflow!Q63+Cashflow!Q64+Cashflow!Q65</f>
        <v>29128.800000000007</v>
      </c>
      <c r="N47" s="1139">
        <f>+Cashflow!R63+Cashflow!R64+Cashflow!R65</f>
        <v>34001.083189166304</v>
      </c>
      <c r="O47" s="1139">
        <f>+Cashflow!S63+Cashflow!S64+Cashflow!S65</f>
        <v>39640.907683440098</v>
      </c>
      <c r="P47" s="1139">
        <f>+Cashflow!T63+Cashflow!T64+Cashflow!T65</f>
        <v>44415.157141812961</v>
      </c>
      <c r="Q47" s="1149" t="s">
        <v>467</v>
      </c>
      <c r="R47" s="1150"/>
      <c r="S47" s="1150"/>
      <c r="T47" s="1150"/>
      <c r="U47" s="1150"/>
      <c r="V47" s="1150"/>
      <c r="W47" s="1150"/>
      <c r="X47" s="1150"/>
      <c r="Y47" s="1150"/>
      <c r="Z47" s="1150"/>
      <c r="AA47" s="1150"/>
      <c r="AB47" s="1150"/>
      <c r="AC47" s="1150"/>
      <c r="AD47" s="1150"/>
    </row>
    <row r="48" spans="1:30" s="1106" customFormat="1" ht="10.5" customHeight="1">
      <c r="A48" s="1138" t="s">
        <v>460</v>
      </c>
      <c r="B48" s="1139" t="s">
        <v>679</v>
      </c>
      <c r="C48" s="1139" t="s">
        <v>679</v>
      </c>
      <c r="D48" s="1139" t="s">
        <v>679</v>
      </c>
      <c r="E48" s="1139">
        <f>+Cashflow!I67</f>
        <v>-697.50000000000909</v>
      </c>
      <c r="F48" s="1139">
        <f>+Cashflow!J67</f>
        <v>1151.3000000000065</v>
      </c>
      <c r="G48" s="1139">
        <f>+Cashflow!K67</f>
        <v>-6817.8999999999651</v>
      </c>
      <c r="H48" s="1139">
        <f>+Cashflow!L67</f>
        <v>-1591.4000000000015</v>
      </c>
      <c r="I48" s="1139">
        <f>+Cashflow!M67</f>
        <v>5.4</v>
      </c>
      <c r="J48" s="1139">
        <f>+Cashflow!N67</f>
        <v>5.4</v>
      </c>
      <c r="K48" s="1139">
        <f>+Cashflow!O67</f>
        <v>64.900000000000006</v>
      </c>
      <c r="L48" s="1139">
        <f>+Cashflow!P67</f>
        <v>10.5</v>
      </c>
      <c r="M48" s="1139">
        <f>+Cashflow!Q67</f>
        <v>14</v>
      </c>
      <c r="N48" s="1139">
        <f>+Cashflow!R67</f>
        <v>10</v>
      </c>
      <c r="O48" s="1139">
        <f>+Cashflow!S67</f>
        <v>10</v>
      </c>
      <c r="P48" s="1139">
        <f>+Cashflow!T67</f>
        <v>10</v>
      </c>
      <c r="Q48" s="1138" t="s">
        <v>436</v>
      </c>
      <c r="R48" s="1107">
        <f>(+'Ratio Sheet'!H69)*100</f>
        <v>13.634987440320737</v>
      </c>
      <c r="S48" s="1107">
        <f>(+'Ratio Sheet'!I69)*100</f>
        <v>12.754784277823356</v>
      </c>
      <c r="T48" s="1107">
        <f>(+'Ratio Sheet'!J69)*100</f>
        <v>21.520686965936893</v>
      </c>
      <c r="U48" s="1107">
        <f>(+'Ratio Sheet'!K69)*100</f>
        <v>19.357089149255732</v>
      </c>
      <c r="V48" s="1107">
        <f>(+'Ratio Sheet'!L69)*100</f>
        <v>19.048562700151262</v>
      </c>
      <c r="W48" s="1107">
        <f>(+'Ratio Sheet'!M69)*100</f>
        <v>18.192751503331717</v>
      </c>
      <c r="X48" s="1107">
        <f>(+'Ratio Sheet'!N69)*100</f>
        <v>21.074110487054021</v>
      </c>
      <c r="Y48" s="1107">
        <f>(+'Ratio Sheet'!O69)*100</f>
        <v>19.279881880491452</v>
      </c>
      <c r="Z48" s="1107">
        <f>(+'Ratio Sheet'!P69)*100</f>
        <v>21.171654597521002</v>
      </c>
      <c r="AA48" s="1107">
        <f>(+'Ratio Sheet'!Q69)*100</f>
        <v>20.317062592917239</v>
      </c>
      <c r="AB48" s="1107">
        <f>(+'Ratio Sheet'!R69)*100</f>
        <v>0</v>
      </c>
      <c r="AC48" s="1107">
        <f>(+'Ratio Sheet'!S69)*100</f>
        <v>0</v>
      </c>
      <c r="AD48" s="1107">
        <f>(+'Ratio Sheet'!T69)*100</f>
        <v>0</v>
      </c>
    </row>
    <row r="49" spans="1:30" s="1106" customFormat="1" ht="10.5" customHeight="1">
      <c r="A49" s="1138" t="s">
        <v>438</v>
      </c>
      <c r="B49" s="1139" t="s">
        <v>679</v>
      </c>
      <c r="C49" s="1139" t="s">
        <v>679</v>
      </c>
      <c r="D49" s="1139" t="s">
        <v>679</v>
      </c>
      <c r="E49" s="1139">
        <f>+Cashflow!I66</f>
        <v>-2161.9</v>
      </c>
      <c r="F49" s="1139">
        <f>+Cashflow!J66</f>
        <v>8679.0999999999985</v>
      </c>
      <c r="G49" s="1139">
        <f>+Cashflow!K66</f>
        <v>-4029.4000000000005</v>
      </c>
      <c r="H49" s="1139">
        <f>+Cashflow!L66</f>
        <v>988.69999999999982</v>
      </c>
      <c r="I49" s="1139">
        <f>+Cashflow!M66</f>
        <v>-8074.1000000000058</v>
      </c>
      <c r="J49" s="1139">
        <f>+Cashflow!N66</f>
        <v>4153.9000000000042</v>
      </c>
      <c r="K49" s="1139">
        <f>+Cashflow!O66</f>
        <v>-4217.3799999999956</v>
      </c>
      <c r="L49" s="1139">
        <f>+Cashflow!P66</f>
        <v>-11117.420000000006</v>
      </c>
      <c r="M49" s="1139">
        <f>+Cashflow!Q66</f>
        <v>20630.160393221649</v>
      </c>
      <c r="N49" s="1139">
        <f>+Cashflow!R66</f>
        <v>-5069.3213769851645</v>
      </c>
      <c r="O49" s="1139">
        <f>+Cashflow!S66</f>
        <v>-4720.6852916780899</v>
      </c>
      <c r="P49" s="1139">
        <f>+Cashflow!T66</f>
        <v>-5733.9128064886536</v>
      </c>
      <c r="Q49" s="1138" t="s">
        <v>522</v>
      </c>
      <c r="R49" s="1107">
        <f>(+'Ratio Sheet'!H70)*100</f>
        <v>11.698523336604955</v>
      </c>
      <c r="S49" s="1107">
        <f>(+'Ratio Sheet'!I70)*100</f>
        <v>11.272959939011741</v>
      </c>
      <c r="T49" s="1107">
        <f>(+'Ratio Sheet'!J70)*100</f>
        <v>20.372743127269903</v>
      </c>
      <c r="U49" s="1107">
        <f>(+'Ratio Sheet'!K70)*100</f>
        <v>18.607983910458621</v>
      </c>
      <c r="V49" s="1107">
        <f>(+'Ratio Sheet'!L70)*100</f>
        <v>18.302901636439795</v>
      </c>
      <c r="W49" s="1107">
        <f>(+'Ratio Sheet'!M70)*100</f>
        <v>17.358786833189573</v>
      </c>
      <c r="X49" s="1107">
        <f>(+'Ratio Sheet'!N70)*100</f>
        <v>20.182724046391197</v>
      </c>
      <c r="Y49" s="1107">
        <f>(+'Ratio Sheet'!O70)*100</f>
        <v>18.042606865349413</v>
      </c>
      <c r="Z49" s="1107">
        <f>(+'Ratio Sheet'!P70)*100</f>
        <v>19.81172841145958</v>
      </c>
      <c r="AA49" s="1107">
        <f>(+'Ratio Sheet'!Q70)*100</f>
        <v>18.905317669024392</v>
      </c>
      <c r="AB49" s="1107">
        <f>(+'Ratio Sheet'!R70)*100</f>
        <v>0</v>
      </c>
      <c r="AC49" s="1107">
        <f>(+'Ratio Sheet'!S70)*100</f>
        <v>0</v>
      </c>
      <c r="AD49" s="1107">
        <f>(+'Ratio Sheet'!T70)*100</f>
        <v>0</v>
      </c>
    </row>
    <row r="50" spans="1:30" s="1106" customFormat="1" ht="10.5" customHeight="1">
      <c r="A50" s="1143" t="s">
        <v>143</v>
      </c>
      <c r="B50" s="1144" t="s">
        <v>679</v>
      </c>
      <c r="C50" s="1144" t="s">
        <v>679</v>
      </c>
      <c r="D50" s="1144" t="s">
        <v>679</v>
      </c>
      <c r="E50" s="1144">
        <f>+Cashflow!I68</f>
        <v>3826.1000000000004</v>
      </c>
      <c r="F50" s="1144">
        <f>+Cashflow!J68</f>
        <v>27908.399999999994</v>
      </c>
      <c r="G50" s="1144">
        <f>+Cashflow!K68</f>
        <v>23778.400000000009</v>
      </c>
      <c r="H50" s="1144">
        <f>+Cashflow!L68</f>
        <v>32622.999999999993</v>
      </c>
      <c r="I50" s="1144">
        <f>+Cashflow!M68</f>
        <v>14524.700000000028</v>
      </c>
      <c r="J50" s="1144">
        <f>+Cashflow!N68</f>
        <v>32716.199999999993</v>
      </c>
      <c r="K50" s="1144">
        <f>+Cashflow!O68</f>
        <v>24739.820000000022</v>
      </c>
      <c r="L50" s="1144">
        <f>+Cashflow!P68</f>
        <v>20525.479999999989</v>
      </c>
      <c r="M50" s="1144">
        <f>+Cashflow!Q68</f>
        <v>49772.960393221656</v>
      </c>
      <c r="N50" s="1144">
        <f>+Cashflow!R68</f>
        <v>28941.761812181139</v>
      </c>
      <c r="O50" s="1144">
        <f>+Cashflow!S68</f>
        <v>34930.222391762007</v>
      </c>
      <c r="P50" s="1144">
        <f>+Cashflow!T68</f>
        <v>38691.244335324307</v>
      </c>
      <c r="Q50" s="1138" t="s">
        <v>437</v>
      </c>
      <c r="R50" s="1107">
        <f>(+'Ratio Sheet'!H72)*100</f>
        <v>8.8082347135117818</v>
      </c>
      <c r="S50" s="1107">
        <f>(+'Ratio Sheet'!I72)*100</f>
        <v>7.6845093654883181</v>
      </c>
      <c r="T50" s="1107">
        <f>(+'Ratio Sheet'!J72)*100</f>
        <v>14.951456151405749</v>
      </c>
      <c r="U50" s="1107">
        <f>(+'Ratio Sheet'!K72)*100</f>
        <v>17.273480125598908</v>
      </c>
      <c r="V50" s="1107">
        <f>(+'Ratio Sheet'!L72)*100</f>
        <v>15.382523818448277</v>
      </c>
      <c r="W50" s="1107">
        <f>(+'Ratio Sheet'!M72)*100</f>
        <v>14.350808236132478</v>
      </c>
      <c r="X50" s="1107">
        <f>(+'Ratio Sheet'!N72)*100</f>
        <v>16.251070125278474</v>
      </c>
      <c r="Y50" s="1107">
        <f>(+'Ratio Sheet'!O72)*100</f>
        <v>14.252950095803216</v>
      </c>
      <c r="Z50" s="1107">
        <f>(+'Ratio Sheet'!P72)*100</f>
        <v>17.398297745735071</v>
      </c>
      <c r="AA50" s="1107">
        <f>(+'Ratio Sheet'!Q72)*100</f>
        <v>17.584491525579455</v>
      </c>
      <c r="AB50" s="1107">
        <f>(+'Ratio Sheet'!R72)*100</f>
        <v>0</v>
      </c>
      <c r="AC50" s="1107">
        <f>(+'Ratio Sheet'!S72)*100</f>
        <v>0</v>
      </c>
      <c r="AD50" s="1107">
        <f>(+'Ratio Sheet'!T72)*100</f>
        <v>0</v>
      </c>
    </row>
    <row r="51" spans="1:30" s="1106" customFormat="1" ht="10.5" customHeight="1">
      <c r="A51" s="1138" t="s">
        <v>211</v>
      </c>
      <c r="B51" s="1139" t="s">
        <v>679</v>
      </c>
      <c r="C51" s="1139" t="s">
        <v>679</v>
      </c>
      <c r="D51" s="1139" t="s">
        <v>679</v>
      </c>
      <c r="E51" s="1139">
        <f>+Cashflow!I70</f>
        <v>-3862.9</v>
      </c>
      <c r="F51" s="1139">
        <f>+Cashflow!J70</f>
        <v>-1078.2</v>
      </c>
      <c r="G51" s="1139">
        <f>+Cashflow!K70</f>
        <v>-1614.1999999999998</v>
      </c>
      <c r="H51" s="1139">
        <f>+Cashflow!L70</f>
        <v>-860.09999999999991</v>
      </c>
      <c r="I51" s="1139">
        <f>+Cashflow!M70</f>
        <v>-7413.7</v>
      </c>
      <c r="J51" s="1139">
        <f>+Cashflow!N70</f>
        <v>-2317.300000000002</v>
      </c>
      <c r="K51" s="1139">
        <f>+Cashflow!O70</f>
        <v>-2894.7999999999979</v>
      </c>
      <c r="L51" s="1139">
        <f>+Cashflow!P70</f>
        <v>-2128.9000000000015</v>
      </c>
      <c r="M51" s="1139">
        <f>+Cashflow!Q70</f>
        <v>-2999.9999999999973</v>
      </c>
      <c r="N51" s="1139">
        <f>+Cashflow!R70</f>
        <v>-4000</v>
      </c>
      <c r="O51" s="1139">
        <f>+Cashflow!S70</f>
        <v>-3999.9999999999964</v>
      </c>
      <c r="P51" s="1139">
        <f>+Cashflow!T70</f>
        <v>-3999.9999999999959</v>
      </c>
      <c r="Q51" s="1138" t="s">
        <v>446</v>
      </c>
      <c r="R51" s="1139" t="s">
        <v>679</v>
      </c>
      <c r="S51" s="1107">
        <f>(+'Ratio Sheet'!I85)*100</f>
        <v>39.423897159855805</v>
      </c>
      <c r="T51" s="1107">
        <f>(+'Ratio Sheet'!J85)*100</f>
        <v>74.969214939046495</v>
      </c>
      <c r="U51" s="1107">
        <f>(+'Ratio Sheet'!K85)*100</f>
        <v>72.271978396040467</v>
      </c>
      <c r="V51" s="1107">
        <f>(+'Ratio Sheet'!L85)*100</f>
        <v>54.862059810111539</v>
      </c>
      <c r="W51" s="1107">
        <f>(+'Ratio Sheet'!M85)*100</f>
        <v>41.164227358118644</v>
      </c>
      <c r="X51" s="1107">
        <f>(+'Ratio Sheet'!N85)*100</f>
        <v>37.401687319513179</v>
      </c>
      <c r="Y51" s="1107">
        <f>(+'Ratio Sheet'!O85)*100</f>
        <v>30.348016318931752</v>
      </c>
      <c r="Z51" s="1107">
        <f>(+'Ratio Sheet'!P85)*100</f>
        <v>34.195118298552444</v>
      </c>
      <c r="AA51" s="1107">
        <f>(+'Ratio Sheet'!Q85)*100</f>
        <v>29.206602561040889</v>
      </c>
      <c r="AB51" s="1107">
        <f>(+'Ratio Sheet'!R85)*100</f>
        <v>0</v>
      </c>
      <c r="AC51" s="1107">
        <f>(+'Ratio Sheet'!S85)*100</f>
        <v>0</v>
      </c>
      <c r="AD51" s="1107">
        <f>(+'Ratio Sheet'!T85)*100</f>
        <v>0</v>
      </c>
    </row>
    <row r="52" spans="1:30" s="1106" customFormat="1" ht="10.5" customHeight="1">
      <c r="A52" s="1138" t="s">
        <v>212</v>
      </c>
      <c r="B52" s="1139" t="s">
        <v>679</v>
      </c>
      <c r="C52" s="1139" t="s">
        <v>679</v>
      </c>
      <c r="D52" s="1139" t="s">
        <v>679</v>
      </c>
      <c r="E52" s="1139">
        <f>+Cashflow!I71</f>
        <v>1272</v>
      </c>
      <c r="F52" s="1139">
        <f>+Cashflow!J71</f>
        <v>-21510.100000000002</v>
      </c>
      <c r="G52" s="1139">
        <f>+Cashflow!K71</f>
        <v>-8918.6</v>
      </c>
      <c r="H52" s="1139">
        <f>+Cashflow!L71</f>
        <v>-6556.7000000000007</v>
      </c>
      <c r="I52" s="1139">
        <f>+Cashflow!M71</f>
        <v>-15476.5</v>
      </c>
      <c r="J52" s="1139">
        <f>+Cashflow!N71</f>
        <v>-21283.400000000009</v>
      </c>
      <c r="K52" s="1139">
        <f>+Cashflow!O71</f>
        <v>-6055.6999999999971</v>
      </c>
      <c r="L52" s="1139">
        <f>+Cashflow!P71</f>
        <v>-3482.6000000000058</v>
      </c>
      <c r="M52" s="1139">
        <f>+Cashflow!Q71</f>
        <v>-39999.999999999971</v>
      </c>
      <c r="N52" s="1139">
        <f>+Cashflow!R71</f>
        <v>-20000</v>
      </c>
      <c r="O52" s="1139">
        <f>+Cashflow!S71</f>
        <v>-15000</v>
      </c>
      <c r="P52" s="1139">
        <f>+Cashflow!T71</f>
        <v>0</v>
      </c>
      <c r="Q52" s="1138" t="s">
        <v>448</v>
      </c>
      <c r="R52" s="1139" t="s">
        <v>679</v>
      </c>
      <c r="S52" s="1107">
        <f>(+'Ratio Sheet'!I84)*100</f>
        <v>21.694601553722688</v>
      </c>
      <c r="T52" s="1107">
        <f>(+'Ratio Sheet'!J84)*100</f>
        <v>46.420778613281293</v>
      </c>
      <c r="U52" s="1107">
        <f>(+'Ratio Sheet'!K84)*100</f>
        <v>59.645748317730366</v>
      </c>
      <c r="V52" s="1107">
        <f>(+'Ratio Sheet'!L84)*100</f>
        <v>53.117113481703562</v>
      </c>
      <c r="W52" s="1107">
        <f>(+'Ratio Sheet'!M84)*100</f>
        <v>40.677432370162222</v>
      </c>
      <c r="X52" s="1107">
        <f>(+'Ratio Sheet'!N84)*100</f>
        <v>37.132437837314058</v>
      </c>
      <c r="Y52" s="1107">
        <f>(+'Ratio Sheet'!O84)*100</f>
        <v>30.14049171629447</v>
      </c>
      <c r="Z52" s="1107">
        <f>(+'Ratio Sheet'!P84)*100</f>
        <v>33.7982145747796</v>
      </c>
      <c r="AA52" s="1107">
        <f>(+'Ratio Sheet'!Q84)*100</f>
        <v>28.85649711938381</v>
      </c>
      <c r="AB52" s="1107">
        <f>(+'Ratio Sheet'!R84)*100</f>
        <v>0</v>
      </c>
      <c r="AC52" s="1107">
        <f>(+'Ratio Sheet'!S84)*100</f>
        <v>0</v>
      </c>
      <c r="AD52" s="1107">
        <f>(+'Ratio Sheet'!T84)*100</f>
        <v>0</v>
      </c>
    </row>
    <row r="53" spans="1:30" s="1106" customFormat="1" ht="10.5" customHeight="1">
      <c r="A53" s="1138" t="s">
        <v>151</v>
      </c>
      <c r="B53" s="1139" t="s">
        <v>679</v>
      </c>
      <c r="C53" s="1139" t="s">
        <v>679</v>
      </c>
      <c r="D53" s="1139" t="s">
        <v>679</v>
      </c>
      <c r="E53" s="1139">
        <f>+Cashflow!I72</f>
        <v>102.79999999999998</v>
      </c>
      <c r="F53" s="1139">
        <f>+Cashflow!J72</f>
        <v>355</v>
      </c>
      <c r="G53" s="1139">
        <f>+Cashflow!K72</f>
        <v>-4091.7000000000003</v>
      </c>
      <c r="H53" s="1139">
        <f>+Cashflow!L72</f>
        <v>-284</v>
      </c>
      <c r="I53" s="1139">
        <f>+Cashflow!M72</f>
        <v>5472</v>
      </c>
      <c r="J53" s="1139">
        <f>+Cashflow!N72</f>
        <v>6118.2000000000007</v>
      </c>
      <c r="K53" s="1139">
        <f>+Cashflow!O72</f>
        <v>5727.7999999999993</v>
      </c>
      <c r="L53" s="1139">
        <f>+Cashflow!P72</f>
        <v>10735.9</v>
      </c>
      <c r="M53" s="1139">
        <f>+Cashflow!Q72</f>
        <v>12219.7</v>
      </c>
      <c r="N53" s="1139">
        <f>+Cashflow!R72</f>
        <v>13359.569299999997</v>
      </c>
      <c r="O53" s="1139">
        <f>+Cashflow!S72</f>
        <v>14956.331029999998</v>
      </c>
      <c r="P53" s="1139">
        <f>+Cashflow!T72</f>
        <v>14193.774933000001</v>
      </c>
      <c r="Q53" s="1149" t="s">
        <v>466</v>
      </c>
      <c r="R53" s="1150"/>
      <c r="S53" s="1150"/>
      <c r="T53" s="1150"/>
      <c r="U53" s="1150"/>
      <c r="V53" s="1150"/>
      <c r="W53" s="1150"/>
      <c r="X53" s="1150"/>
      <c r="Y53" s="1150"/>
      <c r="Z53" s="1150"/>
      <c r="AA53" s="1150"/>
      <c r="AB53" s="1150"/>
      <c r="AC53" s="1150"/>
      <c r="AD53" s="1150"/>
    </row>
    <row r="54" spans="1:30" s="1106" customFormat="1" ht="10.5" customHeight="1">
      <c r="A54" s="1138" t="s">
        <v>117</v>
      </c>
      <c r="B54" s="1139" t="s">
        <v>679</v>
      </c>
      <c r="C54" s="1139" t="s">
        <v>679</v>
      </c>
      <c r="D54" s="1139" t="s">
        <v>679</v>
      </c>
      <c r="E54" s="1139">
        <f>+Cashflow!I73</f>
        <v>-2488.1</v>
      </c>
      <c r="F54" s="1139">
        <f>+Cashflow!J73</f>
        <v>-22233.300000000003</v>
      </c>
      <c r="G54" s="1139">
        <f>+Cashflow!K73</f>
        <v>-14624.5</v>
      </c>
      <c r="H54" s="1139">
        <f>+Cashflow!L73</f>
        <v>-7700.8000000000011</v>
      </c>
      <c r="I54" s="1139">
        <f>+Cashflow!M73</f>
        <v>-17418.2</v>
      </c>
      <c r="J54" s="1139">
        <f>+Cashflow!N73</f>
        <v>-17482.500000000011</v>
      </c>
      <c r="K54" s="1139">
        <f>+Cashflow!O73</f>
        <v>-3222.6999999999953</v>
      </c>
      <c r="L54" s="1139">
        <f>+Cashflow!P73</f>
        <v>5124.3999999999924</v>
      </c>
      <c r="M54" s="1139">
        <f>+Cashflow!Q73</f>
        <v>-30780.29999999997</v>
      </c>
      <c r="N54" s="1139">
        <f>+Cashflow!R73</f>
        <v>-10640.430700000003</v>
      </c>
      <c r="O54" s="1139">
        <f>+Cashflow!S73</f>
        <v>-4043.6689699999988</v>
      </c>
      <c r="P54" s="1139">
        <f>+Cashflow!T73</f>
        <v>10193.774933000004</v>
      </c>
      <c r="Q54" s="1138" t="s">
        <v>439</v>
      </c>
      <c r="R54" s="1139" t="s">
        <v>679</v>
      </c>
      <c r="S54" s="1139">
        <f>+'Ratio Sheet'!I129</f>
        <v>11.051477570134805</v>
      </c>
      <c r="T54" s="1139">
        <f>+'Ratio Sheet'!J129</f>
        <v>8.5025116792453943</v>
      </c>
      <c r="U54" s="1139">
        <f>+'Ratio Sheet'!K129</f>
        <v>7.0737512524217561</v>
      </c>
      <c r="V54" s="1139">
        <f>+'Ratio Sheet'!L129</f>
        <v>7.3410324041501402</v>
      </c>
      <c r="W54" s="1139">
        <f>+'Ratio Sheet'!M129</f>
        <v>10.863619997749691</v>
      </c>
      <c r="X54" s="1139">
        <f>+'Ratio Sheet'!N129</f>
        <v>14.163702988310884</v>
      </c>
      <c r="Y54" s="1139">
        <f>+'Ratio Sheet'!O129</f>
        <v>12.777780733953019</v>
      </c>
      <c r="Z54" s="1139">
        <f>+'Ratio Sheet'!P129</f>
        <v>11.593969544666466</v>
      </c>
      <c r="AA54" s="1139">
        <f>+'Ratio Sheet'!Q129</f>
        <v>11.519394092254768</v>
      </c>
      <c r="AB54" s="1139">
        <f>+'Ratio Sheet'!R129</f>
        <v>0</v>
      </c>
      <c r="AC54" s="1139">
        <f>+'Ratio Sheet'!S129</f>
        <v>0</v>
      </c>
      <c r="AD54" s="1139">
        <f>+'Ratio Sheet'!T129</f>
        <v>0</v>
      </c>
    </row>
    <row r="55" spans="1:30" s="1106" customFormat="1" ht="10.5" customHeight="1">
      <c r="A55" s="1138" t="s">
        <v>121</v>
      </c>
      <c r="B55" s="1139" t="s">
        <v>679</v>
      </c>
      <c r="C55" s="1139" t="s">
        <v>679</v>
      </c>
      <c r="D55" s="1139" t="s">
        <v>679</v>
      </c>
      <c r="E55" s="1139">
        <f>+Cashflow!I77</f>
        <v>0</v>
      </c>
      <c r="F55" s="1139">
        <f>+Cashflow!J77</f>
        <v>0</v>
      </c>
      <c r="G55" s="1139">
        <f>+Cashflow!K77</f>
        <v>0</v>
      </c>
      <c r="H55" s="1139">
        <f>+Cashflow!L77</f>
        <v>0</v>
      </c>
      <c r="I55" s="1139">
        <f>+Cashflow!M77</f>
        <v>0</v>
      </c>
      <c r="J55" s="1139">
        <f>+Cashflow!N77</f>
        <v>0</v>
      </c>
      <c r="K55" s="1139">
        <f>+Cashflow!O77</f>
        <v>2.9799999999340798E-2</v>
      </c>
      <c r="L55" s="1139">
        <f>+Cashflow!P77</f>
        <v>-2.9799999999340798E-2</v>
      </c>
      <c r="M55" s="1139">
        <f>+Cashflow!Q77</f>
        <v>0</v>
      </c>
      <c r="N55" s="1139">
        <f>+Cashflow!R77</f>
        <v>0</v>
      </c>
      <c r="O55" s="1139">
        <f>+Cashflow!S77</f>
        <v>0</v>
      </c>
      <c r="P55" s="1139">
        <f>+Cashflow!T77</f>
        <v>0</v>
      </c>
      <c r="Q55" s="1138" t="s">
        <v>440</v>
      </c>
      <c r="R55" s="1139" t="s">
        <v>679</v>
      </c>
      <c r="S55" s="1139">
        <f>+'Ratio Sheet'!I128</f>
        <v>20.84089857418553</v>
      </c>
      <c r="T55" s="1139">
        <f>+'Ratio Sheet'!J128</f>
        <v>18.497073889403801</v>
      </c>
      <c r="U55" s="1139">
        <f>+'Ratio Sheet'!K128</f>
        <v>15.366967092444067</v>
      </c>
      <c r="V55" s="1139">
        <f>+'Ratio Sheet'!L128</f>
        <v>15.863122884246382</v>
      </c>
      <c r="W55" s="1139">
        <f>+'Ratio Sheet'!M128</f>
        <v>16.655791420164551</v>
      </c>
      <c r="X55" s="1139">
        <f>+'Ratio Sheet'!N128</f>
        <v>16.781403607637856</v>
      </c>
      <c r="Y55" s="1139">
        <f>+'Ratio Sheet'!O128</f>
        <v>17.867666567899903</v>
      </c>
      <c r="Z55" s="1139">
        <f>+'Ratio Sheet'!P128</f>
        <v>18.583731933484138</v>
      </c>
      <c r="AA55" s="1139">
        <f>+'Ratio Sheet'!Q128</f>
        <v>17.473531795010306</v>
      </c>
      <c r="AB55" s="1139">
        <f>+'Ratio Sheet'!R128</f>
        <v>0</v>
      </c>
      <c r="AC55" s="1139">
        <f>+'Ratio Sheet'!S128</f>
        <v>0</v>
      </c>
      <c r="AD55" s="1139">
        <f>+'Ratio Sheet'!T128</f>
        <v>0</v>
      </c>
    </row>
    <row r="56" spans="1:30" s="1106" customFormat="1" ht="10.5" customHeight="1">
      <c r="A56" s="1138" t="s">
        <v>445</v>
      </c>
      <c r="B56" s="1139" t="s">
        <v>679</v>
      </c>
      <c r="C56" s="1139" t="s">
        <v>679</v>
      </c>
      <c r="D56" s="1139" t="s">
        <v>679</v>
      </c>
      <c r="E56" s="1139">
        <f>+Cashflow!I78</f>
        <v>2489.7999999999997</v>
      </c>
      <c r="F56" s="1139">
        <f>+Cashflow!J78</f>
        <v>-2355.2999999999997</v>
      </c>
      <c r="G56" s="1139">
        <f>+Cashflow!K78</f>
        <v>-2232.7999999999993</v>
      </c>
      <c r="H56" s="1139">
        <f>+Cashflow!L78</f>
        <v>-1578.3999999999999</v>
      </c>
      <c r="I56" s="1139">
        <f>+Cashflow!M78</f>
        <v>-262.09999999999991</v>
      </c>
      <c r="J56" s="1139">
        <f>+Cashflow!N78</f>
        <v>-135.30000000000007</v>
      </c>
      <c r="K56" s="1139">
        <f>+Cashflow!O78</f>
        <v>540.88</v>
      </c>
      <c r="L56" s="1139">
        <f>+Cashflow!P78</f>
        <v>506.52</v>
      </c>
      <c r="M56" s="1139">
        <f>+Cashflow!Q78</f>
        <v>0</v>
      </c>
      <c r="N56" s="1139">
        <f>+Cashflow!R78</f>
        <v>0</v>
      </c>
      <c r="O56" s="1139">
        <f>+Cashflow!S78</f>
        <v>0</v>
      </c>
      <c r="P56" s="1139">
        <f>+Cashflow!T78</f>
        <v>0</v>
      </c>
      <c r="Q56" s="1138" t="s">
        <v>441</v>
      </c>
      <c r="R56" s="1139" t="s">
        <v>679</v>
      </c>
      <c r="S56" s="1139">
        <f>+'Ratio Sheet'!I130</f>
        <v>61.708988682317141</v>
      </c>
      <c r="T56" s="1139">
        <f>+'Ratio Sheet'!J130</f>
        <v>63.433948458820083</v>
      </c>
      <c r="U56" s="1139">
        <f>+'Ratio Sheet'!K130</f>
        <v>54.357693699618864</v>
      </c>
      <c r="V56" s="1139">
        <f>+'Ratio Sheet'!L130</f>
        <v>47.456465289231595</v>
      </c>
      <c r="W56" s="1139">
        <f>+'Ratio Sheet'!M130</f>
        <v>46.917720526121073</v>
      </c>
      <c r="X56" s="1139">
        <f>+'Ratio Sheet'!N130</f>
        <v>53.803205307901678</v>
      </c>
      <c r="Y56" s="1139">
        <f>+'Ratio Sheet'!O130</f>
        <v>48.066968915406271</v>
      </c>
      <c r="Z56" s="1139">
        <f>+'Ratio Sheet'!P130</f>
        <v>46.383454119916102</v>
      </c>
      <c r="AA56" s="1139">
        <f>+'Ratio Sheet'!Q130</f>
        <v>47.566394766912609</v>
      </c>
      <c r="AB56" s="1139">
        <f>+'Ratio Sheet'!R130</f>
        <v>0</v>
      </c>
      <c r="AC56" s="1139">
        <f>+'Ratio Sheet'!S130</f>
        <v>0</v>
      </c>
      <c r="AD56" s="1139">
        <f>+'Ratio Sheet'!T130</f>
        <v>0</v>
      </c>
    </row>
    <row r="57" spans="1:30" s="1106" customFormat="1" ht="10.5" customHeight="1">
      <c r="A57" s="1138" t="s">
        <v>447</v>
      </c>
      <c r="B57" s="1139" t="s">
        <v>679</v>
      </c>
      <c r="C57" s="1139" t="s">
        <v>679</v>
      </c>
      <c r="D57" s="1139" t="s">
        <v>679</v>
      </c>
      <c r="E57" s="1139">
        <f>+Cashflow!I79</f>
        <v>-3376.8</v>
      </c>
      <c r="F57" s="1139">
        <f>+Cashflow!J79</f>
        <v>-3715.5</v>
      </c>
      <c r="G57" s="1139">
        <f>+Cashflow!K79</f>
        <v>-6737</v>
      </c>
      <c r="H57" s="1139">
        <f>+Cashflow!L79</f>
        <v>-13420.300000000001</v>
      </c>
      <c r="I57" s="1139">
        <f>+Cashflow!M79</f>
        <v>-15235.173603000001</v>
      </c>
      <c r="J57" s="1139">
        <f>+Cashflow!N79</f>
        <v>-16927.970670000002</v>
      </c>
      <c r="K57" s="1139">
        <f>+Cashflow!O79</f>
        <v>-16927.970670000002</v>
      </c>
      <c r="L57" s="1139">
        <f>+Cashflow!P79</f>
        <v>-18620.767737000002</v>
      </c>
      <c r="M57" s="1139">
        <f>+Cashflow!Q79</f>
        <v>-22006.361871000005</v>
      </c>
      <c r="N57" s="1139">
        <f>+Cashflow!R79</f>
        <v>-25391.956005000004</v>
      </c>
      <c r="O57" s="1139">
        <f>+Cashflow!S79</f>
        <v>-25391.956005000004</v>
      </c>
      <c r="P57" s="1139">
        <f>+Cashflow!T79</f>
        <v>-25391.956005000004</v>
      </c>
      <c r="Q57" s="1138" t="s">
        <v>442</v>
      </c>
      <c r="R57" s="1115">
        <f>+'Ratio Sheet'!H116</f>
        <v>1.589073068495761</v>
      </c>
      <c r="S57" s="1115">
        <f>+'Ratio Sheet'!I116</f>
        <v>1.8654888771830302</v>
      </c>
      <c r="T57" s="1115">
        <f>+'Ratio Sheet'!J116</f>
        <v>1.4810363972856262</v>
      </c>
      <c r="U57" s="1115">
        <f>+'Ratio Sheet'!K116</f>
        <v>1.1837677456575939</v>
      </c>
      <c r="V57" s="1115">
        <f>+'Ratio Sheet'!L116</f>
        <v>1.7192178553172084</v>
      </c>
      <c r="W57" s="1115">
        <f>+'Ratio Sheet'!M116</f>
        <v>1.4918593716363966</v>
      </c>
      <c r="X57" s="1115">
        <f>+'Ratio Sheet'!N116</f>
        <v>1.3621284532389875</v>
      </c>
      <c r="Y57" s="1115">
        <f>+'Ratio Sheet'!O116</f>
        <v>1.6099425774320772</v>
      </c>
      <c r="Z57" s="1115">
        <f>+'Ratio Sheet'!P116</f>
        <v>1.5338719071148101</v>
      </c>
      <c r="AA57" s="1115">
        <f>+'Ratio Sheet'!Q116</f>
        <v>1.4356995355889755</v>
      </c>
      <c r="AB57" s="1115">
        <f>+'Ratio Sheet'!R116</f>
        <v>0</v>
      </c>
      <c r="AC57" s="1115">
        <f>+'Ratio Sheet'!S116</f>
        <v>0</v>
      </c>
      <c r="AD57" s="1115">
        <f>+'Ratio Sheet'!T116</f>
        <v>0</v>
      </c>
    </row>
    <row r="58" spans="1:30" s="1106" customFormat="1" ht="10.5" customHeight="1">
      <c r="A58" s="1138" t="s">
        <v>215</v>
      </c>
      <c r="B58" s="1139" t="s">
        <v>679</v>
      </c>
      <c r="C58" s="1139" t="s">
        <v>679</v>
      </c>
      <c r="D58" s="1139" t="s">
        <v>679</v>
      </c>
      <c r="E58" s="1139">
        <f>+Cashflow!I80</f>
        <v>263.19999999999993</v>
      </c>
      <c r="F58" s="1139">
        <f>+Cashflow!J80</f>
        <v>41.1</v>
      </c>
      <c r="G58" s="1139">
        <f>+Cashflow!K80</f>
        <v>366.8</v>
      </c>
      <c r="H58" s="1139">
        <f>+Cashflow!L80</f>
        <v>-422.70000000000005</v>
      </c>
      <c r="I58" s="1139">
        <f>+Cashflow!M80</f>
        <v>-5.4</v>
      </c>
      <c r="J58" s="1139">
        <f>+Cashflow!N80</f>
        <v>-5.4</v>
      </c>
      <c r="K58" s="1139">
        <f>+Cashflow!O80</f>
        <v>-64.900000000000006</v>
      </c>
      <c r="L58" s="1139">
        <f>+Cashflow!P80</f>
        <v>-10.5</v>
      </c>
      <c r="M58" s="1139">
        <f>+Cashflow!Q80</f>
        <v>-14</v>
      </c>
      <c r="N58" s="1139">
        <f>+Cashflow!R80</f>
        <v>-10</v>
      </c>
      <c r="O58" s="1139">
        <f>+Cashflow!S80</f>
        <v>-10</v>
      </c>
      <c r="P58" s="1139">
        <f>+Cashflow!T80</f>
        <v>-10</v>
      </c>
      <c r="Q58" s="1138" t="s">
        <v>443</v>
      </c>
      <c r="R58" s="1115">
        <f>+'Ratio Sheet'!H117</f>
        <v>0.3077831761455655</v>
      </c>
      <c r="S58" s="1115">
        <f>+'Ratio Sheet'!I117</f>
        <v>0.22767535151343249</v>
      </c>
      <c r="T58" s="1115">
        <f>+'Ratio Sheet'!J117</f>
        <v>0.13465268352868601</v>
      </c>
      <c r="U58" s="1115">
        <f>+'Ratio Sheet'!K117</f>
        <v>0.14949003770630293</v>
      </c>
      <c r="V58" s="1115">
        <f>+'Ratio Sheet'!L117</f>
        <v>0.15548380216167312</v>
      </c>
      <c r="W58" s="1115">
        <f>+'Ratio Sheet'!M117</f>
        <v>0.28989021198490844</v>
      </c>
      <c r="X58" s="1115">
        <f>+'Ratio Sheet'!N117</f>
        <v>0.26853897341288446</v>
      </c>
      <c r="Y58" s="1115">
        <f>+'Ratio Sheet'!O117</f>
        <v>0.2731534255426798</v>
      </c>
      <c r="Z58" s="1115">
        <f>+'Ratio Sheet'!P117</f>
        <v>0.26976158716440907</v>
      </c>
      <c r="AA58" s="1115">
        <f>+'Ratio Sheet'!Q117</f>
        <v>0.26426309932096337</v>
      </c>
      <c r="AB58" s="1115">
        <f>+'Ratio Sheet'!R117</f>
        <v>0</v>
      </c>
      <c r="AC58" s="1115">
        <f>+'Ratio Sheet'!S117</f>
        <v>0</v>
      </c>
      <c r="AD58" s="1115">
        <f>+'Ratio Sheet'!T117</f>
        <v>0</v>
      </c>
    </row>
    <row r="59" spans="1:30" s="1106" customFormat="1" ht="10.5" customHeight="1">
      <c r="A59" s="1138" t="s">
        <v>450</v>
      </c>
      <c r="B59" s="1139" t="s">
        <v>679</v>
      </c>
      <c r="C59" s="1139" t="s">
        <v>679</v>
      </c>
      <c r="D59" s="1139" t="s">
        <v>679</v>
      </c>
      <c r="E59" s="1139">
        <f>+Cashflow!I83</f>
        <v>714.19999999999993</v>
      </c>
      <c r="F59" s="1139">
        <f>+Cashflow!J83</f>
        <v>-354.60000000000582</v>
      </c>
      <c r="G59" s="1139">
        <f>+Cashflow!K83</f>
        <v>550.90000000000873</v>
      </c>
      <c r="H59" s="1139">
        <f>+Cashflow!L83</f>
        <v>9500.7999999999902</v>
      </c>
      <c r="I59" s="1139">
        <f>+Cashflow!M83</f>
        <v>-10950.500000000005</v>
      </c>
      <c r="J59" s="1139">
        <f>+Cashflow!N83</f>
        <v>-639.59999999999673</v>
      </c>
      <c r="K59" s="1139">
        <f>+Cashflow!O83</f>
        <v>887.50000000000364</v>
      </c>
      <c r="L59" s="1139">
        <f>+Cashflow!P83</f>
        <v>2424.8000000000102</v>
      </c>
      <c r="M59" s="1139">
        <f>+Cashflow!Q83</f>
        <v>-3027.7014777783334</v>
      </c>
      <c r="N59" s="1139">
        <f>+Cashflow!R83</f>
        <v>-7100.6248928188652</v>
      </c>
      <c r="O59" s="1139">
        <f>+Cashflow!S83</f>
        <v>5484.5974167620334</v>
      </c>
      <c r="P59" s="1139">
        <f>+Cashflow!T83</f>
        <v>23483.063263324275</v>
      </c>
      <c r="Q59" s="1149" t="s">
        <v>468</v>
      </c>
      <c r="R59" s="1150"/>
      <c r="S59" s="1150"/>
      <c r="T59" s="1150"/>
      <c r="U59" s="1150"/>
      <c r="V59" s="1150"/>
      <c r="W59" s="1150"/>
      <c r="X59" s="1150"/>
      <c r="Y59" s="1150"/>
      <c r="Z59" s="1150"/>
      <c r="AA59" s="1150"/>
      <c r="AB59" s="1150"/>
      <c r="AC59" s="1150"/>
      <c r="AD59" s="1150"/>
    </row>
    <row r="60" spans="1:30" s="1106" customFormat="1" ht="10.5" customHeight="1">
      <c r="A60" s="1138" t="s">
        <v>471</v>
      </c>
      <c r="B60" s="1139" t="s">
        <v>679</v>
      </c>
      <c r="C60" s="1139" t="s">
        <v>679</v>
      </c>
      <c r="D60" s="1139" t="s">
        <v>679</v>
      </c>
      <c r="E60" s="1139">
        <f>+Cashflow!I85</f>
        <v>1426.6</v>
      </c>
      <c r="F60" s="1139">
        <f>+Cashflow!J85</f>
        <v>1013.6999999999941</v>
      </c>
      <c r="G60" s="1139">
        <f>+Cashflow!K85</f>
        <v>5564.6000000000031</v>
      </c>
      <c r="H60" s="1139">
        <f>+Cashflow!L85</f>
        <v>16538.19999999999</v>
      </c>
      <c r="I60" s="1139">
        <f>+Cashflow!M85</f>
        <v>5588.4999999999836</v>
      </c>
      <c r="J60" s="1139">
        <f>+Cashflow!N85</f>
        <v>4862.7999999999865</v>
      </c>
      <c r="K60" s="1139">
        <f>+Cashflow!O85</f>
        <v>5750.2999999999902</v>
      </c>
      <c r="L60" s="1139">
        <f>+Cashflow!P85</f>
        <v>8595.2000000000007</v>
      </c>
      <c r="M60" s="1139">
        <f>+Cashflow!Q85</f>
        <v>5567.4985222216674</v>
      </c>
      <c r="N60" s="1139">
        <f>+Cashflow!R85</f>
        <v>-1533.1263705971978</v>
      </c>
      <c r="O60" s="1139">
        <f>+Cashflow!S85</f>
        <v>3951.4710461648356</v>
      </c>
      <c r="P60" s="1139">
        <f>+Cashflow!T85</f>
        <v>27434.53430948911</v>
      </c>
      <c r="Q60" s="1138" t="s">
        <v>464</v>
      </c>
      <c r="R60" s="1139" t="s">
        <v>679</v>
      </c>
      <c r="S60" s="1115">
        <f>+'Ratio Sheet'!I123</f>
        <v>2.7855036924914605</v>
      </c>
      <c r="T60" s="1115">
        <f>+'Ratio Sheet'!J123</f>
        <v>3.5382927802153965</v>
      </c>
      <c r="U60" s="1115">
        <f>+'Ratio Sheet'!K123</f>
        <v>4.8442880712778038</v>
      </c>
      <c r="V60" s="1115">
        <f>+'Ratio Sheet'!L123</f>
        <v>5.7566855323664656</v>
      </c>
      <c r="W60" s="1115">
        <f>+'Ratio Sheet'!M123</f>
        <v>5.5372800186078193</v>
      </c>
      <c r="X60" s="1115">
        <f>+'Ratio Sheet'!N123</f>
        <v>5.0973413492978024</v>
      </c>
      <c r="Y60" s="1115">
        <f>+'Ratio Sheet'!O123</f>
        <v>5.285434613809084</v>
      </c>
      <c r="Z60" s="1115">
        <f>+'Ratio Sheet'!P123</f>
        <v>5.3200081025442927</v>
      </c>
      <c r="AA60" s="1115">
        <f>+'Ratio Sheet'!Q123</f>
        <v>4.7941589119541881</v>
      </c>
      <c r="AB60" s="1115">
        <f>+'Ratio Sheet'!R123</f>
        <v>0</v>
      </c>
      <c r="AC60" s="1115">
        <f>+'Ratio Sheet'!S123</f>
        <v>0</v>
      </c>
      <c r="AD60" s="1115">
        <f>+'Ratio Sheet'!T123</f>
        <v>0</v>
      </c>
    </row>
    <row r="61" spans="1:30" s="1106" customFormat="1" ht="10.5" customHeight="1">
      <c r="A61" s="1151"/>
      <c r="B61" s="1115"/>
      <c r="C61" s="1107"/>
      <c r="D61" s="1107"/>
      <c r="E61" s="1107"/>
      <c r="F61" s="1107"/>
      <c r="G61" s="1107"/>
      <c r="H61" s="1107"/>
      <c r="I61" s="1107"/>
      <c r="J61" s="1107"/>
      <c r="K61" s="1107"/>
      <c r="L61" s="1107"/>
      <c r="M61" s="1107"/>
      <c r="N61" s="1107"/>
      <c r="O61" s="1152"/>
      <c r="P61" s="1152"/>
      <c r="Q61" s="1138" t="s">
        <v>465</v>
      </c>
      <c r="R61" s="1139" t="s">
        <v>679</v>
      </c>
      <c r="S61" s="1115">
        <f>+'Ratio Sheet'!I125</f>
        <v>1.644489674844829</v>
      </c>
      <c r="T61" s="1115">
        <f>+'Ratio Sheet'!J125</f>
        <v>1.6499659220412903</v>
      </c>
      <c r="U61" s="1115">
        <f>+'Ratio Sheet'!K125</f>
        <v>1.8495071772007843</v>
      </c>
      <c r="V61" s="1115">
        <f>+'Ratio Sheet'!L125</f>
        <v>1.9313336936436221</v>
      </c>
      <c r="W61" s="1115">
        <f>+'Ratio Sheet'!M125</f>
        <v>1.7094428074278665</v>
      </c>
      <c r="X61" s="1115">
        <f>+'Ratio Sheet'!N125</f>
        <v>1.4943284591578607</v>
      </c>
      <c r="Y61" s="1115">
        <f>+'Ratio Sheet'!O125</f>
        <v>1.4395933277291446</v>
      </c>
      <c r="Z61" s="1115">
        <f>+'Ratio Sheet'!P125</f>
        <v>1.4616632848226658</v>
      </c>
      <c r="AA61" s="1115">
        <f>+'Ratio Sheet'!Q125</f>
        <v>1.2639112784927524</v>
      </c>
      <c r="AB61" s="1115">
        <f>+'Ratio Sheet'!R125</f>
        <v>0</v>
      </c>
      <c r="AC61" s="1115">
        <f>+'Ratio Sheet'!S125</f>
        <v>0</v>
      </c>
      <c r="AD61" s="1115">
        <f>+'Ratio Sheet'!T125</f>
        <v>0</v>
      </c>
    </row>
    <row r="62" spans="1:30" s="1106" customFormat="1" ht="10.5" customHeight="1">
      <c r="A62" s="1153" t="s">
        <v>746</v>
      </c>
      <c r="B62" s="1154"/>
      <c r="C62" s="1154"/>
      <c r="D62" s="1154"/>
      <c r="E62" s="1154"/>
      <c r="F62" s="1154"/>
      <c r="G62" s="1154"/>
      <c r="H62" s="1154"/>
      <c r="I62" s="1154"/>
      <c r="J62" s="1154"/>
      <c r="K62" s="1154"/>
      <c r="L62" s="1154"/>
      <c r="M62" s="1154"/>
      <c r="N62" s="1154"/>
      <c r="O62" s="1155"/>
      <c r="P62" s="1155"/>
      <c r="Q62" s="1138" t="s">
        <v>444</v>
      </c>
      <c r="R62" s="1139">
        <f>+'Ratio Sheet'!H110</f>
        <v>204.42829457364351</v>
      </c>
      <c r="S62" s="1139">
        <f>+'Ratio Sheet'!I110</f>
        <v>45.394700776610364</v>
      </c>
      <c r="T62" s="1139">
        <f>+'Ratio Sheet'!J110</f>
        <v>404.94983277591956</v>
      </c>
      <c r="U62" s="1139">
        <f>+'Ratio Sheet'!K110</f>
        <v>1805.5502958579873</v>
      </c>
      <c r="V62" s="1139">
        <f>+'Ratio Sheet'!L110</f>
        <v>160.71807553956833</v>
      </c>
      <c r="W62" s="1139">
        <f>+'Ratio Sheet'!M110</f>
        <v>6428.2962962962993</v>
      </c>
      <c r="X62" s="1139">
        <f>+'Ratio Sheet'!N110</f>
        <v>7530.9629629629608</v>
      </c>
      <c r="Y62" s="1139">
        <f>+'Ratio Sheet'!O110</f>
        <v>600.82742681047773</v>
      </c>
      <c r="Z62" s="1139">
        <f>+'Ratio Sheet'!P110</f>
        <v>4261.6952380952389</v>
      </c>
      <c r="AA62" s="1139">
        <f>+'Ratio Sheet'!Q110</f>
        <v>2939.3285714285703</v>
      </c>
      <c r="AB62" s="1139">
        <f>+'Ratio Sheet'!R110</f>
        <v>0</v>
      </c>
      <c r="AC62" s="1139">
        <f>+'Ratio Sheet'!S110</f>
        <v>0</v>
      </c>
      <c r="AD62" s="1139">
        <f>+'Ratio Sheet'!T110</f>
        <v>0</v>
      </c>
    </row>
    <row r="63" spans="1:30" s="1106" customFormat="1" ht="10.5" customHeight="1">
      <c r="A63" s="1156" t="s">
        <v>454</v>
      </c>
      <c r="B63" s="1157" t="s">
        <v>670</v>
      </c>
      <c r="C63" s="1157" t="s">
        <v>669</v>
      </c>
      <c r="D63" s="1157" t="s">
        <v>668</v>
      </c>
      <c r="E63" s="1157" t="s">
        <v>314</v>
      </c>
      <c r="F63" s="1157" t="s">
        <v>689</v>
      </c>
      <c r="G63" s="1157" t="s">
        <v>690</v>
      </c>
      <c r="H63" s="1157" t="s">
        <v>691</v>
      </c>
      <c r="I63" s="1157" t="s">
        <v>279</v>
      </c>
      <c r="J63" s="1157" t="s">
        <v>693</v>
      </c>
      <c r="K63" s="1157" t="s">
        <v>2224</v>
      </c>
      <c r="L63" s="1157" t="s">
        <v>1982</v>
      </c>
      <c r="M63" s="1157" t="s">
        <v>1633</v>
      </c>
      <c r="N63" s="1157" t="s">
        <v>1634</v>
      </c>
      <c r="O63" s="1158" t="str">
        <f>O46</f>
        <v>FY19E</v>
      </c>
      <c r="P63" s="1158" t="str">
        <f>P46</f>
        <v>FY20E</v>
      </c>
      <c r="Q63" s="1138" t="s">
        <v>456</v>
      </c>
      <c r="R63" s="1159">
        <f>+'Ratio Sheet'!H107</f>
        <v>0.82926950440328384</v>
      </c>
      <c r="S63" s="1159">
        <f>+'Ratio Sheet'!I107</f>
        <v>0.88005610743829277</v>
      </c>
      <c r="T63" s="1159">
        <f>+'Ratio Sheet'!J107</f>
        <v>0.45710328190533245</v>
      </c>
      <c r="U63" s="1159">
        <f>+'Ratio Sheet'!K107</f>
        <v>6.6219069070800454E-2</v>
      </c>
      <c r="V63" s="1159">
        <f>+'Ratio Sheet'!L107</f>
        <v>1.6136222239759225E-2</v>
      </c>
      <c r="W63" s="1159">
        <f>+'Ratio Sheet'!M107</f>
        <v>9.0192961076066541E-3</v>
      </c>
      <c r="X63" s="1159">
        <f>+'Ratio Sheet'!N107</f>
        <v>6.0095647082856647E-3</v>
      </c>
      <c r="Y63" s="1159">
        <f>+'Ratio Sheet'!O107</f>
        <v>1.0458888062737615E-2</v>
      </c>
      <c r="Z63" s="1159">
        <f>+'Ratio Sheet'!P107</f>
        <v>1.321872223863923E-2</v>
      </c>
      <c r="AA63" s="1159">
        <f>+'Ratio Sheet'!Q107</f>
        <v>1.1673603936396911E-2</v>
      </c>
      <c r="AB63" s="1159">
        <f>+'Ratio Sheet'!R107</f>
        <v>0</v>
      </c>
      <c r="AC63" s="1159">
        <f>+'Ratio Sheet'!S107</f>
        <v>0</v>
      </c>
      <c r="AD63" s="1159">
        <f>+'Ratio Sheet'!T107</f>
        <v>0</v>
      </c>
    </row>
    <row r="64" spans="1:30" s="1106" customFormat="1" ht="10.5" customHeight="1">
      <c r="A64" s="1160" t="s">
        <v>462</v>
      </c>
      <c r="B64" s="1161"/>
      <c r="C64" s="1161"/>
      <c r="D64" s="1161"/>
      <c r="E64" s="1162"/>
      <c r="F64" s="1162"/>
      <c r="G64" s="1162"/>
      <c r="H64" s="1162"/>
      <c r="I64" s="1162"/>
      <c r="J64" s="1162"/>
      <c r="K64" s="1162"/>
      <c r="L64" s="1162"/>
      <c r="M64" s="1162"/>
      <c r="N64" s="1162"/>
      <c r="O64" s="1163"/>
      <c r="P64" s="1163"/>
      <c r="Q64" s="1149" t="s">
        <v>469</v>
      </c>
      <c r="R64" s="1150"/>
      <c r="S64" s="1150"/>
      <c r="T64" s="1150"/>
      <c r="U64" s="1150"/>
      <c r="V64" s="1150"/>
      <c r="W64" s="1150"/>
      <c r="X64" s="1150"/>
      <c r="Y64" s="1150"/>
      <c r="Z64" s="1150"/>
      <c r="AA64" s="1150"/>
      <c r="AB64" s="1150"/>
      <c r="AC64" s="1150"/>
      <c r="AD64" s="1150"/>
    </row>
    <row r="65" spans="1:30" s="1106" customFormat="1" ht="10.5" customHeight="1">
      <c r="A65" s="1160" t="s">
        <v>455</v>
      </c>
      <c r="B65" s="1161"/>
      <c r="C65" s="1161"/>
      <c r="D65" s="1161"/>
      <c r="E65" s="1162"/>
      <c r="F65" s="1162"/>
      <c r="G65" s="1162"/>
      <c r="H65" s="1162"/>
      <c r="I65" s="1162"/>
      <c r="J65" s="1162"/>
      <c r="K65" s="1162"/>
      <c r="L65" s="1162"/>
      <c r="M65" s="1162"/>
      <c r="N65" s="1162"/>
      <c r="O65" s="1163"/>
      <c r="P65" s="1163"/>
      <c r="Q65" s="1138" t="s">
        <v>449</v>
      </c>
      <c r="R65" s="1164">
        <f t="shared" ref="R65:AD65" si="33">+$K$15/D19</f>
        <v>8.5242694306500546</v>
      </c>
      <c r="S65" s="1164">
        <f t="shared" si="33"/>
        <v>8.7197467946217788</v>
      </c>
      <c r="T65" s="1164">
        <f t="shared" si="33"/>
        <v>6.4664203285500248</v>
      </c>
      <c r="U65" s="1164">
        <f t="shared" si="33"/>
        <v>4.6872687627079275</v>
      </c>
      <c r="V65" s="1164">
        <f t="shared" si="33"/>
        <v>3.9358384945194276</v>
      </c>
      <c r="W65" s="1164">
        <f t="shared" si="33"/>
        <v>3.8436740673192569</v>
      </c>
      <c r="X65" s="1164">
        <f t="shared" si="33"/>
        <v>3.8146293007968932</v>
      </c>
      <c r="Y65" s="1164">
        <f t="shared" si="33"/>
        <v>3.5564906384320571</v>
      </c>
      <c r="Z65" s="1164">
        <f t="shared" si="33"/>
        <v>3.4030435517600766</v>
      </c>
      <c r="AA65" s="1164">
        <f t="shared" si="33"/>
        <v>3.5312188741094186</v>
      </c>
      <c r="AB65" s="1164">
        <f t="shared" si="33"/>
        <v>2.9296328748483398</v>
      </c>
      <c r="AC65" s="1164">
        <f t="shared" si="33"/>
        <v>2.529906136138262</v>
      </c>
      <c r="AD65" s="1164">
        <f t="shared" si="33"/>
        <v>2.1820391793874823</v>
      </c>
    </row>
    <row r="66" spans="1:30" s="1151" customFormat="1" ht="10.5" customHeight="1">
      <c r="A66" s="1160" t="s">
        <v>463</v>
      </c>
      <c r="B66" s="1161"/>
      <c r="C66" s="1161"/>
      <c r="D66" s="1161"/>
      <c r="E66" s="1165"/>
      <c r="F66" s="1165"/>
      <c r="G66" s="1165"/>
      <c r="H66" s="1165"/>
      <c r="I66" s="1165"/>
      <c r="J66" s="1165"/>
      <c r="K66" s="1165"/>
      <c r="L66" s="1165"/>
      <c r="M66" s="1165"/>
      <c r="N66" s="1165"/>
      <c r="O66" s="1166"/>
      <c r="P66" s="1166"/>
      <c r="Q66" s="1138" t="s">
        <v>451</v>
      </c>
      <c r="R66" s="1107">
        <f t="shared" ref="R66:AD66" si="34">+$K$15/D21</f>
        <v>62.517618501374564</v>
      </c>
      <c r="S66" s="1107">
        <f t="shared" si="34"/>
        <v>68.364518009001031</v>
      </c>
      <c r="T66" s="1107">
        <f t="shared" si="34"/>
        <v>30.047462419694703</v>
      </c>
      <c r="U66" s="1107">
        <f t="shared" si="34"/>
        <v>24.214739760539612</v>
      </c>
      <c r="V66" s="1107">
        <f t="shared" si="34"/>
        <v>20.662128458060376</v>
      </c>
      <c r="W66" s="1107">
        <f t="shared" si="34"/>
        <v>21.127502712359636</v>
      </c>
      <c r="X66" s="1107">
        <f t="shared" si="34"/>
        <v>18.101021645208927</v>
      </c>
      <c r="Y66" s="1107">
        <f t="shared" si="34"/>
        <v>18.446641221545701</v>
      </c>
      <c r="Z66" s="1107">
        <f t="shared" si="34"/>
        <v>16.073583366311578</v>
      </c>
      <c r="AA66" s="1107">
        <f t="shared" si="34"/>
        <v>17.38055812920733</v>
      </c>
      <c r="AB66" s="1107">
        <f t="shared" si="34"/>
        <v>14.78776999161262</v>
      </c>
      <c r="AC66" s="1107">
        <f t="shared" si="34"/>
        <v>12.712969965985963</v>
      </c>
      <c r="AD66" s="1107">
        <f t="shared" si="34"/>
        <v>11.517271092943059</v>
      </c>
    </row>
    <row r="67" spans="1:30" s="1106" customFormat="1" ht="10.5" customHeight="1">
      <c r="A67" s="1160" t="s">
        <v>470</v>
      </c>
      <c r="B67" s="1161"/>
      <c r="C67" s="1161"/>
      <c r="D67" s="1161"/>
      <c r="E67" s="1167"/>
      <c r="F67" s="1167"/>
      <c r="G67" s="1167"/>
      <c r="H67" s="1167"/>
      <c r="I67" s="1167"/>
      <c r="J67" s="1167"/>
      <c r="K67" s="1167"/>
      <c r="L67" s="1167"/>
      <c r="M67" s="1167"/>
      <c r="N67" s="1167"/>
      <c r="O67" s="1168"/>
      <c r="P67" s="1168"/>
      <c r="Q67" s="1138" t="s">
        <v>452</v>
      </c>
      <c r="R67" s="1107">
        <f t="shared" ref="R67:AD67" si="35">+IF(D38&lt;=0,"-",$K$12/D38)</f>
        <v>104.4659413524062</v>
      </c>
      <c r="S67" s="1107">
        <f t="shared" si="35"/>
        <v>127.0395629402564</v>
      </c>
      <c r="T67" s="1107">
        <f t="shared" si="35"/>
        <v>48.420771041768063</v>
      </c>
      <c r="U67" s="1107">
        <f t="shared" si="35"/>
        <v>30.380245059725471</v>
      </c>
      <c r="V67" s="1107">
        <f t="shared" si="35"/>
        <v>28.645798586142043</v>
      </c>
      <c r="W67" s="1107">
        <f t="shared" si="35"/>
        <v>29.986201403354329</v>
      </c>
      <c r="X67" s="1107">
        <f t="shared" si="35"/>
        <v>26.279774672523637</v>
      </c>
      <c r="Y67" s="1107">
        <f t="shared" si="35"/>
        <v>27.93625373056754</v>
      </c>
      <c r="Z67" s="1107">
        <f t="shared" si="35"/>
        <v>21.8983810963007</v>
      </c>
      <c r="AA67" s="1107">
        <f t="shared" si="35"/>
        <v>22.482576691861137</v>
      </c>
      <c r="AB67" s="1107" t="str">
        <f t="shared" si="35"/>
        <v>-</v>
      </c>
      <c r="AC67" s="1107" t="str">
        <f t="shared" si="35"/>
        <v>-</v>
      </c>
      <c r="AD67" s="1107" t="str">
        <f t="shared" si="35"/>
        <v>-</v>
      </c>
    </row>
    <row r="68" spans="1:30" s="1106" customFormat="1" ht="10.5" customHeight="1">
      <c r="A68" s="1160" t="s">
        <v>461</v>
      </c>
      <c r="B68" s="1161"/>
      <c r="C68" s="1161"/>
      <c r="D68" s="1161"/>
      <c r="E68" s="1162"/>
      <c r="F68" s="1162"/>
      <c r="G68" s="1162"/>
      <c r="H68" s="1162"/>
      <c r="I68" s="1162"/>
      <c r="J68" s="1162"/>
      <c r="K68" s="1162"/>
      <c r="L68" s="1162"/>
      <c r="M68" s="1162"/>
      <c r="N68" s="1162"/>
      <c r="O68" s="1163"/>
      <c r="P68" s="1163"/>
      <c r="Q68" s="1138" t="s">
        <v>453</v>
      </c>
      <c r="R68" s="1107">
        <f t="shared" ref="R68:AD68" si="36">+IF(R40&lt;=0,"-",$K$12/R40)</f>
        <v>53.002473071083806</v>
      </c>
      <c r="S68" s="1107">
        <f t="shared" si="36"/>
        <v>47.470056996563272</v>
      </c>
      <c r="T68" s="1107">
        <f t="shared" si="36"/>
        <v>29.386278312654948</v>
      </c>
      <c r="U68" s="1107">
        <f t="shared" si="36"/>
        <v>17.525378388000458</v>
      </c>
      <c r="V68" s="1107">
        <f t="shared" si="36"/>
        <v>14.24473705684861</v>
      </c>
      <c r="W68" s="1107">
        <f t="shared" si="36"/>
        <v>10.890152898380226</v>
      </c>
      <c r="X68" s="1107">
        <f t="shared" si="36"/>
        <v>8.9564174442626054</v>
      </c>
      <c r="Y68" s="1107">
        <f t="shared" si="36"/>
        <v>8.048279461352486</v>
      </c>
      <c r="Z68" s="1107">
        <f t="shared" si="36"/>
        <v>7.0009609853806358</v>
      </c>
      <c r="AA68" s="1107">
        <f t="shared" si="36"/>
        <v>6.1826282633134229</v>
      </c>
      <c r="AB68" s="1107" t="str">
        <f t="shared" si="36"/>
        <v>-</v>
      </c>
      <c r="AC68" s="1107" t="str">
        <f t="shared" si="36"/>
        <v>-</v>
      </c>
      <c r="AD68" s="1107" t="str">
        <f t="shared" si="36"/>
        <v>-</v>
      </c>
    </row>
    <row r="69" spans="1:30" s="1106" customFormat="1" ht="10.5" customHeight="1">
      <c r="A69" s="1169"/>
      <c r="B69" s="1162"/>
      <c r="C69" s="1162"/>
      <c r="D69" s="1162"/>
      <c r="E69" s="1162"/>
      <c r="F69" s="1162"/>
      <c r="G69" s="1162"/>
      <c r="H69" s="1169"/>
      <c r="I69" s="1169"/>
      <c r="J69" s="1169"/>
      <c r="K69" s="1169"/>
      <c r="L69" s="1169"/>
      <c r="M69" s="1169"/>
      <c r="N69" s="1169"/>
      <c r="O69" s="1169"/>
      <c r="P69" s="1169"/>
      <c r="R69" s="1107"/>
      <c r="S69" s="1107"/>
      <c r="T69" s="1107"/>
    </row>
    <row r="70" spans="1:30" s="1106" customFormat="1" ht="10.5" customHeight="1">
      <c r="A70" s="1169"/>
      <c r="B70" s="1162"/>
      <c r="C70" s="1162"/>
      <c r="D70" s="1162"/>
      <c r="E70" s="1162"/>
      <c r="F70" s="1162"/>
      <c r="G70" s="1162"/>
      <c r="H70" s="1169"/>
      <c r="I70" s="1169"/>
      <c r="J70" s="1169"/>
      <c r="K70" s="1169"/>
      <c r="L70" s="1169"/>
      <c r="M70" s="1169"/>
      <c r="N70" s="1169"/>
      <c r="O70" s="1169"/>
      <c r="P70" s="1169"/>
      <c r="R70" s="1107"/>
      <c r="S70" s="1107"/>
      <c r="T70" s="1107"/>
    </row>
    <row r="71" spans="1:30" s="1106" customFormat="1" ht="10.5" customHeight="1">
      <c r="B71" s="1107"/>
      <c r="C71" s="1107"/>
      <c r="D71" s="1107"/>
      <c r="E71" s="1107"/>
      <c r="F71" s="1107"/>
      <c r="G71" s="1107"/>
      <c r="R71" s="1107"/>
      <c r="S71" s="1107"/>
      <c r="T71" s="1107"/>
    </row>
    <row r="72" spans="1:30" s="1106" customFormat="1" ht="10.5" customHeight="1" thickBot="1">
      <c r="A72" s="1110" t="s">
        <v>502</v>
      </c>
      <c r="B72" s="1110"/>
      <c r="C72" s="1110"/>
      <c r="D72" s="1110"/>
      <c r="E72" s="1110"/>
      <c r="F72" s="1107"/>
      <c r="G72" s="1107"/>
      <c r="O72" s="1108"/>
      <c r="P72" s="1108"/>
      <c r="Q72" s="1110" t="s">
        <v>505</v>
      </c>
      <c r="R72" s="1110"/>
      <c r="S72" s="1110"/>
      <c r="T72" s="1107"/>
      <c r="U72" s="1107"/>
    </row>
    <row r="73" spans="1:30" s="1106" customFormat="1" ht="10.5" customHeight="1">
      <c r="A73" s="1127" t="s">
        <v>503</v>
      </c>
      <c r="B73" s="1128" t="str">
        <f t="shared" ref="B73:K73" si="37">+B63</f>
        <v>FY06</v>
      </c>
      <c r="C73" s="1128" t="str">
        <f t="shared" si="37"/>
        <v>FY07</v>
      </c>
      <c r="D73" s="1128" t="str">
        <f t="shared" si="37"/>
        <v>FY08</v>
      </c>
      <c r="E73" s="1128" t="str">
        <f t="shared" si="37"/>
        <v>FY09</v>
      </c>
      <c r="F73" s="1128" t="str">
        <f t="shared" si="37"/>
        <v>FY10E</v>
      </c>
      <c r="G73" s="1128" t="str">
        <f t="shared" si="37"/>
        <v>FY11E</v>
      </c>
      <c r="H73" s="1128" t="str">
        <f t="shared" si="37"/>
        <v>FY12E</v>
      </c>
      <c r="I73" s="1128" t="str">
        <f t="shared" si="37"/>
        <v>FY13</v>
      </c>
      <c r="J73" s="1128" t="str">
        <f t="shared" si="37"/>
        <v>FY14E</v>
      </c>
      <c r="K73" s="1128" t="str">
        <f t="shared" si="37"/>
        <v>FY15E</v>
      </c>
      <c r="L73" s="1128" t="str">
        <f>+L63</f>
        <v>FY16E</v>
      </c>
      <c r="M73" s="1128" t="str">
        <f>+M63</f>
        <v>FY17E</v>
      </c>
      <c r="N73" s="1128" t="str">
        <f>+N63</f>
        <v>FY18E</v>
      </c>
      <c r="O73" s="1128" t="str">
        <f t="shared" ref="O73:P73" si="38">+O63</f>
        <v>FY19E</v>
      </c>
      <c r="P73" s="1128" t="str">
        <f t="shared" si="38"/>
        <v>FY20E</v>
      </c>
      <c r="Q73" s="1127" t="s">
        <v>506</v>
      </c>
      <c r="R73" s="1128" t="str">
        <f t="shared" ref="R73:AB73" si="39">+D73</f>
        <v>FY08</v>
      </c>
      <c r="S73" s="1128" t="str">
        <f t="shared" si="39"/>
        <v>FY09</v>
      </c>
      <c r="T73" s="1128" t="str">
        <f t="shared" si="39"/>
        <v>FY10E</v>
      </c>
      <c r="U73" s="1128" t="str">
        <f t="shared" si="39"/>
        <v>FY11E</v>
      </c>
      <c r="V73" s="1128" t="str">
        <f t="shared" si="39"/>
        <v>FY12E</v>
      </c>
      <c r="W73" s="1128" t="str">
        <f t="shared" si="39"/>
        <v>FY13</v>
      </c>
      <c r="X73" s="1128" t="str">
        <f t="shared" si="39"/>
        <v>FY14E</v>
      </c>
      <c r="Y73" s="1128" t="str">
        <f t="shared" si="39"/>
        <v>FY15E</v>
      </c>
      <c r="Z73" s="1128" t="str">
        <f t="shared" si="39"/>
        <v>FY16E</v>
      </c>
      <c r="AA73" s="1128" t="str">
        <f t="shared" si="39"/>
        <v>FY17E</v>
      </c>
      <c r="AB73" s="1128" t="str">
        <f t="shared" si="39"/>
        <v>FY18E</v>
      </c>
      <c r="AC73" s="1128" t="str">
        <f t="shared" ref="AC73:AD73" si="40">+O73</f>
        <v>FY19E</v>
      </c>
      <c r="AD73" s="1128" t="str">
        <f t="shared" si="40"/>
        <v>FY20E</v>
      </c>
    </row>
    <row r="74" spans="1:30" s="1106" customFormat="1" ht="10.5" customHeight="1">
      <c r="A74" s="1170" t="s">
        <v>504</v>
      </c>
      <c r="B74" s="1117" t="str">
        <f t="shared" ref="B74:K74" si="41">+B19</f>
        <v>-</v>
      </c>
      <c r="C74" s="1117" t="str">
        <f t="shared" si="41"/>
        <v>-</v>
      </c>
      <c r="D74" s="1117">
        <f t="shared" si="41"/>
        <v>90169.5</v>
      </c>
      <c r="E74" s="1117">
        <f t="shared" si="41"/>
        <v>88148.1</v>
      </c>
      <c r="F74" s="1117">
        <f t="shared" si="41"/>
        <v>118864.7</v>
      </c>
      <c r="G74" s="1117">
        <f t="shared" si="41"/>
        <v>163982.29999999999</v>
      </c>
      <c r="H74" s="1117">
        <f t="shared" si="41"/>
        <v>195289.8</v>
      </c>
      <c r="I74" s="1117">
        <f t="shared" si="41"/>
        <v>199972.5</v>
      </c>
      <c r="J74" s="1117">
        <f t="shared" si="41"/>
        <v>201495.1</v>
      </c>
      <c r="K74" s="1117">
        <f t="shared" si="41"/>
        <v>216120.1</v>
      </c>
      <c r="L74" s="1117">
        <f t="shared" ref="L74:N75" si="42">+L19</f>
        <v>225865.2</v>
      </c>
      <c r="M74" s="1117">
        <f t="shared" si="42"/>
        <v>217666.80000000002</v>
      </c>
      <c r="N74" s="1117">
        <f t="shared" si="42"/>
        <v>262363.62891264667</v>
      </c>
      <c r="O74" s="1117">
        <f t="shared" ref="O74:P74" si="43">+O19</f>
        <v>303817.245014577</v>
      </c>
      <c r="P74" s="1117">
        <f t="shared" si="43"/>
        <v>352252.66332878638</v>
      </c>
      <c r="Q74" s="1170" t="s">
        <v>222</v>
      </c>
      <c r="R74" s="1164">
        <f t="shared" ref="R74:U77" si="44">+R48</f>
        <v>13.634987440320737</v>
      </c>
      <c r="S74" s="1164">
        <f t="shared" si="44"/>
        <v>12.754784277823356</v>
      </c>
      <c r="T74" s="1164">
        <f t="shared" si="44"/>
        <v>21.520686965936893</v>
      </c>
      <c r="U74" s="1164">
        <f t="shared" si="44"/>
        <v>19.357089149255732</v>
      </c>
      <c r="V74" s="1164">
        <f t="shared" ref="V74:W77" si="45">+V48</f>
        <v>19.048562700151262</v>
      </c>
      <c r="W74" s="1164">
        <f t="shared" si="45"/>
        <v>18.192751503331717</v>
      </c>
      <c r="X74" s="1164">
        <f t="shared" ref="X74:Y77" si="46">+X48</f>
        <v>21.074110487054021</v>
      </c>
      <c r="Y74" s="1164">
        <f t="shared" si="46"/>
        <v>19.279881880491452</v>
      </c>
      <c r="Z74" s="1164">
        <f t="shared" ref="Z74:AA77" si="47">+Z48</f>
        <v>21.171654597521002</v>
      </c>
      <c r="AA74" s="1164">
        <f t="shared" si="47"/>
        <v>20.317062592917239</v>
      </c>
      <c r="AB74" s="1164">
        <f t="shared" ref="AB74:AD74" si="48">+AB48</f>
        <v>0</v>
      </c>
      <c r="AC74" s="1164">
        <f t="shared" si="48"/>
        <v>0</v>
      </c>
      <c r="AD74" s="1164">
        <f t="shared" si="48"/>
        <v>0</v>
      </c>
    </row>
    <row r="75" spans="1:30" s="1173" customFormat="1" ht="10.5" customHeight="1">
      <c r="A75" s="1171" t="s">
        <v>406</v>
      </c>
      <c r="B75" s="1141" t="str">
        <f t="shared" ref="B75:K75" si="49">+B20</f>
        <v>-</v>
      </c>
      <c r="C75" s="1141" t="str">
        <f t="shared" si="49"/>
        <v>-</v>
      </c>
      <c r="D75" s="1141" t="str">
        <f t="shared" si="49"/>
        <v>-</v>
      </c>
      <c r="E75" s="1141">
        <f t="shared" si="49"/>
        <v>-2.2417779847953012</v>
      </c>
      <c r="F75" s="1141">
        <f t="shared" si="49"/>
        <v>34.846582059057418</v>
      </c>
      <c r="G75" s="1141">
        <f t="shared" si="49"/>
        <v>37.957105852284137</v>
      </c>
      <c r="H75" s="1141">
        <f t="shared" si="49"/>
        <v>19.091999563367512</v>
      </c>
      <c r="I75" s="1141">
        <f t="shared" si="49"/>
        <v>2.3978210843577097</v>
      </c>
      <c r="J75" s="1141">
        <f t="shared" si="49"/>
        <v>0.76140469314531778</v>
      </c>
      <c r="K75" s="1141">
        <f t="shared" si="49"/>
        <v>7.258241019260514</v>
      </c>
      <c r="L75" s="1141">
        <f t="shared" si="42"/>
        <v>4.509113219918004</v>
      </c>
      <c r="M75" s="1141">
        <f t="shared" si="42"/>
        <v>-3.6297756360873623</v>
      </c>
      <c r="N75" s="1141">
        <f t="shared" si="42"/>
        <v>20.534518315446661</v>
      </c>
      <c r="O75" s="1141">
        <f t="shared" ref="O75:P75" si="50">+O20</f>
        <v>15.800062026025795</v>
      </c>
      <c r="P75" s="1141">
        <f t="shared" si="50"/>
        <v>15.942287381312227</v>
      </c>
      <c r="Q75" s="1172" t="s">
        <v>507</v>
      </c>
      <c r="R75" s="1107">
        <f t="shared" si="44"/>
        <v>11.698523336604955</v>
      </c>
      <c r="S75" s="1107">
        <f t="shared" si="44"/>
        <v>11.272959939011741</v>
      </c>
      <c r="T75" s="1107">
        <f t="shared" si="44"/>
        <v>20.372743127269903</v>
      </c>
      <c r="U75" s="1107">
        <f t="shared" si="44"/>
        <v>18.607983910458621</v>
      </c>
      <c r="V75" s="1107">
        <f t="shared" si="45"/>
        <v>18.302901636439795</v>
      </c>
      <c r="W75" s="1107">
        <f t="shared" si="45"/>
        <v>17.358786833189573</v>
      </c>
      <c r="X75" s="1107">
        <f t="shared" si="46"/>
        <v>20.182724046391197</v>
      </c>
      <c r="Y75" s="1107">
        <f t="shared" si="46"/>
        <v>18.042606865349413</v>
      </c>
      <c r="Z75" s="1107">
        <f t="shared" si="47"/>
        <v>19.81172841145958</v>
      </c>
      <c r="AA75" s="1107">
        <f t="shared" si="47"/>
        <v>18.905317669024392</v>
      </c>
      <c r="AB75" s="1107">
        <f t="shared" ref="AB75:AD75" si="51">+AB49</f>
        <v>0</v>
      </c>
      <c r="AC75" s="1107">
        <f t="shared" si="51"/>
        <v>0</v>
      </c>
      <c r="AD75" s="1107">
        <f t="shared" si="51"/>
        <v>0</v>
      </c>
    </row>
    <row r="76" spans="1:30" s="1106" customFormat="1" ht="10.5" customHeight="1">
      <c r="A76" s="1174" t="s">
        <v>591</v>
      </c>
      <c r="B76" s="1175" t="str">
        <f t="shared" ref="B76:K76" si="52">B35</f>
        <v>-</v>
      </c>
      <c r="C76" s="1175" t="str">
        <f t="shared" si="52"/>
        <v>-</v>
      </c>
      <c r="D76" s="1175">
        <f t="shared" si="52"/>
        <v>7942.3412000000053</v>
      </c>
      <c r="E76" s="1175">
        <f t="shared" si="52"/>
        <v>6773.7490000000089</v>
      </c>
      <c r="F76" s="1175">
        <f t="shared" si="52"/>
        <v>17772.003499999988</v>
      </c>
      <c r="G76" s="1175">
        <f t="shared" si="52"/>
        <v>28325.449999999975</v>
      </c>
      <c r="H76" s="1175">
        <f t="shared" si="52"/>
        <v>30040.5</v>
      </c>
      <c r="I76" s="1175">
        <f t="shared" si="52"/>
        <v>28697.67000000002</v>
      </c>
      <c r="J76" s="1175">
        <f t="shared" si="52"/>
        <v>32745.109999999986</v>
      </c>
      <c r="K76" s="1175">
        <f t="shared" si="52"/>
        <v>30803.490000000005</v>
      </c>
      <c r="L76" s="1175">
        <f t="shared" ref="L76:N77" si="53">L35</f>
        <v>39296.700000000012</v>
      </c>
      <c r="M76" s="1175">
        <f t="shared" si="53"/>
        <v>38275.599999999991</v>
      </c>
      <c r="N76" s="1175">
        <f t="shared" si="53"/>
        <v>43986.379989166307</v>
      </c>
      <c r="O76" s="1175">
        <f t="shared" ref="O76:P76" si="54">O35</f>
        <v>50946.966213440115</v>
      </c>
      <c r="P76" s="1175">
        <f t="shared" si="54"/>
        <v>54625.757074812922</v>
      </c>
      <c r="Q76" s="1172" t="s">
        <v>508</v>
      </c>
      <c r="R76" s="1107">
        <f t="shared" si="44"/>
        <v>8.8082347135117818</v>
      </c>
      <c r="S76" s="1107">
        <f t="shared" si="44"/>
        <v>7.6845093654883181</v>
      </c>
      <c r="T76" s="1107">
        <f t="shared" si="44"/>
        <v>14.951456151405749</v>
      </c>
      <c r="U76" s="1107">
        <f t="shared" si="44"/>
        <v>17.273480125598908</v>
      </c>
      <c r="V76" s="1107">
        <f t="shared" si="45"/>
        <v>15.382523818448277</v>
      </c>
      <c r="W76" s="1107">
        <f t="shared" si="45"/>
        <v>14.350808236132478</v>
      </c>
      <c r="X76" s="1107">
        <f t="shared" si="46"/>
        <v>16.251070125278474</v>
      </c>
      <c r="Y76" s="1107">
        <f t="shared" si="46"/>
        <v>14.252950095803216</v>
      </c>
      <c r="Z76" s="1107">
        <f t="shared" si="47"/>
        <v>17.398297745735071</v>
      </c>
      <c r="AA76" s="1107">
        <f t="shared" si="47"/>
        <v>17.584491525579455</v>
      </c>
      <c r="AB76" s="1107">
        <f t="shared" ref="AB76:AD76" si="55">+AB50</f>
        <v>0</v>
      </c>
      <c r="AC76" s="1107">
        <f t="shared" si="55"/>
        <v>0</v>
      </c>
      <c r="AD76" s="1107">
        <f t="shared" si="55"/>
        <v>0</v>
      </c>
    </row>
    <row r="77" spans="1:30" s="1173" customFormat="1" ht="10.5" customHeight="1">
      <c r="A77" s="1171" t="s">
        <v>406</v>
      </c>
      <c r="B77" s="1141" t="str">
        <f t="shared" ref="B77:K77" si="56">B36</f>
        <v>-</v>
      </c>
      <c r="C77" s="1141" t="str">
        <f t="shared" si="56"/>
        <v>-</v>
      </c>
      <c r="D77" s="1141" t="str">
        <f t="shared" si="56"/>
        <v>-</v>
      </c>
      <c r="E77" s="1141">
        <f t="shared" si="56"/>
        <v>-14.713447465591079</v>
      </c>
      <c r="F77" s="1141">
        <f t="shared" si="56"/>
        <v>162.36584054118279</v>
      </c>
      <c r="G77" s="1141">
        <f t="shared" si="56"/>
        <v>59.382424159437022</v>
      </c>
      <c r="H77" s="1141">
        <f t="shared" si="56"/>
        <v>6.0548023067595658</v>
      </c>
      <c r="I77" s="1141">
        <f t="shared" si="56"/>
        <v>-4.4700654116941463</v>
      </c>
      <c r="J77" s="1141">
        <f t="shared" si="56"/>
        <v>14.103723403328438</v>
      </c>
      <c r="K77" s="1141">
        <f t="shared" si="56"/>
        <v>-5.9294960377289314</v>
      </c>
      <c r="L77" s="1141">
        <f t="shared" si="53"/>
        <v>27.572232886598247</v>
      </c>
      <c r="M77" s="1141">
        <f t="shared" si="53"/>
        <v>-2.5984370188845918</v>
      </c>
      <c r="N77" s="1141">
        <f t="shared" si="53"/>
        <v>14.920157983588279</v>
      </c>
      <c r="O77" s="1141">
        <f t="shared" ref="O77:P77" si="57">O36</f>
        <v>15.824412524941067</v>
      </c>
      <c r="P77" s="1141">
        <f t="shared" si="57"/>
        <v>7.2208241918874538</v>
      </c>
      <c r="Q77" s="1172" t="s">
        <v>509</v>
      </c>
      <c r="R77" s="1107" t="str">
        <f t="shared" si="44"/>
        <v>-</v>
      </c>
      <c r="S77" s="1107">
        <f t="shared" si="44"/>
        <v>39.423897159855805</v>
      </c>
      <c r="T77" s="1107">
        <f t="shared" si="44"/>
        <v>74.969214939046495</v>
      </c>
      <c r="U77" s="1107">
        <f t="shared" si="44"/>
        <v>72.271978396040467</v>
      </c>
      <c r="V77" s="1107">
        <f t="shared" si="45"/>
        <v>54.862059810111539</v>
      </c>
      <c r="W77" s="1107">
        <f t="shared" si="45"/>
        <v>41.164227358118644</v>
      </c>
      <c r="X77" s="1107">
        <f t="shared" si="46"/>
        <v>37.401687319513179</v>
      </c>
      <c r="Y77" s="1107">
        <f t="shared" si="46"/>
        <v>30.348016318931752</v>
      </c>
      <c r="Z77" s="1107">
        <f t="shared" si="47"/>
        <v>34.195118298552444</v>
      </c>
      <c r="AA77" s="1107">
        <f t="shared" si="47"/>
        <v>29.206602561040889</v>
      </c>
      <c r="AB77" s="1107">
        <f t="shared" ref="AB77:AD77" si="58">+AB51</f>
        <v>0</v>
      </c>
      <c r="AC77" s="1107">
        <f t="shared" si="58"/>
        <v>0</v>
      </c>
      <c r="AD77" s="1107">
        <f t="shared" si="58"/>
        <v>0</v>
      </c>
    </row>
    <row r="78" spans="1:30" s="1106" customFormat="1" ht="10.5" customHeight="1">
      <c r="A78" s="1174" t="s">
        <v>2647</v>
      </c>
      <c r="B78" s="1109" t="str">
        <f t="shared" ref="B78:K78" si="59">+B38</f>
        <v>-</v>
      </c>
      <c r="C78" s="1109" t="str">
        <f t="shared" si="59"/>
        <v>-</v>
      </c>
      <c r="D78" s="1109">
        <f t="shared" si="59"/>
        <v>28.467172759856648</v>
      </c>
      <c r="E78" s="1109">
        <f t="shared" si="59"/>
        <v>23.408849425895212</v>
      </c>
      <c r="F78" s="1109">
        <f t="shared" si="59"/>
        <v>61.41682455726982</v>
      </c>
      <c r="G78" s="1109">
        <f t="shared" si="59"/>
        <v>97.887623821125061</v>
      </c>
      <c r="H78" s="1109">
        <f t="shared" si="59"/>
        <v>103.81452592627866</v>
      </c>
      <c r="I78" s="1109">
        <f t="shared" si="59"/>
        <v>99.173948710533836</v>
      </c>
      <c r="J78" s="1109">
        <f t="shared" si="59"/>
        <v>113.16116812482633</v>
      </c>
      <c r="K78" s="1109">
        <f t="shared" si="59"/>
        <v>106.45128114461697</v>
      </c>
      <c r="L78" s="1109">
        <f t="shared" ref="L78:N79" si="60">+L38</f>
        <v>135.80227629257823</v>
      </c>
      <c r="M78" s="1109">
        <f t="shared" si="60"/>
        <v>132.27353967290395</v>
      </c>
      <c r="N78" s="1109">
        <f t="shared" si="60"/>
        <v>0</v>
      </c>
      <c r="O78" s="1109">
        <f t="shared" ref="O78:P78" si="61">+O38</f>
        <v>0</v>
      </c>
      <c r="P78" s="1109">
        <f t="shared" si="61"/>
        <v>0</v>
      </c>
      <c r="Q78" s="1172" t="s">
        <v>312</v>
      </c>
      <c r="R78" s="1107">
        <f>+D65</f>
        <v>0</v>
      </c>
      <c r="S78" s="1107">
        <f>'Ratio Sheet'!I89*100</f>
        <v>23.099308807404263</v>
      </c>
      <c r="T78" s="1107">
        <f>'Ratio Sheet'!J89*100</f>
        <v>51.684874752345181</v>
      </c>
      <c r="U78" s="1107">
        <f>'Ratio Sheet'!K89*100</f>
        <v>83.87018019366937</v>
      </c>
      <c r="V78" s="1107">
        <f>'Ratio Sheet'!L89*100</f>
        <v>103.59513757833676</v>
      </c>
      <c r="W78" s="1107">
        <f>'Ratio Sheet'!M89*100</f>
        <v>73.241128829780095</v>
      </c>
      <c r="X78" s="1107">
        <f>'Ratio Sheet'!N89*100</f>
        <v>77.069217587851014</v>
      </c>
      <c r="Y78" s="1107">
        <f>'Ratio Sheet'!O89*100</f>
        <v>70.174570486879901</v>
      </c>
      <c r="Z78" s="1107">
        <f>'Ratio Sheet'!P89*100</f>
        <v>84.016535090714129</v>
      </c>
      <c r="AA78" s="1107">
        <f>'Ratio Sheet'!Q89*100</f>
        <v>85.60762719897869</v>
      </c>
      <c r="AB78" s="1107">
        <f>'Ratio Sheet'!R89*100</f>
        <v>0</v>
      </c>
      <c r="AC78" s="1107">
        <f>'Ratio Sheet'!S89*100</f>
        <v>0</v>
      </c>
      <c r="AD78" s="1107">
        <f>'Ratio Sheet'!T89*100</f>
        <v>0</v>
      </c>
    </row>
    <row r="79" spans="1:30" s="1173" customFormat="1" ht="10.5" customHeight="1" thickBot="1">
      <c r="A79" s="1176" t="s">
        <v>406</v>
      </c>
      <c r="B79" s="1177" t="str">
        <f t="shared" ref="B79:K79" si="62">+B39</f>
        <v>-</v>
      </c>
      <c r="C79" s="1177" t="str">
        <f t="shared" si="62"/>
        <v>-</v>
      </c>
      <c r="D79" s="1177" t="str">
        <f t="shared" si="62"/>
        <v>-</v>
      </c>
      <c r="E79" s="1177">
        <f t="shared" si="62"/>
        <v>-17.768969811763313</v>
      </c>
      <c r="F79" s="1177">
        <f t="shared" si="62"/>
        <v>162.36584054118279</v>
      </c>
      <c r="G79" s="1177">
        <f t="shared" si="62"/>
        <v>59.382424159437022</v>
      </c>
      <c r="H79" s="1177">
        <f t="shared" si="62"/>
        <v>6.0548023067595658</v>
      </c>
      <c r="I79" s="1177">
        <f t="shared" si="62"/>
        <v>-4.4700654116941347</v>
      </c>
      <c r="J79" s="1177">
        <f t="shared" si="62"/>
        <v>14.103723403328438</v>
      </c>
      <c r="K79" s="1177">
        <f t="shared" si="62"/>
        <v>-5.929496037728943</v>
      </c>
      <c r="L79" s="1177">
        <f t="shared" si="60"/>
        <v>27.572232886598268</v>
      </c>
      <c r="M79" s="1177">
        <f t="shared" si="60"/>
        <v>-2.5984370188845807</v>
      </c>
      <c r="N79" s="1177">
        <f t="shared" si="60"/>
        <v>-100</v>
      </c>
      <c r="O79" s="1177" t="e">
        <f t="shared" ref="O79:P79" si="63">+O39</f>
        <v>#DIV/0!</v>
      </c>
      <c r="P79" s="1177" t="e">
        <f t="shared" si="63"/>
        <v>#DIV/0!</v>
      </c>
      <c r="Q79" s="1178" t="s">
        <v>510</v>
      </c>
      <c r="R79" s="1111" t="str">
        <f t="shared" ref="R79:Y79" si="64">+R52</f>
        <v>-</v>
      </c>
      <c r="S79" s="1111">
        <f t="shared" si="64"/>
        <v>21.694601553722688</v>
      </c>
      <c r="T79" s="1111">
        <f t="shared" si="64"/>
        <v>46.420778613281293</v>
      </c>
      <c r="U79" s="1111">
        <f t="shared" si="64"/>
        <v>59.645748317730366</v>
      </c>
      <c r="V79" s="1111">
        <f t="shared" si="64"/>
        <v>53.117113481703562</v>
      </c>
      <c r="W79" s="1111">
        <f t="shared" si="64"/>
        <v>40.677432370162222</v>
      </c>
      <c r="X79" s="1111">
        <f t="shared" si="64"/>
        <v>37.132437837314058</v>
      </c>
      <c r="Y79" s="1111">
        <f t="shared" si="64"/>
        <v>30.14049171629447</v>
      </c>
      <c r="Z79" s="1111">
        <f>+Z52</f>
        <v>33.7982145747796</v>
      </c>
      <c r="AA79" s="1111">
        <f>+AA52</f>
        <v>28.85649711938381</v>
      </c>
      <c r="AB79" s="1111">
        <f>+AB52</f>
        <v>0</v>
      </c>
      <c r="AC79" s="1111">
        <f t="shared" ref="AC79:AD79" si="65">+AC52</f>
        <v>0</v>
      </c>
      <c r="AD79" s="1111">
        <f t="shared" si="65"/>
        <v>0</v>
      </c>
    </row>
    <row r="80" spans="1:30" s="1106" customFormat="1" ht="10.5" customHeight="1">
      <c r="B80" s="1107"/>
      <c r="C80" s="1107"/>
      <c r="D80" s="1107"/>
      <c r="E80" s="1107"/>
      <c r="F80" s="1107"/>
      <c r="G80" s="1107"/>
      <c r="R80" s="1107"/>
      <c r="S80" s="1107"/>
      <c r="T80" s="1107"/>
    </row>
    <row r="81" spans="1:20" s="1106" customFormat="1" ht="10.5" customHeight="1">
      <c r="B81" s="1107"/>
      <c r="C81" s="1107"/>
      <c r="D81" s="1107"/>
      <c r="E81" s="1107"/>
      <c r="F81" s="1107"/>
      <c r="G81" s="1107"/>
      <c r="R81" s="1107"/>
      <c r="S81" s="1107"/>
      <c r="T81" s="1107"/>
    </row>
    <row r="82" spans="1:20" s="1106" customFormat="1" ht="10.5" customHeight="1">
      <c r="A82" s="1132" t="s">
        <v>239</v>
      </c>
      <c r="B82" s="1107"/>
      <c r="C82" s="1107"/>
      <c r="D82" s="1107"/>
      <c r="E82" s="1107"/>
      <c r="F82" s="1107"/>
      <c r="G82" s="1107"/>
      <c r="R82" s="1107"/>
      <c r="S82" s="1107"/>
      <c r="T82" s="1107"/>
    </row>
    <row r="83" spans="1:20" s="1106" customFormat="1" ht="10.5" customHeight="1">
      <c r="A83" s="1136" t="s">
        <v>506</v>
      </c>
      <c r="B83" s="1137" t="str">
        <f t="shared" ref="B83:K83" si="66">+B63</f>
        <v>FY06</v>
      </c>
      <c r="C83" s="1137" t="str">
        <f t="shared" si="66"/>
        <v>FY07</v>
      </c>
      <c r="D83" s="1137" t="str">
        <f t="shared" si="66"/>
        <v>FY08</v>
      </c>
      <c r="E83" s="1137" t="str">
        <f t="shared" si="66"/>
        <v>FY09</v>
      </c>
      <c r="F83" s="1137" t="str">
        <f t="shared" si="66"/>
        <v>FY10E</v>
      </c>
      <c r="G83" s="1137" t="str">
        <f t="shared" si="66"/>
        <v>FY11E</v>
      </c>
      <c r="H83" s="1137" t="str">
        <f t="shared" si="66"/>
        <v>FY12E</v>
      </c>
      <c r="I83" s="1137" t="str">
        <f t="shared" si="66"/>
        <v>FY13</v>
      </c>
      <c r="J83" s="1137" t="str">
        <f t="shared" si="66"/>
        <v>FY14E</v>
      </c>
      <c r="K83" s="1137" t="str">
        <f t="shared" si="66"/>
        <v>FY15E</v>
      </c>
      <c r="L83" s="1137" t="str">
        <f>+L63</f>
        <v>FY16E</v>
      </c>
      <c r="M83" s="1137" t="str">
        <f>+M63</f>
        <v>FY17E</v>
      </c>
      <c r="N83" s="1137" t="str">
        <f>+N63</f>
        <v>FY18E</v>
      </c>
      <c r="O83" s="1137" t="str">
        <f t="shared" ref="O83:P83" si="67">+O63</f>
        <v>FY19E</v>
      </c>
      <c r="P83" s="1137" t="str">
        <f t="shared" si="67"/>
        <v>FY20E</v>
      </c>
      <c r="R83" s="1107"/>
      <c r="S83" s="1107"/>
      <c r="T83" s="1107"/>
    </row>
    <row r="84" spans="1:20" s="1106" customFormat="1" ht="10.5" customHeight="1">
      <c r="A84" s="1138" t="s">
        <v>240</v>
      </c>
      <c r="B84" s="1107">
        <f>(+'Ratio Sheet'!F149)*100</f>
        <v>71.122835651882355</v>
      </c>
      <c r="C84" s="1107">
        <f>(+'Ratio Sheet'!G149)*100</f>
        <v>74.471791251208046</v>
      </c>
      <c r="D84" s="1107">
        <f>(+'Ratio Sheet'!H149)*100</f>
        <v>72.57388841170345</v>
      </c>
      <c r="E84" s="1107">
        <f>(+'Ratio Sheet'!I149)*100</f>
        <v>76.22945082151702</v>
      </c>
      <c r="F84" s="1107">
        <f>(+'Ratio Sheet'!J149)*100</f>
        <v>73.708192839042269</v>
      </c>
      <c r="G84" s="1107">
        <f>(+'Ratio Sheet'!K149)*100</f>
        <v>65.104752054243491</v>
      </c>
      <c r="H84" s="1107">
        <f>(+'Ratio Sheet'!L149)*100</f>
        <v>74.613093833593709</v>
      </c>
      <c r="I84" s="1107">
        <f>(+'Ratio Sheet'!M149)*100</f>
        <v>71.423839081718512</v>
      </c>
      <c r="J84" s="1107">
        <f>(+'Ratio Sheet'!N149)*100</f>
        <v>69.998097477554495</v>
      </c>
      <c r="K84" s="1107">
        <f>(+'Ratio Sheet'!O149)*100</f>
        <v>74.6684297408475</v>
      </c>
      <c r="L84" s="1107">
        <f>(+'Ratio Sheet'!P149)*100</f>
        <v>70.83907184009577</v>
      </c>
      <c r="M84" s="1107">
        <f>(+'Ratio Sheet'!Q149)*100</f>
        <v>71.735858745827571</v>
      </c>
      <c r="N84" s="1107">
        <f>(+'Ratio Sheet'!R149)*100</f>
        <v>0</v>
      </c>
      <c r="O84" s="1107">
        <f>(+'Ratio Sheet'!S149)*100</f>
        <v>0</v>
      </c>
      <c r="P84" s="1107">
        <f>(+'Ratio Sheet'!T149)*100</f>
        <v>0</v>
      </c>
      <c r="R84" s="1107"/>
      <c r="S84" s="1107"/>
      <c r="T84" s="1107"/>
    </row>
    <row r="85" spans="1:20" s="1106" customFormat="1" ht="10.5" customHeight="1">
      <c r="A85" s="1138" t="s">
        <v>241</v>
      </c>
      <c r="B85" s="1107">
        <f>(+'Ratio Sheet'!F150)*100</f>
        <v>127.65014172312715</v>
      </c>
      <c r="C85" s="1107">
        <f>(+'Ratio Sheet'!G150)*100</f>
        <v>133.01388632304943</v>
      </c>
      <c r="D85" s="1107">
        <f>(+'Ratio Sheet'!H150)*100</f>
        <v>103.74745224439492</v>
      </c>
      <c r="E85" s="1107">
        <f>(+'Ratio Sheet'!I150)*100</f>
        <v>89.424267125562309</v>
      </c>
      <c r="F85" s="1107">
        <f>(+'Ratio Sheet'!J150)*100</f>
        <v>99.567641228939536</v>
      </c>
      <c r="G85" s="1107">
        <f>(+'Ratio Sheet'!K150)*100</f>
        <v>142.58302800700014</v>
      </c>
      <c r="H85" s="1107">
        <f>(+'Ratio Sheet'!L150)*100</f>
        <v>112.63998970447939</v>
      </c>
      <c r="I85" s="1107">
        <f>(+'Ratio Sheet'!M150)*100</f>
        <v>115.74808139936852</v>
      </c>
      <c r="J85" s="1107">
        <f>(+'Ratio Sheet'!N150)*100</f>
        <v>115.03127827831764</v>
      </c>
      <c r="K85" s="1107">
        <f>(+'Ratio Sheet'!O150)*100</f>
        <v>105.79580804078606</v>
      </c>
      <c r="L85" s="1107">
        <f>(+'Ratio Sheet'!P150)*100</f>
        <v>123.96855264392886</v>
      </c>
      <c r="M85" s="1107">
        <f>(+'Ratio Sheet'!Q150)*100</f>
        <v>129.66104989963696</v>
      </c>
      <c r="N85" s="1107">
        <f>(+'Ratio Sheet'!R150)*100</f>
        <v>0</v>
      </c>
      <c r="O85" s="1107">
        <f>(+'Ratio Sheet'!S150)*100</f>
        <v>0</v>
      </c>
      <c r="P85" s="1107">
        <f>(+'Ratio Sheet'!T150)*100</f>
        <v>0</v>
      </c>
      <c r="R85" s="1107"/>
      <c r="S85" s="1107"/>
      <c r="T85" s="1107"/>
    </row>
    <row r="86" spans="1:20" s="1106" customFormat="1" ht="10.5" customHeight="1">
      <c r="A86" s="1138" t="s">
        <v>242</v>
      </c>
      <c r="B86" s="1107">
        <f>(+'Ratio Sheet'!F151)*100</f>
        <v>15.997111469378472</v>
      </c>
      <c r="C86" s="1107">
        <f>(+'Ratio Sheet'!G151)*100</f>
        <v>13.542628757758413</v>
      </c>
      <c r="D86" s="1107">
        <f>(+'Ratio Sheet'!H151)*100</f>
        <v>11.698523336604955</v>
      </c>
      <c r="E86" s="1107">
        <f>(+'Ratio Sheet'!I151)*100</f>
        <v>11.272959939011741</v>
      </c>
      <c r="F86" s="1107">
        <f>(+'Ratio Sheet'!J151)*100</f>
        <v>20.372743127269903</v>
      </c>
      <c r="G86" s="1107">
        <f>(+'Ratio Sheet'!K151)*100</f>
        <v>18.607983910458621</v>
      </c>
      <c r="H86" s="1107">
        <f>(+'Ratio Sheet'!L151)*100</f>
        <v>18.302901636439795</v>
      </c>
      <c r="I86" s="1107">
        <f>(+'Ratio Sheet'!M151)*100</f>
        <v>17.358786833189573</v>
      </c>
      <c r="J86" s="1107">
        <f>(+'Ratio Sheet'!N151)*100</f>
        <v>20.182724046391197</v>
      </c>
      <c r="K86" s="1107">
        <f>(+'Ratio Sheet'!O151)*100</f>
        <v>18.042606865349413</v>
      </c>
      <c r="L86" s="1107">
        <f>(+'Ratio Sheet'!P151)*100</f>
        <v>19.81172841145958</v>
      </c>
      <c r="M86" s="1107">
        <f>(+'Ratio Sheet'!Q151)*100</f>
        <v>18.905317669024392</v>
      </c>
      <c r="N86" s="1107">
        <f>(+'Ratio Sheet'!R151)*100</f>
        <v>0</v>
      </c>
      <c r="O86" s="1107">
        <f>(+'Ratio Sheet'!S151)*100</f>
        <v>0</v>
      </c>
      <c r="P86" s="1107">
        <f>(+'Ratio Sheet'!T151)*100</f>
        <v>0</v>
      </c>
      <c r="R86" s="1107"/>
      <c r="S86" s="1107"/>
      <c r="T86" s="1107"/>
    </row>
    <row r="87" spans="1:20" s="1106" customFormat="1" ht="10.5" customHeight="1">
      <c r="A87" s="1138" t="s">
        <v>243</v>
      </c>
      <c r="B87" s="1107">
        <f>(+'Ratio Sheet'!F152)*100</f>
        <v>86.308377826158249</v>
      </c>
      <c r="C87" s="1107">
        <f>(+'Ratio Sheet'!G152)*100</f>
        <v>90.178932347140417</v>
      </c>
      <c r="D87" s="1107">
        <f>(+'Ratio Sheet'!H152)*100</f>
        <v>110.32175419535758</v>
      </c>
      <c r="E87" s="1107">
        <f>(+'Ratio Sheet'!I152)*100</f>
        <v>164.44896748448289</v>
      </c>
      <c r="F87" s="1107">
        <f>(+'Ratio Sheet'!J152)*100</f>
        <v>164.99659220412903</v>
      </c>
      <c r="G87" s="1107">
        <f>(+'Ratio Sheet'!K152)*100</f>
        <v>184.95071772007842</v>
      </c>
      <c r="H87" s="1107">
        <f>(+'Ratio Sheet'!L152)*100</f>
        <v>193.13336936436221</v>
      </c>
      <c r="I87" s="1107">
        <f>(+'Ratio Sheet'!M152)*100</f>
        <v>170.94428074278665</v>
      </c>
      <c r="J87" s="1107">
        <f>(+'Ratio Sheet'!N152)*100</f>
        <v>149.43284591578606</v>
      </c>
      <c r="K87" s="1107">
        <f>(+'Ratio Sheet'!O152)*100</f>
        <v>143.95933277291445</v>
      </c>
      <c r="L87" s="1107">
        <f>(+'Ratio Sheet'!P152)*100</f>
        <v>146.16632848226658</v>
      </c>
      <c r="M87" s="1107">
        <f>(+'Ratio Sheet'!Q152)*100</f>
        <v>126.39112784927524</v>
      </c>
      <c r="N87" s="1107">
        <f>(+'Ratio Sheet'!R152)*100</f>
        <v>0</v>
      </c>
      <c r="O87" s="1107">
        <f>(+'Ratio Sheet'!S152)*100</f>
        <v>0</v>
      </c>
      <c r="P87" s="1107">
        <f>(+'Ratio Sheet'!T152)*100</f>
        <v>0</v>
      </c>
      <c r="R87" s="1107"/>
      <c r="S87" s="1107"/>
      <c r="T87" s="1107"/>
    </row>
    <row r="88" spans="1:20" s="1106" customFormat="1" ht="10.5" customHeight="1">
      <c r="A88" s="1138" t="s">
        <v>244</v>
      </c>
      <c r="B88" s="1107">
        <f>(+'Ratio Sheet'!F153)*100</f>
        <v>201.43451733928924</v>
      </c>
      <c r="C88" s="1107">
        <f>(+'Ratio Sheet'!G153)*100</f>
        <v>206.45281203887996</v>
      </c>
      <c r="D88" s="1107">
        <f>(+'Ratio Sheet'!H153)*100</f>
        <v>228.37210362660403</v>
      </c>
      <c r="E88" s="1107">
        <f>(+'Ratio Sheet'!I153)*100</f>
        <v>311.96958699714213</v>
      </c>
      <c r="F88" s="1107">
        <f>(+'Ratio Sheet'!J153)*100</f>
        <v>303.89565940943976</v>
      </c>
      <c r="G88" s="1107">
        <f>(+'Ratio Sheet'!K153)*100</f>
        <v>226.22160420874599</v>
      </c>
      <c r="H88" s="1107">
        <f>(+'Ratio Sheet'!L153)*100</f>
        <v>184.66610788409429</v>
      </c>
      <c r="I88" s="1107">
        <f>(+'Ratio Sheet'!M153)*100</f>
        <v>167.79886997804385</v>
      </c>
      <c r="J88" s="1107">
        <f>(+'Ratio Sheet'!N153)*100</f>
        <v>154.0150507356496</v>
      </c>
      <c r="K88" s="1107">
        <f>(+'Ratio Sheet'!O153)*100</f>
        <v>147.90597520906505</v>
      </c>
      <c r="L88" s="1107">
        <f>(+'Ratio Sheet'!P153)*100</f>
        <v>134.46523447184774</v>
      </c>
      <c r="M88" s="1107">
        <f>(+'Ratio Sheet'!Q153)*100</f>
        <v>131.41188255152778</v>
      </c>
      <c r="N88" s="1107">
        <f>(+'Ratio Sheet'!R153)*100</f>
        <v>0</v>
      </c>
      <c r="O88" s="1107">
        <f>(+'Ratio Sheet'!S153)*100</f>
        <v>0</v>
      </c>
      <c r="P88" s="1107">
        <f>(+'Ratio Sheet'!T153)*100</f>
        <v>0</v>
      </c>
      <c r="R88" s="1107"/>
      <c r="S88" s="1107"/>
      <c r="T88" s="1107"/>
    </row>
    <row r="89" spans="1:20" s="1106" customFormat="1" ht="10.5" customHeight="1">
      <c r="A89" s="1143" t="s">
        <v>511</v>
      </c>
      <c r="B89" s="1107">
        <f>(+'Ratio Sheet'!F155)*100</f>
        <v>25.249848821735082</v>
      </c>
      <c r="C89" s="1107">
        <f>(+'Ratio Sheet'!G155)*100</f>
        <v>24.975698775900629</v>
      </c>
      <c r="D89" s="1107">
        <f>(+'Ratio Sheet'!H155)*100</f>
        <v>22.191828627341735</v>
      </c>
      <c r="E89" s="1107">
        <f>(+'Ratio Sheet'!I155)*100</f>
        <v>39.423897159855819</v>
      </c>
      <c r="F89" s="1107">
        <f>(+'Ratio Sheet'!J155)*100</f>
        <v>74.969214939046495</v>
      </c>
      <c r="G89" s="1107">
        <f>(+'Ratio Sheet'!K155)*100</f>
        <v>72.271978396040481</v>
      </c>
      <c r="H89" s="1107">
        <f>(+'Ratio Sheet'!L155)*100</f>
        <v>54.862059810111539</v>
      </c>
      <c r="I89" s="1107">
        <f>(+'Ratio Sheet'!M155)*100</f>
        <v>41.164227358118637</v>
      </c>
      <c r="J89" s="1107">
        <f>(+'Ratio Sheet'!N155)*100</f>
        <v>37.401687319513172</v>
      </c>
      <c r="K89" s="1107">
        <f>(+'Ratio Sheet'!O155)*100</f>
        <v>30.348016318931759</v>
      </c>
      <c r="L89" s="1107">
        <f>(+'Ratio Sheet'!P155)*100</f>
        <v>34.195118298552444</v>
      </c>
      <c r="M89" s="1107">
        <f>(+'Ratio Sheet'!Q155)*100</f>
        <v>29.206602561040885</v>
      </c>
      <c r="N89" s="1107">
        <f>(+'Ratio Sheet'!R155)*100</f>
        <v>0</v>
      </c>
      <c r="O89" s="1107">
        <f>(+'Ratio Sheet'!S155)*100</f>
        <v>0</v>
      </c>
      <c r="P89" s="1107">
        <f>(+'Ratio Sheet'!T155)*100</f>
        <v>0</v>
      </c>
      <c r="R89" s="1107"/>
      <c r="S89" s="1107"/>
      <c r="T89" s="1107"/>
    </row>
    <row r="90" spans="1:20" s="1106" customFormat="1" ht="10.5" customHeight="1">
      <c r="B90" s="1107"/>
      <c r="C90" s="1107"/>
      <c r="D90" s="1107"/>
      <c r="E90" s="1107"/>
      <c r="F90" s="1107"/>
      <c r="G90" s="1107"/>
      <c r="R90" s="1107"/>
      <c r="S90" s="1107"/>
      <c r="T90" s="1107"/>
    </row>
    <row r="91" spans="1:20" s="1106" customFormat="1" ht="10.5" hidden="1" customHeight="1">
      <c r="B91" s="1107"/>
      <c r="C91" s="1107"/>
      <c r="D91" s="1107"/>
      <c r="E91" s="1107"/>
      <c r="F91" s="1107"/>
      <c r="G91" s="1107"/>
      <c r="R91" s="1107"/>
      <c r="S91" s="1107"/>
      <c r="T91" s="1107"/>
    </row>
    <row r="92" spans="1:20" s="1106" customFormat="1" ht="10.5" hidden="1" customHeight="1">
      <c r="A92" s="1132" t="s">
        <v>518</v>
      </c>
      <c r="B92" s="1107"/>
      <c r="C92" s="1107"/>
      <c r="D92" s="1107"/>
      <c r="E92" s="1107"/>
      <c r="F92" s="1107"/>
      <c r="G92" s="1107"/>
      <c r="R92" s="1107"/>
      <c r="S92" s="1107"/>
      <c r="T92" s="1107"/>
    </row>
    <row r="93" spans="1:20" s="1106" customFormat="1" ht="10.5" hidden="1" customHeight="1">
      <c r="A93" s="1136" t="s">
        <v>520</v>
      </c>
      <c r="B93" s="1137" t="s">
        <v>481</v>
      </c>
      <c r="C93" s="1137" t="s">
        <v>482</v>
      </c>
      <c r="D93" s="1137" t="s">
        <v>483</v>
      </c>
      <c r="E93" s="1137" t="s">
        <v>484</v>
      </c>
      <c r="F93" s="1137" t="s">
        <v>563</v>
      </c>
      <c r="G93" s="1137" t="s">
        <v>588</v>
      </c>
      <c r="H93" s="1137" t="s">
        <v>596</v>
      </c>
      <c r="I93" s="1137" t="s">
        <v>596</v>
      </c>
      <c r="J93" s="1137" t="s">
        <v>596</v>
      </c>
      <c r="K93" s="1137" t="s">
        <v>596</v>
      </c>
      <c r="L93" s="1137" t="s">
        <v>596</v>
      </c>
      <c r="M93" s="1137" t="s">
        <v>596</v>
      </c>
      <c r="N93" s="1137" t="s">
        <v>596</v>
      </c>
      <c r="O93" s="1137"/>
      <c r="P93" s="1137"/>
      <c r="Q93" s="1137" t="s">
        <v>656</v>
      </c>
      <c r="R93" s="1137" t="s">
        <v>722</v>
      </c>
      <c r="S93" s="1107"/>
    </row>
    <row r="94" spans="1:20" s="1106" customFormat="1" ht="10.5" hidden="1" customHeight="1">
      <c r="A94" s="1138" t="s">
        <v>404</v>
      </c>
      <c r="B94" s="1120"/>
      <c r="C94" s="1120"/>
      <c r="D94" s="1120"/>
      <c r="E94" s="1120"/>
      <c r="F94" s="1120"/>
      <c r="G94" s="1120"/>
      <c r="H94" s="1120"/>
      <c r="I94" s="1120"/>
      <c r="J94" s="1120"/>
      <c r="K94" s="1120"/>
      <c r="L94" s="1120"/>
      <c r="M94" s="1120"/>
      <c r="N94" s="1120"/>
      <c r="O94" s="1120"/>
      <c r="P94" s="1120"/>
      <c r="Q94" s="1120"/>
      <c r="R94" s="1120"/>
      <c r="S94" s="1107"/>
    </row>
    <row r="95" spans="1:20" s="1106" customFormat="1" ht="10.5" hidden="1" customHeight="1">
      <c r="A95" s="1140" t="s">
        <v>519</v>
      </c>
      <c r="B95" s="1141"/>
      <c r="C95" s="1141"/>
      <c r="D95" s="1141"/>
      <c r="E95" s="1141"/>
      <c r="F95" s="1141"/>
      <c r="G95" s="1141"/>
      <c r="H95" s="1141"/>
      <c r="I95" s="1141"/>
      <c r="J95" s="1141"/>
      <c r="K95" s="1141"/>
      <c r="L95" s="1141"/>
      <c r="M95" s="1141"/>
      <c r="N95" s="1141"/>
      <c r="O95" s="1141"/>
      <c r="P95" s="1141"/>
      <c r="Q95" s="1141"/>
      <c r="R95" s="1141"/>
      <c r="S95" s="1107"/>
    </row>
    <row r="96" spans="1:20" s="1106" customFormat="1" ht="10.5" hidden="1" customHeight="1">
      <c r="A96" s="1140" t="s">
        <v>521</v>
      </c>
      <c r="B96" s="1141"/>
      <c r="C96" s="1141"/>
      <c r="D96" s="1141"/>
      <c r="E96" s="1141"/>
      <c r="F96" s="1141"/>
      <c r="G96" s="1141"/>
      <c r="H96" s="1141"/>
      <c r="I96" s="1141"/>
      <c r="J96" s="1141"/>
      <c r="K96" s="1141"/>
      <c r="L96" s="1141"/>
      <c r="M96" s="1141"/>
      <c r="N96" s="1141"/>
      <c r="O96" s="1141"/>
      <c r="P96" s="1141"/>
      <c r="Q96" s="1141"/>
      <c r="R96" s="1141"/>
      <c r="S96" s="1107"/>
    </row>
    <row r="97" spans="1:20" s="1106" customFormat="1" ht="10.5" hidden="1" customHeight="1">
      <c r="A97" s="1179" t="s">
        <v>659</v>
      </c>
      <c r="B97" s="1120"/>
      <c r="C97" s="1120"/>
      <c r="D97" s="1120"/>
      <c r="E97" s="1120"/>
      <c r="F97" s="1120"/>
      <c r="G97" s="1120"/>
      <c r="H97" s="1120"/>
      <c r="I97" s="1120"/>
      <c r="J97" s="1120"/>
      <c r="K97" s="1120"/>
      <c r="L97" s="1120"/>
      <c r="M97" s="1120"/>
      <c r="N97" s="1120"/>
      <c r="O97" s="1120"/>
      <c r="P97" s="1120"/>
      <c r="Q97" s="1120"/>
      <c r="R97" s="1120"/>
      <c r="S97" s="1107"/>
    </row>
    <row r="98" spans="1:20" s="1106" customFormat="1" ht="10.5" hidden="1" customHeight="1">
      <c r="A98" s="1140" t="s">
        <v>436</v>
      </c>
      <c r="B98" s="1141"/>
      <c r="C98" s="1141"/>
      <c r="D98" s="1141"/>
      <c r="E98" s="1141"/>
      <c r="F98" s="1141"/>
      <c r="G98" s="1141"/>
      <c r="H98" s="1141"/>
      <c r="I98" s="1141"/>
      <c r="J98" s="1141"/>
      <c r="K98" s="1141"/>
      <c r="L98" s="1141"/>
      <c r="M98" s="1141"/>
      <c r="N98" s="1141"/>
      <c r="O98" s="1141"/>
      <c r="P98" s="1141"/>
      <c r="Q98" s="1141"/>
      <c r="R98" s="1141"/>
      <c r="S98" s="1107"/>
    </row>
    <row r="99" spans="1:20" s="1106" customFormat="1" ht="10.5" hidden="1" customHeight="1">
      <c r="A99" s="1179" t="s">
        <v>687</v>
      </c>
      <c r="B99" s="1120"/>
      <c r="C99" s="1120"/>
      <c r="D99" s="1120"/>
      <c r="E99" s="1120"/>
      <c r="F99" s="1120"/>
      <c r="G99" s="1120"/>
      <c r="H99" s="1120"/>
      <c r="I99" s="1120"/>
      <c r="J99" s="1120"/>
      <c r="K99" s="1120"/>
      <c r="L99" s="1120"/>
      <c r="M99" s="1120"/>
      <c r="N99" s="1120"/>
      <c r="O99" s="1120"/>
      <c r="P99" s="1120"/>
      <c r="Q99" s="1120"/>
      <c r="R99" s="1120"/>
      <c r="S99" s="1107"/>
    </row>
    <row r="100" spans="1:20" s="1106" customFormat="1" ht="10.5" hidden="1" customHeight="1">
      <c r="A100" s="1140" t="s">
        <v>519</v>
      </c>
      <c r="B100" s="1141"/>
      <c r="C100" s="1141"/>
      <c r="D100" s="1141"/>
      <c r="E100" s="1141"/>
      <c r="F100" s="1141"/>
      <c r="G100" s="1141"/>
      <c r="H100" s="1141"/>
      <c r="I100" s="1141"/>
      <c r="J100" s="1141"/>
      <c r="K100" s="1141"/>
      <c r="L100" s="1141"/>
      <c r="M100" s="1141"/>
      <c r="N100" s="1141"/>
      <c r="O100" s="1141"/>
      <c r="P100" s="1141"/>
      <c r="Q100" s="1141"/>
      <c r="R100" s="1141"/>
      <c r="S100" s="1107"/>
    </row>
    <row r="101" spans="1:20" s="1106" customFormat="1" ht="10.5" hidden="1" customHeight="1">
      <c r="A101" s="1140" t="s">
        <v>521</v>
      </c>
      <c r="B101" s="1141"/>
      <c r="C101" s="1141"/>
      <c r="D101" s="1141"/>
      <c r="E101" s="1141"/>
      <c r="F101" s="1141"/>
      <c r="G101" s="1141"/>
      <c r="H101" s="1141"/>
      <c r="I101" s="1141"/>
      <c r="J101" s="1141"/>
      <c r="K101" s="1141"/>
      <c r="L101" s="1141"/>
      <c r="M101" s="1141"/>
      <c r="N101" s="1141"/>
      <c r="O101" s="1141"/>
      <c r="P101" s="1141"/>
      <c r="Q101" s="1141"/>
      <c r="R101" s="1141"/>
      <c r="S101" s="1107"/>
    </row>
    <row r="102" spans="1:20" s="1106" customFormat="1" ht="10.5" hidden="1" customHeight="1">
      <c r="B102" s="1107"/>
      <c r="C102" s="1107"/>
      <c r="D102" s="1107"/>
      <c r="E102" s="1107"/>
      <c r="F102" s="1107"/>
      <c r="G102" s="1107"/>
      <c r="R102" s="1107"/>
      <c r="S102" s="1107"/>
      <c r="T102" s="1107"/>
    </row>
    <row r="103" spans="1:20" s="1106" customFormat="1" ht="10.5" hidden="1" customHeight="1">
      <c r="B103" s="1107"/>
      <c r="C103" s="1107"/>
      <c r="D103" s="1107"/>
      <c r="E103" s="1107"/>
      <c r="F103" s="1107"/>
      <c r="G103" s="1107"/>
      <c r="R103" s="1107"/>
      <c r="S103" s="1107"/>
      <c r="T103" s="1107"/>
    </row>
    <row r="104" spans="1:20" s="1106" customFormat="1" ht="10.5" hidden="1" customHeight="1">
      <c r="A104" s="1132" t="s">
        <v>523</v>
      </c>
      <c r="B104" s="1107"/>
      <c r="C104" s="1107"/>
      <c r="D104" s="1107"/>
      <c r="E104" s="1107"/>
      <c r="F104" s="1107"/>
      <c r="G104" s="1107"/>
      <c r="R104" s="1107"/>
      <c r="S104" s="1107"/>
      <c r="T104" s="1107"/>
    </row>
    <row r="105" spans="1:20" s="1106" customFormat="1" ht="10.5" hidden="1" customHeight="1">
      <c r="A105" s="1136" t="s">
        <v>506</v>
      </c>
      <c r="B105" s="1180">
        <v>39508</v>
      </c>
      <c r="C105" s="1180">
        <v>39600</v>
      </c>
      <c r="D105" s="1180">
        <v>39692</v>
      </c>
      <c r="E105" s="1180">
        <v>39790</v>
      </c>
      <c r="F105" s="1180">
        <v>39873</v>
      </c>
      <c r="G105" s="1180">
        <v>39965</v>
      </c>
      <c r="H105" s="1180">
        <v>40057</v>
      </c>
      <c r="I105" s="1180">
        <v>40057</v>
      </c>
      <c r="J105" s="1180">
        <v>40057</v>
      </c>
      <c r="K105" s="1180">
        <v>40057</v>
      </c>
      <c r="L105" s="1180">
        <v>40057</v>
      </c>
      <c r="M105" s="1180">
        <v>40057</v>
      </c>
      <c r="N105" s="1180">
        <v>40057</v>
      </c>
      <c r="O105" s="1180"/>
      <c r="P105" s="1180"/>
      <c r="Q105" s="1180">
        <v>40238</v>
      </c>
      <c r="R105" s="1107"/>
      <c r="S105" s="1107"/>
      <c r="T105" s="1107"/>
    </row>
    <row r="106" spans="1:20" s="1106" customFormat="1" ht="10.5" hidden="1" customHeight="1">
      <c r="A106" s="1138" t="s">
        <v>524</v>
      </c>
      <c r="B106" s="1107">
        <v>50.28</v>
      </c>
      <c r="C106" s="1107">
        <v>50.28</v>
      </c>
      <c r="D106" s="1107">
        <v>50.5</v>
      </c>
      <c r="E106" s="1107">
        <v>50.27</v>
      </c>
      <c r="F106" s="1107">
        <v>49.6</v>
      </c>
      <c r="G106" s="1107">
        <v>49.6</v>
      </c>
      <c r="H106" s="1107">
        <v>49.6</v>
      </c>
      <c r="I106" s="1107">
        <v>49.6</v>
      </c>
      <c r="J106" s="1107">
        <v>49.6</v>
      </c>
      <c r="K106" s="1107">
        <v>49.6</v>
      </c>
      <c r="L106" s="1107">
        <v>49.6</v>
      </c>
      <c r="M106" s="1107">
        <v>49.6</v>
      </c>
      <c r="N106" s="1107">
        <v>49.6</v>
      </c>
      <c r="O106" s="1107"/>
      <c r="P106" s="1107"/>
      <c r="Q106" s="1107">
        <v>49.6</v>
      </c>
      <c r="R106" s="1107"/>
      <c r="S106" s="1107"/>
      <c r="T106" s="1107"/>
    </row>
    <row r="107" spans="1:20" s="1106" customFormat="1" ht="10.5" hidden="1" customHeight="1">
      <c r="A107" s="1138" t="s">
        <v>525</v>
      </c>
      <c r="B107" s="1107"/>
      <c r="C107" s="1107"/>
      <c r="D107" s="1107">
        <v>12.2</v>
      </c>
      <c r="E107" s="1107">
        <v>13.58</v>
      </c>
      <c r="F107" s="1107">
        <v>13.8</v>
      </c>
      <c r="G107" s="1107">
        <v>16.3</v>
      </c>
      <c r="H107" s="1107">
        <v>16.5</v>
      </c>
      <c r="I107" s="1107">
        <v>16.5</v>
      </c>
      <c r="J107" s="1107">
        <v>16.5</v>
      </c>
      <c r="K107" s="1107">
        <v>16.5</v>
      </c>
      <c r="L107" s="1107">
        <v>16.5</v>
      </c>
      <c r="M107" s="1107">
        <v>16.5</v>
      </c>
      <c r="N107" s="1107">
        <v>16.5</v>
      </c>
      <c r="O107" s="1107"/>
      <c r="P107" s="1107"/>
      <c r="Q107" s="1106">
        <v>17.8</v>
      </c>
      <c r="R107" s="1107"/>
      <c r="S107" s="1107"/>
      <c r="T107" s="1107"/>
    </row>
    <row r="108" spans="1:20" s="1106" customFormat="1" ht="10.5" hidden="1" customHeight="1">
      <c r="A108" s="1138" t="s">
        <v>526</v>
      </c>
      <c r="B108" s="1107"/>
      <c r="C108" s="1107"/>
      <c r="D108" s="1107">
        <v>10.6</v>
      </c>
      <c r="E108" s="1107">
        <f>6.66+2.95</f>
        <v>9.61</v>
      </c>
      <c r="F108" s="1107">
        <v>9.9</v>
      </c>
      <c r="G108" s="1107">
        <v>7.6</v>
      </c>
      <c r="H108" s="1107">
        <v>7.6</v>
      </c>
      <c r="I108" s="1107">
        <v>7.6</v>
      </c>
      <c r="J108" s="1107">
        <v>7.6</v>
      </c>
      <c r="K108" s="1107">
        <v>7.6</v>
      </c>
      <c r="L108" s="1107">
        <v>7.6</v>
      </c>
      <c r="M108" s="1107">
        <v>7.6</v>
      </c>
      <c r="N108" s="1107">
        <v>7.6</v>
      </c>
      <c r="O108" s="1107"/>
      <c r="P108" s="1107"/>
      <c r="Q108" s="1106">
        <v>6.5</v>
      </c>
      <c r="R108" s="1107"/>
      <c r="S108" s="1107"/>
      <c r="T108" s="1107"/>
    </row>
    <row r="109" spans="1:20" s="1106" customFormat="1" ht="10.5" hidden="1" customHeight="1">
      <c r="A109" s="1138" t="s">
        <v>527</v>
      </c>
      <c r="B109" s="1107">
        <f t="shared" ref="B109:K109" si="68">100-B106-B107-B108</f>
        <v>49.72</v>
      </c>
      <c r="C109" s="1107">
        <f t="shared" si="68"/>
        <v>49.72</v>
      </c>
      <c r="D109" s="1107">
        <f t="shared" si="68"/>
        <v>26.699999999999996</v>
      </c>
      <c r="E109" s="1107">
        <f t="shared" si="68"/>
        <v>26.54</v>
      </c>
      <c r="F109" s="1107">
        <f t="shared" si="68"/>
        <v>26.699999999999996</v>
      </c>
      <c r="G109" s="1107">
        <f t="shared" si="68"/>
        <v>26.499999999999993</v>
      </c>
      <c r="H109" s="1107">
        <f t="shared" si="68"/>
        <v>26.299999999999997</v>
      </c>
      <c r="I109" s="1107">
        <f t="shared" si="68"/>
        <v>26.299999999999997</v>
      </c>
      <c r="J109" s="1107">
        <f t="shared" si="68"/>
        <v>26.299999999999997</v>
      </c>
      <c r="K109" s="1107">
        <f t="shared" si="68"/>
        <v>26.299999999999997</v>
      </c>
      <c r="L109" s="1107">
        <f>100-L106-L107-L108</f>
        <v>26.299999999999997</v>
      </c>
      <c r="M109" s="1107">
        <f>100-M106-M107-M108</f>
        <v>26.299999999999997</v>
      </c>
      <c r="N109" s="1107">
        <f>100-N106-N107-N108</f>
        <v>26.299999999999997</v>
      </c>
      <c r="O109" s="1107"/>
      <c r="P109" s="1107"/>
      <c r="Q109" s="1299">
        <v>26.1</v>
      </c>
      <c r="R109" s="1107"/>
      <c r="S109" s="1107"/>
      <c r="T109" s="1107"/>
    </row>
    <row r="110" spans="1:20" s="1106" customFormat="1" ht="10.5" hidden="1" customHeight="1">
      <c r="A110" s="1181" t="s">
        <v>107</v>
      </c>
      <c r="B110" s="1147">
        <f t="shared" ref="B110:K110" si="69">+IF(SUM(B106:B109)=100,0,"Error")</f>
        <v>0</v>
      </c>
      <c r="C110" s="1147">
        <f t="shared" si="69"/>
        <v>0</v>
      </c>
      <c r="D110" s="1147">
        <f t="shared" si="69"/>
        <v>0</v>
      </c>
      <c r="E110" s="1147">
        <f t="shared" si="69"/>
        <v>0</v>
      </c>
      <c r="F110" s="1147">
        <f t="shared" si="69"/>
        <v>0</v>
      </c>
      <c r="G110" s="1147">
        <f t="shared" si="69"/>
        <v>0</v>
      </c>
      <c r="H110" s="1147">
        <f t="shared" si="69"/>
        <v>0</v>
      </c>
      <c r="I110" s="1147">
        <f t="shared" si="69"/>
        <v>0</v>
      </c>
      <c r="J110" s="1147">
        <f t="shared" si="69"/>
        <v>0</v>
      </c>
      <c r="K110" s="1147">
        <f t="shared" si="69"/>
        <v>0</v>
      </c>
      <c r="L110" s="1147">
        <f>+IF(SUM(L106:L109)=100,0,"Error")</f>
        <v>0</v>
      </c>
      <c r="M110" s="1147">
        <f>+IF(SUM(M106:M109)=100,0,"Error")</f>
        <v>0</v>
      </c>
      <c r="N110" s="1147">
        <f>+IF(SUM(N106:N109)=100,0,"Error")</f>
        <v>0</v>
      </c>
      <c r="O110" s="1147"/>
      <c r="P110" s="1147"/>
      <c r="R110" s="1107"/>
      <c r="S110" s="1107"/>
      <c r="T110" s="1107"/>
    </row>
    <row r="111" spans="1:20" s="1106" customFormat="1" ht="10.5" hidden="1" customHeight="1">
      <c r="B111" s="1107"/>
      <c r="C111" s="1107"/>
      <c r="D111" s="1107"/>
      <c r="E111" s="1107"/>
      <c r="F111" s="1107"/>
      <c r="G111" s="1107"/>
      <c r="R111" s="1107"/>
      <c r="S111" s="1107"/>
      <c r="T111" s="1107"/>
    </row>
    <row r="112" spans="1:20" s="1106" customFormat="1" ht="10.5" hidden="1" customHeight="1">
      <c r="A112" s="1106" t="s">
        <v>494</v>
      </c>
      <c r="B112" s="1107">
        <f>100-B106</f>
        <v>49.72</v>
      </c>
      <c r="C112" s="1107">
        <f>100-C106</f>
        <v>49.72</v>
      </c>
      <c r="D112" s="1107">
        <f>100-D106</f>
        <v>49.5</v>
      </c>
      <c r="E112" s="1107">
        <f>100-E106</f>
        <v>49.73</v>
      </c>
      <c r="F112" s="1107"/>
      <c r="G112" s="1107"/>
      <c r="Q112" s="1107">
        <f>100-Q106</f>
        <v>50.4</v>
      </c>
      <c r="R112" s="1107"/>
      <c r="S112" s="1107"/>
      <c r="T112" s="1107"/>
    </row>
    <row r="113" spans="1:20" s="1106" customFormat="1" ht="10.5" hidden="1" customHeight="1">
      <c r="B113" s="1107"/>
      <c r="C113" s="1107"/>
      <c r="D113" s="1107"/>
      <c r="E113" s="1107"/>
      <c r="F113" s="1107"/>
      <c r="G113" s="1107"/>
      <c r="R113" s="1107"/>
      <c r="S113" s="1107"/>
      <c r="T113" s="1107"/>
    </row>
    <row r="114" spans="1:20" s="1106" customFormat="1" ht="10.5" hidden="1" customHeight="1">
      <c r="B114" s="1107"/>
      <c r="C114" s="1107"/>
      <c r="D114" s="1107"/>
      <c r="E114" s="1107"/>
      <c r="F114" s="1107"/>
      <c r="G114" s="1107"/>
      <c r="R114" s="1107"/>
      <c r="S114" s="1107"/>
      <c r="T114" s="1107"/>
    </row>
    <row r="115" spans="1:20" s="1106" customFormat="1" ht="10.5" hidden="1" customHeight="1">
      <c r="B115" s="1107"/>
      <c r="C115" s="1107"/>
      <c r="D115" s="1107"/>
      <c r="E115" s="1107"/>
      <c r="F115" s="1107"/>
      <c r="G115" s="1107"/>
      <c r="R115" s="1107"/>
      <c r="S115" s="1107"/>
      <c r="T115" s="1107"/>
    </row>
    <row r="116" spans="1:20" s="1106" customFormat="1" ht="10.5" hidden="1" customHeight="1">
      <c r="A116" s="1106" t="s">
        <v>613</v>
      </c>
      <c r="B116" s="1107">
        <f>'Inc Stmt'!F48</f>
        <v>101.18351</v>
      </c>
      <c r="C116" s="1107">
        <f>'Inc Stmt'!G48</f>
        <v>101.18351</v>
      </c>
      <c r="D116" s="1107">
        <f>'Inc Stmt'!H48</f>
        <v>289.36702000000002</v>
      </c>
      <c r="E116" s="1107">
        <f>'Inc Stmt'!I48</f>
        <v>289.36702000000002</v>
      </c>
      <c r="F116" s="1107">
        <f>'Inc Stmt'!J48</f>
        <v>289.36702000000002</v>
      </c>
      <c r="G116" s="1107">
        <f>'Inc Stmt'!K48</f>
        <v>289.36702000000002</v>
      </c>
      <c r="H116" s="1107">
        <f>'Inc Stmt'!L48</f>
        <v>289.36702000000002</v>
      </c>
      <c r="I116" s="1107">
        <f>'Inc Stmt'!M48</f>
        <v>289.36702000000002</v>
      </c>
      <c r="J116" s="1107">
        <f>'Inc Stmt'!N48</f>
        <v>289.36702000000002</v>
      </c>
      <c r="K116" s="1107">
        <f>'Inc Stmt'!O48</f>
        <v>289.36702000000002</v>
      </c>
      <c r="L116" s="1107">
        <f>'Inc Stmt'!P48</f>
        <v>289.36702000000002</v>
      </c>
      <c r="M116" s="1107">
        <f>'Inc Stmt'!Q48</f>
        <v>289.36702000000002</v>
      </c>
      <c r="N116" s="1107">
        <f>'Inc Stmt'!R48</f>
        <v>289.36702000000002</v>
      </c>
      <c r="O116" s="1107"/>
      <c r="P116" s="1107"/>
      <c r="R116" s="1107"/>
      <c r="S116" s="1107"/>
      <c r="T116" s="1107"/>
    </row>
    <row r="117" spans="1:20" s="1106" customFormat="1" ht="10.5" hidden="1" customHeight="1">
      <c r="B117" s="1107"/>
      <c r="C117" s="1107"/>
      <c r="D117" s="1107"/>
      <c r="E117" s="1107"/>
      <c r="F117" s="1107"/>
      <c r="G117" s="1107"/>
      <c r="R117" s="1107"/>
      <c r="S117" s="1107"/>
      <c r="T117" s="1107"/>
    </row>
    <row r="118" spans="1:20" s="1106" customFormat="1" ht="10.5" hidden="1" customHeight="1">
      <c r="B118" s="1107"/>
      <c r="C118" s="1107"/>
      <c r="D118" s="1107"/>
      <c r="E118" s="1107"/>
      <c r="F118" s="1107"/>
      <c r="G118" s="1107"/>
      <c r="R118" s="1107"/>
      <c r="S118" s="1107"/>
      <c r="T118" s="1107"/>
    </row>
    <row r="119" spans="1:20" ht="10.5" hidden="1" customHeight="1"/>
    <row r="120" spans="1:20" ht="10.5" hidden="1" customHeight="1"/>
    <row r="121" spans="1:20" ht="10.5" hidden="1" customHeight="1"/>
    <row r="122" spans="1:20" ht="10.5" hidden="1" customHeight="1"/>
    <row r="123" spans="1:20" ht="10.5" hidden="1" customHeight="1"/>
    <row r="124" spans="1:20" ht="10.5" hidden="1" customHeight="1"/>
    <row r="125" spans="1:20" ht="10.5" hidden="1" customHeight="1"/>
    <row r="126" spans="1:20" ht="10.5" hidden="1" customHeight="1"/>
    <row r="127" spans="1:20" ht="10.5" hidden="1" customHeight="1"/>
    <row r="128" spans="1:20" ht="10.5" hidden="1" customHeight="1"/>
    <row r="129" ht="10.5" hidden="1" customHeight="1"/>
    <row r="130" ht="10.5" hidden="1" customHeight="1"/>
    <row r="131" ht="10.5" hidden="1" customHeight="1"/>
    <row r="132" ht="10.5" hidden="1" customHeight="1"/>
    <row r="133" ht="10.5" hidden="1" customHeight="1"/>
  </sheetData>
  <sheetProtection password="CF34" sheet="1" objects="1" scenarios="1"/>
  <phoneticPr fontId="6" type="noConversion"/>
  <conditionalFormatting sqref="B110:M110 R42:AA43">
    <cfRule type="cellIs" dxfId="6" priority="3" stopIfTrue="1" operator="notEqual">
      <formula>0</formula>
    </cfRule>
  </conditionalFormatting>
  <conditionalFormatting sqref="N110:P110">
    <cfRule type="cellIs" dxfId="5" priority="2" stopIfTrue="1" operator="notEqual">
      <formula>0</formula>
    </cfRule>
  </conditionalFormatting>
  <conditionalFormatting sqref="AB42:AD43">
    <cfRule type="cellIs" dxfId="4" priority="1" stopIfTrue="1" operator="notEqual">
      <formula>0</formula>
    </cfRule>
  </conditionalFormatting>
  <pageMargins left="0.75" right="0.75" top="0.27" bottom="0.42" header="0.25" footer="0.5"/>
  <pageSetup paperSize="9" scale="43" orientation="landscape" r:id="rId1"/>
  <headerFooter alignWithMargins="0"/>
  <ignoredErrors>
    <ignoredError sqref="F117:G118 AE46:IZ47 T42:T44 D69:D80 F235:G65522 F69:F80 Q17:Q48 D16:D34 AC1:IZ7 T235:U65522 A39:A41 F1:F2 G16:G17 R18:R28 B1:B2 U44 E19:E29 D102:D105 B102:C106 B109:E115 E31:E39 G44:G45 AE45:IZ45 R235:R65522 B69:B80 S81:S101 S79:S80 T81:T92 F19:F39 S18:T27 E69:E80 Q1 A81:A115 E44:E62 G81:G82 Q113:Q118 G90:G93 F111:G115 C4:C63 C1:C2 U69:U72 T1:U7 G69:G72 R81:R92 E41:G41 E1:E2 A1:A18 U81:U92 E102:G104 B81:F93 R102:R118 Q235:Q65522 Q81:Q92 AC93:IZ65522 D36:D63 Q50:Q80 E16:E17 R30:T40 AC81:IZ92 F44:F63 A235:A65522 Q102:Q104 B235:E65522 Q110:Q111 A79:A80 AE48:IZ49 B16:B63 S42:S77 T46:T77 D1:D2 R1:S1 A20:A37 A44:A46 S104:S118 F16 T93:U118 S235:S65522 B117:E118 A117:A118 C69:C80 AC80:IZ80 U80 R43:R80 G80 T79:T80 G1:G11 AE17:IZ44 A48:A77 AE9:IZ16 AE50:IZ79 AE8:IZ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T76"/>
  <sheetViews>
    <sheetView showGridLines="0" topLeftCell="A78" workbookViewId="0">
      <selection activeCell="J78" sqref="J78"/>
    </sheetView>
  </sheetViews>
  <sheetFormatPr defaultRowHeight="14.25"/>
  <cols>
    <col min="1" max="1" width="1.375" style="1198" customWidth="1"/>
    <col min="2" max="2" width="33.625" style="1198" bestFit="1" customWidth="1"/>
    <col min="3" max="3" width="10.5" style="1198" hidden="1" customWidth="1"/>
    <col min="4" max="6" width="9" style="1198" hidden="1" customWidth="1"/>
    <col min="7" max="7" width="7.625" style="1198" hidden="1" customWidth="1"/>
    <col min="8" max="8" width="8.375" style="1198" hidden="1" customWidth="1"/>
    <col min="9" max="9" width="8.375" style="1198" bestFit="1" customWidth="1"/>
    <col min="10" max="11" width="9" style="1198"/>
    <col min="12" max="16" width="8.375" style="1198" bestFit="1" customWidth="1"/>
    <col min="17" max="17" width="28.625" style="1206" bestFit="1" customWidth="1"/>
    <col min="18" max="18" width="9.5" style="1206" bestFit="1" customWidth="1"/>
    <col min="19" max="19" width="3.75" style="1206" bestFit="1" customWidth="1"/>
    <col min="20" max="20" width="9" style="1206"/>
    <col min="21" max="16384" width="9" style="1198"/>
  </cols>
  <sheetData>
    <row r="1" spans="1:20">
      <c r="A1" s="1195"/>
      <c r="B1" s="1195"/>
      <c r="C1" s="1196"/>
      <c r="D1" s="1196"/>
      <c r="E1" s="1197"/>
      <c r="F1" s="1197"/>
      <c r="G1" s="1197"/>
      <c r="H1" s="1197"/>
      <c r="I1" s="1197"/>
      <c r="J1" s="1197"/>
      <c r="K1" s="1197"/>
    </row>
    <row r="2" spans="1:20" ht="12.75" customHeight="1">
      <c r="A2" s="1195"/>
      <c r="B2" s="1199" t="s">
        <v>2608</v>
      </c>
      <c r="C2" s="1200"/>
      <c r="D2" s="1200"/>
      <c r="E2" s="1200"/>
      <c r="F2" s="1200"/>
      <c r="G2" s="1200"/>
      <c r="H2" s="1200"/>
      <c r="I2" s="1200"/>
      <c r="J2" s="1200"/>
      <c r="K2" s="1200"/>
      <c r="L2" s="1200"/>
      <c r="M2" s="1200"/>
      <c r="N2" s="1200"/>
      <c r="O2" s="1200"/>
      <c r="P2" s="1200"/>
    </row>
    <row r="3" spans="1:20" ht="14.25" customHeight="1">
      <c r="A3" s="1195"/>
      <c r="B3" s="1201" t="s">
        <v>1631</v>
      </c>
      <c r="C3" s="1202" t="s">
        <v>1632</v>
      </c>
      <c r="D3" s="1202" t="s">
        <v>692</v>
      </c>
      <c r="E3" s="1202" t="s">
        <v>693</v>
      </c>
      <c r="F3" s="1202" t="s">
        <v>2224</v>
      </c>
      <c r="G3" s="1202" t="s">
        <v>1982</v>
      </c>
      <c r="H3" s="1202" t="s">
        <v>1633</v>
      </c>
      <c r="I3" s="1202" t="s">
        <v>1634</v>
      </c>
      <c r="J3" s="1202" t="s">
        <v>1635</v>
      </c>
      <c r="K3" s="1202" t="s">
        <v>1636</v>
      </c>
      <c r="L3" s="1202" t="s">
        <v>1637</v>
      </c>
      <c r="M3" s="1202" t="s">
        <v>1638</v>
      </c>
      <c r="N3" s="1202" t="s">
        <v>1639</v>
      </c>
      <c r="O3" s="1202" t="s">
        <v>1640</v>
      </c>
      <c r="P3" s="1202" t="s">
        <v>1641</v>
      </c>
    </row>
    <row r="4" spans="1:20" ht="14.25" customHeight="1">
      <c r="A4" s="1195"/>
      <c r="B4" s="1203" t="s">
        <v>1642</v>
      </c>
      <c r="C4" s="1201"/>
      <c r="D4" s="1201"/>
      <c r="E4" s="1204"/>
      <c r="F4" s="1204"/>
      <c r="G4" s="1205"/>
      <c r="H4" s="1205"/>
      <c r="I4" s="1205"/>
      <c r="J4" s="1205"/>
      <c r="K4" s="1205"/>
      <c r="L4" s="1205"/>
      <c r="M4" s="1205"/>
      <c r="N4" s="1205"/>
      <c r="O4" s="1205"/>
      <c r="P4" s="1205"/>
      <c r="R4" s="1206" t="s">
        <v>2609</v>
      </c>
    </row>
    <row r="5" spans="1:20" ht="14.25" customHeight="1">
      <c r="A5" s="1195"/>
      <c r="B5" s="1201" t="s">
        <v>1644</v>
      </c>
      <c r="C5" s="1205">
        <f>+'Driver Sheet'!H59/1000</f>
        <v>4349.5600000000004</v>
      </c>
      <c r="D5" s="1205">
        <f>+'Driver Sheet'!I59/1000</f>
        <v>4237.1509999999998</v>
      </c>
      <c r="E5" s="1205">
        <f>+'Driver Sheet'!J59/1000</f>
        <v>3870.0770000000002</v>
      </c>
      <c r="F5" s="1205">
        <f>+'Driver Sheet'!K59/1000</f>
        <v>3811.201</v>
      </c>
      <c r="G5" s="1205">
        <f>+'Driver Sheet'!L59/1000</f>
        <v>3872.0250000000001</v>
      </c>
      <c r="H5" s="1205">
        <f>+'Driver Sheet'!M59/1000</f>
        <v>3639.81</v>
      </c>
      <c r="I5" s="1205">
        <f>+'Driver Sheet'!N59/1000</f>
        <v>4095.26433</v>
      </c>
      <c r="J5" s="1330">
        <f>I5*(1+J6/100)</f>
        <v>4504.790763</v>
      </c>
      <c r="K5" s="1330">
        <f t="shared" ref="K5:P5" si="0">J5*(1+K6/100)</f>
        <v>4955.2698393000001</v>
      </c>
      <c r="L5" s="1330">
        <f t="shared" si="0"/>
        <v>5450.7968232300009</v>
      </c>
      <c r="M5" s="1330">
        <f t="shared" si="0"/>
        <v>5995.8765055530012</v>
      </c>
      <c r="N5" s="1330">
        <f t="shared" si="0"/>
        <v>6595.4641561083017</v>
      </c>
      <c r="O5" s="1330">
        <f t="shared" si="0"/>
        <v>7255.0105717191327</v>
      </c>
      <c r="P5" s="1330">
        <f t="shared" si="0"/>
        <v>7980.5116288910467</v>
      </c>
      <c r="Q5" s="1206" t="s">
        <v>2583</v>
      </c>
      <c r="R5" s="1207">
        <f>((P5/I5)^(1/10)-1)*100</f>
        <v>6.8993044916332957</v>
      </c>
      <c r="S5" s="1331"/>
    </row>
    <row r="6" spans="1:20" s="1212" customFormat="1" ht="14.25" customHeight="1">
      <c r="A6" s="1208"/>
      <c r="B6" s="1209" t="s">
        <v>579</v>
      </c>
      <c r="C6" s="1210"/>
      <c r="D6" s="1211">
        <f t="shared" ref="D6:I6" si="1">+(D5/C5-1)*100</f>
        <v>-2.5843763507113482</v>
      </c>
      <c r="E6" s="1211">
        <f t="shared" si="1"/>
        <v>-8.6632267766713955</v>
      </c>
      <c r="F6" s="1211">
        <f t="shared" si="1"/>
        <v>-1.5213134002243445</v>
      </c>
      <c r="G6" s="1211">
        <f t="shared" si="1"/>
        <v>1.5959273730249413</v>
      </c>
      <c r="H6" s="1211">
        <f t="shared" si="1"/>
        <v>-5.9972495012299838</v>
      </c>
      <c r="I6" s="1211">
        <f t="shared" si="1"/>
        <v>12.513134751539233</v>
      </c>
      <c r="J6" s="1301">
        <v>10</v>
      </c>
      <c r="K6" s="1301">
        <v>10</v>
      </c>
      <c r="L6" s="1301">
        <v>10</v>
      </c>
      <c r="M6" s="1301">
        <v>10</v>
      </c>
      <c r="N6" s="1301">
        <v>10</v>
      </c>
      <c r="O6" s="1301">
        <v>10</v>
      </c>
      <c r="P6" s="1301">
        <v>10</v>
      </c>
      <c r="Q6" s="1206" t="s">
        <v>2569</v>
      </c>
      <c r="R6" s="1332"/>
      <c r="S6" s="1332"/>
      <c r="T6" s="1332"/>
    </row>
    <row r="7" spans="1:20" ht="14.25" customHeight="1">
      <c r="A7" s="1195"/>
      <c r="B7" s="1201" t="s">
        <v>1645</v>
      </c>
      <c r="C7" s="1213">
        <f>+C9*10^3/C5</f>
        <v>44898.748379146389</v>
      </c>
      <c r="D7" s="1213">
        <f>+D9*10^3/D5</f>
        <v>47195.037420191067</v>
      </c>
      <c r="E7" s="1213">
        <f>+E9*10^3/E5</f>
        <v>52064.881396416655</v>
      </c>
      <c r="F7" s="1213">
        <f>+F9*10^3/F5</f>
        <v>56706.560477917592</v>
      </c>
      <c r="G7" s="1213">
        <f>+G9*10^3/G5</f>
        <v>58332.577914657057</v>
      </c>
      <c r="H7" s="1213">
        <f t="shared" ref="H7:I7" si="2">+H9*10^3/H5</f>
        <v>59801.692945510898</v>
      </c>
      <c r="I7" s="1213">
        <f t="shared" si="2"/>
        <v>64065.126880991018</v>
      </c>
      <c r="J7" s="1300">
        <f>I7*(1+J8/100)</f>
        <v>65987.080687420748</v>
      </c>
      <c r="K7" s="1300">
        <f t="shared" ref="K7:P7" si="3">J7*(1+K8/100)</f>
        <v>67966.693108043371</v>
      </c>
      <c r="L7" s="1300">
        <f t="shared" si="3"/>
        <v>70005.693901284671</v>
      </c>
      <c r="M7" s="1300">
        <f t="shared" si="3"/>
        <v>72105.86471832321</v>
      </c>
      <c r="N7" s="1300">
        <f t="shared" si="3"/>
        <v>74269.040659872902</v>
      </c>
      <c r="O7" s="1300">
        <f t="shared" si="3"/>
        <v>76497.111879669086</v>
      </c>
      <c r="P7" s="1300">
        <f t="shared" si="3"/>
        <v>78792.025236059155</v>
      </c>
      <c r="Q7" s="1206" t="s">
        <v>2583</v>
      </c>
    </row>
    <row r="8" spans="1:20" ht="14.25" customHeight="1">
      <c r="A8" s="1195"/>
      <c r="B8" s="1209" t="s">
        <v>579</v>
      </c>
      <c r="C8" s="1210"/>
      <c r="D8" s="1211">
        <f>+(D7/C7-1)*100</f>
        <v>5.114372056997496</v>
      </c>
      <c r="E8" s="1211">
        <f>+(E7/D7-1)*100</f>
        <v>10.318550937608029</v>
      </c>
      <c r="F8" s="1211">
        <f>+(F7/E7-1)*100</f>
        <v>8.915182282198387</v>
      </c>
      <c r="G8" s="1211">
        <f>+(G7/F7-1)*100</f>
        <v>2.8674238448524125</v>
      </c>
      <c r="H8" s="1211">
        <f t="shared" ref="H8:I8" si="4">+(H7/G7-1)*100</f>
        <v>2.5185155248979685</v>
      </c>
      <c r="I8" s="1211">
        <f t="shared" si="4"/>
        <v>7.1292863554294428</v>
      </c>
      <c r="J8" s="1302">
        <v>3</v>
      </c>
      <c r="K8" s="1302">
        <v>3</v>
      </c>
      <c r="L8" s="1302">
        <v>3</v>
      </c>
      <c r="M8" s="1302">
        <v>3</v>
      </c>
      <c r="N8" s="1302">
        <v>3</v>
      </c>
      <c r="O8" s="1302">
        <v>3</v>
      </c>
      <c r="P8" s="1302">
        <v>3</v>
      </c>
      <c r="Q8" s="1206" t="s">
        <v>2569</v>
      </c>
    </row>
    <row r="9" spans="1:20" ht="14.25" customHeight="1">
      <c r="A9" s="1195"/>
      <c r="B9" s="1203" t="s">
        <v>1646</v>
      </c>
      <c r="C9" s="1214">
        <f>+'Inc Stmt'!L9</f>
        <v>195289.8</v>
      </c>
      <c r="D9" s="1214">
        <f>+'Inc Stmt'!M9</f>
        <v>199972.5</v>
      </c>
      <c r="E9" s="1214">
        <f>+'Inc Stmt'!N9</f>
        <v>201495.1</v>
      </c>
      <c r="F9" s="1214">
        <f>+'Inc Stmt'!O9</f>
        <v>216120.1</v>
      </c>
      <c r="G9" s="1214">
        <f>+'Inc Stmt'!P9</f>
        <v>225865.2</v>
      </c>
      <c r="H9" s="1214">
        <f>+'Inc Stmt'!Q9</f>
        <v>217666.80000000002</v>
      </c>
      <c r="I9" s="1214">
        <f>+'Inc Stmt'!R9</f>
        <v>262363.62891264667</v>
      </c>
      <c r="J9" s="1214">
        <f t="shared" ref="J9:P9" si="5">+J7*J5/10^3</f>
        <v>297257.99155802868</v>
      </c>
      <c r="K9" s="1214">
        <f t="shared" si="5"/>
        <v>336793.30443524651</v>
      </c>
      <c r="L9" s="1214">
        <f t="shared" si="5"/>
        <v>381586.81392513431</v>
      </c>
      <c r="M9" s="1214">
        <f t="shared" si="5"/>
        <v>432337.86017717718</v>
      </c>
      <c r="N9" s="1214">
        <f t="shared" si="5"/>
        <v>489838.79558074177</v>
      </c>
      <c r="O9" s="1214">
        <f t="shared" si="5"/>
        <v>554987.35539298051</v>
      </c>
      <c r="P9" s="1214">
        <f t="shared" si="5"/>
        <v>628800.67366024689</v>
      </c>
    </row>
    <row r="10" spans="1:20" s="1212" customFormat="1" ht="14.25" hidden="1" customHeight="1">
      <c r="A10" s="1208"/>
      <c r="B10" s="1209" t="s">
        <v>579</v>
      </c>
      <c r="C10" s="1210"/>
      <c r="D10" s="1210">
        <f>+(D9/C9-1)*100</f>
        <v>2.3978210843577097</v>
      </c>
      <c r="E10" s="1210">
        <f t="shared" ref="E10:K10" si="6">+(E9/D9-1)*100</f>
        <v>0.76140469314531778</v>
      </c>
      <c r="F10" s="1210">
        <f t="shared" si="6"/>
        <v>7.258241019260514</v>
      </c>
      <c r="G10" s="1210">
        <f t="shared" si="6"/>
        <v>4.509113219918004</v>
      </c>
      <c r="H10" s="1210">
        <f t="shared" si="6"/>
        <v>-3.6297756360873623</v>
      </c>
      <c r="I10" s="1210">
        <f t="shared" si="6"/>
        <v>20.534518315446661</v>
      </c>
      <c r="J10" s="1210">
        <f t="shared" si="6"/>
        <v>13.3</v>
      </c>
      <c r="K10" s="1210">
        <f t="shared" si="6"/>
        <v>13.3</v>
      </c>
      <c r="L10" s="1210">
        <f>+(L9/K9-1)*100</f>
        <v>13.3</v>
      </c>
      <c r="M10" s="1210">
        <f>+(M9/L9-1)*100</f>
        <v>13.3</v>
      </c>
      <c r="N10" s="1210">
        <f>+(N9/M9-1)*100</f>
        <v>13.3</v>
      </c>
      <c r="O10" s="1210">
        <f>+(O9/N9-1)*100</f>
        <v>13.300000000000022</v>
      </c>
      <c r="P10" s="1210">
        <f>+(P9/O9-1)*100</f>
        <v>13.3</v>
      </c>
      <c r="Q10" s="1332"/>
      <c r="R10" s="1332"/>
      <c r="S10" s="1332"/>
      <c r="T10" s="1332"/>
    </row>
    <row r="11" spans="1:20" ht="14.25" customHeight="1">
      <c r="A11" s="1195"/>
      <c r="B11" s="1201" t="s">
        <v>659</v>
      </c>
      <c r="C11" s="1205">
        <f>+'Inc Stmt'!L21</f>
        <v>37199.899999999994</v>
      </c>
      <c r="D11" s="1205">
        <f>+'Inc Stmt'!M21</f>
        <v>36380.500000000015</v>
      </c>
      <c r="E11" s="1205">
        <f>+'Inc Stmt'!N21</f>
        <v>42463.299999999988</v>
      </c>
      <c r="F11" s="1205">
        <f>+'Inc Stmt'!O21</f>
        <v>41667.700000000012</v>
      </c>
      <c r="G11" s="1205">
        <f>+'Inc Stmt'!P21</f>
        <v>47819.400000000009</v>
      </c>
      <c r="H11" s="1205">
        <f>+'Inc Stmt'!Q21</f>
        <v>44223.499999999985</v>
      </c>
      <c r="I11" s="1205">
        <f>+'Inc Stmt'!R21</f>
        <v>51977.351072065219</v>
      </c>
      <c r="J11" s="1300">
        <f>J12*J9</f>
        <v>56479.018396025451</v>
      </c>
      <c r="K11" s="1300">
        <f t="shared" ref="K11:P11" si="7">K12*K9</f>
        <v>63990.727842696841</v>
      </c>
      <c r="L11" s="1300">
        <f t="shared" si="7"/>
        <v>68685.626506524175</v>
      </c>
      <c r="M11" s="1300">
        <f t="shared" si="7"/>
        <v>77820.814831891883</v>
      </c>
      <c r="N11" s="1300">
        <f t="shared" si="7"/>
        <v>88170.983204533521</v>
      </c>
      <c r="O11" s="1300">
        <f t="shared" si="7"/>
        <v>99897.723970736493</v>
      </c>
      <c r="P11" s="1300">
        <f t="shared" si="7"/>
        <v>113184.12125884443</v>
      </c>
      <c r="Q11" s="1206" t="s">
        <v>2583</v>
      </c>
    </row>
    <row r="12" spans="1:20" ht="14.25" customHeight="1">
      <c r="A12" s="1195"/>
      <c r="B12" s="1201" t="s">
        <v>222</v>
      </c>
      <c r="C12" s="1204">
        <f>C11/C9</f>
        <v>0.19048562700151261</v>
      </c>
      <c r="D12" s="1204">
        <f>D11/D9</f>
        <v>0.18192751503331717</v>
      </c>
      <c r="E12" s="1204">
        <f>E11/E9</f>
        <v>0.21074110487054021</v>
      </c>
      <c r="F12" s="1204">
        <f>F11/F9</f>
        <v>0.19279881880491453</v>
      </c>
      <c r="G12" s="1204">
        <f>G11/G9</f>
        <v>0.21171654597521003</v>
      </c>
      <c r="H12" s="1204">
        <f t="shared" ref="H12:I12" si="8">H11/H9</f>
        <v>0.2031706259291724</v>
      </c>
      <c r="I12" s="1204">
        <f t="shared" si="8"/>
        <v>0.19811187734932173</v>
      </c>
      <c r="J12" s="1303">
        <v>0.19</v>
      </c>
      <c r="K12" s="1303">
        <f>J12</f>
        <v>0.19</v>
      </c>
      <c r="L12" s="1303">
        <v>0.18</v>
      </c>
      <c r="M12" s="1303">
        <v>0.18</v>
      </c>
      <c r="N12" s="1303">
        <v>0.18</v>
      </c>
      <c r="O12" s="1303">
        <v>0.18</v>
      </c>
      <c r="P12" s="1303">
        <v>0.18</v>
      </c>
      <c r="Q12" s="1206" t="s">
        <v>2569</v>
      </c>
    </row>
    <row r="13" spans="1:20" ht="14.25" customHeight="1">
      <c r="A13" s="1195"/>
      <c r="B13" s="1201" t="s">
        <v>1124</v>
      </c>
      <c r="C13" s="1205">
        <f>+'Bal Sheet'!L86</f>
        <v>33939.199999999997</v>
      </c>
      <c r="D13" s="1205">
        <f>+'Bal Sheet'!M86</f>
        <v>38288.5</v>
      </c>
      <c r="E13" s="1205">
        <f>+'Bal Sheet'!N86</f>
        <v>40770.400000000001</v>
      </c>
      <c r="F13" s="1205">
        <f>+'Bal Sheet'!O86</f>
        <v>41009.1</v>
      </c>
      <c r="G13" s="1205">
        <f>+'Bal Sheet'!P14+'Bal Sheet'!P18</f>
        <v>38939.199999999997</v>
      </c>
      <c r="H13" s="1205">
        <f>+'Bal Sheet'!Q14+'Bal Sheet'!Q18</f>
        <v>33755.969837290162</v>
      </c>
      <c r="I13" s="1304">
        <f>+'Bal Sheet'!R14+'Bal Sheet'!R18</f>
        <v>36523.444531066838</v>
      </c>
      <c r="J13" s="1300">
        <f>I13+5000</f>
        <v>41523.444531066838</v>
      </c>
      <c r="K13" s="1300">
        <f>J13+K14</f>
        <v>47523.444531066838</v>
      </c>
      <c r="L13" s="1300">
        <f t="shared" ref="L13:P13" si="9">K13+L14</f>
        <v>54523.444531066838</v>
      </c>
      <c r="M13" s="1300">
        <f t="shared" si="9"/>
        <v>62523.444531066838</v>
      </c>
      <c r="N13" s="1300">
        <f t="shared" si="9"/>
        <v>71523.444531066838</v>
      </c>
      <c r="O13" s="1300">
        <f t="shared" si="9"/>
        <v>81523.444531066838</v>
      </c>
      <c r="P13" s="1300">
        <f t="shared" si="9"/>
        <v>92523.444531066838</v>
      </c>
      <c r="Q13" s="1206" t="s">
        <v>2583</v>
      </c>
    </row>
    <row r="14" spans="1:20" ht="14.25" customHeight="1">
      <c r="A14" s="1195"/>
      <c r="B14" s="1201" t="s">
        <v>1619</v>
      </c>
      <c r="C14" s="1205">
        <f>-'Fixed Assets'!M70</f>
        <v>-14795.899999999998</v>
      </c>
      <c r="D14" s="1205">
        <f>-'Fixed Assets'!N70</f>
        <v>-18044.3</v>
      </c>
      <c r="E14" s="1205">
        <f>-'Fixed Assets'!O70</f>
        <v>-20060.400000000001</v>
      </c>
      <c r="F14" s="1205">
        <f>-'Fixed Assets'!P70</f>
        <v>-19172.399999999998</v>
      </c>
      <c r="G14" s="1205">
        <f>-'Fixed Assets'!Q70</f>
        <v>-20256.7</v>
      </c>
      <c r="H14" s="1205">
        <f>-'Fixed Assets'!R70</f>
        <v>-20183.8</v>
      </c>
      <c r="I14" s="1304">
        <f>I28</f>
        <v>-4000</v>
      </c>
      <c r="J14" s="1300">
        <v>5000</v>
      </c>
      <c r="K14" s="1300">
        <f>J14+1000</f>
        <v>6000</v>
      </c>
      <c r="L14" s="1300">
        <f t="shared" ref="L14:P14" si="10">K14+1000</f>
        <v>7000</v>
      </c>
      <c r="M14" s="1300">
        <f t="shared" si="10"/>
        <v>8000</v>
      </c>
      <c r="N14" s="1300">
        <f t="shared" si="10"/>
        <v>9000</v>
      </c>
      <c r="O14" s="1300">
        <f t="shared" si="10"/>
        <v>10000</v>
      </c>
      <c r="P14" s="1300">
        <f t="shared" si="10"/>
        <v>11000</v>
      </c>
      <c r="Q14" s="1206" t="s">
        <v>2569</v>
      </c>
    </row>
    <row r="15" spans="1:20" ht="14.25" customHeight="1">
      <c r="A15" s="1195"/>
      <c r="B15" s="1201" t="s">
        <v>1651</v>
      </c>
      <c r="C15" s="1205">
        <f>+'Inc Stmt'!L12</f>
        <v>0</v>
      </c>
      <c r="D15" s="1205">
        <f>+'Inc Stmt'!M12</f>
        <v>0</v>
      </c>
      <c r="E15" s="1205">
        <f>+'Inc Stmt'!N12</f>
        <v>0</v>
      </c>
      <c r="F15" s="1205">
        <f>+'Inc Stmt'!O12</f>
        <v>0</v>
      </c>
      <c r="G15" s="1205">
        <f>+'Inc Stmt'!P12</f>
        <v>0</v>
      </c>
      <c r="H15" s="1205">
        <f>+H7*0.046</f>
        <v>2750.8778754935015</v>
      </c>
      <c r="I15" s="1304">
        <f>+I13*0.046</f>
        <v>1680.0784484290746</v>
      </c>
      <c r="J15" s="1300">
        <f>J13*4.6%</f>
        <v>1910.0784484290746</v>
      </c>
      <c r="K15" s="1300">
        <f t="shared" ref="K15:P15" si="11">K13*4.6%</f>
        <v>2186.0784484290743</v>
      </c>
      <c r="L15" s="1300">
        <f t="shared" si="11"/>
        <v>2508.0784484290743</v>
      </c>
      <c r="M15" s="1300">
        <f t="shared" si="11"/>
        <v>2876.0784484290743</v>
      </c>
      <c r="N15" s="1300">
        <f t="shared" si="11"/>
        <v>3290.0784484290743</v>
      </c>
      <c r="O15" s="1300">
        <f t="shared" si="11"/>
        <v>3750.0784484290743</v>
      </c>
      <c r="P15" s="1300">
        <f t="shared" si="11"/>
        <v>4256.0784484290743</v>
      </c>
      <c r="Q15" s="1206" t="s">
        <v>2626</v>
      </c>
    </row>
    <row r="16" spans="1:20" ht="14.25" customHeight="1">
      <c r="A16" s="1195"/>
      <c r="B16" s="1201" t="s">
        <v>663</v>
      </c>
      <c r="C16" s="1205">
        <f>+'Inc Stmt'!L25</f>
        <v>35743.699999999997</v>
      </c>
      <c r="D16" s="1205">
        <f>+'Inc Stmt'!M25</f>
        <v>34712.800000000017</v>
      </c>
      <c r="E16" s="1205">
        <f>+'Inc Stmt'!N25</f>
        <v>40667.19999999999</v>
      </c>
      <c r="F16" s="1205">
        <f>+'Inc Stmt'!O25</f>
        <v>38993.700000000012</v>
      </c>
      <c r="G16" s="1205">
        <f>+G11-G26</f>
        <v>44747.80000000001</v>
      </c>
      <c r="H16" s="1205">
        <f>+H11-H26</f>
        <v>42670.725387484636</v>
      </c>
      <c r="I16" s="1304">
        <f>+I11-I15</f>
        <v>50297.272623636141</v>
      </c>
      <c r="J16" s="1300">
        <f>J11-J15</f>
        <v>54568.939947596373</v>
      </c>
      <c r="K16" s="1300">
        <f t="shared" ref="K16:P16" si="12">K11-K15</f>
        <v>61804.649394267763</v>
      </c>
      <c r="L16" s="1300">
        <f t="shared" si="12"/>
        <v>66177.548058095097</v>
      </c>
      <c r="M16" s="1300">
        <f t="shared" si="12"/>
        <v>74944.736383462805</v>
      </c>
      <c r="N16" s="1300">
        <f t="shared" si="12"/>
        <v>84880.904756104443</v>
      </c>
      <c r="O16" s="1300">
        <f t="shared" si="12"/>
        <v>96147.645522307415</v>
      </c>
      <c r="P16" s="1300">
        <f t="shared" si="12"/>
        <v>108928.04281041535</v>
      </c>
      <c r="Q16" s="1206" t="s">
        <v>2583</v>
      </c>
    </row>
    <row r="17" spans="1:17" ht="14.25" hidden="1" customHeight="1">
      <c r="A17" s="1195"/>
      <c r="B17" s="1201" t="s">
        <v>507</v>
      </c>
      <c r="C17" s="1204">
        <f>C16/C9</f>
        <v>0.18302901636439795</v>
      </c>
      <c r="D17" s="1204">
        <f t="shared" ref="D17:I17" si="13">D16/D9</f>
        <v>0.17358786833189571</v>
      </c>
      <c r="E17" s="1204">
        <f t="shared" si="13"/>
        <v>0.20182724046391196</v>
      </c>
      <c r="F17" s="1204">
        <f t="shared" si="13"/>
        <v>0.18042606865349411</v>
      </c>
      <c r="G17" s="1204">
        <f t="shared" si="13"/>
        <v>0.19811728411459581</v>
      </c>
      <c r="H17" s="1204">
        <f t="shared" si="13"/>
        <v>0.19603690313582334</v>
      </c>
      <c r="I17" s="1305">
        <f t="shared" si="13"/>
        <v>0.19170825175764927</v>
      </c>
      <c r="J17" s="1307"/>
      <c r="K17" s="1307"/>
      <c r="L17" s="1307"/>
      <c r="M17" s="1307"/>
      <c r="N17" s="1307"/>
      <c r="O17" s="1307"/>
      <c r="P17" s="1307"/>
    </row>
    <row r="18" spans="1:17" ht="14.25" hidden="1" customHeight="1">
      <c r="A18" s="1195"/>
      <c r="B18" s="1201" t="s">
        <v>1647</v>
      </c>
      <c r="C18" s="1205">
        <f>+'Inc Stmt'!L40</f>
        <v>30040.5</v>
      </c>
      <c r="D18" s="1205">
        <f>+'Inc Stmt'!M40</f>
        <v>28697.67000000002</v>
      </c>
      <c r="E18" s="1205">
        <f>+'Inc Stmt'!N40</f>
        <v>32745.109999999986</v>
      </c>
      <c r="F18" s="1205">
        <f>+'Inc Stmt'!O40</f>
        <v>30803.490000000005</v>
      </c>
      <c r="G18" s="1205">
        <f>+'Inc Stmt'!P40</f>
        <v>39296.700000000012</v>
      </c>
      <c r="H18" s="1205"/>
      <c r="I18" s="1304"/>
      <c r="J18" s="1308"/>
      <c r="K18" s="1308"/>
      <c r="L18" s="1308"/>
      <c r="M18" s="1308"/>
      <c r="N18" s="1308"/>
      <c r="O18" s="1308"/>
      <c r="P18" s="1308"/>
    </row>
    <row r="19" spans="1:17" ht="14.25" hidden="1" customHeight="1">
      <c r="A19" s="1195"/>
      <c r="B19" s="1201" t="s">
        <v>1648</v>
      </c>
      <c r="C19" s="1205">
        <f>+'Bal Sheet'!L13+'Bal Sheet'!L17</f>
        <v>65366.7</v>
      </c>
      <c r="D19" s="1205">
        <f>+'Bal Sheet'!M13+'Bal Sheet'!M17</f>
        <v>69893.399999999994</v>
      </c>
      <c r="E19" s="1205">
        <f>+'Bal Sheet'!N13+'Bal Sheet'!N17</f>
        <v>90451.1</v>
      </c>
      <c r="F19" s="1205">
        <f>+'Bal Sheet'!O13+'Bal Sheet'!O17</f>
        <v>97394.7</v>
      </c>
      <c r="G19" s="1205">
        <f>+'Bal Sheet'!P13+'Bal Sheet'!P17</f>
        <v>103721.8</v>
      </c>
      <c r="H19" s="1205"/>
      <c r="I19" s="1304"/>
      <c r="J19" s="1308"/>
      <c r="K19" s="1308"/>
      <c r="L19" s="1308"/>
      <c r="M19" s="1308"/>
      <c r="N19" s="1308"/>
      <c r="O19" s="1308"/>
      <c r="P19" s="1308"/>
    </row>
    <row r="20" spans="1:17" ht="14.25" customHeight="1">
      <c r="A20" s="1195"/>
      <c r="B20" s="1201" t="s">
        <v>2627</v>
      </c>
      <c r="C20" s="1205">
        <f>+'Inc Stmt'!L29</f>
        <v>0</v>
      </c>
      <c r="D20" s="1205">
        <f>+'Inc Stmt'!M29</f>
        <v>0</v>
      </c>
      <c r="E20" s="1205">
        <f>+'Inc Stmt'!N29</f>
        <v>0</v>
      </c>
      <c r="F20" s="1205">
        <f>+'Inc Stmt'!O29</f>
        <v>-3402.9</v>
      </c>
      <c r="G20" s="1205">
        <f>+G15-G30</f>
        <v>-1</v>
      </c>
      <c r="H20" s="1205">
        <f>+H15-H30</f>
        <v>2749.8778754935015</v>
      </c>
      <c r="I20" s="1306">
        <v>0.33</v>
      </c>
      <c r="J20" s="1309">
        <f>I20</f>
        <v>0.33</v>
      </c>
      <c r="K20" s="1309">
        <f t="shared" ref="K20:P20" si="14">J20</f>
        <v>0.33</v>
      </c>
      <c r="L20" s="1309">
        <f t="shared" si="14"/>
        <v>0.33</v>
      </c>
      <c r="M20" s="1309">
        <f t="shared" si="14"/>
        <v>0.33</v>
      </c>
      <c r="N20" s="1309">
        <f t="shared" si="14"/>
        <v>0.33</v>
      </c>
      <c r="O20" s="1309">
        <f t="shared" si="14"/>
        <v>0.33</v>
      </c>
      <c r="P20" s="1309">
        <f t="shared" si="14"/>
        <v>0.33</v>
      </c>
      <c r="Q20" s="1206" t="s">
        <v>2583</v>
      </c>
    </row>
    <row r="21" spans="1:17" ht="14.25" hidden="1" customHeight="1">
      <c r="A21" s="1195"/>
      <c r="B21" s="1201" t="s">
        <v>65</v>
      </c>
      <c r="C21" s="1205"/>
      <c r="D21" s="1205"/>
      <c r="E21" s="1205"/>
      <c r="F21" s="1205"/>
      <c r="G21" s="1205"/>
      <c r="H21" s="1205"/>
      <c r="I21" s="1205"/>
      <c r="J21" s="1205"/>
      <c r="K21" s="1205"/>
      <c r="L21" s="1205"/>
      <c r="M21" s="1205"/>
      <c r="N21" s="1205"/>
      <c r="O21" s="1205"/>
      <c r="P21" s="1205"/>
    </row>
    <row r="22" spans="1:17" ht="14.25" hidden="1" customHeight="1">
      <c r="A22" s="1195"/>
      <c r="B22" s="1201" t="s">
        <v>1649</v>
      </c>
      <c r="C22" s="1205">
        <f>+'Bal Sheet'!L29</f>
        <v>60410.6702</v>
      </c>
      <c r="D22" s="1205">
        <f>+'Bal Sheet'!M29</f>
        <v>79019.470200000011</v>
      </c>
      <c r="E22" s="1205">
        <f>+'Bal Sheet'!N29</f>
        <v>96080.170199999993</v>
      </c>
      <c r="F22" s="1205">
        <f>+'Bal Sheet'!O29</f>
        <v>106921.50000000001</v>
      </c>
      <c r="G22" s="1205">
        <f>+'Bal Sheet'!P29</f>
        <v>122916.57019999999</v>
      </c>
      <c r="H22" s="1205"/>
      <c r="I22" s="1205"/>
      <c r="J22" s="1205"/>
      <c r="K22" s="1205"/>
      <c r="L22" s="1205"/>
      <c r="M22" s="1205"/>
      <c r="N22" s="1205"/>
      <c r="O22" s="1205"/>
      <c r="P22" s="1205"/>
    </row>
    <row r="23" spans="1:17" ht="14.25" hidden="1" customHeight="1">
      <c r="A23" s="1195"/>
      <c r="B23" s="1201"/>
      <c r="C23" s="1205"/>
      <c r="D23" s="1205"/>
      <c r="E23" s="1205"/>
      <c r="F23" s="1205"/>
      <c r="G23" s="1205"/>
      <c r="H23" s="1205"/>
      <c r="I23" s="1205"/>
      <c r="J23" s="1205"/>
      <c r="K23" s="1205"/>
      <c r="L23" s="1205"/>
      <c r="M23" s="1205"/>
      <c r="N23" s="1205"/>
      <c r="O23" s="1205"/>
      <c r="P23" s="1205"/>
    </row>
    <row r="24" spans="1:17">
      <c r="A24" s="1195"/>
      <c r="B24" s="1215" t="s">
        <v>1650</v>
      </c>
      <c r="C24" s="1216"/>
      <c r="D24" s="1216"/>
      <c r="E24" s="1216"/>
      <c r="F24" s="1216"/>
      <c r="G24" s="1216"/>
      <c r="H24" s="1216"/>
      <c r="I24" s="1216"/>
      <c r="J24" s="1216"/>
      <c r="K24" s="1216"/>
      <c r="L24" s="1216"/>
      <c r="M24" s="1216"/>
      <c r="N24" s="1216"/>
      <c r="O24" s="1216"/>
      <c r="P24" s="1216"/>
    </row>
    <row r="25" spans="1:17" ht="14.25" customHeight="1">
      <c r="A25" s="1195"/>
      <c r="B25" s="1201" t="s">
        <v>1557</v>
      </c>
      <c r="C25" s="1205">
        <f t="shared" ref="C25:H25" si="15">C16*(1-$N$58)</f>
        <v>23948.278999999995</v>
      </c>
      <c r="D25" s="1205">
        <f t="shared" si="15"/>
        <v>23257.576000000008</v>
      </c>
      <c r="E25" s="1205">
        <f t="shared" si="15"/>
        <v>27247.02399999999</v>
      </c>
      <c r="F25" s="1205">
        <f t="shared" si="15"/>
        <v>26125.779000000006</v>
      </c>
      <c r="G25" s="1205">
        <f t="shared" si="15"/>
        <v>29981.026000000005</v>
      </c>
      <c r="H25" s="1205">
        <f t="shared" si="15"/>
        <v>28589.386009614704</v>
      </c>
      <c r="I25" s="1304">
        <f>I16*(1-$I$20)</f>
        <v>33699.172657836214</v>
      </c>
      <c r="J25" s="1300">
        <f>J16*(1-J20)</f>
        <v>36561.189764889568</v>
      </c>
      <c r="K25" s="1300">
        <f t="shared" ref="K25:P25" si="16">K16*(1-K20)</f>
        <v>41409.115094159395</v>
      </c>
      <c r="L25" s="1300">
        <f t="shared" si="16"/>
        <v>44338.957198923708</v>
      </c>
      <c r="M25" s="1300">
        <f t="shared" si="16"/>
        <v>50212.973376920076</v>
      </c>
      <c r="N25" s="1300">
        <f t="shared" si="16"/>
        <v>56870.206186589974</v>
      </c>
      <c r="O25" s="1300">
        <f t="shared" si="16"/>
        <v>64418.922499945962</v>
      </c>
      <c r="P25" s="1300">
        <f t="shared" si="16"/>
        <v>72981.78868297828</v>
      </c>
      <c r="Q25" s="1206" t="s">
        <v>2583</v>
      </c>
    </row>
    <row r="26" spans="1:17" ht="14.25" customHeight="1">
      <c r="A26" s="1195"/>
      <c r="B26" s="1201" t="s">
        <v>1651</v>
      </c>
      <c r="C26" s="1205">
        <f>+'Inc Stmt'!L23</f>
        <v>1456.2</v>
      </c>
      <c r="D26" s="1205">
        <f>+'Inc Stmt'!M23</f>
        <v>1667.7</v>
      </c>
      <c r="E26" s="1205">
        <f>+'Inc Stmt'!N23</f>
        <v>1796.1</v>
      </c>
      <c r="F26" s="1205">
        <f>+'Inc Stmt'!O23</f>
        <v>2674</v>
      </c>
      <c r="G26" s="1205">
        <f>+'Inc Stmt'!P23</f>
        <v>3071.6</v>
      </c>
      <c r="H26" s="1205">
        <f t="shared" ref="H26:P26" si="17">+H13*0.046</f>
        <v>1552.7746125153474</v>
      </c>
      <c r="I26" s="1304">
        <f t="shared" si="17"/>
        <v>1680.0784484290746</v>
      </c>
      <c r="J26" s="1205">
        <f t="shared" si="17"/>
        <v>1910.0784484290746</v>
      </c>
      <c r="K26" s="1205">
        <f t="shared" si="17"/>
        <v>2186.0784484290743</v>
      </c>
      <c r="L26" s="1205">
        <f t="shared" si="17"/>
        <v>2508.0784484290743</v>
      </c>
      <c r="M26" s="1205">
        <f t="shared" si="17"/>
        <v>2876.0784484290743</v>
      </c>
      <c r="N26" s="1205">
        <f t="shared" si="17"/>
        <v>3290.0784484290743</v>
      </c>
      <c r="O26" s="1205">
        <f t="shared" si="17"/>
        <v>3750.0784484290743</v>
      </c>
      <c r="P26" s="1205">
        <f t="shared" si="17"/>
        <v>4256.0784484290743</v>
      </c>
      <c r="Q26" s="1206" t="s">
        <v>2628</v>
      </c>
    </row>
    <row r="27" spans="1:17" ht="14.25" customHeight="1">
      <c r="A27" s="1195"/>
      <c r="B27" s="1201" t="s">
        <v>1652</v>
      </c>
      <c r="C27" s="1205">
        <f>+Cashflow!L26</f>
        <v>988.69999999999982</v>
      </c>
      <c r="D27" s="1205">
        <f>+Cashflow!M26</f>
        <v>-5011.3000000000011</v>
      </c>
      <c r="E27" s="1205">
        <f>+Cashflow!N26</f>
        <v>4318.5</v>
      </c>
      <c r="F27" s="1205">
        <f>+Cashflow!O26</f>
        <v>-5825.2</v>
      </c>
      <c r="G27" s="1205">
        <f>+Cashflow!P26</f>
        <v>5302.3</v>
      </c>
      <c r="H27" s="1205">
        <f>-H9*0.005</f>
        <v>-1088.3340000000001</v>
      </c>
      <c r="I27" s="1304">
        <f t="shared" ref="I27" si="18">-I9*0.005</f>
        <v>-1311.8181445632333</v>
      </c>
      <c r="J27" s="1330">
        <f>J9*0.5%</f>
        <v>1486.2899577901435</v>
      </c>
      <c r="K27" s="1330">
        <f t="shared" ref="K27:P27" si="19">K9*0.5%</f>
        <v>1683.9665221762325</v>
      </c>
      <c r="L27" s="1330">
        <f t="shared" si="19"/>
        <v>1907.9340696256716</v>
      </c>
      <c r="M27" s="1330">
        <f t="shared" si="19"/>
        <v>2161.689300885886</v>
      </c>
      <c r="N27" s="1330">
        <f t="shared" si="19"/>
        <v>2449.1939779037089</v>
      </c>
      <c r="O27" s="1330">
        <f t="shared" si="19"/>
        <v>2774.9367769649025</v>
      </c>
      <c r="P27" s="1330">
        <f t="shared" si="19"/>
        <v>3144.0033683012343</v>
      </c>
      <c r="Q27" s="1206" t="s">
        <v>2626</v>
      </c>
    </row>
    <row r="28" spans="1:17" ht="14.25" customHeight="1">
      <c r="A28" s="1195"/>
      <c r="B28" s="1201" t="s">
        <v>1619</v>
      </c>
      <c r="C28" s="1205">
        <f>-'Fixed Assets'!M84</f>
        <v>-30.399999999994179</v>
      </c>
      <c r="D28" s="1205">
        <f>-'Fixed Assets'!N84</f>
        <v>-4349.3000000000029</v>
      </c>
      <c r="E28" s="1205">
        <f>-'Fixed Assets'!O84</f>
        <v>-2481.9000000000015</v>
      </c>
      <c r="F28" s="1205">
        <f>-'Fixed Assets'!P84</f>
        <v>-238.69999999999709</v>
      </c>
      <c r="G28" s="1205">
        <f>-'Fixed Assets'!Q84</f>
        <v>-2893.4000000000015</v>
      </c>
      <c r="H28" s="1205">
        <f>-'Fixed Assets'!R84</f>
        <v>-3000</v>
      </c>
      <c r="I28" s="1304">
        <f>-'Fixed Assets'!S84</f>
        <v>-4000</v>
      </c>
      <c r="J28" s="1205">
        <f>J14</f>
        <v>5000</v>
      </c>
      <c r="K28" s="1205">
        <f t="shared" ref="K28:P28" si="20">K14</f>
        <v>6000</v>
      </c>
      <c r="L28" s="1205">
        <f t="shared" si="20"/>
        <v>7000</v>
      </c>
      <c r="M28" s="1205">
        <f t="shared" si="20"/>
        <v>8000</v>
      </c>
      <c r="N28" s="1205">
        <f t="shared" si="20"/>
        <v>9000</v>
      </c>
      <c r="O28" s="1205">
        <f t="shared" si="20"/>
        <v>10000</v>
      </c>
      <c r="P28" s="1205">
        <f t="shared" si="20"/>
        <v>11000</v>
      </c>
      <c r="Q28" s="1206" t="s">
        <v>2628</v>
      </c>
    </row>
    <row r="29" spans="1:17" ht="14.25" customHeight="1">
      <c r="A29" s="1195"/>
      <c r="B29" s="1203" t="s">
        <v>1653</v>
      </c>
      <c r="C29" s="1214">
        <f t="shared" ref="C29:K29" si="21">SUM(C25:C28)</f>
        <v>26362.779000000002</v>
      </c>
      <c r="D29" s="1214">
        <f t="shared" si="21"/>
        <v>15564.676000000007</v>
      </c>
      <c r="E29" s="1214">
        <f t="shared" si="21"/>
        <v>30879.723999999987</v>
      </c>
      <c r="F29" s="1214">
        <f t="shared" si="21"/>
        <v>22735.879000000008</v>
      </c>
      <c r="G29" s="1214">
        <f t="shared" si="21"/>
        <v>35461.526000000005</v>
      </c>
      <c r="H29" s="1214">
        <f t="shared" si="21"/>
        <v>26053.826622130051</v>
      </c>
      <c r="I29" s="1274">
        <f t="shared" si="21"/>
        <v>30067.432961702056</v>
      </c>
      <c r="J29" s="1214">
        <f t="shared" si="21"/>
        <v>44957.558171108787</v>
      </c>
      <c r="K29" s="1214">
        <f t="shared" si="21"/>
        <v>51279.160064764706</v>
      </c>
      <c r="L29" s="1214">
        <f>SUM(L25:L28)</f>
        <v>55754.969716978449</v>
      </c>
      <c r="M29" s="1214">
        <f>SUM(M25:M28)</f>
        <v>63250.741126235036</v>
      </c>
      <c r="N29" s="1214">
        <f>SUM(N25:N28)</f>
        <v>71609.478612922758</v>
      </c>
      <c r="O29" s="1214">
        <f>SUM(O25:O28)</f>
        <v>80943.937725339929</v>
      </c>
      <c r="P29" s="1214">
        <f>SUM(P25:P28)</f>
        <v>91381.870499708588</v>
      </c>
    </row>
    <row r="30" spans="1:17" ht="14.25" customHeight="1">
      <c r="A30" s="1195"/>
      <c r="B30" s="1201" t="s">
        <v>1654</v>
      </c>
      <c r="C30" s="1217"/>
      <c r="D30" s="1217">
        <f t="shared" ref="D30:I30" si="22">1/(1+$P$35)^D39</f>
        <v>1</v>
      </c>
      <c r="E30" s="1217">
        <f t="shared" si="22"/>
        <v>1</v>
      </c>
      <c r="F30" s="1217">
        <f t="shared" si="22"/>
        <v>1</v>
      </c>
      <c r="G30" s="1217">
        <f t="shared" si="22"/>
        <v>1</v>
      </c>
      <c r="H30" s="1217">
        <f t="shared" si="22"/>
        <v>1</v>
      </c>
      <c r="I30" s="1310">
        <f t="shared" si="22"/>
        <v>0.88727205332663295</v>
      </c>
      <c r="J30" s="1312">
        <f>1/(1+$P$35)^J39</f>
        <v>0.78725169661445926</v>
      </c>
      <c r="K30" s="1312">
        <f t="shared" ref="K30:P30" si="23">1/(1+$P$35)^K39</f>
        <v>0.69850642933998675</v>
      </c>
      <c r="L30" s="1312">
        <f t="shared" si="23"/>
        <v>0.61976523382234472</v>
      </c>
      <c r="M30" s="1312">
        <f t="shared" si="23"/>
        <v>0.54990037159401262</v>
      </c>
      <c r="N30" s="1312">
        <f t="shared" si="23"/>
        <v>0.48791123182929796</v>
      </c>
      <c r="O30" s="1312">
        <f t="shared" si="23"/>
        <v>0.43291000050630796</v>
      </c>
      <c r="P30" s="1312">
        <f t="shared" si="23"/>
        <v>0.38410894505486565</v>
      </c>
      <c r="Q30" s="1206" t="s">
        <v>2583</v>
      </c>
    </row>
    <row r="31" spans="1:17" ht="14.25" customHeight="1">
      <c r="A31" s="1195"/>
      <c r="B31" s="1201" t="s">
        <v>1655</v>
      </c>
      <c r="C31" s="1217"/>
      <c r="D31" s="1205">
        <f t="shared" ref="D31:K31" si="24">D29*D30</f>
        <v>15564.676000000007</v>
      </c>
      <c r="E31" s="1205">
        <f t="shared" si="24"/>
        <v>30879.723999999987</v>
      </c>
      <c r="F31" s="1205">
        <f t="shared" si="24"/>
        <v>22735.879000000008</v>
      </c>
      <c r="G31" s="1205">
        <f t="shared" si="24"/>
        <v>35461.526000000005</v>
      </c>
      <c r="H31" s="1205">
        <f t="shared" si="24"/>
        <v>26053.826622130051</v>
      </c>
      <c r="I31" s="1311">
        <f t="shared" si="24"/>
        <v>26677.992982190266</v>
      </c>
      <c r="J31" s="1263">
        <f t="shared" si="24"/>
        <v>35392.913945848639</v>
      </c>
      <c r="K31" s="1263">
        <f t="shared" si="24"/>
        <v>35818.822996392439</v>
      </c>
      <c r="L31" s="1263">
        <f>L29*L30</f>
        <v>34554.991843400894</v>
      </c>
      <c r="M31" s="1263">
        <f>M29*M30</f>
        <v>34781.606048913345</v>
      </c>
      <c r="N31" s="1263">
        <f>N29*N30</f>
        <v>34939.068920684913</v>
      </c>
      <c r="O31" s="1263">
        <f>O29*O30</f>
        <v>35041.440121659471</v>
      </c>
      <c r="P31" s="1263">
        <f>P29*P30</f>
        <v>35100.593874783415</v>
      </c>
    </row>
    <row r="32" spans="1:17" ht="14.25" hidden="1" customHeight="1">
      <c r="A32" s="1195"/>
      <c r="B32" s="1201"/>
      <c r="C32" s="1217"/>
      <c r="D32" s="1218"/>
      <c r="E32" s="1218"/>
      <c r="F32" s="1218"/>
      <c r="G32" s="1218"/>
      <c r="H32" s="1218"/>
      <c r="I32" s="1218"/>
      <c r="J32" s="1218"/>
      <c r="K32" s="1219"/>
      <c r="L32" s="1219"/>
      <c r="M32" s="1219"/>
      <c r="N32" s="1219"/>
      <c r="O32" s="1219"/>
      <c r="P32" s="1219"/>
    </row>
    <row r="33" spans="1:17" ht="14.25" hidden="1" customHeight="1">
      <c r="A33" s="1195"/>
      <c r="B33" s="1201"/>
      <c r="C33" s="1213"/>
      <c r="D33" s="1220"/>
      <c r="E33" s="1220"/>
      <c r="F33" s="1220"/>
      <c r="G33" s="1220"/>
      <c r="H33" s="1220"/>
      <c r="I33" s="1220"/>
      <c r="J33" s="1220"/>
      <c r="K33" s="1220"/>
      <c r="L33" s="1220"/>
      <c r="M33" s="1220"/>
      <c r="N33" s="1220"/>
      <c r="O33" s="1220"/>
      <c r="P33" s="1220"/>
    </row>
    <row r="34" spans="1:17" ht="14.25" customHeight="1">
      <c r="A34" s="1195"/>
      <c r="B34" s="1221" t="s">
        <v>1656</v>
      </c>
      <c r="D34" s="1223"/>
      <c r="E34" s="1223"/>
      <c r="F34" s="1223"/>
      <c r="G34" s="1223"/>
      <c r="H34" s="1223"/>
      <c r="I34" s="1223"/>
      <c r="J34" s="1223"/>
      <c r="K34" s="1223"/>
      <c r="L34" s="1223"/>
      <c r="M34" s="1223"/>
      <c r="N34" s="1223"/>
      <c r="O34" s="1223"/>
      <c r="P34" s="1222">
        <v>0.04</v>
      </c>
    </row>
    <row r="35" spans="1:17" ht="14.25" customHeight="1">
      <c r="A35" s="1195"/>
      <c r="B35" s="1201" t="s">
        <v>1657</v>
      </c>
      <c r="D35" s="1223"/>
      <c r="E35" s="1223"/>
      <c r="F35" s="1223"/>
      <c r="G35" s="1223"/>
      <c r="H35" s="1223"/>
      <c r="I35" s="1223"/>
      <c r="J35" s="1223"/>
      <c r="K35" s="1223"/>
      <c r="L35" s="1223"/>
      <c r="M35" s="1223"/>
      <c r="N35" s="1223"/>
      <c r="O35" s="1223"/>
      <c r="P35" s="1265">
        <f>N61</f>
        <v>0.12705003640170817</v>
      </c>
      <c r="Q35" s="1206" t="s">
        <v>2644</v>
      </c>
    </row>
    <row r="36" spans="1:17">
      <c r="A36" s="1195"/>
      <c r="B36" s="1224"/>
      <c r="C36" s="1224"/>
      <c r="D36" s="1224"/>
      <c r="E36" s="1224"/>
      <c r="F36" s="1224"/>
      <c r="G36" s="1224"/>
      <c r="H36" s="1224"/>
      <c r="I36" s="1224"/>
      <c r="J36" s="1225"/>
      <c r="K36" s="1225"/>
      <c r="L36" s="1225"/>
      <c r="M36" s="1225"/>
      <c r="N36" s="1225"/>
      <c r="O36" s="1225"/>
      <c r="P36" s="1225"/>
    </row>
    <row r="37" spans="1:17" hidden="1">
      <c r="A37" s="1195"/>
      <c r="B37" s="1195"/>
      <c r="C37" s="1196"/>
      <c r="D37" s="1196"/>
      <c r="E37" s="1196"/>
      <c r="F37" s="1196"/>
      <c r="G37" s="1196"/>
      <c r="H37" s="1196"/>
      <c r="I37" s="1196"/>
    </row>
    <row r="38" spans="1:17">
      <c r="A38" s="1195"/>
      <c r="B38" s="1226" t="s">
        <v>1658</v>
      </c>
      <c r="C38" s="1227">
        <v>42826</v>
      </c>
      <c r="D38" s="1228">
        <v>41364</v>
      </c>
      <c r="E38" s="1228">
        <v>41729</v>
      </c>
      <c r="F38" s="1228">
        <v>42094</v>
      </c>
      <c r="G38" s="1228">
        <v>42460</v>
      </c>
      <c r="H38" s="1228">
        <v>42825</v>
      </c>
      <c r="I38" s="1228">
        <v>43190</v>
      </c>
      <c r="J38" s="1228">
        <v>43555</v>
      </c>
      <c r="K38" s="1228">
        <v>43921</v>
      </c>
      <c r="L38" s="1228">
        <v>44286</v>
      </c>
      <c r="M38" s="1228">
        <v>44651</v>
      </c>
      <c r="N38" s="1228">
        <v>45016</v>
      </c>
      <c r="O38" s="1228">
        <v>45382</v>
      </c>
      <c r="P38" s="1228">
        <v>45747</v>
      </c>
    </row>
    <row r="39" spans="1:17">
      <c r="A39" s="1195"/>
      <c r="B39" s="1226" t="s">
        <v>1659</v>
      </c>
      <c r="C39" s="1229">
        <f>YEARFRAC(C40,C38)</f>
        <v>111.72499999999999</v>
      </c>
      <c r="D39" s="1230">
        <v>0</v>
      </c>
      <c r="E39" s="1230">
        <v>0</v>
      </c>
      <c r="F39" s="1230">
        <v>0</v>
      </c>
      <c r="G39" s="1230">
        <v>0</v>
      </c>
      <c r="H39" s="1230">
        <v>0</v>
      </c>
      <c r="I39" s="1230">
        <f>1+H39</f>
        <v>1</v>
      </c>
      <c r="J39" s="1230">
        <f t="shared" ref="J39:P39" si="25">1+I39</f>
        <v>2</v>
      </c>
      <c r="K39" s="1230">
        <f t="shared" si="25"/>
        <v>3</v>
      </c>
      <c r="L39" s="1230">
        <f t="shared" si="25"/>
        <v>4</v>
      </c>
      <c r="M39" s="1230">
        <f t="shared" si="25"/>
        <v>5</v>
      </c>
      <c r="N39" s="1230">
        <f t="shared" si="25"/>
        <v>6</v>
      </c>
      <c r="O39" s="1230">
        <f t="shared" si="25"/>
        <v>7</v>
      </c>
      <c r="P39" s="1230">
        <f t="shared" si="25"/>
        <v>8</v>
      </c>
    </row>
    <row r="40" spans="1:17">
      <c r="A40" s="1195"/>
      <c r="B40" s="1226" t="s">
        <v>1660</v>
      </c>
      <c r="C40" s="1228">
        <v>2018</v>
      </c>
      <c r="D40" s="1196"/>
      <c r="E40" s="1196"/>
      <c r="F40" s="1196"/>
      <c r="G40" s="1196"/>
      <c r="H40" s="1196"/>
      <c r="I40" s="1196"/>
    </row>
    <row r="41" spans="1:17">
      <c r="A41" s="1195"/>
      <c r="B41" s="1226" t="s">
        <v>1661</v>
      </c>
      <c r="D41" s="1196"/>
      <c r="E41" s="1196"/>
      <c r="F41" s="1196"/>
      <c r="G41" s="1196"/>
      <c r="H41" s="1196"/>
      <c r="I41" s="1196"/>
      <c r="P41" s="1231">
        <v>0.75</v>
      </c>
    </row>
    <row r="42" spans="1:17">
      <c r="A42" s="1195"/>
      <c r="B42" s="1195"/>
      <c r="C42" s="1196"/>
      <c r="D42" s="1196"/>
      <c r="E42" s="1196"/>
      <c r="F42" s="1196"/>
      <c r="G42" s="1196"/>
      <c r="H42" s="1196"/>
      <c r="I42" s="1196"/>
      <c r="L42" s="1268"/>
      <c r="M42" s="1268"/>
      <c r="N42" s="1268"/>
      <c r="O42" s="1268"/>
    </row>
    <row r="43" spans="1:17" ht="12.75" customHeight="1">
      <c r="A43" s="1195"/>
      <c r="B43" s="1256" t="s">
        <v>1662</v>
      </c>
      <c r="I43" s="1257"/>
      <c r="J43" s="1196"/>
      <c r="K43" s="1196"/>
      <c r="L43" s="1270" t="s">
        <v>1663</v>
      </c>
      <c r="M43" s="1270"/>
      <c r="N43" s="1270"/>
      <c r="O43" s="1268"/>
    </row>
    <row r="44" spans="1:17">
      <c r="A44" s="1195"/>
      <c r="B44" s="1221" t="s">
        <v>1656</v>
      </c>
      <c r="I44" s="1313">
        <v>0.04</v>
      </c>
      <c r="J44" s="1196" t="s">
        <v>2646</v>
      </c>
      <c r="K44" s="1196"/>
      <c r="L44" s="1271" t="s">
        <v>1664</v>
      </c>
      <c r="M44" s="1271"/>
      <c r="N44" s="1272">
        <v>0</v>
      </c>
      <c r="O44" s="1267"/>
      <c r="P44" s="1195"/>
      <c r="Q44" s="1195"/>
    </row>
    <row r="45" spans="1:17">
      <c r="A45" s="1195"/>
      <c r="B45" s="1232" t="s">
        <v>1665</v>
      </c>
      <c r="I45" s="1233">
        <f>P29</f>
        <v>91381.870499708588</v>
      </c>
      <c r="J45" s="1196"/>
      <c r="K45" s="1196"/>
      <c r="L45" s="1271" t="s">
        <v>1666</v>
      </c>
      <c r="M45" s="1271"/>
      <c r="N45" s="1273">
        <f>+'Bal Sheet'!L25</f>
        <v>974.8</v>
      </c>
      <c r="O45" s="1267"/>
      <c r="P45" s="1234"/>
      <c r="Q45" s="1234"/>
    </row>
    <row r="46" spans="1:17">
      <c r="A46" s="1195"/>
      <c r="B46" s="1232" t="s">
        <v>1667</v>
      </c>
      <c r="I46" s="1314">
        <f>I45*(1+I44)</f>
        <v>95037.145319696938</v>
      </c>
      <c r="J46" s="1196" t="s">
        <v>2570</v>
      </c>
      <c r="K46" s="1196"/>
      <c r="L46" s="1271" t="s">
        <v>1668</v>
      </c>
      <c r="M46" s="1271"/>
      <c r="N46" s="1273">
        <v>2197</v>
      </c>
      <c r="O46" s="1267"/>
      <c r="P46" s="1195"/>
      <c r="Q46" s="1195"/>
    </row>
    <row r="47" spans="1:17">
      <c r="A47" s="1195"/>
      <c r="B47" s="1232" t="s">
        <v>1669</v>
      </c>
      <c r="I47" s="1314">
        <f>I46/(P35-I44)</f>
        <v>1091753.0795866738</v>
      </c>
      <c r="J47" s="1196" t="s">
        <v>2570</v>
      </c>
      <c r="K47" s="1196"/>
      <c r="L47" s="1271" t="s">
        <v>1670</v>
      </c>
      <c r="M47" s="1271"/>
      <c r="N47" s="1273">
        <v>289.36702000000002</v>
      </c>
      <c r="O47" s="1267"/>
      <c r="P47" s="1235"/>
      <c r="Q47" s="1235"/>
    </row>
    <row r="48" spans="1:17">
      <c r="A48" s="1195"/>
      <c r="B48" s="1232" t="s">
        <v>1629</v>
      </c>
      <c r="I48" s="1314">
        <f>I47*P30</f>
        <v>419352.12366043805</v>
      </c>
      <c r="J48" s="1196" t="s">
        <v>2570</v>
      </c>
      <c r="K48" s="1196"/>
      <c r="L48" s="1271" t="s">
        <v>1671</v>
      </c>
      <c r="M48" s="1271"/>
      <c r="N48" s="1273">
        <f>(N46*N47)</f>
        <v>635739.34294</v>
      </c>
      <c r="O48" s="1267"/>
      <c r="P48" s="1195"/>
      <c r="Q48" s="1195"/>
    </row>
    <row r="49" spans="1:19">
      <c r="A49" s="1195"/>
      <c r="B49" s="1236"/>
      <c r="I49" s="1237"/>
      <c r="J49" s="1223"/>
      <c r="K49" s="1238"/>
      <c r="L49" s="1271" t="s">
        <v>1672</v>
      </c>
      <c r="M49" s="1271"/>
      <c r="N49" s="1273">
        <f>+'Bal Sheet'!L29</f>
        <v>60410.6702</v>
      </c>
      <c r="O49" s="1267"/>
      <c r="P49" s="1195"/>
      <c r="Q49" s="1267"/>
      <c r="R49" s="1333"/>
      <c r="S49" s="1333"/>
    </row>
    <row r="50" spans="1:19">
      <c r="A50" s="1195"/>
      <c r="B50" s="1195"/>
      <c r="I50" s="1195"/>
      <c r="J50" s="1195"/>
      <c r="K50" s="1195"/>
      <c r="L50" s="1195"/>
      <c r="M50" s="1195"/>
      <c r="N50" s="1195"/>
      <c r="O50" s="1195"/>
      <c r="P50" s="1195"/>
      <c r="Q50" s="1267" t="s">
        <v>1676</v>
      </c>
      <c r="R50" s="1333"/>
      <c r="S50" s="1334">
        <v>0.12</v>
      </c>
    </row>
    <row r="51" spans="1:19">
      <c r="A51" s="1195"/>
      <c r="B51" s="1258" t="s">
        <v>1673</v>
      </c>
      <c r="I51" s="1259"/>
      <c r="J51" s="1239"/>
      <c r="K51" s="1239"/>
      <c r="L51" s="1670" t="s">
        <v>1657</v>
      </c>
      <c r="M51" s="1670"/>
      <c r="N51" s="1671"/>
      <c r="O51" s="1195"/>
      <c r="P51" s="1195"/>
      <c r="Q51" s="1267"/>
      <c r="R51" s="1333"/>
      <c r="S51" s="1333"/>
    </row>
    <row r="52" spans="1:19">
      <c r="A52" s="1195"/>
      <c r="B52" s="1201"/>
      <c r="I52" s="1240"/>
      <c r="J52" s="1195"/>
      <c r="K52" s="1195"/>
      <c r="L52" s="1678" t="s">
        <v>1674</v>
      </c>
      <c r="M52" s="1679"/>
      <c r="N52" s="1315">
        <v>6.6451999999999997E-2</v>
      </c>
      <c r="O52" s="1195" t="s">
        <v>2641</v>
      </c>
      <c r="P52" s="1195"/>
      <c r="Q52" s="1195"/>
    </row>
    <row r="53" spans="1:19">
      <c r="A53" s="1195"/>
      <c r="B53" s="1201" t="s">
        <v>1675</v>
      </c>
      <c r="I53" s="1321">
        <f>SUM(I31:P31)</f>
        <v>272307.43073387339</v>
      </c>
      <c r="J53" s="1241"/>
      <c r="K53" s="1195"/>
      <c r="L53" s="1678" t="s">
        <v>2637</v>
      </c>
      <c r="M53" s="1679"/>
      <c r="N53" s="1315">
        <f>'Market Return and Beta'!E3</f>
        <v>0.13997877469031067</v>
      </c>
      <c r="O53" s="1266" t="s">
        <v>2638</v>
      </c>
    </row>
    <row r="54" spans="1:19">
      <c r="A54" s="1195"/>
      <c r="B54" s="1201" t="s">
        <v>1677</v>
      </c>
      <c r="I54" s="1321">
        <f>I48</f>
        <v>419352.12366043805</v>
      </c>
      <c r="J54" s="1241"/>
      <c r="K54" s="1242"/>
      <c r="L54" s="1678" t="s">
        <v>1678</v>
      </c>
      <c r="M54" s="1679"/>
      <c r="N54" s="1316">
        <f>'Market Return and Beta'!M5</f>
        <v>0.83380051532224786</v>
      </c>
      <c r="O54" s="1266" t="s">
        <v>2638</v>
      </c>
      <c r="P54" s="1195"/>
      <c r="Q54" s="1195"/>
    </row>
    <row r="55" spans="1:19">
      <c r="A55" s="1195"/>
      <c r="B55" s="1203" t="s">
        <v>514</v>
      </c>
      <c r="I55" s="1214">
        <f>I53+I54</f>
        <v>691659.5543943115</v>
      </c>
      <c r="J55" s="1195"/>
      <c r="K55" s="1195"/>
      <c r="L55" s="1680" t="s">
        <v>1679</v>
      </c>
      <c r="M55" s="1681"/>
      <c r="N55" s="1317">
        <f>N52+N54*(N53-N52)</f>
        <v>0.12775866262676383</v>
      </c>
      <c r="O55" s="1195" t="s">
        <v>2640</v>
      </c>
      <c r="P55" s="1195"/>
      <c r="Q55" s="1195"/>
    </row>
    <row r="56" spans="1:19">
      <c r="A56" s="1195"/>
      <c r="B56" s="1203" t="s">
        <v>2603</v>
      </c>
      <c r="I56" s="1320">
        <f>-1625</f>
        <v>-1625</v>
      </c>
      <c r="J56" s="1195"/>
      <c r="K56" s="1195"/>
      <c r="L56" s="1686"/>
      <c r="M56" s="1687"/>
      <c r="N56" s="1243"/>
      <c r="O56" s="1195"/>
      <c r="P56" s="1195"/>
      <c r="Q56" s="1195"/>
    </row>
    <row r="57" spans="1:19">
      <c r="A57" s="1195"/>
      <c r="B57" s="1203" t="s">
        <v>2604</v>
      </c>
      <c r="I57" s="1217"/>
      <c r="J57" s="1195"/>
      <c r="K57" s="1195"/>
      <c r="L57" s="1678" t="s">
        <v>1680</v>
      </c>
      <c r="M57" s="1679"/>
      <c r="N57" s="1315">
        <v>8.7999999999999995E-2</v>
      </c>
      <c r="O57" s="1195" t="s">
        <v>2642</v>
      </c>
      <c r="P57" s="1195"/>
      <c r="Q57" s="1195"/>
    </row>
    <row r="58" spans="1:19">
      <c r="A58" s="1195"/>
      <c r="B58" s="1203" t="s">
        <v>2605</v>
      </c>
      <c r="I58" s="1217"/>
      <c r="J58" s="1195"/>
      <c r="K58" s="1195"/>
      <c r="L58" s="1678" t="s">
        <v>1681</v>
      </c>
      <c r="M58" s="1679"/>
      <c r="N58" s="1315">
        <v>0.33</v>
      </c>
      <c r="O58" s="1195" t="s">
        <v>2642</v>
      </c>
      <c r="P58" s="1195"/>
      <c r="Q58" s="1195"/>
    </row>
    <row r="59" spans="1:19">
      <c r="A59" s="1195"/>
      <c r="B59" s="1203" t="s">
        <v>2606</v>
      </c>
      <c r="I59" s="1300">
        <f>'Bal Sheet'!Q81</f>
        <v>5567.4985222216674</v>
      </c>
      <c r="J59" s="1195"/>
      <c r="K59" s="1195"/>
      <c r="L59" s="1682" t="s">
        <v>2639</v>
      </c>
      <c r="M59" s="1683"/>
      <c r="N59" s="1318">
        <f>N57*(1-N58)</f>
        <v>5.8959999999999992E-2</v>
      </c>
      <c r="O59" s="1195" t="s">
        <v>2643</v>
      </c>
      <c r="P59" s="1195"/>
      <c r="Q59" s="1195"/>
    </row>
    <row r="60" spans="1:19">
      <c r="A60" s="1195"/>
      <c r="B60" s="1203" t="s">
        <v>2607</v>
      </c>
      <c r="I60" s="1217"/>
      <c r="J60" s="1195"/>
      <c r="K60" s="1195"/>
      <c r="L60" s="1245"/>
      <c r="M60" s="1246"/>
      <c r="N60" s="1247"/>
      <c r="O60" s="1195"/>
      <c r="P60" s="1195"/>
      <c r="Q60" s="1195"/>
    </row>
    <row r="61" spans="1:19">
      <c r="A61" s="1195"/>
      <c r="B61" s="1203" t="s">
        <v>1682</v>
      </c>
      <c r="I61" s="1214">
        <f>SUM(I55:I60)</f>
        <v>695602.0529165332</v>
      </c>
      <c r="J61" s="1195"/>
      <c r="K61" s="1248"/>
      <c r="L61" s="1684" t="s">
        <v>1657</v>
      </c>
      <c r="M61" s="1685"/>
      <c r="N61" s="1318">
        <f>1.03%*(N59)+98.97%*N55</f>
        <v>0.12705003640170817</v>
      </c>
      <c r="O61" s="1195" t="s">
        <v>2643</v>
      </c>
      <c r="P61" s="1269" t="s">
        <v>2645</v>
      </c>
      <c r="Q61" s="1195"/>
    </row>
    <row r="62" spans="1:19">
      <c r="A62" s="1195"/>
      <c r="B62" s="1201" t="s">
        <v>1683</v>
      </c>
      <c r="I62" s="1319">
        <f>'Inc Stmt'!Q49</f>
        <v>289.36702000000002</v>
      </c>
      <c r="J62" s="1195"/>
      <c r="K62" s="1195"/>
      <c r="L62" s="1245"/>
      <c r="M62" s="1249"/>
      <c r="N62" s="1250"/>
      <c r="O62" s="1223"/>
      <c r="P62" s="1238"/>
      <c r="Q62" s="1195"/>
    </row>
    <row r="63" spans="1:19">
      <c r="A63" s="1195"/>
      <c r="B63" s="1203" t="s">
        <v>1684</v>
      </c>
      <c r="I63" s="1274">
        <f>I61/I62</f>
        <v>2403.8746810764169</v>
      </c>
      <c r="J63" s="1195"/>
      <c r="K63" s="1195"/>
      <c r="L63" s="1195"/>
      <c r="M63" s="1196"/>
      <c r="N63" s="1196"/>
      <c r="O63" s="1223"/>
      <c r="P63" s="1238"/>
      <c r="Q63" s="1195"/>
    </row>
    <row r="64" spans="1:19">
      <c r="A64" s="1195"/>
      <c r="B64" s="1195"/>
      <c r="I64" s="1195"/>
      <c r="J64" s="1195"/>
      <c r="K64" s="1195"/>
      <c r="L64" s="1678" t="s">
        <v>1656</v>
      </c>
      <c r="M64" s="1679"/>
      <c r="N64" s="1244">
        <v>0.04</v>
      </c>
      <c r="O64" s="1195"/>
      <c r="P64" s="1195"/>
      <c r="Q64" s="1251"/>
    </row>
    <row r="65" spans="1:17">
      <c r="A65" s="1195"/>
      <c r="B65" s="1226" t="s">
        <v>1685</v>
      </c>
      <c r="I65" s="1252">
        <v>2040</v>
      </c>
      <c r="J65" s="1195"/>
      <c r="K65" s="1195"/>
      <c r="L65" s="1678" t="s">
        <v>1657</v>
      </c>
      <c r="M65" s="1679"/>
      <c r="N65" s="1244">
        <f>I74</f>
        <v>0.1276533328848817</v>
      </c>
      <c r="O65" s="1195"/>
      <c r="P65" s="1195"/>
      <c r="Q65" s="1253"/>
    </row>
    <row r="66" spans="1:17">
      <c r="A66" s="1195"/>
      <c r="B66" s="1254" t="s">
        <v>1686</v>
      </c>
      <c r="I66" s="1255">
        <f>I63/I65-1</f>
        <v>0.17836994170412601</v>
      </c>
      <c r="J66" s="1195"/>
      <c r="K66" s="1195"/>
      <c r="L66" s="1195"/>
      <c r="M66" s="1195"/>
      <c r="N66" s="1195"/>
      <c r="O66" s="1195"/>
    </row>
    <row r="67" spans="1:17">
      <c r="A67" s="1195"/>
      <c r="B67" s="1195"/>
      <c r="I67" s="1195"/>
      <c r="J67" s="1195"/>
      <c r="K67" s="1195"/>
      <c r="L67" s="1195"/>
      <c r="M67" s="1195"/>
      <c r="N67" s="1195"/>
      <c r="O67" s="1195"/>
    </row>
    <row r="68" spans="1:17">
      <c r="A68" s="1195"/>
      <c r="B68" s="1195"/>
      <c r="I68" s="1195"/>
      <c r="J68" s="1195"/>
      <c r="K68" s="1195"/>
      <c r="L68" s="1195"/>
      <c r="M68" s="1195"/>
      <c r="N68" s="1195"/>
      <c r="O68" s="1195"/>
    </row>
    <row r="69" spans="1:17">
      <c r="A69" s="1195"/>
      <c r="B69" s="1322" t="s">
        <v>1687</v>
      </c>
      <c r="C69" s="1323"/>
      <c r="D69" s="1323"/>
      <c r="E69" s="1323"/>
      <c r="F69" s="1323"/>
      <c r="G69" s="1323"/>
      <c r="H69" s="1323"/>
      <c r="I69" s="1322"/>
      <c r="J69" s="1322"/>
      <c r="K69" s="1322"/>
      <c r="L69" s="1322"/>
      <c r="M69" s="1322"/>
      <c r="N69" s="1322"/>
      <c r="O69" s="1195"/>
    </row>
    <row r="70" spans="1:17">
      <c r="B70" s="1324"/>
      <c r="C70" s="1323"/>
      <c r="D70" s="1323"/>
      <c r="E70" s="1323"/>
      <c r="F70" s="1323"/>
      <c r="G70" s="1323"/>
      <c r="H70" s="1323"/>
      <c r="I70" s="1672" t="s">
        <v>1656</v>
      </c>
      <c r="J70" s="1673"/>
      <c r="K70" s="1673"/>
      <c r="L70" s="1673"/>
      <c r="M70" s="1673"/>
      <c r="N70" s="1674"/>
    </row>
    <row r="71" spans="1:17">
      <c r="B71" s="1675" t="s">
        <v>1657</v>
      </c>
      <c r="C71" s="1323"/>
      <c r="D71" s="1323"/>
      <c r="E71" s="1323"/>
      <c r="F71" s="1323"/>
      <c r="G71" s="1323"/>
      <c r="H71" s="1323"/>
      <c r="I71" s="1325">
        <f>I63</f>
        <v>2403.8746810764169</v>
      </c>
      <c r="J71" s="1326">
        <f>K71-0.5%</f>
        <v>3.0000000000000002E-2</v>
      </c>
      <c r="K71" s="1326">
        <f>L71-0.5%</f>
        <v>3.5000000000000003E-2</v>
      </c>
      <c r="L71" s="1327">
        <v>0.04</v>
      </c>
      <c r="M71" s="1326">
        <f>L71+0.5%</f>
        <v>4.4999999999999998E-2</v>
      </c>
      <c r="N71" s="1326">
        <f>M71+0.5%</f>
        <v>4.9999999999999996E-2</v>
      </c>
    </row>
    <row r="72" spans="1:17">
      <c r="B72" s="1676"/>
      <c r="C72" s="1323"/>
      <c r="D72" s="1323"/>
      <c r="E72" s="1323"/>
      <c r="F72" s="1323"/>
      <c r="G72" s="1323"/>
      <c r="H72" s="1323"/>
      <c r="I72" s="1326">
        <f>I73+0.5%</f>
        <v>0.13765333288488171</v>
      </c>
      <c r="J72" s="1328">
        <v>1623.2985538688999</v>
      </c>
      <c r="K72" s="1328">
        <v>1659.1115901659639</v>
      </c>
      <c r="L72" s="1328">
        <v>1699.0547658162177</v>
      </c>
      <c r="M72" s="1328">
        <v>1743.8862621021942</v>
      </c>
      <c r="N72" s="1328">
        <v>1794.5619312679776</v>
      </c>
    </row>
    <row r="73" spans="1:17">
      <c r="B73" s="1676"/>
      <c r="C73" s="1323"/>
      <c r="D73" s="1323"/>
      <c r="E73" s="1323"/>
      <c r="F73" s="1323"/>
      <c r="G73" s="1323"/>
      <c r="H73" s="1323"/>
      <c r="I73" s="1326">
        <f>I74+0.5%</f>
        <v>0.13265333288488171</v>
      </c>
      <c r="J73" s="1328">
        <v>1707.8239011140361</v>
      </c>
      <c r="K73" s="1328">
        <v>1749.7165015356525</v>
      </c>
      <c r="L73" s="1328">
        <v>1796.7359968471028</v>
      </c>
      <c r="M73" s="1328">
        <v>1849.8848896153897</v>
      </c>
      <c r="N73" s="1328">
        <v>1910.4452758608943</v>
      </c>
    </row>
    <row r="74" spans="1:17">
      <c r="B74" s="1676"/>
      <c r="C74" s="1323"/>
      <c r="D74" s="1323"/>
      <c r="E74" s="1323"/>
      <c r="F74" s="1323"/>
      <c r="G74" s="1323"/>
      <c r="H74" s="1323"/>
      <c r="I74" s="1327">
        <f>(N59*(N45/(N45+N48)))+(N55*(N48/(N48+N45)))</f>
        <v>0.1276533328848817</v>
      </c>
      <c r="J74" s="1328">
        <v>1802.7919741638682</v>
      </c>
      <c r="K74" s="1328">
        <v>1852.1163903363536</v>
      </c>
      <c r="L74" s="1329">
        <v>1907.870670314159</v>
      </c>
      <c r="M74" s="1328">
        <v>1971.3997591517473</v>
      </c>
      <c r="N74" s="1328">
        <v>2044.4518145750524</v>
      </c>
    </row>
    <row r="75" spans="1:17">
      <c r="B75" s="1676"/>
      <c r="C75" s="1323"/>
      <c r="D75" s="1323"/>
      <c r="E75" s="1323"/>
      <c r="F75" s="1323"/>
      <c r="G75" s="1323"/>
      <c r="H75" s="1323"/>
      <c r="I75" s="1326">
        <f>I74-0.5%</f>
        <v>0.1226533328848817</v>
      </c>
      <c r="J75" s="1328">
        <v>1910.1653410301806</v>
      </c>
      <c r="K75" s="1328">
        <v>1968.6648508063627</v>
      </c>
      <c r="L75" s="1328">
        <v>2035.321985559171</v>
      </c>
      <c r="M75" s="1328">
        <v>2111.9709788222353</v>
      </c>
      <c r="N75" s="1328">
        <v>2201.0405189989806</v>
      </c>
    </row>
    <row r="76" spans="1:17">
      <c r="B76" s="1677"/>
      <c r="C76" s="1323"/>
      <c r="D76" s="1323"/>
      <c r="E76" s="1323"/>
      <c r="F76" s="1323"/>
      <c r="G76" s="1323"/>
      <c r="H76" s="1323"/>
      <c r="I76" s="1326">
        <f>I75-0.5%</f>
        <v>0.1176533328848817</v>
      </c>
      <c r="J76" s="1328">
        <v>2032.4217757152355</v>
      </c>
      <c r="K76" s="1328">
        <v>2102.3755989680658</v>
      </c>
      <c r="L76" s="1328">
        <v>2182.8154520628</v>
      </c>
      <c r="M76" s="1328">
        <v>2276.2901400139258</v>
      </c>
      <c r="N76" s="1328">
        <v>2386.2473357410672</v>
      </c>
    </row>
  </sheetData>
  <sheetProtection password="CF34" sheet="1" objects="1" scenarios="1"/>
  <mergeCells count="14">
    <mergeCell ref="L51:N51"/>
    <mergeCell ref="I70:N70"/>
    <mergeCell ref="B71:B76"/>
    <mergeCell ref="L52:M52"/>
    <mergeCell ref="L53:M53"/>
    <mergeCell ref="L54:M54"/>
    <mergeCell ref="L55:M55"/>
    <mergeCell ref="L57:M57"/>
    <mergeCell ref="L58:M58"/>
    <mergeCell ref="L59:M59"/>
    <mergeCell ref="L61:M61"/>
    <mergeCell ref="L64:M64"/>
    <mergeCell ref="L65:M65"/>
    <mergeCell ref="L56:M56"/>
  </mergeCells>
  <phoneticPr fontId="63" type="noConversion"/>
  <pageMargins left="0.75" right="0.75" top="1" bottom="1" header="0.5" footer="0.5"/>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1"/>
  <sheetViews>
    <sheetView workbookViewId="0">
      <selection activeCell="E38" sqref="E38"/>
    </sheetView>
  </sheetViews>
  <sheetFormatPr defaultRowHeight="10.5"/>
  <cols>
    <col min="1" max="1" width="21" style="606" bestFit="1" customWidth="1"/>
    <col min="2" max="2" width="9.25" style="606" bestFit="1" customWidth="1"/>
    <col min="3" max="16384" width="9" style="606"/>
  </cols>
  <sheetData>
    <row r="2" spans="1:5">
      <c r="A2" s="612" t="s">
        <v>949</v>
      </c>
    </row>
    <row r="3" spans="1:5">
      <c r="A3" s="606" t="s">
        <v>950</v>
      </c>
      <c r="B3" s="606">
        <v>198.1</v>
      </c>
    </row>
    <row r="4" spans="1:5">
      <c r="A4" s="606" t="s">
        <v>951</v>
      </c>
      <c r="B4" s="607">
        <f>B3*80</f>
        <v>15848</v>
      </c>
    </row>
    <row r="5" spans="1:5">
      <c r="A5" s="606" t="s">
        <v>952</v>
      </c>
      <c r="B5" s="608">
        <f>B4/'Inc Stmt'!O49</f>
        <v>54.767817009692394</v>
      </c>
    </row>
    <row r="6" spans="1:5">
      <c r="A6" s="606" t="s">
        <v>953</v>
      </c>
      <c r="B6" s="609">
        <v>0.48</v>
      </c>
    </row>
    <row r="8" spans="1:5">
      <c r="A8" s="88" t="s">
        <v>954</v>
      </c>
      <c r="B8" s="88" t="s">
        <v>959</v>
      </c>
      <c r="C8" s="88" t="s">
        <v>2443</v>
      </c>
      <c r="D8" s="88" t="s">
        <v>2539</v>
      </c>
      <c r="E8" s="77" t="s">
        <v>2444</v>
      </c>
    </row>
    <row r="9" spans="1:5">
      <c r="A9" s="606" t="s">
        <v>575</v>
      </c>
      <c r="B9" s="610">
        <v>123859</v>
      </c>
      <c r="C9" s="610">
        <v>158760</v>
      </c>
      <c r="E9" s="807">
        <f>+C9/B9-1</f>
        <v>0.28178008864918991</v>
      </c>
    </row>
    <row r="10" spans="1:5">
      <c r="A10" s="606" t="s">
        <v>955</v>
      </c>
      <c r="B10" s="606">
        <v>716.4</v>
      </c>
      <c r="C10" s="606">
        <v>864.6</v>
      </c>
      <c r="E10" s="807">
        <f>+C10/B10-1</f>
        <v>0.20686767169179232</v>
      </c>
    </row>
    <row r="11" spans="1:5">
      <c r="A11" s="606" t="s">
        <v>2143</v>
      </c>
      <c r="B11" s="606">
        <v>36.5</v>
      </c>
      <c r="C11" s="606">
        <v>57.2</v>
      </c>
      <c r="E11" s="807">
        <f>+C11/B11-1</f>
        <v>0.56712328767123288</v>
      </c>
    </row>
    <row r="12" spans="1:5">
      <c r="A12" s="606" t="s">
        <v>957</v>
      </c>
      <c r="B12" s="606">
        <v>1</v>
      </c>
      <c r="C12" s="606">
        <v>1.5</v>
      </c>
      <c r="E12" s="807">
        <f>+C12/B12-1</f>
        <v>0.5</v>
      </c>
    </row>
    <row r="13" spans="1:5">
      <c r="A13" s="606" t="s">
        <v>956</v>
      </c>
      <c r="B13" s="608">
        <f>B11*48%</f>
        <v>17.52</v>
      </c>
      <c r="C13" s="608">
        <f>C11*48%</f>
        <v>27.456</v>
      </c>
      <c r="E13" s="807">
        <f>+C13/B13-1</f>
        <v>0.56712328767123288</v>
      </c>
    </row>
    <row r="15" spans="1:5">
      <c r="A15" s="88" t="s">
        <v>958</v>
      </c>
      <c r="B15" s="611" t="s">
        <v>1419</v>
      </c>
      <c r="C15" s="611" t="s">
        <v>1857</v>
      </c>
      <c r="D15" s="611" t="s">
        <v>1858</v>
      </c>
      <c r="E15" s="77" t="s">
        <v>2444</v>
      </c>
    </row>
    <row r="16" spans="1:5">
      <c r="A16" s="606" t="s">
        <v>960</v>
      </c>
      <c r="B16" s="607">
        <v>36047</v>
      </c>
      <c r="C16" s="606">
        <v>73101</v>
      </c>
      <c r="D16" s="610">
        <v>69532</v>
      </c>
      <c r="E16" s="807">
        <f>+D16/C16-1</f>
        <v>-4.8822861520362193E-2</v>
      </c>
    </row>
    <row r="17" spans="1:5">
      <c r="A17" s="606" t="s">
        <v>961</v>
      </c>
      <c r="B17" s="607">
        <v>11050</v>
      </c>
      <c r="C17" s="606">
        <v>22627</v>
      </c>
      <c r="D17" s="610">
        <v>30362</v>
      </c>
      <c r="E17" s="807">
        <f t="shared" ref="E17:E18" si="0">+D17/C17-1</f>
        <v>0.34184823441021783</v>
      </c>
    </row>
    <row r="18" spans="1:5">
      <c r="A18" s="606" t="s">
        <v>962</v>
      </c>
      <c r="B18" s="607">
        <v>24016</v>
      </c>
      <c r="C18" s="606">
        <v>51009</v>
      </c>
      <c r="D18" s="610">
        <v>38926</v>
      </c>
      <c r="E18" s="807">
        <f t="shared" si="0"/>
        <v>-0.23687976631574825</v>
      </c>
    </row>
    <row r="20" spans="1:5">
      <c r="A20" s="88" t="s">
        <v>963</v>
      </c>
      <c r="B20" s="611" t="s">
        <v>1419</v>
      </c>
      <c r="C20" s="611" t="s">
        <v>1857</v>
      </c>
      <c r="D20" s="611" t="s">
        <v>1858</v>
      </c>
      <c r="E20" s="77" t="s">
        <v>2444</v>
      </c>
    </row>
    <row r="21" spans="1:5">
      <c r="A21" s="606" t="s">
        <v>964</v>
      </c>
      <c r="B21" s="606">
        <v>818</v>
      </c>
      <c r="C21" s="606">
        <v>1359</v>
      </c>
      <c r="D21" s="606">
        <v>1329</v>
      </c>
      <c r="E21" s="807">
        <f>+D21/C21-1</f>
        <v>-2.2075055187637971E-2</v>
      </c>
    </row>
  </sheetData>
  <phoneticPr fontId="63"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H29"/>
  <sheetViews>
    <sheetView workbookViewId="0">
      <selection activeCell="E38" sqref="E38"/>
    </sheetView>
  </sheetViews>
  <sheetFormatPr defaultRowHeight="10.5"/>
  <cols>
    <col min="1" max="1" width="24.5" style="75" bestFit="1" customWidth="1"/>
    <col min="2" max="2" width="10.625" style="75" customWidth="1"/>
    <col min="3" max="3" width="10.25" style="75" customWidth="1"/>
    <col min="4" max="4" width="11.125" style="75" customWidth="1"/>
    <col min="5" max="5" width="10.75" style="75" customWidth="1"/>
    <col min="6" max="6" width="10.25" style="75" customWidth="1"/>
    <col min="7" max="7" width="11.25" style="75" customWidth="1"/>
    <col min="8" max="16384" width="9" style="75"/>
  </cols>
  <sheetData>
    <row r="1" spans="1:8">
      <c r="B1" s="88" t="s">
        <v>618</v>
      </c>
      <c r="C1" s="76"/>
    </row>
    <row r="2" spans="1:8">
      <c r="B2" s="88" t="s">
        <v>2236</v>
      </c>
      <c r="C2" s="88" t="s">
        <v>1546</v>
      </c>
      <c r="D2" s="88" t="s">
        <v>2373</v>
      </c>
      <c r="E2" s="88" t="s">
        <v>2466</v>
      </c>
      <c r="F2" s="88" t="s">
        <v>2562</v>
      </c>
    </row>
    <row r="3" spans="1:8">
      <c r="A3" s="75" t="s">
        <v>618</v>
      </c>
      <c r="B3" s="96">
        <f>'Inc Stmt'!O57</f>
        <v>106.45128114461697</v>
      </c>
      <c r="C3" s="96">
        <f>'Inc Stmt'!P57</f>
        <v>135.80227629257823</v>
      </c>
      <c r="D3" s="96">
        <f>'Inc Stmt'!Q57</f>
        <v>132.27353967290395</v>
      </c>
      <c r="E3" s="96">
        <f>'Inc Stmt'!R57</f>
        <v>0</v>
      </c>
      <c r="F3" s="96">
        <f>'Inc Stmt'!S57</f>
        <v>0</v>
      </c>
    </row>
    <row r="4" spans="1:8">
      <c r="A4" s="75" t="s">
        <v>2234</v>
      </c>
      <c r="B4" s="75">
        <v>0</v>
      </c>
      <c r="C4" s="75">
        <v>0</v>
      </c>
      <c r="D4" s="75">
        <v>0</v>
      </c>
      <c r="E4" s="75">
        <v>0</v>
      </c>
      <c r="F4" s="75">
        <v>12</v>
      </c>
    </row>
    <row r="5" spans="1:8">
      <c r="B5" s="96"/>
      <c r="C5" s="96"/>
      <c r="D5" s="96"/>
      <c r="E5" s="96"/>
      <c r="F5" s="96"/>
      <c r="G5" s="96"/>
      <c r="H5" s="96"/>
    </row>
    <row r="6" spans="1:8">
      <c r="A6" s="75" t="s">
        <v>2519</v>
      </c>
      <c r="B6" s="96"/>
      <c r="C6" s="96"/>
      <c r="D6" s="96"/>
      <c r="E6" s="96">
        <v>17</v>
      </c>
      <c r="F6" s="96"/>
      <c r="G6" s="96"/>
      <c r="H6" s="96"/>
    </row>
    <row r="7" spans="1:8">
      <c r="A7" s="75" t="s">
        <v>560</v>
      </c>
      <c r="B7" s="96"/>
      <c r="C7" s="96"/>
      <c r="D7" s="96"/>
      <c r="E7" s="732">
        <f>((E3*E4/12)+(F3*F4/12))*E6</f>
        <v>0</v>
      </c>
      <c r="F7" s="96"/>
      <c r="G7" s="96"/>
      <c r="H7" s="96"/>
    </row>
    <row r="8" spans="1:8">
      <c r="A8" s="75" t="s">
        <v>2400</v>
      </c>
      <c r="C8" s="815"/>
      <c r="D8" s="814"/>
      <c r="E8" s="814">
        <v>2900</v>
      </c>
      <c r="F8" s="96"/>
      <c r="G8" s="96"/>
      <c r="H8" s="96"/>
    </row>
    <row r="9" spans="1:8">
      <c r="B9" s="96"/>
      <c r="C9" s="96"/>
      <c r="D9" s="96"/>
      <c r="E9" s="96"/>
      <c r="F9" s="96"/>
      <c r="G9" s="96"/>
      <c r="H9" s="96"/>
    </row>
    <row r="10" spans="1:8">
      <c r="B10" s="720" t="s">
        <v>2396</v>
      </c>
      <c r="C10" s="720" t="s">
        <v>1982</v>
      </c>
      <c r="D10" s="720" t="s">
        <v>1633</v>
      </c>
      <c r="E10" s="720" t="s">
        <v>1634</v>
      </c>
      <c r="F10" s="96"/>
      <c r="G10" s="96"/>
      <c r="H10" s="96"/>
    </row>
    <row r="11" spans="1:8">
      <c r="A11" s="75" t="s">
        <v>659</v>
      </c>
      <c r="B11" s="719">
        <f>'Inc Stmt'!O21</f>
        <v>41667.700000000012</v>
      </c>
      <c r="C11" s="719">
        <f>'Inc Stmt'!P21</f>
        <v>47819.400000000009</v>
      </c>
      <c r="D11" s="719">
        <f>'Inc Stmt'!Q21</f>
        <v>44223.499999999985</v>
      </c>
      <c r="E11" s="719">
        <f>'Inc Stmt'!R21</f>
        <v>51977.351072065219</v>
      </c>
      <c r="F11" s="96"/>
    </row>
    <row r="12" spans="1:8">
      <c r="A12" s="75" t="s">
        <v>2206</v>
      </c>
      <c r="B12" s="719">
        <f>'Bal Sheet'!O36</f>
        <v>86084.42</v>
      </c>
      <c r="C12" s="719">
        <f>'Bal Sheet'!P36</f>
        <v>91905</v>
      </c>
      <c r="D12" s="719">
        <f>'Bal Sheet'!Q36</f>
        <v>128877.29852222167</v>
      </c>
      <c r="E12" s="719">
        <f>'Bal Sheet'!R36</f>
        <v>148671.80000000002</v>
      </c>
      <c r="F12" s="96"/>
    </row>
    <row r="13" spans="1:8">
      <c r="A13" s="75" t="s">
        <v>2397</v>
      </c>
      <c r="B13" s="96">
        <v>10</v>
      </c>
      <c r="C13" s="96">
        <v>10</v>
      </c>
      <c r="D13" s="96">
        <v>10</v>
      </c>
      <c r="E13" s="96">
        <v>10</v>
      </c>
      <c r="F13" s="96"/>
    </row>
    <row r="14" spans="1:8">
      <c r="A14" s="75" t="s">
        <v>2398</v>
      </c>
      <c r="C14" s="76">
        <f>(C11*C13)+C12</f>
        <v>570099.00000000012</v>
      </c>
      <c r="D14" s="76">
        <f>(D11*D13)+D12</f>
        <v>571112.29852222151</v>
      </c>
      <c r="E14" s="813">
        <f>(E11*E13)+E12</f>
        <v>668445.31072065223</v>
      </c>
    </row>
    <row r="15" spans="1:8">
      <c r="A15" s="75" t="s">
        <v>560</v>
      </c>
      <c r="C15" s="864"/>
      <c r="D15" s="814"/>
      <c r="E15" s="814">
        <f>E14/'Inc Stmt'!R49</f>
        <v>2310.0258997056821</v>
      </c>
    </row>
    <row r="16" spans="1:8">
      <c r="C16" s="815"/>
      <c r="D16" s="815"/>
      <c r="E16" s="815"/>
      <c r="F16" s="96"/>
    </row>
    <row r="18" spans="1:5">
      <c r="C18" s="815"/>
      <c r="D18" s="815"/>
      <c r="E18" s="815"/>
    </row>
    <row r="19" spans="1:5">
      <c r="A19" s="612" t="s">
        <v>949</v>
      </c>
      <c r="B19" s="606"/>
    </row>
    <row r="20" spans="1:5">
      <c r="A20" s="606" t="s">
        <v>950</v>
      </c>
      <c r="B20" s="606">
        <v>198.1</v>
      </c>
    </row>
    <row r="21" spans="1:5">
      <c r="A21" s="606" t="s">
        <v>951</v>
      </c>
      <c r="B21" s="607">
        <f>B20*75</f>
        <v>14857.5</v>
      </c>
      <c r="C21" s="109"/>
    </row>
    <row r="22" spans="1:5">
      <c r="A22" s="606" t="s">
        <v>952</v>
      </c>
      <c r="B22" s="608">
        <f>B21/'Inc Stmt'!O49</f>
        <v>51.344828446586618</v>
      </c>
    </row>
    <row r="23" spans="1:5">
      <c r="A23" s="75" t="s">
        <v>2492</v>
      </c>
      <c r="B23" s="609">
        <v>0.48</v>
      </c>
    </row>
    <row r="27" spans="1:5">
      <c r="E27" s="75">
        <v>2810</v>
      </c>
    </row>
    <row r="28" spans="1:5">
      <c r="E28" s="75">
        <v>2650</v>
      </c>
    </row>
    <row r="29" spans="1:5">
      <c r="E29" s="894">
        <f>+E28/E27-1</f>
        <v>-5.6939501779359469E-2</v>
      </c>
    </row>
  </sheetData>
  <phoneticPr fontId="6" type="noConversion"/>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9" tint="-0.249977111117893"/>
  </sheetPr>
  <dimension ref="A1:BW778"/>
  <sheetViews>
    <sheetView topLeftCell="C1" workbookViewId="0">
      <pane xSplit="2" ySplit="5" topLeftCell="T160" activePane="bottomRight" state="frozen"/>
      <selection activeCell="E38" sqref="E38"/>
      <selection pane="topRight" activeCell="E38" sqref="E38"/>
      <selection pane="bottomLeft" activeCell="E38" sqref="E38"/>
      <selection pane="bottomRight" activeCell="E38" sqref="E38"/>
    </sheetView>
  </sheetViews>
  <sheetFormatPr defaultColWidth="9.125" defaultRowHeight="12.75"/>
  <cols>
    <col min="1" max="1" width="9.125" style="209" customWidth="1"/>
    <col min="2" max="2" width="17.625" style="209" customWidth="1"/>
    <col min="3" max="3" width="38" style="209" bestFit="1" customWidth="1"/>
    <col min="4" max="4" width="9.125" style="209" customWidth="1"/>
    <col min="5" max="5" width="12.625" style="209" bestFit="1" customWidth="1"/>
    <col min="6" max="22" width="9.125" style="209"/>
    <col min="23" max="23" width="8" style="209" bestFit="1" customWidth="1"/>
    <col min="24" max="31" width="9.125" style="209"/>
    <col min="32" max="63" width="9.125" style="574"/>
    <col min="64" max="16384" width="9.125" style="209"/>
  </cols>
  <sheetData>
    <row r="1" spans="2:75" s="198" customFormat="1">
      <c r="B1" s="194"/>
      <c r="C1" s="195"/>
      <c r="D1" s="196"/>
      <c r="E1" s="196"/>
      <c r="F1" s="197" t="str">
        <f t="shared" ref="F1:AD1" si="0">IF(F3=12,"CY"&amp;TEXT(F2,"YY"),"FY"&amp;TEXT(F2,"YY"))</f>
        <v>FY96</v>
      </c>
      <c r="G1" s="197" t="str">
        <f t="shared" si="0"/>
        <v>FY97</v>
      </c>
      <c r="H1" s="197" t="str">
        <f t="shared" si="0"/>
        <v>FY98</v>
      </c>
      <c r="I1" s="197" t="str">
        <f t="shared" si="0"/>
        <v>FY99</v>
      </c>
      <c r="J1" s="197" t="str">
        <f t="shared" si="0"/>
        <v>FY00</v>
      </c>
      <c r="K1" s="197" t="str">
        <f t="shared" si="0"/>
        <v>FY01</v>
      </c>
      <c r="L1" s="197" t="str">
        <f t="shared" si="0"/>
        <v>FY02</v>
      </c>
      <c r="M1" s="197" t="str">
        <f t="shared" si="0"/>
        <v>FY03</v>
      </c>
      <c r="N1" s="197" t="str">
        <f t="shared" si="0"/>
        <v>FY04</v>
      </c>
      <c r="O1" s="197" t="str">
        <f t="shared" si="0"/>
        <v>FY05</v>
      </c>
      <c r="P1" s="197" t="str">
        <f t="shared" si="0"/>
        <v>FY06</v>
      </c>
      <c r="Q1" s="197" t="str">
        <f t="shared" si="0"/>
        <v>FY07</v>
      </c>
      <c r="R1" s="197" t="str">
        <f t="shared" si="0"/>
        <v>FY08</v>
      </c>
      <c r="S1" s="197" t="str">
        <f t="shared" si="0"/>
        <v>FY09</v>
      </c>
      <c r="T1" s="197" t="str">
        <f t="shared" si="0"/>
        <v>FY10</v>
      </c>
      <c r="U1" s="197" t="str">
        <f t="shared" si="0"/>
        <v>FY11</v>
      </c>
      <c r="V1" s="197" t="str">
        <f t="shared" si="0"/>
        <v>FY12</v>
      </c>
      <c r="W1" s="197" t="str">
        <f t="shared" si="0"/>
        <v>FY13</v>
      </c>
      <c r="X1" s="197" t="str">
        <f t="shared" si="0"/>
        <v>FY14</v>
      </c>
      <c r="Y1" s="197" t="str">
        <f t="shared" si="0"/>
        <v>FY15</v>
      </c>
      <c r="Z1" s="197" t="str">
        <f t="shared" si="0"/>
        <v>FY16</v>
      </c>
      <c r="AA1" s="197" t="str">
        <f t="shared" si="0"/>
        <v>FY17</v>
      </c>
      <c r="AB1" s="197" t="str">
        <f t="shared" si="0"/>
        <v>FY18</v>
      </c>
      <c r="AC1" s="197" t="str">
        <f t="shared" si="0"/>
        <v>FY19</v>
      </c>
      <c r="AD1" s="197" t="str">
        <f t="shared" si="0"/>
        <v>FY20</v>
      </c>
      <c r="AF1" s="294" t="s">
        <v>477</v>
      </c>
      <c r="AG1" s="294" t="s">
        <v>478</v>
      </c>
      <c r="AH1" s="294" t="s">
        <v>479</v>
      </c>
      <c r="AI1" s="294" t="s">
        <v>480</v>
      </c>
      <c r="AJ1" s="294" t="s">
        <v>481</v>
      </c>
      <c r="AK1" s="294" t="s">
        <v>482</v>
      </c>
      <c r="AL1" s="294" t="s">
        <v>483</v>
      </c>
      <c r="AM1" s="294" t="s">
        <v>484</v>
      </c>
      <c r="AN1" s="294" t="s">
        <v>563</v>
      </c>
      <c r="AO1" s="294" t="s">
        <v>588</v>
      </c>
      <c r="AP1" s="294" t="s">
        <v>596</v>
      </c>
      <c r="AQ1" s="294" t="s">
        <v>1744</v>
      </c>
      <c r="AR1" s="294" t="s">
        <v>656</v>
      </c>
      <c r="AS1" s="294" t="s">
        <v>599</v>
      </c>
      <c r="AT1" s="294" t="s">
        <v>202</v>
      </c>
      <c r="AU1" s="294" t="s">
        <v>722</v>
      </c>
      <c r="AV1" s="294" t="s">
        <v>827</v>
      </c>
      <c r="AW1" s="294" t="s">
        <v>1745</v>
      </c>
      <c r="AX1" s="294" t="s">
        <v>1746</v>
      </c>
      <c r="AY1" s="294" t="s">
        <v>1747</v>
      </c>
      <c r="AZ1" s="294" t="s">
        <v>1748</v>
      </c>
      <c r="BA1" s="294" t="s">
        <v>1749</v>
      </c>
      <c r="BB1" s="294" t="s">
        <v>1750</v>
      </c>
      <c r="BC1" s="294" t="s">
        <v>1751</v>
      </c>
      <c r="BD1" s="294" t="s">
        <v>1515</v>
      </c>
      <c r="BE1" s="294" t="s">
        <v>1029</v>
      </c>
      <c r="BF1" s="294" t="s">
        <v>110</v>
      </c>
      <c r="BG1" s="294" t="s">
        <v>1131</v>
      </c>
      <c r="BH1" s="294" t="s">
        <v>1305</v>
      </c>
      <c r="BI1" s="294" t="s">
        <v>1120</v>
      </c>
      <c r="BJ1" s="294" t="s">
        <v>1724</v>
      </c>
      <c r="BK1" s="294" t="s">
        <v>1503</v>
      </c>
      <c r="BL1" s="294" t="s">
        <v>1643</v>
      </c>
      <c r="BM1" s="294" t="s">
        <v>2372</v>
      </c>
      <c r="BN1" s="294" t="s">
        <v>2394</v>
      </c>
      <c r="BO1" s="294" t="s">
        <v>2404</v>
      </c>
      <c r="BP1" s="294" t="s">
        <v>2417</v>
      </c>
      <c r="BQ1" s="294" t="s">
        <v>2467</v>
      </c>
      <c r="BR1" s="294" t="s">
        <v>2494</v>
      </c>
      <c r="BS1" s="294" t="s">
        <v>2504</v>
      </c>
      <c r="BT1" s="294" t="s">
        <v>2531</v>
      </c>
      <c r="BU1" s="294" t="s">
        <v>2537</v>
      </c>
      <c r="BV1" s="294" t="s">
        <v>2564</v>
      </c>
      <c r="BW1" s="294" t="s">
        <v>2567</v>
      </c>
    </row>
    <row r="2" spans="2:75" s="198" customFormat="1">
      <c r="B2" s="199"/>
      <c r="C2" s="200" t="s">
        <v>771</v>
      </c>
      <c r="D2" s="201"/>
      <c r="E2" s="201"/>
      <c r="F2" s="202">
        <v>35155</v>
      </c>
      <c r="G2" s="202">
        <v>35520</v>
      </c>
      <c r="H2" s="202">
        <v>35885</v>
      </c>
      <c r="I2" s="202">
        <v>36250</v>
      </c>
      <c r="J2" s="202">
        <v>36616</v>
      </c>
      <c r="K2" s="202">
        <v>36981</v>
      </c>
      <c r="L2" s="202">
        <v>37346</v>
      </c>
      <c r="M2" s="202">
        <v>37711</v>
      </c>
      <c r="N2" s="202">
        <v>38077</v>
      </c>
      <c r="O2" s="202">
        <v>38442</v>
      </c>
      <c r="P2" s="202">
        <v>38807</v>
      </c>
      <c r="Q2" s="202">
        <v>39172</v>
      </c>
      <c r="R2" s="202">
        <v>39538</v>
      </c>
      <c r="S2" s="202">
        <v>39903</v>
      </c>
      <c r="T2" s="202">
        <v>40268</v>
      </c>
      <c r="U2" s="202">
        <v>40633</v>
      </c>
      <c r="V2" s="202">
        <v>40999</v>
      </c>
      <c r="W2" s="202">
        <v>41364</v>
      </c>
      <c r="X2" s="202">
        <v>41729</v>
      </c>
      <c r="Y2" s="202">
        <v>42094</v>
      </c>
      <c r="Z2" s="202">
        <v>42460</v>
      </c>
      <c r="AA2" s="202">
        <v>42825</v>
      </c>
      <c r="AB2" s="202">
        <v>43190</v>
      </c>
      <c r="AC2" s="202">
        <v>43555</v>
      </c>
      <c r="AD2" s="202">
        <v>43921</v>
      </c>
      <c r="AF2" s="569">
        <v>38898</v>
      </c>
      <c r="AG2" s="569">
        <v>38990</v>
      </c>
      <c r="AH2" s="569">
        <v>39082</v>
      </c>
      <c r="AI2" s="569">
        <v>39172</v>
      </c>
      <c r="AJ2" s="569">
        <v>39263</v>
      </c>
      <c r="AK2" s="569">
        <v>39355</v>
      </c>
      <c r="AL2" s="569">
        <v>39447</v>
      </c>
      <c r="AM2" s="569">
        <v>39538</v>
      </c>
      <c r="AN2" s="569">
        <v>39629</v>
      </c>
      <c r="AO2" s="569">
        <v>39721</v>
      </c>
      <c r="AP2" s="569">
        <v>39813</v>
      </c>
      <c r="AQ2" s="569">
        <v>39903</v>
      </c>
      <c r="AR2" s="569">
        <v>39994</v>
      </c>
      <c r="AS2" s="569">
        <v>40086</v>
      </c>
      <c r="AT2" s="569">
        <v>40178</v>
      </c>
      <c r="AU2" s="569">
        <v>40268</v>
      </c>
      <c r="AV2" s="569">
        <v>40359</v>
      </c>
      <c r="AW2" s="569">
        <v>40451</v>
      </c>
      <c r="AX2" s="569">
        <v>40543</v>
      </c>
      <c r="AY2" s="569">
        <v>40633</v>
      </c>
      <c r="AZ2" s="569">
        <v>40724</v>
      </c>
      <c r="BA2" s="569">
        <v>40816</v>
      </c>
      <c r="BB2" s="569">
        <v>40908</v>
      </c>
      <c r="BC2" s="569">
        <v>40999</v>
      </c>
      <c r="BD2" s="569">
        <v>41090</v>
      </c>
      <c r="BE2" s="569">
        <v>41182</v>
      </c>
      <c r="BF2" s="569">
        <v>41274</v>
      </c>
      <c r="BG2" s="569">
        <v>41364</v>
      </c>
      <c r="BH2" s="569">
        <v>41455</v>
      </c>
      <c r="BI2" s="569">
        <v>41547</v>
      </c>
      <c r="BJ2" s="569">
        <v>41639</v>
      </c>
      <c r="BK2" s="569">
        <v>41729</v>
      </c>
      <c r="BL2" s="569">
        <v>41820</v>
      </c>
      <c r="BM2" s="569">
        <v>41912</v>
      </c>
      <c r="BN2" s="569">
        <v>42004</v>
      </c>
      <c r="BO2" s="569">
        <v>42094</v>
      </c>
      <c r="BP2" s="569">
        <v>42185</v>
      </c>
      <c r="BQ2" s="569">
        <v>42277</v>
      </c>
      <c r="BR2" s="569">
        <v>42369</v>
      </c>
      <c r="BS2" s="569">
        <v>42460</v>
      </c>
      <c r="BT2" s="569">
        <v>42551</v>
      </c>
      <c r="BU2" s="569">
        <v>42643</v>
      </c>
      <c r="BV2" s="569">
        <v>42734</v>
      </c>
      <c r="BW2" s="569">
        <v>42825</v>
      </c>
    </row>
    <row r="3" spans="2:75">
      <c r="B3" s="204"/>
      <c r="C3" s="205" t="s">
        <v>772</v>
      </c>
      <c r="D3" s="206" t="s">
        <v>773</v>
      </c>
      <c r="E3" s="206"/>
      <c r="F3" s="207">
        <f t="shared" ref="F3:X3" si="1">MONTH(F2)</f>
        <v>3</v>
      </c>
      <c r="G3" s="207">
        <f t="shared" si="1"/>
        <v>3</v>
      </c>
      <c r="H3" s="207">
        <f t="shared" si="1"/>
        <v>3</v>
      </c>
      <c r="I3" s="207">
        <f t="shared" si="1"/>
        <v>3</v>
      </c>
      <c r="J3" s="207">
        <f t="shared" si="1"/>
        <v>3</v>
      </c>
      <c r="K3" s="207">
        <f t="shared" si="1"/>
        <v>3</v>
      </c>
      <c r="L3" s="207">
        <f t="shared" si="1"/>
        <v>3</v>
      </c>
      <c r="M3" s="207">
        <f t="shared" si="1"/>
        <v>3</v>
      </c>
      <c r="N3" s="207">
        <f t="shared" si="1"/>
        <v>3</v>
      </c>
      <c r="O3" s="207">
        <f t="shared" si="1"/>
        <v>3</v>
      </c>
      <c r="P3" s="207">
        <f t="shared" si="1"/>
        <v>3</v>
      </c>
      <c r="Q3" s="207">
        <f t="shared" si="1"/>
        <v>3</v>
      </c>
      <c r="R3" s="207">
        <f t="shared" si="1"/>
        <v>3</v>
      </c>
      <c r="S3" s="207">
        <f t="shared" si="1"/>
        <v>3</v>
      </c>
      <c r="T3" s="207">
        <f t="shared" si="1"/>
        <v>3</v>
      </c>
      <c r="U3" s="207">
        <f t="shared" si="1"/>
        <v>3</v>
      </c>
      <c r="V3" s="207">
        <f t="shared" si="1"/>
        <v>3</v>
      </c>
      <c r="W3" s="207">
        <f t="shared" si="1"/>
        <v>3</v>
      </c>
      <c r="X3" s="207">
        <f t="shared" si="1"/>
        <v>3</v>
      </c>
      <c r="Y3" s="208">
        <v>3</v>
      </c>
      <c r="Z3" s="208">
        <v>3</v>
      </c>
      <c r="AA3" s="208">
        <v>3</v>
      </c>
      <c r="AB3" s="208">
        <v>3</v>
      </c>
      <c r="AC3" s="208">
        <v>3</v>
      </c>
      <c r="AD3" s="208">
        <v>3</v>
      </c>
      <c r="AF3" s="570">
        <f>MONTH(AF2)</f>
        <v>6</v>
      </c>
      <c r="AG3" s="570">
        <f t="shared" ref="AG3:BK3" si="2">MONTH(AG2)</f>
        <v>9</v>
      </c>
      <c r="AH3" s="570">
        <f t="shared" si="2"/>
        <v>12</v>
      </c>
      <c r="AI3" s="570">
        <f t="shared" si="2"/>
        <v>3</v>
      </c>
      <c r="AJ3" s="570">
        <f t="shared" si="2"/>
        <v>6</v>
      </c>
      <c r="AK3" s="570">
        <f t="shared" si="2"/>
        <v>9</v>
      </c>
      <c r="AL3" s="570">
        <f t="shared" si="2"/>
        <v>12</v>
      </c>
      <c r="AM3" s="570">
        <f t="shared" si="2"/>
        <v>3</v>
      </c>
      <c r="AN3" s="570">
        <f t="shared" si="2"/>
        <v>6</v>
      </c>
      <c r="AO3" s="570">
        <f t="shared" si="2"/>
        <v>9</v>
      </c>
      <c r="AP3" s="570">
        <f t="shared" si="2"/>
        <v>12</v>
      </c>
      <c r="AQ3" s="570">
        <f t="shared" si="2"/>
        <v>3</v>
      </c>
      <c r="AR3" s="570">
        <f t="shared" si="2"/>
        <v>6</v>
      </c>
      <c r="AS3" s="570">
        <f t="shared" si="2"/>
        <v>9</v>
      </c>
      <c r="AT3" s="570">
        <f t="shared" si="2"/>
        <v>12</v>
      </c>
      <c r="AU3" s="570">
        <f t="shared" si="2"/>
        <v>3</v>
      </c>
      <c r="AV3" s="570">
        <f t="shared" si="2"/>
        <v>6</v>
      </c>
      <c r="AW3" s="570">
        <f t="shared" si="2"/>
        <v>9</v>
      </c>
      <c r="AX3" s="570">
        <f t="shared" si="2"/>
        <v>12</v>
      </c>
      <c r="AY3" s="570">
        <f t="shared" si="2"/>
        <v>3</v>
      </c>
      <c r="AZ3" s="570">
        <f t="shared" si="2"/>
        <v>6</v>
      </c>
      <c r="BA3" s="570">
        <f t="shared" si="2"/>
        <v>9</v>
      </c>
      <c r="BB3" s="570">
        <f t="shared" si="2"/>
        <v>12</v>
      </c>
      <c r="BC3" s="570">
        <f t="shared" si="2"/>
        <v>3</v>
      </c>
      <c r="BD3" s="570">
        <f t="shared" si="2"/>
        <v>6</v>
      </c>
      <c r="BE3" s="570">
        <f t="shared" si="2"/>
        <v>9</v>
      </c>
      <c r="BF3" s="570">
        <f t="shared" si="2"/>
        <v>12</v>
      </c>
      <c r="BG3" s="570">
        <f t="shared" si="2"/>
        <v>3</v>
      </c>
      <c r="BH3" s="570">
        <f t="shared" si="2"/>
        <v>6</v>
      </c>
      <c r="BI3" s="570">
        <f t="shared" si="2"/>
        <v>9</v>
      </c>
      <c r="BJ3" s="570">
        <f t="shared" si="2"/>
        <v>12</v>
      </c>
      <c r="BK3" s="570">
        <f t="shared" si="2"/>
        <v>3</v>
      </c>
      <c r="BL3" s="570">
        <f t="shared" ref="BL3:BQ3" si="3">MONTH(BL2)</f>
        <v>6</v>
      </c>
      <c r="BM3" s="570">
        <f t="shared" si="3"/>
        <v>9</v>
      </c>
      <c r="BN3" s="570">
        <f t="shared" si="3"/>
        <v>12</v>
      </c>
      <c r="BO3" s="570">
        <f t="shared" si="3"/>
        <v>3</v>
      </c>
      <c r="BP3" s="570">
        <f t="shared" si="3"/>
        <v>6</v>
      </c>
      <c r="BQ3" s="570">
        <f t="shared" si="3"/>
        <v>9</v>
      </c>
      <c r="BR3" s="570">
        <f t="shared" ref="BR3:BT3" si="4">MONTH(BR2)</f>
        <v>12</v>
      </c>
      <c r="BS3" s="570">
        <f t="shared" si="4"/>
        <v>3</v>
      </c>
      <c r="BT3" s="570">
        <f t="shared" si="4"/>
        <v>6</v>
      </c>
      <c r="BU3" s="570">
        <f t="shared" ref="BU3:BV3" si="5">MONTH(BU2)</f>
        <v>9</v>
      </c>
      <c r="BV3" s="570">
        <f t="shared" si="5"/>
        <v>12</v>
      </c>
      <c r="BW3" s="570">
        <f t="shared" ref="BW3" si="6">MONTH(BW2)</f>
        <v>3</v>
      </c>
    </row>
    <row r="4" spans="2:75">
      <c r="B4" s="204"/>
      <c r="C4" s="205" t="s">
        <v>774</v>
      </c>
      <c r="D4" s="206"/>
      <c r="E4" s="206"/>
      <c r="F4" s="210">
        <v>12</v>
      </c>
      <c r="G4" s="210">
        <v>12</v>
      </c>
      <c r="H4" s="210">
        <v>12</v>
      </c>
      <c r="I4" s="210">
        <v>12</v>
      </c>
      <c r="J4" s="210">
        <v>12</v>
      </c>
      <c r="K4" s="210">
        <v>12</v>
      </c>
      <c r="L4" s="210">
        <v>12</v>
      </c>
      <c r="M4" s="210">
        <v>12</v>
      </c>
      <c r="N4" s="210">
        <v>12</v>
      </c>
      <c r="O4" s="210">
        <v>12</v>
      </c>
      <c r="P4" s="210">
        <v>12</v>
      </c>
      <c r="Q4" s="210">
        <v>12</v>
      </c>
      <c r="R4" s="210">
        <v>12</v>
      </c>
      <c r="S4" s="210">
        <v>12</v>
      </c>
      <c r="T4" s="210">
        <v>12</v>
      </c>
      <c r="U4" s="211">
        <v>12</v>
      </c>
      <c r="V4" s="212">
        <v>12</v>
      </c>
      <c r="W4" s="212">
        <v>12</v>
      </c>
      <c r="X4" s="212">
        <v>12</v>
      </c>
      <c r="Y4" s="213">
        <v>12</v>
      </c>
      <c r="Z4" s="213">
        <v>12</v>
      </c>
      <c r="AA4" s="213">
        <v>12</v>
      </c>
      <c r="AB4" s="213">
        <v>12</v>
      </c>
      <c r="AC4" s="213">
        <v>12</v>
      </c>
      <c r="AD4" s="213">
        <v>12</v>
      </c>
      <c r="AF4" s="571">
        <v>3</v>
      </c>
      <c r="AG4" s="571">
        <v>3</v>
      </c>
      <c r="AH4" s="571">
        <v>3</v>
      </c>
      <c r="AI4" s="571">
        <v>3</v>
      </c>
      <c r="AJ4" s="571">
        <v>3</v>
      </c>
      <c r="AK4" s="571">
        <v>3</v>
      </c>
      <c r="AL4" s="571">
        <v>3</v>
      </c>
      <c r="AM4" s="571">
        <v>3</v>
      </c>
      <c r="AN4" s="571">
        <v>3</v>
      </c>
      <c r="AO4" s="571">
        <v>3</v>
      </c>
      <c r="AP4" s="571">
        <v>3</v>
      </c>
      <c r="AQ4" s="571">
        <v>3</v>
      </c>
      <c r="AR4" s="571">
        <v>3</v>
      </c>
      <c r="AS4" s="571">
        <v>3</v>
      </c>
      <c r="AT4" s="571">
        <v>3</v>
      </c>
      <c r="AU4" s="571">
        <v>3</v>
      </c>
      <c r="AV4" s="571">
        <v>3</v>
      </c>
      <c r="AW4" s="571">
        <v>3</v>
      </c>
      <c r="AX4" s="571">
        <v>3</v>
      </c>
      <c r="AY4" s="571">
        <v>3</v>
      </c>
      <c r="AZ4" s="571">
        <v>3</v>
      </c>
      <c r="BA4" s="571">
        <v>3</v>
      </c>
      <c r="BB4" s="571">
        <v>3</v>
      </c>
      <c r="BC4" s="571">
        <v>3</v>
      </c>
      <c r="BD4" s="571">
        <v>3</v>
      </c>
      <c r="BE4" s="571">
        <v>3</v>
      </c>
      <c r="BF4" s="571">
        <v>3</v>
      </c>
      <c r="BG4" s="571">
        <v>3</v>
      </c>
      <c r="BH4" s="571">
        <v>3</v>
      </c>
      <c r="BI4" s="571">
        <v>3</v>
      </c>
      <c r="BJ4" s="571">
        <v>3</v>
      </c>
      <c r="BK4" s="571">
        <v>3</v>
      </c>
      <c r="BL4" s="571">
        <f t="shared" ref="BL4:BW4" si="7">BK4</f>
        <v>3</v>
      </c>
      <c r="BM4" s="571">
        <f t="shared" si="7"/>
        <v>3</v>
      </c>
      <c r="BN4" s="571">
        <f t="shared" si="7"/>
        <v>3</v>
      </c>
      <c r="BO4" s="571">
        <f t="shared" si="7"/>
        <v>3</v>
      </c>
      <c r="BP4" s="571">
        <f t="shared" si="7"/>
        <v>3</v>
      </c>
      <c r="BQ4" s="571">
        <f t="shared" si="7"/>
        <v>3</v>
      </c>
      <c r="BR4" s="571">
        <f t="shared" si="7"/>
        <v>3</v>
      </c>
      <c r="BS4" s="571">
        <f t="shared" si="7"/>
        <v>3</v>
      </c>
      <c r="BT4" s="571">
        <f t="shared" si="7"/>
        <v>3</v>
      </c>
      <c r="BU4" s="571">
        <f t="shared" si="7"/>
        <v>3</v>
      </c>
      <c r="BV4" s="571">
        <f t="shared" si="7"/>
        <v>3</v>
      </c>
      <c r="BW4" s="571">
        <f t="shared" si="7"/>
        <v>3</v>
      </c>
    </row>
    <row r="5" spans="2:75">
      <c r="B5" s="204"/>
      <c r="C5" s="205" t="s">
        <v>775</v>
      </c>
      <c r="D5" s="206"/>
      <c r="E5" s="206"/>
      <c r="F5" s="206" t="str">
        <f t="shared" ref="F5:AD5" si="8">IF(F2&lt;=$E$16,"Actual","Estimate")</f>
        <v>Actual</v>
      </c>
      <c r="G5" s="206" t="str">
        <f t="shared" si="8"/>
        <v>Actual</v>
      </c>
      <c r="H5" s="206" t="str">
        <f t="shared" si="8"/>
        <v>Actual</v>
      </c>
      <c r="I5" s="206" t="str">
        <f t="shared" si="8"/>
        <v>Actual</v>
      </c>
      <c r="J5" s="206" t="str">
        <f t="shared" si="8"/>
        <v>Actual</v>
      </c>
      <c r="K5" s="206" t="str">
        <f t="shared" si="8"/>
        <v>Actual</v>
      </c>
      <c r="L5" s="206" t="str">
        <f t="shared" si="8"/>
        <v>Actual</v>
      </c>
      <c r="M5" s="206" t="str">
        <f t="shared" si="8"/>
        <v>Actual</v>
      </c>
      <c r="N5" s="206" t="str">
        <f t="shared" si="8"/>
        <v>Actual</v>
      </c>
      <c r="O5" s="206" t="str">
        <f t="shared" si="8"/>
        <v>Actual</v>
      </c>
      <c r="P5" s="206" t="str">
        <f t="shared" si="8"/>
        <v>Actual</v>
      </c>
      <c r="Q5" s="206" t="str">
        <f t="shared" si="8"/>
        <v>Actual</v>
      </c>
      <c r="R5" s="206" t="str">
        <f t="shared" si="8"/>
        <v>Actual</v>
      </c>
      <c r="S5" s="206" t="str">
        <f t="shared" si="8"/>
        <v>Actual</v>
      </c>
      <c r="T5" s="206" t="str">
        <f t="shared" si="8"/>
        <v>Actual</v>
      </c>
      <c r="U5" s="206" t="str">
        <f t="shared" si="8"/>
        <v>Actual</v>
      </c>
      <c r="V5" s="206" t="str">
        <f t="shared" si="8"/>
        <v>Actual</v>
      </c>
      <c r="W5" s="206" t="str">
        <f t="shared" si="8"/>
        <v>Actual</v>
      </c>
      <c r="X5" s="206" t="str">
        <f t="shared" si="8"/>
        <v>Actual</v>
      </c>
      <c r="Y5" s="206" t="str">
        <f t="shared" si="8"/>
        <v>Actual</v>
      </c>
      <c r="Z5" s="206" t="str">
        <f t="shared" si="8"/>
        <v>Actual</v>
      </c>
      <c r="AA5" s="206" t="str">
        <f t="shared" si="8"/>
        <v>Actual</v>
      </c>
      <c r="AB5" s="206" t="str">
        <f t="shared" si="8"/>
        <v>Estimate</v>
      </c>
      <c r="AC5" s="206" t="str">
        <f t="shared" si="8"/>
        <v>Estimate</v>
      </c>
      <c r="AD5" s="206" t="str">
        <f t="shared" si="8"/>
        <v>Estimate</v>
      </c>
      <c r="AF5" s="572" t="str">
        <f>IF(AF2&lt;=$E$16,"Actual","Estimate")</f>
        <v>Actual</v>
      </c>
      <c r="AG5" s="572" t="str">
        <f t="shared" ref="AG5:BK5" si="9">IF(AG2&lt;=$E$16,"Actual","Estimate")</f>
        <v>Actual</v>
      </c>
      <c r="AH5" s="572" t="str">
        <f t="shared" si="9"/>
        <v>Actual</v>
      </c>
      <c r="AI5" s="572" t="str">
        <f t="shared" si="9"/>
        <v>Actual</v>
      </c>
      <c r="AJ5" s="572" t="str">
        <f t="shared" si="9"/>
        <v>Actual</v>
      </c>
      <c r="AK5" s="572" t="str">
        <f t="shared" si="9"/>
        <v>Actual</v>
      </c>
      <c r="AL5" s="572" t="str">
        <f t="shared" si="9"/>
        <v>Actual</v>
      </c>
      <c r="AM5" s="572" t="str">
        <f t="shared" si="9"/>
        <v>Actual</v>
      </c>
      <c r="AN5" s="572" t="str">
        <f t="shared" si="9"/>
        <v>Actual</v>
      </c>
      <c r="AO5" s="572" t="str">
        <f t="shared" si="9"/>
        <v>Actual</v>
      </c>
      <c r="AP5" s="572" t="str">
        <f t="shared" si="9"/>
        <v>Actual</v>
      </c>
      <c r="AQ5" s="572" t="str">
        <f t="shared" si="9"/>
        <v>Actual</v>
      </c>
      <c r="AR5" s="572" t="str">
        <f t="shared" si="9"/>
        <v>Actual</v>
      </c>
      <c r="AS5" s="572" t="str">
        <f t="shared" si="9"/>
        <v>Actual</v>
      </c>
      <c r="AT5" s="572" t="str">
        <f t="shared" si="9"/>
        <v>Actual</v>
      </c>
      <c r="AU5" s="572" t="str">
        <f t="shared" si="9"/>
        <v>Actual</v>
      </c>
      <c r="AV5" s="572" t="str">
        <f t="shared" si="9"/>
        <v>Actual</v>
      </c>
      <c r="AW5" s="572" t="str">
        <f t="shared" si="9"/>
        <v>Actual</v>
      </c>
      <c r="AX5" s="572" t="str">
        <f t="shared" si="9"/>
        <v>Actual</v>
      </c>
      <c r="AY5" s="572" t="str">
        <f t="shared" si="9"/>
        <v>Actual</v>
      </c>
      <c r="AZ5" s="572" t="str">
        <f t="shared" si="9"/>
        <v>Actual</v>
      </c>
      <c r="BA5" s="572" t="str">
        <f t="shared" si="9"/>
        <v>Actual</v>
      </c>
      <c r="BB5" s="572" t="str">
        <f t="shared" si="9"/>
        <v>Actual</v>
      </c>
      <c r="BC5" s="572" t="str">
        <f t="shared" si="9"/>
        <v>Actual</v>
      </c>
      <c r="BD5" s="572" t="str">
        <f t="shared" si="9"/>
        <v>Actual</v>
      </c>
      <c r="BE5" s="572" t="str">
        <f t="shared" si="9"/>
        <v>Actual</v>
      </c>
      <c r="BF5" s="572" t="str">
        <f t="shared" si="9"/>
        <v>Actual</v>
      </c>
      <c r="BG5" s="572" t="str">
        <f t="shared" si="9"/>
        <v>Actual</v>
      </c>
      <c r="BH5" s="572" t="str">
        <f t="shared" si="9"/>
        <v>Actual</v>
      </c>
      <c r="BI5" s="572" t="str">
        <f t="shared" si="9"/>
        <v>Actual</v>
      </c>
      <c r="BJ5" s="572" t="str">
        <f t="shared" si="9"/>
        <v>Actual</v>
      </c>
      <c r="BK5" s="572" t="str">
        <f t="shared" si="9"/>
        <v>Actual</v>
      </c>
      <c r="BL5" s="572" t="str">
        <f t="shared" ref="BL5:BQ5" si="10">IF(BL2&lt;=$E$16,"Actual","Estimate")</f>
        <v>Actual</v>
      </c>
      <c r="BM5" s="572" t="str">
        <f t="shared" si="10"/>
        <v>Actual</v>
      </c>
      <c r="BN5" s="572" t="str">
        <f t="shared" si="10"/>
        <v>Actual</v>
      </c>
      <c r="BO5" s="572" t="str">
        <f t="shared" si="10"/>
        <v>Actual</v>
      </c>
      <c r="BP5" s="572" t="str">
        <f t="shared" si="10"/>
        <v>Actual</v>
      </c>
      <c r="BQ5" s="572" t="str">
        <f t="shared" si="10"/>
        <v>Actual</v>
      </c>
      <c r="BR5" s="572" t="str">
        <f t="shared" ref="BR5:BT5" si="11">IF(BR2&lt;=$E$16,"Actual","Estimate")</f>
        <v>Actual</v>
      </c>
      <c r="BS5" s="572" t="str">
        <f t="shared" si="11"/>
        <v>Actual</v>
      </c>
      <c r="BT5" s="572" t="str">
        <f t="shared" si="11"/>
        <v>Actual</v>
      </c>
      <c r="BU5" s="572" t="str">
        <f t="shared" ref="BU5:BV5" si="12">IF(BU2&lt;=$E$16,"Actual","Estimate")</f>
        <v>Actual</v>
      </c>
      <c r="BV5" s="572" t="str">
        <f t="shared" si="12"/>
        <v>Actual</v>
      </c>
      <c r="BW5" s="572" t="str">
        <f t="shared" ref="BW5" si="13">IF(BW2&lt;=$E$16,"Actual","Estimate")</f>
        <v>Actual</v>
      </c>
    </row>
    <row r="6" spans="2:75" ht="12.75" customHeight="1">
      <c r="B6" s="204"/>
      <c r="C6" s="205"/>
      <c r="D6" s="206"/>
      <c r="E6" s="206"/>
      <c r="F6" s="206"/>
      <c r="G6" s="206"/>
      <c r="H6" s="206"/>
      <c r="I6" s="206"/>
      <c r="J6" s="206"/>
      <c r="K6" s="206"/>
      <c r="L6" s="206"/>
      <c r="M6" s="206"/>
      <c r="N6" s="206"/>
      <c r="O6" s="206"/>
      <c r="P6" s="206"/>
      <c r="Q6" s="206"/>
      <c r="R6" s="206"/>
      <c r="S6" s="206"/>
      <c r="T6" s="206"/>
      <c r="U6" s="206"/>
      <c r="V6" s="206"/>
      <c r="W6" s="206"/>
      <c r="X6" s="206"/>
      <c r="Y6" s="206"/>
      <c r="Z6" s="206"/>
      <c r="AA6" s="214"/>
      <c r="AB6" s="214"/>
      <c r="AC6" s="214"/>
      <c r="AD6" s="214"/>
      <c r="AE6" s="214"/>
      <c r="AF6" s="573"/>
      <c r="AG6" s="573"/>
    </row>
    <row r="7" spans="2:75" ht="12.75" customHeight="1">
      <c r="B7" s="204"/>
      <c r="C7" s="215" t="s">
        <v>776</v>
      </c>
      <c r="D7" s="214"/>
      <c r="F7" s="216"/>
      <c r="G7" s="216"/>
      <c r="H7" s="204"/>
      <c r="I7" s="214"/>
      <c r="J7" s="214"/>
      <c r="K7" s="214"/>
      <c r="L7" s="214"/>
      <c r="M7" s="214"/>
      <c r="N7" s="214"/>
      <c r="O7" s="214"/>
      <c r="P7" s="214"/>
      <c r="Q7" s="214"/>
      <c r="R7" s="214"/>
      <c r="S7" s="214"/>
      <c r="T7" s="214"/>
      <c r="U7" s="214"/>
      <c r="V7" s="214"/>
      <c r="W7" s="214"/>
      <c r="X7" s="214"/>
      <c r="Y7" s="214"/>
      <c r="Z7" s="214"/>
      <c r="AA7" s="214"/>
      <c r="AB7" s="214"/>
      <c r="AC7" s="214"/>
      <c r="AD7" s="214"/>
      <c r="AE7" s="214"/>
      <c r="AF7" s="573"/>
      <c r="AG7" s="573"/>
    </row>
    <row r="8" spans="2:75" ht="12.75" customHeight="1">
      <c r="B8" s="204"/>
      <c r="C8" s="217" t="s">
        <v>777</v>
      </c>
      <c r="D8" s="218" t="s">
        <v>778</v>
      </c>
      <c r="E8" s="219" t="s">
        <v>779</v>
      </c>
      <c r="H8" s="204"/>
      <c r="I8" s="214"/>
      <c r="J8" s="214"/>
      <c r="K8" s="214"/>
      <c r="L8" s="214"/>
      <c r="M8" s="214"/>
      <c r="N8" s="214"/>
      <c r="O8" s="214"/>
      <c r="P8" s="214"/>
      <c r="Q8" s="214"/>
      <c r="R8" s="214"/>
      <c r="S8" s="214"/>
      <c r="T8" s="214"/>
      <c r="U8" s="214"/>
      <c r="V8" s="214"/>
      <c r="W8" s="214"/>
      <c r="X8" s="214"/>
      <c r="Y8" s="214"/>
      <c r="Z8" s="214"/>
      <c r="AA8" s="214"/>
      <c r="AB8" s="214"/>
      <c r="AC8" s="214"/>
      <c r="AD8" s="214"/>
      <c r="AE8" s="214"/>
      <c r="AF8" s="573"/>
      <c r="AG8" s="573"/>
    </row>
    <row r="9" spans="2:75" ht="12.75" customHeight="1">
      <c r="B9" s="204"/>
      <c r="C9" s="217" t="s">
        <v>780</v>
      </c>
      <c r="D9" s="209" t="s">
        <v>781</v>
      </c>
      <c r="E9" s="209" t="e">
        <f ca="1">_xll.GETCOMPANYDATA(E8,"fullname")</f>
        <v>#NAME?</v>
      </c>
      <c r="H9" s="204"/>
      <c r="I9" s="214"/>
      <c r="J9" s="214"/>
      <c r="K9" s="214"/>
      <c r="L9" s="214"/>
      <c r="M9" s="214"/>
      <c r="N9" s="214"/>
      <c r="O9" s="214"/>
      <c r="P9" s="214"/>
      <c r="Q9" s="214"/>
      <c r="R9" s="214"/>
      <c r="S9" s="214"/>
      <c r="T9" s="214"/>
      <c r="U9" s="214"/>
      <c r="V9" s="214"/>
      <c r="W9" s="214"/>
      <c r="X9" s="214"/>
      <c r="Y9" s="214"/>
      <c r="Z9" s="214"/>
      <c r="AA9" s="214"/>
      <c r="AB9" s="214"/>
      <c r="AC9" s="214"/>
      <c r="AD9" s="214"/>
      <c r="AE9" s="214"/>
      <c r="AF9" s="573"/>
      <c r="AG9" s="573"/>
    </row>
    <row r="10" spans="2:75" ht="12.75" customHeight="1">
      <c r="B10" s="220"/>
      <c r="C10" s="217" t="s">
        <v>782</v>
      </c>
      <c r="D10" s="221" t="s">
        <v>783</v>
      </c>
      <c r="E10" s="209" t="e">
        <f ca="1">_xll.GETCOMPANYDATA(E8,"sector")</f>
        <v>#NAME?</v>
      </c>
      <c r="H10" s="222"/>
      <c r="I10" s="214"/>
      <c r="J10" s="214"/>
      <c r="K10" s="214"/>
      <c r="L10" s="214"/>
      <c r="M10" s="214"/>
      <c r="N10" s="214"/>
      <c r="O10" s="214"/>
      <c r="P10" s="214"/>
      <c r="Q10" s="214"/>
      <c r="R10" s="214"/>
      <c r="S10" s="214"/>
      <c r="T10" s="214"/>
      <c r="U10" s="214"/>
      <c r="V10" s="214"/>
      <c r="W10" s="214"/>
      <c r="X10" s="214"/>
      <c r="Y10" s="214"/>
      <c r="Z10" s="214"/>
      <c r="AA10" s="214"/>
      <c r="AB10" s="214"/>
      <c r="AC10" s="214"/>
      <c r="AD10" s="214"/>
      <c r="AE10" s="214"/>
      <c r="AF10" s="573"/>
      <c r="AG10" s="573"/>
    </row>
    <row r="11" spans="2:75" ht="12.75" customHeight="1">
      <c r="B11" s="220"/>
      <c r="C11" s="223" t="s">
        <v>401</v>
      </c>
      <c r="D11" s="209" t="s">
        <v>784</v>
      </c>
      <c r="E11" s="209" t="e">
        <f ca="1">_xll.GETMARKETDATA("cmp",E8)</f>
        <v>#NAME?</v>
      </c>
      <c r="F11" s="222"/>
      <c r="G11" s="222"/>
      <c r="H11" s="222"/>
      <c r="I11" s="214"/>
      <c r="J11" s="214"/>
      <c r="K11" s="214"/>
      <c r="L11" s="214"/>
      <c r="M11" s="214"/>
      <c r="N11" s="214"/>
      <c r="O11" s="214"/>
      <c r="P11" s="214"/>
      <c r="Q11" s="214"/>
      <c r="R11" s="214"/>
      <c r="S11" s="214"/>
      <c r="T11" s="214"/>
      <c r="U11" s="214"/>
      <c r="V11" s="214"/>
      <c r="W11" s="214"/>
      <c r="X11" s="214"/>
      <c r="Y11" s="214"/>
      <c r="Z11" s="214"/>
      <c r="AA11" s="214"/>
      <c r="AB11" s="214"/>
      <c r="AC11" s="214"/>
      <c r="AD11" s="214"/>
      <c r="AE11" s="214"/>
      <c r="AF11" s="573"/>
      <c r="AG11" s="573"/>
    </row>
    <row r="12" spans="2:75" ht="12.75" customHeight="1">
      <c r="B12" s="220"/>
      <c r="C12" s="217" t="s">
        <v>785</v>
      </c>
      <c r="D12" s="209" t="s">
        <v>786</v>
      </c>
      <c r="E12" s="224">
        <f>+Dashboard!E17</f>
        <v>2900</v>
      </c>
      <c r="F12" s="222"/>
      <c r="G12" s="222"/>
      <c r="H12" s="222"/>
      <c r="I12" s="214"/>
      <c r="J12" s="214"/>
      <c r="K12" s="214"/>
      <c r="L12" s="214"/>
      <c r="M12" s="214"/>
      <c r="N12" s="214"/>
      <c r="O12" s="214"/>
      <c r="P12" s="214"/>
      <c r="Q12" s="214"/>
      <c r="R12" s="214"/>
      <c r="S12" s="214"/>
      <c r="T12" s="214"/>
      <c r="U12" s="214"/>
      <c r="V12" s="214"/>
      <c r="W12" s="214"/>
      <c r="X12" s="214"/>
      <c r="Y12" s="214"/>
      <c r="Z12" s="214"/>
      <c r="AA12" s="214"/>
      <c r="AB12" s="214"/>
      <c r="AC12" s="214"/>
      <c r="AD12" s="214"/>
      <c r="AE12" s="214"/>
      <c r="AF12" s="573"/>
      <c r="AG12" s="573"/>
    </row>
    <row r="13" spans="2:75" ht="12.75" customHeight="1">
      <c r="B13" s="220"/>
      <c r="C13" s="223" t="s">
        <v>787</v>
      </c>
      <c r="D13" s="209" t="s">
        <v>788</v>
      </c>
      <c r="E13" s="225" t="str">
        <f>+Dashboard!E19</f>
        <v>Mar '18</v>
      </c>
      <c r="F13" s="226"/>
      <c r="G13" s="226"/>
      <c r="H13" s="222"/>
      <c r="I13" s="214"/>
      <c r="J13" s="214"/>
      <c r="K13" s="214"/>
      <c r="L13" s="214"/>
      <c r="M13" s="214"/>
      <c r="N13" s="214"/>
      <c r="O13" s="214"/>
      <c r="P13" s="214"/>
      <c r="Q13" s="214"/>
      <c r="R13" s="214"/>
      <c r="S13" s="214"/>
      <c r="T13" s="214"/>
      <c r="U13" s="214"/>
      <c r="V13" s="214"/>
      <c r="W13" s="214"/>
      <c r="X13" s="214"/>
      <c r="Y13" s="214"/>
      <c r="Z13" s="214"/>
      <c r="AA13" s="214"/>
      <c r="AB13" s="214"/>
      <c r="AC13" s="214"/>
      <c r="AD13" s="214"/>
      <c r="AE13" s="214"/>
      <c r="AF13" s="573"/>
      <c r="AG13" s="573"/>
    </row>
    <row r="14" spans="2:75" ht="12.75" customHeight="1">
      <c r="B14" s="204"/>
      <c r="C14" s="223" t="s">
        <v>789</v>
      </c>
      <c r="D14" s="227" t="s">
        <v>790</v>
      </c>
      <c r="E14" s="228" t="str">
        <f>+Dashboard!F17</f>
        <v>HOLD</v>
      </c>
      <c r="H14" s="229"/>
      <c r="I14" s="214"/>
      <c r="J14" s="214"/>
      <c r="K14" s="214"/>
      <c r="L14" s="214"/>
      <c r="M14" s="214"/>
      <c r="N14" s="214"/>
      <c r="O14" s="214"/>
      <c r="P14" s="214"/>
      <c r="Q14" s="214"/>
      <c r="R14" s="214"/>
      <c r="S14" s="214"/>
      <c r="T14" s="214"/>
      <c r="U14" s="214"/>
      <c r="V14" s="214"/>
      <c r="W14" s="214"/>
      <c r="X14" s="214"/>
      <c r="Y14" s="214"/>
      <c r="Z14" s="214"/>
      <c r="AA14" s="214"/>
      <c r="AB14" s="214"/>
      <c r="AC14" s="214"/>
      <c r="AD14" s="214"/>
      <c r="AE14" s="214"/>
      <c r="AF14" s="573"/>
      <c r="AG14" s="573"/>
    </row>
    <row r="15" spans="2:75" ht="12.75" customHeight="1">
      <c r="B15" s="204"/>
      <c r="C15" s="223" t="s">
        <v>791</v>
      </c>
      <c r="D15" s="227" t="s">
        <v>792</v>
      </c>
      <c r="E15" s="230" t="s">
        <v>793</v>
      </c>
      <c r="H15" s="229"/>
      <c r="I15" s="214"/>
      <c r="J15" s="214"/>
      <c r="K15" s="214"/>
      <c r="L15" s="214"/>
      <c r="M15" s="214"/>
      <c r="N15" s="214"/>
      <c r="O15" s="214"/>
      <c r="P15" s="214"/>
      <c r="Q15" s="214"/>
      <c r="R15" s="214"/>
      <c r="S15" s="214"/>
      <c r="T15" s="214"/>
      <c r="U15" s="214"/>
      <c r="V15" s="214"/>
      <c r="W15" s="214"/>
      <c r="X15" s="214"/>
      <c r="Y15" s="214"/>
      <c r="Z15" s="214"/>
      <c r="AA15" s="214"/>
      <c r="AB15" s="214"/>
      <c r="AC15" s="214"/>
      <c r="AD15" s="214"/>
      <c r="AE15" s="214"/>
      <c r="AF15" s="573"/>
      <c r="AG15" s="573"/>
    </row>
    <row r="16" spans="2:75" ht="12.75" customHeight="1">
      <c r="B16" s="204"/>
      <c r="C16" s="223" t="s">
        <v>794</v>
      </c>
      <c r="D16" s="227" t="s">
        <v>795</v>
      </c>
      <c r="E16" s="231">
        <v>42874</v>
      </c>
      <c r="H16" s="229"/>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573"/>
      <c r="AG16" s="573"/>
    </row>
    <row r="17" spans="2:63" ht="12.75" customHeight="1">
      <c r="B17" s="204"/>
      <c r="C17" s="223"/>
      <c r="D17" s="227"/>
      <c r="H17" s="229"/>
      <c r="I17" s="214"/>
      <c r="J17" s="214"/>
      <c r="K17" s="214"/>
      <c r="L17" s="214"/>
      <c r="M17" s="214"/>
      <c r="N17" s="214"/>
      <c r="O17" s="214"/>
      <c r="P17" s="214"/>
      <c r="Q17" s="214"/>
      <c r="R17" s="214"/>
      <c r="S17" s="214"/>
      <c r="T17" s="214"/>
      <c r="U17" s="214"/>
      <c r="V17" s="214"/>
      <c r="W17" s="214"/>
      <c r="X17" s="214"/>
      <c r="Y17" s="214"/>
      <c r="Z17" s="214"/>
      <c r="AA17" s="214"/>
      <c r="AB17" s="214"/>
      <c r="AC17" s="214"/>
      <c r="AD17" s="214"/>
      <c r="AE17" s="214"/>
      <c r="AF17" s="573"/>
      <c r="AG17" s="573"/>
    </row>
    <row r="18" spans="2:63" ht="12.75" customHeight="1">
      <c r="B18" s="204"/>
      <c r="C18" s="219" t="s">
        <v>796</v>
      </c>
      <c r="H18" s="229"/>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573"/>
      <c r="AG18" s="573"/>
    </row>
    <row r="19" spans="2:63" ht="12.75" customHeight="1">
      <c r="B19" s="204"/>
      <c r="C19" s="223" t="s">
        <v>797</v>
      </c>
      <c r="D19" s="232" t="s">
        <v>798</v>
      </c>
      <c r="E19" s="230"/>
      <c r="H19" s="229"/>
      <c r="J19" s="214"/>
      <c r="K19" s="214"/>
      <c r="L19" s="214"/>
      <c r="M19" s="214"/>
      <c r="N19" s="214"/>
      <c r="O19" s="214"/>
      <c r="P19" s="214"/>
      <c r="Q19" s="214"/>
      <c r="R19" s="214"/>
      <c r="S19" s="214"/>
      <c r="T19" s="214"/>
      <c r="U19" s="214"/>
      <c r="V19" s="214"/>
      <c r="W19" s="214"/>
      <c r="X19" s="214"/>
      <c r="Y19" s="214"/>
      <c r="Z19" s="214"/>
      <c r="AA19" s="214"/>
      <c r="AB19" s="214"/>
      <c r="AC19" s="214"/>
      <c r="AD19" s="214"/>
      <c r="AE19" s="214"/>
      <c r="AF19" s="573"/>
      <c r="AG19" s="573"/>
    </row>
    <row r="20" spans="2:63" ht="12.75" customHeight="1">
      <c r="B20" s="204"/>
      <c r="C20" s="223" t="s">
        <v>799</v>
      </c>
      <c r="D20" s="232" t="s">
        <v>800</v>
      </c>
      <c r="E20" s="230"/>
      <c r="H20" s="229"/>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573"/>
      <c r="AG20" s="573"/>
    </row>
    <row r="21" spans="2:63" ht="12.75" customHeight="1">
      <c r="B21" s="204"/>
      <c r="C21" s="223" t="s">
        <v>801</v>
      </c>
      <c r="D21" s="232" t="s">
        <v>802</v>
      </c>
      <c r="E21" s="230"/>
      <c r="H21" s="229"/>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573"/>
      <c r="AG21" s="573"/>
    </row>
    <row r="22" spans="2:63" ht="12.75" customHeight="1">
      <c r="B22" s="204"/>
      <c r="C22" s="223" t="s">
        <v>803</v>
      </c>
      <c r="D22" s="232" t="s">
        <v>804</v>
      </c>
      <c r="E22" s="230"/>
      <c r="H22" s="229"/>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573"/>
      <c r="AG22" s="573"/>
    </row>
    <row r="23" spans="2:63" ht="12.75" customHeight="1">
      <c r="B23" s="204"/>
      <c r="C23" s="223" t="s">
        <v>805</v>
      </c>
      <c r="D23" s="232" t="s">
        <v>806</v>
      </c>
      <c r="E23" s="230"/>
      <c r="H23" s="229"/>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573"/>
      <c r="AG23" s="573"/>
    </row>
    <row r="24" spans="2:63" ht="12.75" customHeight="1">
      <c r="B24" s="204"/>
      <c r="C24" s="223"/>
      <c r="D24" s="227"/>
      <c r="H24" s="229"/>
      <c r="I24" s="214"/>
      <c r="J24" s="214"/>
      <c r="K24" s="214"/>
      <c r="L24" s="214"/>
      <c r="M24" s="214"/>
      <c r="N24" s="214"/>
      <c r="O24" s="214"/>
      <c r="P24" s="214"/>
      <c r="Q24" s="214"/>
      <c r="R24" s="214"/>
      <c r="S24" s="214"/>
      <c r="T24" s="214"/>
      <c r="U24" s="214"/>
      <c r="V24" s="214"/>
      <c r="W24" s="214"/>
      <c r="X24" s="214"/>
      <c r="Y24" s="214"/>
      <c r="Z24" s="214"/>
      <c r="AA24" s="214"/>
      <c r="AB24" s="214"/>
      <c r="AC24" s="214"/>
      <c r="AD24" s="214"/>
      <c r="AE24" s="214"/>
      <c r="AF24" s="573"/>
      <c r="AG24" s="573"/>
    </row>
    <row r="25" spans="2:63" ht="12.75" customHeight="1">
      <c r="B25" s="204"/>
      <c r="C25" s="223" t="s">
        <v>807</v>
      </c>
      <c r="D25" s="227"/>
      <c r="E25" s="233"/>
      <c r="H25" s="229"/>
      <c r="I25" s="214"/>
      <c r="J25" s="214"/>
      <c r="K25" s="214"/>
      <c r="L25" s="214"/>
      <c r="M25" s="214"/>
      <c r="N25" s="214"/>
      <c r="O25" s="214"/>
      <c r="P25" s="214"/>
      <c r="Q25" s="214"/>
      <c r="R25" s="214"/>
      <c r="S25" s="214"/>
      <c r="T25" s="214"/>
      <c r="U25" s="214"/>
      <c r="V25" s="214"/>
      <c r="W25" s="214"/>
      <c r="X25" s="214"/>
      <c r="Y25" s="214"/>
      <c r="Z25" s="214"/>
      <c r="AA25" s="214"/>
      <c r="AB25" s="214"/>
      <c r="AC25" s="214"/>
      <c r="AD25" s="214"/>
      <c r="AE25" s="214"/>
      <c r="AF25" s="573"/>
      <c r="AG25" s="573"/>
    </row>
    <row r="26" spans="2:63" ht="12.75" customHeight="1">
      <c r="B26" s="204"/>
      <c r="C26" s="223"/>
      <c r="D26" s="227"/>
      <c r="H26" s="229"/>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573"/>
      <c r="AG26" s="573"/>
    </row>
    <row r="27" spans="2:63" ht="12.75" customHeight="1">
      <c r="B27" s="204"/>
      <c r="F27" s="234"/>
      <c r="G27" s="234"/>
      <c r="H27" s="229"/>
      <c r="I27" s="214"/>
      <c r="J27" s="214"/>
      <c r="K27" s="214"/>
      <c r="L27" s="214"/>
      <c r="M27" s="214"/>
      <c r="N27" s="214"/>
      <c r="O27" s="214"/>
      <c r="P27" s="214"/>
      <c r="Q27" s="214"/>
      <c r="R27" s="214"/>
      <c r="S27" s="214"/>
      <c r="T27" s="214"/>
      <c r="U27" s="214"/>
      <c r="V27" s="214"/>
      <c r="W27" s="214"/>
      <c r="X27" s="214"/>
      <c r="Y27" s="214"/>
      <c r="Z27" s="214"/>
      <c r="AA27" s="214"/>
      <c r="AB27" s="214"/>
      <c r="AC27" s="214"/>
      <c r="AD27" s="214"/>
      <c r="AE27" s="214"/>
      <c r="AF27" s="573"/>
      <c r="AG27" s="573"/>
    </row>
    <row r="28" spans="2:63" ht="12.75" customHeight="1">
      <c r="B28" s="204"/>
      <c r="E28" s="234"/>
      <c r="F28" s="234"/>
      <c r="G28" s="234"/>
      <c r="H28" s="229"/>
      <c r="I28" s="214"/>
      <c r="J28" s="214"/>
      <c r="K28" s="214"/>
      <c r="L28" s="214"/>
      <c r="M28" s="214"/>
      <c r="N28" s="214"/>
      <c r="O28" s="214"/>
      <c r="P28" s="214"/>
      <c r="Q28" s="214"/>
      <c r="R28" s="214"/>
      <c r="S28" s="214"/>
      <c r="T28" s="214"/>
      <c r="U28" s="214"/>
      <c r="V28" s="214"/>
      <c r="W28" s="214"/>
      <c r="X28" s="214"/>
      <c r="Y28" s="214"/>
      <c r="Z28" s="214"/>
      <c r="AA28" s="214"/>
      <c r="AB28" s="214"/>
      <c r="AC28" s="214"/>
      <c r="AD28" s="214"/>
      <c r="AE28" s="214"/>
      <c r="AF28" s="573"/>
      <c r="AG28" s="573"/>
    </row>
    <row r="29" spans="2:63" ht="12.75" customHeight="1">
      <c r="B29" s="204"/>
      <c r="F29" s="232"/>
      <c r="G29" s="232"/>
      <c r="H29" s="229"/>
      <c r="I29" s="214"/>
      <c r="J29" s="214"/>
      <c r="K29" s="214"/>
      <c r="L29" s="214"/>
      <c r="M29" s="214"/>
      <c r="N29" s="214"/>
      <c r="O29" s="214"/>
      <c r="P29" s="214"/>
      <c r="Q29" s="214"/>
      <c r="R29" s="214"/>
      <c r="S29" s="214"/>
      <c r="T29" s="214"/>
      <c r="U29" s="214"/>
      <c r="V29" s="214"/>
      <c r="W29" s="214"/>
      <c r="X29" s="214"/>
      <c r="Y29" s="214"/>
      <c r="Z29" s="214"/>
      <c r="AA29" s="214"/>
      <c r="AB29" s="214"/>
      <c r="AC29" s="214"/>
      <c r="AD29" s="214"/>
      <c r="AE29" s="214"/>
      <c r="AF29" s="573"/>
      <c r="AG29" s="573"/>
    </row>
    <row r="30" spans="2:63" ht="12.75" customHeight="1">
      <c r="B30" s="204"/>
      <c r="F30" s="232"/>
      <c r="G30" s="232"/>
      <c r="H30" s="229"/>
      <c r="I30" s="214"/>
      <c r="J30" s="214"/>
      <c r="K30" s="214"/>
      <c r="L30" s="214"/>
      <c r="M30" s="214"/>
      <c r="N30" s="214"/>
      <c r="O30" s="214"/>
      <c r="P30" s="214"/>
      <c r="Q30" s="214"/>
      <c r="R30" s="214"/>
      <c r="S30" s="214"/>
      <c r="T30" s="214"/>
      <c r="U30" s="214"/>
      <c r="V30" s="214"/>
      <c r="W30" s="214"/>
      <c r="X30" s="214"/>
      <c r="Y30" s="214"/>
      <c r="Z30" s="214"/>
      <c r="AA30" s="214"/>
      <c r="AB30" s="214"/>
      <c r="AC30" s="214"/>
      <c r="AD30" s="214"/>
      <c r="AE30" s="214"/>
      <c r="AF30" s="573"/>
      <c r="AG30" s="573"/>
    </row>
    <row r="31" spans="2:63" ht="12.75" customHeight="1">
      <c r="B31" s="204"/>
      <c r="F31" s="232"/>
      <c r="G31" s="232"/>
      <c r="H31" s="229"/>
      <c r="I31" s="214"/>
      <c r="J31" s="214"/>
      <c r="K31" s="214"/>
      <c r="L31" s="214"/>
      <c r="M31" s="214"/>
      <c r="N31" s="214"/>
      <c r="O31" s="214"/>
      <c r="P31" s="214"/>
      <c r="Q31" s="214"/>
      <c r="R31" s="214"/>
      <c r="S31" s="214"/>
      <c r="T31" s="214"/>
      <c r="U31" s="214"/>
      <c r="V31" s="214"/>
      <c r="W31" s="214"/>
      <c r="X31" s="214"/>
      <c r="Y31" s="214"/>
      <c r="Z31" s="214"/>
      <c r="AA31" s="214"/>
      <c r="AB31" s="214"/>
      <c r="AC31" s="214"/>
      <c r="AD31" s="214"/>
      <c r="AE31" s="214"/>
      <c r="AF31" s="573"/>
      <c r="AG31" s="573"/>
    </row>
    <row r="32" spans="2:63" s="198" customFormat="1">
      <c r="B32" s="199"/>
      <c r="C32" s="235" t="s">
        <v>808</v>
      </c>
      <c r="D32" s="203"/>
      <c r="E32" s="199"/>
      <c r="F32" s="199"/>
      <c r="G32" s="199"/>
      <c r="H32" s="199"/>
      <c r="I32" s="203"/>
      <c r="J32" s="203"/>
      <c r="K32" s="203"/>
      <c r="L32" s="203"/>
      <c r="M32" s="203"/>
      <c r="N32" s="203"/>
      <c r="O32" s="203"/>
      <c r="P32" s="203"/>
      <c r="Q32" s="203"/>
      <c r="R32" s="203"/>
      <c r="S32" s="203"/>
      <c r="T32" s="203"/>
      <c r="U32" s="203"/>
      <c r="V32" s="203"/>
      <c r="W32" s="203"/>
      <c r="X32" s="203"/>
      <c r="Y32" s="203"/>
      <c r="Z32" s="203"/>
      <c r="AA32" s="203"/>
      <c r="AB32" s="203"/>
      <c r="AC32" s="203"/>
      <c r="AD32" s="203"/>
      <c r="AE32" s="203"/>
      <c r="AF32" s="575"/>
      <c r="AG32" s="575"/>
      <c r="AH32" s="575"/>
      <c r="AI32" s="575"/>
      <c r="AJ32" s="575"/>
      <c r="AK32" s="575"/>
      <c r="AL32" s="575"/>
      <c r="AM32" s="575"/>
      <c r="AN32" s="575"/>
      <c r="AO32" s="575"/>
      <c r="AP32" s="575"/>
      <c r="AQ32" s="575"/>
      <c r="AR32" s="575"/>
      <c r="AS32" s="575"/>
      <c r="AT32" s="575"/>
      <c r="AU32" s="575"/>
      <c r="AV32" s="575"/>
      <c r="AW32" s="575"/>
      <c r="AX32" s="575"/>
      <c r="AY32" s="575"/>
      <c r="AZ32" s="575"/>
      <c r="BA32" s="575"/>
      <c r="BB32" s="575"/>
      <c r="BC32" s="575"/>
      <c r="BD32" s="575"/>
      <c r="BE32" s="576"/>
      <c r="BF32" s="576"/>
      <c r="BG32" s="576"/>
      <c r="BH32" s="576"/>
      <c r="BI32" s="576"/>
      <c r="BJ32" s="576"/>
      <c r="BK32" s="576"/>
    </row>
    <row r="33" spans="1:75">
      <c r="B33" s="204"/>
      <c r="C33" s="204"/>
      <c r="D33" s="204"/>
      <c r="E33" s="204"/>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4"/>
      <c r="AE33" s="204"/>
      <c r="AF33" s="577"/>
      <c r="AG33" s="577"/>
      <c r="AH33" s="577"/>
      <c r="AI33" s="577"/>
      <c r="AJ33" s="577"/>
      <c r="AK33" s="577"/>
      <c r="AL33" s="577"/>
      <c r="AM33" s="577"/>
      <c r="AN33" s="577"/>
      <c r="AO33" s="577"/>
      <c r="AP33" s="577"/>
      <c r="AQ33" s="577"/>
      <c r="AR33" s="577"/>
      <c r="AS33" s="577"/>
      <c r="AT33" s="577"/>
      <c r="AU33" s="577"/>
      <c r="AV33" s="577"/>
      <c r="AW33" s="577"/>
      <c r="AX33" s="577"/>
      <c r="AY33" s="577"/>
      <c r="AZ33" s="577"/>
      <c r="BA33" s="577"/>
      <c r="BB33" s="577"/>
      <c r="BC33" s="577"/>
      <c r="BD33" s="577"/>
    </row>
    <row r="34" spans="1:75" s="240" customFormat="1">
      <c r="A34" s="209"/>
      <c r="B34" s="204"/>
      <c r="C34" s="236" t="s">
        <v>809</v>
      </c>
      <c r="D34" s="237"/>
      <c r="E34" s="238"/>
      <c r="F34" s="238"/>
      <c r="G34" s="238"/>
      <c r="H34" s="238"/>
      <c r="I34" s="239"/>
      <c r="J34" s="239"/>
      <c r="K34" s="239"/>
      <c r="L34" s="239"/>
      <c r="M34" s="239"/>
      <c r="N34" s="239"/>
      <c r="O34" s="239"/>
      <c r="P34" s="239"/>
      <c r="Q34" s="239"/>
      <c r="R34" s="239"/>
      <c r="S34" s="239"/>
      <c r="T34" s="239"/>
      <c r="U34" s="239"/>
      <c r="V34" s="239"/>
      <c r="W34" s="239"/>
      <c r="X34" s="239"/>
      <c r="Y34" s="239"/>
      <c r="Z34" s="239"/>
      <c r="AA34" s="239"/>
      <c r="AB34" s="239"/>
      <c r="AC34" s="239"/>
      <c r="AD34" s="239"/>
      <c r="AE34" s="239"/>
      <c r="AF34" s="578"/>
      <c r="AG34" s="578"/>
      <c r="AH34" s="578"/>
      <c r="AI34" s="578"/>
      <c r="AJ34" s="578"/>
      <c r="AK34" s="578"/>
      <c r="AL34" s="578"/>
      <c r="AM34" s="578"/>
      <c r="AN34" s="578"/>
      <c r="AO34" s="578"/>
      <c r="AP34" s="578"/>
      <c r="AQ34" s="578"/>
      <c r="AR34" s="578"/>
      <c r="AS34" s="578"/>
      <c r="AT34" s="578"/>
      <c r="AU34" s="578"/>
      <c r="AV34" s="578"/>
      <c r="AW34" s="578"/>
      <c r="AX34" s="578"/>
      <c r="AY34" s="578"/>
      <c r="AZ34" s="578"/>
      <c r="BA34" s="578"/>
      <c r="BB34" s="578"/>
      <c r="BC34" s="578"/>
      <c r="BD34" s="578"/>
      <c r="BE34" s="579"/>
      <c r="BF34" s="579"/>
      <c r="BG34" s="579"/>
      <c r="BH34" s="579"/>
      <c r="BI34" s="579"/>
      <c r="BJ34" s="579"/>
      <c r="BK34" s="579"/>
    </row>
    <row r="35" spans="1:75" s="240" customFormat="1">
      <c r="A35" s="209"/>
      <c r="B35" s="204" t="s">
        <v>810</v>
      </c>
      <c r="C35" s="241" t="s">
        <v>761</v>
      </c>
      <c r="D35" s="237"/>
      <c r="E35" s="238"/>
      <c r="F35" s="242"/>
      <c r="G35" s="242"/>
      <c r="H35" s="242"/>
      <c r="I35" s="242"/>
      <c r="J35" s="242"/>
      <c r="K35" s="242"/>
      <c r="L35" s="242"/>
      <c r="M35" s="242">
        <f>+'Inc Stmt'!C9</f>
        <v>43169.178</v>
      </c>
      <c r="N35" s="242">
        <f>+'Inc Stmt'!D9</f>
        <v>49876.86</v>
      </c>
      <c r="O35" s="242">
        <f>+'Inc Stmt'!E9</f>
        <v>59485.317999999999</v>
      </c>
      <c r="P35" s="242">
        <f>+'Inc Stmt'!F9</f>
        <v>77409.600000000006</v>
      </c>
      <c r="Q35" s="242">
        <f>+'Inc Stmt'!G9</f>
        <v>95928.2</v>
      </c>
      <c r="R35" s="242">
        <f>+'Inc Stmt'!H9</f>
        <v>90169.5</v>
      </c>
      <c r="S35" s="242">
        <f>+'Inc Stmt'!I9</f>
        <v>88148.1</v>
      </c>
      <c r="T35" s="242">
        <f>+'Inc Stmt'!J9</f>
        <v>118864.7</v>
      </c>
      <c r="U35" s="242">
        <f>+'Inc Stmt'!K9</f>
        <v>163982.29999999999</v>
      </c>
      <c r="V35" s="242">
        <f>+'Inc Stmt'!L9</f>
        <v>195289.8</v>
      </c>
      <c r="W35" s="242">
        <f>+'Inc Stmt'!M9</f>
        <v>199972.5</v>
      </c>
      <c r="X35" s="242">
        <f>+'Inc Stmt'!N9</f>
        <v>201495.1</v>
      </c>
      <c r="Y35" s="242">
        <f>+'Inc Stmt'!O9</f>
        <v>216120.1</v>
      </c>
      <c r="Z35" s="242">
        <f>+'Inc Stmt'!P9</f>
        <v>225865.2</v>
      </c>
      <c r="AA35" s="242">
        <f>+'Inc Stmt'!Q9</f>
        <v>217666.80000000002</v>
      </c>
      <c r="AB35" s="242">
        <f>+'Inc Stmt'!R9</f>
        <v>262363.62891264667</v>
      </c>
      <c r="AC35" s="242">
        <f>+'Inc Stmt'!S9</f>
        <v>303817.245014577</v>
      </c>
      <c r="AD35" s="242">
        <f>+'Inc Stmt'!T9</f>
        <v>352252.66332878638</v>
      </c>
      <c r="AE35" s="239"/>
      <c r="AF35" s="578">
        <f>Quarterly!C11</f>
        <v>25053.599999999999</v>
      </c>
      <c r="AG35" s="578">
        <f>Quarterly!D11</f>
        <v>27751.4</v>
      </c>
      <c r="AH35" s="578">
        <f>Quarterly!E11</f>
        <v>29267</v>
      </c>
      <c r="AI35" s="578">
        <f>Quarterly!F11</f>
        <v>26270.7</v>
      </c>
      <c r="AJ35" s="578">
        <f>Quarterly!G11</f>
        <v>22885.9</v>
      </c>
      <c r="AK35" s="578">
        <f>Quarterly!H11</f>
        <v>25197.3</v>
      </c>
      <c r="AL35" s="578">
        <f>Quarterly!I11</f>
        <v>26957.3</v>
      </c>
      <c r="AM35" s="578">
        <f>Quarterly!J11</f>
        <v>21859</v>
      </c>
      <c r="AN35" s="578">
        <f>Quarterly!K11</f>
        <v>23850.799999999999</v>
      </c>
      <c r="AO35" s="578">
        <f>Quarterly!L11</f>
        <v>26478.1</v>
      </c>
      <c r="AP35" s="578">
        <f>Quarterly!M11</f>
        <v>21382.3</v>
      </c>
      <c r="AQ35" s="578">
        <f>Quarterly!N11</f>
        <v>18981.400000000001</v>
      </c>
      <c r="AR35" s="578">
        <f>Quarterly!O11</f>
        <v>23750.6</v>
      </c>
      <c r="AS35" s="578">
        <f>Quarterly!P11</f>
        <v>29449.1</v>
      </c>
      <c r="AT35" s="578">
        <f>Quarterly!Q11</f>
        <v>33228.1</v>
      </c>
      <c r="AU35" s="578">
        <f>Quarterly!R11</f>
        <v>34753</v>
      </c>
      <c r="AV35" s="578">
        <f>Quarterly!S11</f>
        <v>39421</v>
      </c>
      <c r="AW35" s="578">
        <f>Quarterly!T11</f>
        <v>44284.6</v>
      </c>
      <c r="AX35" s="578">
        <f>Quarterly!U11</f>
        <v>42617</v>
      </c>
      <c r="AY35" s="578">
        <f>Quarterly!V11</f>
        <v>42777.9</v>
      </c>
      <c r="AZ35" s="578">
        <f>Quarterly!W11</f>
        <v>47418.8</v>
      </c>
      <c r="BA35" s="578">
        <f>Quarterly!X11</f>
        <v>52950.2</v>
      </c>
      <c r="BB35" s="578">
        <f>Quarterly!Y11</f>
        <v>50836.5</v>
      </c>
      <c r="BC35" s="578">
        <f>Quarterly!Z11</f>
        <v>47635.7</v>
      </c>
      <c r="BD35" s="578">
        <f>Quarterly!AA11</f>
        <v>49714.1</v>
      </c>
      <c r="BE35" s="578">
        <f>Quarterly!AB11</f>
        <v>51005.7</v>
      </c>
      <c r="BF35" s="578">
        <f>Quarterly!AC11</f>
        <v>56232.7</v>
      </c>
      <c r="BG35" s="578">
        <f>Quarterly!AD11</f>
        <v>49226.2</v>
      </c>
      <c r="BH35" s="578">
        <f>Quarterly!AE11</f>
        <v>50581.4</v>
      </c>
      <c r="BI35" s="578">
        <f>Quarterly!AF11</f>
        <v>53342.5</v>
      </c>
      <c r="BJ35" s="578">
        <f>Quarterly!AG11</f>
        <v>52945.5</v>
      </c>
      <c r="BK35" s="578">
        <f>Quarterly!AH11</f>
        <v>50401</v>
      </c>
      <c r="BL35" s="578">
        <f>Quarterly!AI11</f>
        <v>53347.1</v>
      </c>
      <c r="BM35" s="578">
        <f>Quarterly!AJ11</f>
        <v>60543.199999999997</v>
      </c>
      <c r="BN35" s="578">
        <f>Quarterly!AK11</f>
        <v>57335.7</v>
      </c>
      <c r="BO35" s="578">
        <f>Quarterly!AL11</f>
        <v>48906.1</v>
      </c>
      <c r="BP35" s="578">
        <f>Quarterly!AM11</f>
        <v>57728.1</v>
      </c>
      <c r="BQ35" s="578">
        <f>Quarterly!AN11</f>
        <v>62903.9</v>
      </c>
      <c r="BR35" s="578">
        <f>Quarterly!AO11</f>
        <v>57825.5</v>
      </c>
      <c r="BS35" s="578">
        <f>Quarterly!AP11</f>
        <v>56026.400000000001</v>
      </c>
      <c r="BT35" s="578">
        <f>Quarterly!AQ11</f>
        <v>59844.1</v>
      </c>
      <c r="BU35" s="578">
        <f>Quarterly!AR11</f>
        <v>63271.199999999997</v>
      </c>
      <c r="BV35" s="578">
        <f>Quarterly!AS11</f>
        <v>52628</v>
      </c>
      <c r="BW35" s="578">
        <f>Quarterly!AT11</f>
        <v>51205.4</v>
      </c>
    </row>
    <row r="36" spans="1:75" s="240" customFormat="1">
      <c r="A36" s="209"/>
      <c r="B36" s="204" t="s">
        <v>811</v>
      </c>
      <c r="C36" s="241" t="s">
        <v>812</v>
      </c>
      <c r="D36" s="237"/>
      <c r="E36" s="238"/>
      <c r="F36" s="242"/>
      <c r="G36" s="242"/>
      <c r="H36" s="242"/>
      <c r="I36" s="242"/>
      <c r="J36" s="242"/>
      <c r="K36" s="242"/>
      <c r="L36" s="242"/>
      <c r="M36" s="242"/>
      <c r="N36" s="242"/>
      <c r="O36" s="242"/>
      <c r="P36" s="242"/>
      <c r="Q36" s="242"/>
      <c r="R36" s="242"/>
      <c r="S36" s="242"/>
      <c r="T36" s="242"/>
      <c r="U36" s="242"/>
      <c r="V36" s="242"/>
      <c r="W36" s="242"/>
      <c r="X36" s="242"/>
      <c r="Y36" s="242"/>
      <c r="Z36" s="242"/>
      <c r="AA36" s="242"/>
      <c r="AB36" s="242"/>
      <c r="AC36" s="242"/>
      <c r="AD36" s="242"/>
      <c r="AE36" s="239"/>
      <c r="AF36" s="578">
        <f>Quarterly!C12</f>
        <v>3027</v>
      </c>
      <c r="AG36" s="578">
        <f>Quarterly!D12</f>
        <v>3391.7</v>
      </c>
      <c r="AH36" s="578">
        <f>Quarterly!E12</f>
        <v>3584.7</v>
      </c>
      <c r="AI36" s="578">
        <f>Quarterly!F12</f>
        <v>3135.2</v>
      </c>
      <c r="AJ36" s="578">
        <f>Quarterly!G12</f>
        <v>2524.9</v>
      </c>
      <c r="AK36" s="578">
        <f>Quarterly!H12</f>
        <v>2756</v>
      </c>
      <c r="AL36" s="578">
        <f>Quarterly!I12</f>
        <v>2971.3</v>
      </c>
      <c r="AM36" s="578">
        <f>Quarterly!J12</f>
        <v>2014.4</v>
      </c>
      <c r="AN36" s="578">
        <f>Quarterly!K12</f>
        <v>1715.6</v>
      </c>
      <c r="AO36" s="578">
        <f>Quarterly!L12</f>
        <v>1970.8</v>
      </c>
      <c r="AP36" s="578">
        <f>Quarterly!M12</f>
        <v>1334.8</v>
      </c>
      <c r="AQ36" s="578">
        <f>Quarterly!N12</f>
        <v>1106</v>
      </c>
      <c r="AR36" s="578">
        <f>Quarterly!O12</f>
        <v>1160.7</v>
      </c>
      <c r="AS36" s="578">
        <f>Quarterly!P12</f>
        <v>1516.9</v>
      </c>
      <c r="AT36" s="578">
        <f>Quarterly!Q12</f>
        <v>1569.7</v>
      </c>
      <c r="AU36" s="578">
        <f>Quarterly!R12</f>
        <v>1848.5</v>
      </c>
      <c r="AV36" s="578">
        <f>Quarterly!S12</f>
        <v>2048.1</v>
      </c>
      <c r="AW36" s="578">
        <f>Quarterly!T12</f>
        <v>2475.5</v>
      </c>
      <c r="AX36" s="578">
        <f>Quarterly!U12</f>
        <v>2335.1999999999998</v>
      </c>
      <c r="AY36" s="578">
        <f>Quarterly!V12</f>
        <v>2475.3000000000002</v>
      </c>
      <c r="AZ36" s="578">
        <f>Quarterly!W12</f>
        <v>2065</v>
      </c>
      <c r="BA36" s="578">
        <f>Quarterly!X12</f>
        <v>2485.4</v>
      </c>
      <c r="BB36" s="578">
        <f>Quarterly!Y12</f>
        <v>2437</v>
      </c>
      <c r="BC36" s="578">
        <f>Quarterly!Z12</f>
        <v>2480.1999999999998</v>
      </c>
      <c r="BD36" s="578">
        <f>Quarterly!AA12</f>
        <v>2577.6999999999998</v>
      </c>
      <c r="BE36" s="578">
        <f>Quarterly!AB12</f>
        <v>2835</v>
      </c>
      <c r="BF36" s="578">
        <f>Quarterly!AC12</f>
        <v>3160.7</v>
      </c>
      <c r="BG36" s="578">
        <f>Quarterly!AD12</f>
        <v>2715.7</v>
      </c>
      <c r="BH36" s="578">
        <f>Quarterly!AE12</f>
        <v>2494.1</v>
      </c>
      <c r="BI36" s="578">
        <f>Quarterly!AF12</f>
        <v>2727.6</v>
      </c>
      <c r="BJ36" s="578">
        <f>Quarterly!AG12</f>
        <v>2697.9</v>
      </c>
      <c r="BK36" s="578">
        <f>Quarterly!AH12</f>
        <v>2174.4</v>
      </c>
      <c r="BL36" s="578">
        <f>Quarterly!AI12</f>
        <v>2013.4</v>
      </c>
      <c r="BM36" s="578">
        <f>Quarterly!AJ12</f>
        <v>2274.6999999999998</v>
      </c>
      <c r="BN36" s="578">
        <f>Quarterly!AK12</f>
        <v>2135.6</v>
      </c>
      <c r="BO36" s="578">
        <f>Quarterly!AL12</f>
        <v>2669.1</v>
      </c>
      <c r="BP36" s="578">
        <f>Quarterly!AM12</f>
        <v>2819.6</v>
      </c>
      <c r="BQ36" s="578">
        <f>Quarterly!AN12</f>
        <v>3276</v>
      </c>
      <c r="BR36" s="578">
        <f>Quarterly!AO12</f>
        <v>3364.2</v>
      </c>
      <c r="BS36" s="578">
        <f>Quarterly!AP12</f>
        <v>3506.8</v>
      </c>
      <c r="BT36" s="578">
        <f>Quarterly!AQ12</f>
        <v>3408</v>
      </c>
      <c r="BU36" s="578">
        <f>Quarterly!AR12</f>
        <v>3778</v>
      </c>
      <c r="BV36" s="578">
        <f>Quarterly!AS12</f>
        <v>2872.4</v>
      </c>
      <c r="BW36" s="578">
        <f>Quarterly!AT12</f>
        <v>3155.1</v>
      </c>
    </row>
    <row r="37" spans="1:75" s="245" customFormat="1">
      <c r="A37" s="243"/>
      <c r="B37" s="243" t="s">
        <v>813</v>
      </c>
      <c r="C37" s="244" t="s">
        <v>764</v>
      </c>
      <c r="D37" s="243"/>
      <c r="F37" s="245">
        <f t="shared" ref="F37:AD37" si="14">F35-F36</f>
        <v>0</v>
      </c>
      <c r="G37" s="245">
        <f t="shared" si="14"/>
        <v>0</v>
      </c>
      <c r="H37" s="245">
        <f t="shared" si="14"/>
        <v>0</v>
      </c>
      <c r="I37" s="245">
        <f t="shared" si="14"/>
        <v>0</v>
      </c>
      <c r="J37" s="245">
        <f t="shared" si="14"/>
        <v>0</v>
      </c>
      <c r="K37" s="245">
        <f t="shared" si="14"/>
        <v>0</v>
      </c>
      <c r="M37" s="245">
        <f t="shared" si="14"/>
        <v>43169.178</v>
      </c>
      <c r="N37" s="245">
        <f t="shared" si="14"/>
        <v>49876.86</v>
      </c>
      <c r="O37" s="245">
        <f t="shared" si="14"/>
        <v>59485.317999999999</v>
      </c>
      <c r="P37" s="245">
        <f t="shared" si="14"/>
        <v>77409.600000000006</v>
      </c>
      <c r="Q37" s="245">
        <f t="shared" si="14"/>
        <v>95928.2</v>
      </c>
      <c r="R37" s="245">
        <f t="shared" si="14"/>
        <v>90169.5</v>
      </c>
      <c r="S37" s="245">
        <f t="shared" si="14"/>
        <v>88148.1</v>
      </c>
      <c r="T37" s="245">
        <f t="shared" si="14"/>
        <v>118864.7</v>
      </c>
      <c r="U37" s="245">
        <f t="shared" si="14"/>
        <v>163982.29999999999</v>
      </c>
      <c r="V37" s="245">
        <f t="shared" si="14"/>
        <v>195289.8</v>
      </c>
      <c r="W37" s="245">
        <f t="shared" si="14"/>
        <v>199972.5</v>
      </c>
      <c r="X37" s="245">
        <f t="shared" si="14"/>
        <v>201495.1</v>
      </c>
      <c r="Y37" s="245">
        <f t="shared" si="14"/>
        <v>216120.1</v>
      </c>
      <c r="Z37" s="245">
        <f>Z35-Z36</f>
        <v>225865.2</v>
      </c>
      <c r="AA37" s="245">
        <f>AA35-AA36</f>
        <v>217666.80000000002</v>
      </c>
      <c r="AB37" s="245">
        <f>AB35-AB36</f>
        <v>262363.62891264667</v>
      </c>
      <c r="AC37" s="245">
        <f t="shared" si="14"/>
        <v>303817.245014577</v>
      </c>
      <c r="AD37" s="245">
        <f t="shared" si="14"/>
        <v>352252.66332878638</v>
      </c>
      <c r="AF37" s="580">
        <f t="shared" ref="AF37:BK37" si="15">AF35-AF36</f>
        <v>22026.6</v>
      </c>
      <c r="AG37" s="580">
        <f t="shared" si="15"/>
        <v>24359.7</v>
      </c>
      <c r="AH37" s="580">
        <f t="shared" si="15"/>
        <v>25682.3</v>
      </c>
      <c r="AI37" s="580">
        <f t="shared" si="15"/>
        <v>23135.5</v>
      </c>
      <c r="AJ37" s="580">
        <f t="shared" si="15"/>
        <v>20361</v>
      </c>
      <c r="AK37" s="580">
        <f t="shared" si="15"/>
        <v>22441.3</v>
      </c>
      <c r="AL37" s="580">
        <f t="shared" si="15"/>
        <v>23986</v>
      </c>
      <c r="AM37" s="580">
        <f t="shared" si="15"/>
        <v>19844.599999999999</v>
      </c>
      <c r="AN37" s="580">
        <f t="shared" si="15"/>
        <v>22135.200000000001</v>
      </c>
      <c r="AO37" s="580">
        <f t="shared" si="15"/>
        <v>24507.3</v>
      </c>
      <c r="AP37" s="580">
        <f t="shared" si="15"/>
        <v>20047.5</v>
      </c>
      <c r="AQ37" s="580">
        <f t="shared" si="15"/>
        <v>17875.400000000001</v>
      </c>
      <c r="AR37" s="580">
        <f t="shared" si="15"/>
        <v>22589.899999999998</v>
      </c>
      <c r="AS37" s="580">
        <f t="shared" si="15"/>
        <v>27932.199999999997</v>
      </c>
      <c r="AT37" s="580">
        <f t="shared" si="15"/>
        <v>31658.399999999998</v>
      </c>
      <c r="AU37" s="580">
        <f t="shared" si="15"/>
        <v>32904.5</v>
      </c>
      <c r="AV37" s="580">
        <f t="shared" si="15"/>
        <v>37372.9</v>
      </c>
      <c r="AW37" s="580">
        <f t="shared" si="15"/>
        <v>41809.1</v>
      </c>
      <c r="AX37" s="580">
        <f t="shared" si="15"/>
        <v>40281.800000000003</v>
      </c>
      <c r="AY37" s="580">
        <f t="shared" si="15"/>
        <v>40302.6</v>
      </c>
      <c r="AZ37" s="580">
        <f t="shared" si="15"/>
        <v>45353.8</v>
      </c>
      <c r="BA37" s="580">
        <f t="shared" si="15"/>
        <v>50464.799999999996</v>
      </c>
      <c r="BB37" s="580">
        <f t="shared" si="15"/>
        <v>48399.5</v>
      </c>
      <c r="BC37" s="580">
        <f t="shared" si="15"/>
        <v>45155.5</v>
      </c>
      <c r="BD37" s="580">
        <f t="shared" si="15"/>
        <v>47136.4</v>
      </c>
      <c r="BE37" s="580">
        <f t="shared" si="15"/>
        <v>48170.7</v>
      </c>
      <c r="BF37" s="580">
        <f t="shared" si="15"/>
        <v>53072</v>
      </c>
      <c r="BG37" s="580">
        <f t="shared" si="15"/>
        <v>46510.5</v>
      </c>
      <c r="BH37" s="580">
        <f t="shared" si="15"/>
        <v>48087.3</v>
      </c>
      <c r="BI37" s="580">
        <f t="shared" si="15"/>
        <v>50614.9</v>
      </c>
      <c r="BJ37" s="580">
        <f t="shared" si="15"/>
        <v>50247.6</v>
      </c>
      <c r="BK37" s="580">
        <f t="shared" si="15"/>
        <v>48226.6</v>
      </c>
      <c r="BL37" s="580">
        <f t="shared" ref="BL37:BQ37" si="16">BL35-BL36</f>
        <v>51333.7</v>
      </c>
      <c r="BM37" s="580">
        <f t="shared" si="16"/>
        <v>58268.5</v>
      </c>
      <c r="BN37" s="580">
        <f t="shared" si="16"/>
        <v>55200.1</v>
      </c>
      <c r="BO37" s="580">
        <f t="shared" si="16"/>
        <v>46237</v>
      </c>
      <c r="BP37" s="580">
        <f t="shared" si="16"/>
        <v>54908.5</v>
      </c>
      <c r="BQ37" s="580">
        <f t="shared" si="16"/>
        <v>59627.9</v>
      </c>
      <c r="BR37" s="580">
        <f t="shared" ref="BR37:BS37" si="17">BR35-BR36</f>
        <v>54461.3</v>
      </c>
      <c r="BS37" s="580">
        <f t="shared" si="17"/>
        <v>52519.6</v>
      </c>
      <c r="BT37" s="580">
        <f t="shared" ref="BT37:BU37" si="18">BT35-BT36</f>
        <v>56436.1</v>
      </c>
      <c r="BU37" s="580">
        <f t="shared" si="18"/>
        <v>59493.2</v>
      </c>
      <c r="BV37" s="580">
        <f t="shared" ref="BV37:BW37" si="19">BV35-BV36</f>
        <v>49755.6</v>
      </c>
      <c r="BW37" s="580">
        <f t="shared" si="19"/>
        <v>48050.3</v>
      </c>
    </row>
    <row r="38" spans="1:75" s="245" customFormat="1">
      <c r="A38" s="243"/>
      <c r="B38" s="243" t="s">
        <v>814</v>
      </c>
      <c r="C38" s="246" t="s">
        <v>406</v>
      </c>
      <c r="D38" s="243"/>
      <c r="F38" s="245" t="e">
        <f t="shared" ref="F38:AD38" si="20">IF(E37&lt;0,"n.a.",((F37*12/F$4)/(E37*12/E$4)-1))*100</f>
        <v>#DIV/0!</v>
      </c>
      <c r="G38" s="245" t="e">
        <f t="shared" si="20"/>
        <v>#DIV/0!</v>
      </c>
      <c r="H38" s="245" t="e">
        <f t="shared" si="20"/>
        <v>#DIV/0!</v>
      </c>
      <c r="I38" s="245" t="e">
        <f t="shared" si="20"/>
        <v>#DIV/0!</v>
      </c>
      <c r="J38" s="245" t="e">
        <f t="shared" si="20"/>
        <v>#DIV/0!</v>
      </c>
      <c r="K38" s="245" t="e">
        <f t="shared" si="20"/>
        <v>#DIV/0!</v>
      </c>
      <c r="M38" s="245" t="e">
        <f t="shared" si="20"/>
        <v>#DIV/0!</v>
      </c>
      <c r="N38" s="245">
        <f t="shared" si="20"/>
        <v>15.538127689158232</v>
      </c>
      <c r="O38" s="245">
        <f t="shared" si="20"/>
        <v>19.26436026646423</v>
      </c>
      <c r="P38" s="245">
        <f t="shared" si="20"/>
        <v>30.132279027238297</v>
      </c>
      <c r="Q38" s="245">
        <f t="shared" si="20"/>
        <v>23.922872615282852</v>
      </c>
      <c r="R38" s="245">
        <f t="shared" si="20"/>
        <v>-6.0031356785595902</v>
      </c>
      <c r="S38" s="245">
        <f t="shared" si="20"/>
        <v>-2.241777984795279</v>
      </c>
      <c r="T38" s="245">
        <f t="shared" si="20"/>
        <v>34.846582059057397</v>
      </c>
      <c r="U38" s="245">
        <f t="shared" si="20"/>
        <v>37.957105852284137</v>
      </c>
      <c r="V38" s="245">
        <f t="shared" si="20"/>
        <v>19.091999563367491</v>
      </c>
      <c r="W38" s="245">
        <f t="shared" si="20"/>
        <v>2.3978210843577319</v>
      </c>
      <c r="X38" s="245">
        <f t="shared" si="20"/>
        <v>0.76140469314531778</v>
      </c>
      <c r="Y38" s="245">
        <f t="shared" si="20"/>
        <v>7.258241019260514</v>
      </c>
      <c r="Z38" s="245">
        <f>IF(Y37&lt;0,"n.a.",((Z37*12/Z$4)/(Y37*12/Y$4)-1))*100</f>
        <v>4.5091132199180262</v>
      </c>
      <c r="AA38" s="245">
        <f>IF(Z37&lt;0,"n.a.",((AA37*12/AA$4)/(Z37*12/Z$4)-1))*100</f>
        <v>-3.6297756360873734</v>
      </c>
      <c r="AB38" s="245">
        <f>IF(AA37&lt;0,"n.a.",((AB37*12/AB$4)/(AA37*12/AA$4)-1))*100</f>
        <v>20.534518315446661</v>
      </c>
      <c r="AC38" s="245">
        <f t="shared" si="20"/>
        <v>15.800062026025795</v>
      </c>
      <c r="AD38" s="245">
        <f t="shared" si="20"/>
        <v>15.942287381312227</v>
      </c>
      <c r="AF38" s="580" t="e">
        <f t="shared" ref="AF38:BK38" si="21">IF(AE37&lt;0,"n.a.",((AF37*12/AF$4)/(AE37*12/AE$4)-1))*100</f>
        <v>#DIV/0!</v>
      </c>
      <c r="AG38" s="580">
        <f t="shared" si="21"/>
        <v>10.592193075644939</v>
      </c>
      <c r="AH38" s="580">
        <f t="shared" si="21"/>
        <v>5.4294593118962897</v>
      </c>
      <c r="AI38" s="580">
        <f t="shared" si="21"/>
        <v>-9.9165573176857151</v>
      </c>
      <c r="AJ38" s="580">
        <f t="shared" si="21"/>
        <v>-11.992392643340322</v>
      </c>
      <c r="AK38" s="580">
        <f t="shared" si="21"/>
        <v>10.217081675752659</v>
      </c>
      <c r="AL38" s="580">
        <f t="shared" si="21"/>
        <v>6.8832910749377252</v>
      </c>
      <c r="AM38" s="580">
        <f t="shared" si="21"/>
        <v>-17.26590511131494</v>
      </c>
      <c r="AN38" s="580">
        <f t="shared" si="21"/>
        <v>11.542686675468406</v>
      </c>
      <c r="AO38" s="580">
        <f t="shared" si="21"/>
        <v>10.71641548303155</v>
      </c>
      <c r="AP38" s="580">
        <f t="shared" si="21"/>
        <v>-18.197843091650245</v>
      </c>
      <c r="AQ38" s="580">
        <f t="shared" si="21"/>
        <v>-10.834767427360015</v>
      </c>
      <c r="AR38" s="580">
        <f t="shared" si="21"/>
        <v>26.374234982154231</v>
      </c>
      <c r="AS38" s="580">
        <f t="shared" si="21"/>
        <v>23.649064404888918</v>
      </c>
      <c r="AT38" s="580">
        <f t="shared" si="21"/>
        <v>13.340159385941686</v>
      </c>
      <c r="AU38" s="580">
        <f t="shared" si="21"/>
        <v>3.936080155661692</v>
      </c>
      <c r="AV38" s="580">
        <f t="shared" si="21"/>
        <v>13.579905484052347</v>
      </c>
      <c r="AW38" s="580">
        <f t="shared" si="21"/>
        <v>11.870098386798977</v>
      </c>
      <c r="AX38" s="580">
        <f t="shared" si="21"/>
        <v>-3.6530324737915842</v>
      </c>
      <c r="AY38" s="580">
        <f t="shared" si="21"/>
        <v>5.1636222810280685E-2</v>
      </c>
      <c r="AZ38" s="580">
        <f t="shared" si="21"/>
        <v>12.53318644454704</v>
      </c>
      <c r="BA38" s="580">
        <f t="shared" si="21"/>
        <v>11.269177003911434</v>
      </c>
      <c r="BB38" s="580">
        <f t="shared" si="21"/>
        <v>-4.0925556031134462</v>
      </c>
      <c r="BC38" s="580">
        <f t="shared" si="21"/>
        <v>-6.7025485800473188</v>
      </c>
      <c r="BD38" s="580">
        <f t="shared" si="21"/>
        <v>4.3868410271174163</v>
      </c>
      <c r="BE38" s="580">
        <f t="shared" si="21"/>
        <v>2.1942702455002738</v>
      </c>
      <c r="BF38" s="580">
        <f t="shared" si="21"/>
        <v>10.174857330285869</v>
      </c>
      <c r="BG38" s="580">
        <f t="shared" si="21"/>
        <v>-12.363393126318966</v>
      </c>
      <c r="BH38" s="580">
        <f t="shared" si="21"/>
        <v>3.3902022124036701</v>
      </c>
      <c r="BI38" s="580">
        <f t="shared" si="21"/>
        <v>5.2562734859307847</v>
      </c>
      <c r="BJ38" s="580">
        <f t="shared" si="21"/>
        <v>-0.72567564096739368</v>
      </c>
      <c r="BK38" s="580">
        <f t="shared" si="21"/>
        <v>-4.0220826467333719</v>
      </c>
      <c r="BL38" s="580">
        <f t="shared" ref="BL38:BS38" si="22">IF(BK37&lt;0,"n.a.",((BL37*12/BL$4)/(BK37*12/BK$4)-1))*100</f>
        <v>6.4427100396876158</v>
      </c>
      <c r="BM38" s="580">
        <f t="shared" si="22"/>
        <v>13.509254154678141</v>
      </c>
      <c r="BN38" s="580">
        <f t="shared" si="22"/>
        <v>-5.2659670319297742</v>
      </c>
      <c r="BO38" s="580">
        <f t="shared" si="22"/>
        <v>-16.237470584292414</v>
      </c>
      <c r="BP38" s="580">
        <f t="shared" si="22"/>
        <v>18.754460713281574</v>
      </c>
      <c r="BQ38" s="580">
        <f t="shared" si="22"/>
        <v>8.595026270978078</v>
      </c>
      <c r="BR38" s="580">
        <f t="shared" si="22"/>
        <v>-8.6647358032062023</v>
      </c>
      <c r="BS38" s="580">
        <f t="shared" si="22"/>
        <v>-3.5652839722886021</v>
      </c>
      <c r="BT38" s="580">
        <f t="shared" ref="BT38:BW38" si="23">IF(BS37&lt;0,"n.a.",((BT37*12/BT$4)/(BS37*12/BS$4)-1))*100</f>
        <v>7.4572159727035237</v>
      </c>
      <c r="BU38" s="580">
        <f t="shared" si="23"/>
        <v>5.416922856115125</v>
      </c>
      <c r="BV38" s="580">
        <f t="shared" si="23"/>
        <v>-16.367584866841909</v>
      </c>
      <c r="BW38" s="580">
        <f t="shared" si="23"/>
        <v>-3.427352900979963</v>
      </c>
    </row>
    <row r="39" spans="1:75" s="248" customFormat="1">
      <c r="A39" s="247"/>
      <c r="B39" s="247" t="s">
        <v>815</v>
      </c>
      <c r="C39" s="220" t="s">
        <v>816</v>
      </c>
      <c r="D39" s="247"/>
      <c r="F39" s="249"/>
      <c r="G39" s="249"/>
      <c r="H39" s="249"/>
      <c r="I39" s="249"/>
      <c r="J39" s="249"/>
      <c r="K39" s="249"/>
      <c r="L39" s="249"/>
      <c r="M39" s="249"/>
      <c r="N39" s="249"/>
      <c r="O39" s="249"/>
      <c r="P39" s="249"/>
      <c r="Q39" s="249"/>
      <c r="R39" s="249"/>
      <c r="S39" s="249"/>
      <c r="T39" s="249"/>
      <c r="U39" s="249"/>
      <c r="V39" s="249"/>
      <c r="W39" s="249"/>
      <c r="X39" s="249"/>
      <c r="Y39" s="249"/>
      <c r="Z39" s="249"/>
      <c r="AA39" s="249"/>
      <c r="AB39" s="249"/>
      <c r="AC39" s="249"/>
      <c r="AD39" s="249"/>
      <c r="AF39" s="581">
        <f>Quarterly!C13</f>
        <v>0</v>
      </c>
      <c r="AG39" s="581">
        <f>Quarterly!D13</f>
        <v>0</v>
      </c>
      <c r="AH39" s="581">
        <f>Quarterly!E13</f>
        <v>0</v>
      </c>
      <c r="AI39" s="581">
        <f>Quarterly!F13</f>
        <v>0</v>
      </c>
      <c r="AJ39" s="581">
        <f>Quarterly!G13</f>
        <v>725.5</v>
      </c>
      <c r="AK39" s="581">
        <f>Quarterly!H13</f>
        <v>1176.9000000000001</v>
      </c>
      <c r="AL39" s="581">
        <f>Quarterly!I13</f>
        <v>1026.5</v>
      </c>
      <c r="AM39" s="581">
        <f>Quarterly!J13</f>
        <v>899.9</v>
      </c>
      <c r="AN39" s="581">
        <f>Quarterly!K13</f>
        <v>972.5</v>
      </c>
      <c r="AO39" s="581">
        <f>Quarterly!L13</f>
        <v>977</v>
      </c>
      <c r="AP39" s="581">
        <f>Quarterly!M13</f>
        <v>983.5</v>
      </c>
      <c r="AQ39" s="581">
        <f>Quarterly!N13</f>
        <v>958.7</v>
      </c>
      <c r="AR39" s="581">
        <f>Quarterly!O13</f>
        <v>794.8</v>
      </c>
      <c r="AS39" s="581">
        <f>Quarterly!P13</f>
        <v>942.9</v>
      </c>
      <c r="AT39" s="581">
        <f>Quarterly!Q13</f>
        <v>1297.0999999999999</v>
      </c>
      <c r="AU39" s="581">
        <f>Quarterly!R13</f>
        <v>1090</v>
      </c>
      <c r="AV39" s="581">
        <f>Quarterly!S13</f>
        <v>1527.7</v>
      </c>
      <c r="AW39" s="581">
        <f>Quarterly!T13</f>
        <v>1609.1</v>
      </c>
      <c r="AX39" s="581">
        <f>Quarterly!U13</f>
        <v>1489</v>
      </c>
      <c r="AY39" s="581">
        <f>Quarterly!V13</f>
        <v>1145.3</v>
      </c>
      <c r="AZ39" s="581">
        <f>Quarterly!W13</f>
        <v>1709.1</v>
      </c>
      <c r="BA39" s="581">
        <f>Quarterly!X13</f>
        <v>2207.8000000000002</v>
      </c>
      <c r="BB39" s="581">
        <f>Quarterly!Y13</f>
        <v>1459.4</v>
      </c>
      <c r="BC39" s="581">
        <f>Quarterly!Z13</f>
        <v>1358.9</v>
      </c>
      <c r="BD39" s="581">
        <f>Quarterly!AA13</f>
        <v>1520.2</v>
      </c>
      <c r="BE39" s="581">
        <f>Quarterly!AB13</f>
        <v>1553.3</v>
      </c>
      <c r="BF39" s="581">
        <f>Quarterly!AC13</f>
        <v>1055.0999999999999</v>
      </c>
      <c r="BG39" s="581">
        <f>Quarterly!AD13</f>
        <v>954.3</v>
      </c>
      <c r="BH39" s="581">
        <f>Quarterly!AE13</f>
        <v>1023.6</v>
      </c>
      <c r="BI39" s="581">
        <f>Quarterly!AF13</f>
        <v>1134</v>
      </c>
      <c r="BJ39" s="581">
        <f>Quarterly!AG13</f>
        <v>1064.8</v>
      </c>
      <c r="BK39" s="581">
        <f>Quarterly!AH13</f>
        <v>1096.3</v>
      </c>
      <c r="BL39" s="581">
        <f>Quarterly!AI13</f>
        <v>1190.4000000000001</v>
      </c>
      <c r="BM39" s="581">
        <f>Quarterly!AJ13</f>
        <v>1362.4</v>
      </c>
      <c r="BN39" s="581">
        <f>Quarterly!AK13</f>
        <v>1371.6</v>
      </c>
      <c r="BO39" s="581">
        <f>Quarterly!AL13</f>
        <v>1156.4000000000001</v>
      </c>
      <c r="BP39" s="581">
        <f>Quarterly!AM13</f>
        <v>1084.3</v>
      </c>
      <c r="BQ39" s="581">
        <f>Quarterly!AN13</f>
        <v>1171.5</v>
      </c>
      <c r="BR39" s="581">
        <f>Quarterly!AO13</f>
        <v>1017</v>
      </c>
      <c r="BS39" s="581">
        <f>Quarterly!AP13</f>
        <v>1075.3</v>
      </c>
      <c r="BT39" s="581">
        <f>Quarterly!AQ13</f>
        <v>1043.4000000000001</v>
      </c>
      <c r="BU39" s="581">
        <f>Quarterly!AR13</f>
        <v>1052</v>
      </c>
      <c r="BV39" s="581">
        <f>Quarterly!AS13</f>
        <v>913.3</v>
      </c>
      <c r="BW39" s="581">
        <f>Quarterly!AT13</f>
        <v>922.9</v>
      </c>
    </row>
    <row r="40" spans="1:75" s="245" customFormat="1">
      <c r="A40" s="243"/>
      <c r="B40" s="243" t="s">
        <v>817</v>
      </c>
      <c r="C40" s="246" t="s">
        <v>296</v>
      </c>
      <c r="D40" s="243"/>
      <c r="F40" s="245">
        <f t="shared" ref="F40:AD40" si="24">F37+F39</f>
        <v>0</v>
      </c>
      <c r="G40" s="245">
        <f t="shared" si="24"/>
        <v>0</v>
      </c>
      <c r="H40" s="245">
        <f t="shared" si="24"/>
        <v>0</v>
      </c>
      <c r="I40" s="245">
        <f t="shared" si="24"/>
        <v>0</v>
      </c>
      <c r="J40" s="245">
        <f t="shared" si="24"/>
        <v>0</v>
      </c>
      <c r="K40" s="245">
        <f t="shared" si="24"/>
        <v>0</v>
      </c>
      <c r="M40" s="245">
        <f t="shared" si="24"/>
        <v>43169.178</v>
      </c>
      <c r="N40" s="245">
        <f t="shared" si="24"/>
        <v>49876.86</v>
      </c>
      <c r="O40" s="245">
        <f t="shared" si="24"/>
        <v>59485.317999999999</v>
      </c>
      <c r="P40" s="245">
        <f t="shared" si="24"/>
        <v>77409.600000000006</v>
      </c>
      <c r="Q40" s="245">
        <f t="shared" si="24"/>
        <v>95928.2</v>
      </c>
      <c r="R40" s="245">
        <f t="shared" si="24"/>
        <v>90169.5</v>
      </c>
      <c r="S40" s="245">
        <f t="shared" si="24"/>
        <v>88148.1</v>
      </c>
      <c r="T40" s="245">
        <f t="shared" si="24"/>
        <v>118864.7</v>
      </c>
      <c r="U40" s="245">
        <f t="shared" si="24"/>
        <v>163982.29999999999</v>
      </c>
      <c r="V40" s="245">
        <f t="shared" si="24"/>
        <v>195289.8</v>
      </c>
      <c r="W40" s="245">
        <f t="shared" si="24"/>
        <v>199972.5</v>
      </c>
      <c r="X40" s="245">
        <f t="shared" si="24"/>
        <v>201495.1</v>
      </c>
      <c r="Y40" s="245">
        <f t="shared" si="24"/>
        <v>216120.1</v>
      </c>
      <c r="Z40" s="245">
        <f>Z37+Z39</f>
        <v>225865.2</v>
      </c>
      <c r="AA40" s="245">
        <f>AA37+AA39</f>
        <v>217666.80000000002</v>
      </c>
      <c r="AB40" s="245">
        <f>AB37+AB39</f>
        <v>262363.62891264667</v>
      </c>
      <c r="AC40" s="245">
        <f t="shared" si="24"/>
        <v>303817.245014577</v>
      </c>
      <c r="AD40" s="245">
        <f t="shared" si="24"/>
        <v>352252.66332878638</v>
      </c>
      <c r="AF40" s="580">
        <f t="shared" ref="AF40:BK40" si="25">AF37+AF39</f>
        <v>22026.6</v>
      </c>
      <c r="AG40" s="580">
        <f t="shared" si="25"/>
        <v>24359.7</v>
      </c>
      <c r="AH40" s="580">
        <f t="shared" si="25"/>
        <v>25682.3</v>
      </c>
      <c r="AI40" s="580">
        <f t="shared" si="25"/>
        <v>23135.5</v>
      </c>
      <c r="AJ40" s="580">
        <f t="shared" si="25"/>
        <v>21086.5</v>
      </c>
      <c r="AK40" s="580">
        <f t="shared" si="25"/>
        <v>23618.2</v>
      </c>
      <c r="AL40" s="580">
        <f t="shared" si="25"/>
        <v>25012.5</v>
      </c>
      <c r="AM40" s="580">
        <f t="shared" si="25"/>
        <v>20744.5</v>
      </c>
      <c r="AN40" s="580">
        <f t="shared" si="25"/>
        <v>23107.7</v>
      </c>
      <c r="AO40" s="580">
        <f t="shared" si="25"/>
        <v>25484.3</v>
      </c>
      <c r="AP40" s="580">
        <f t="shared" si="25"/>
        <v>21031</v>
      </c>
      <c r="AQ40" s="580">
        <f t="shared" si="25"/>
        <v>18834.100000000002</v>
      </c>
      <c r="AR40" s="580">
        <f t="shared" si="25"/>
        <v>23384.699999999997</v>
      </c>
      <c r="AS40" s="580">
        <f t="shared" si="25"/>
        <v>28875.1</v>
      </c>
      <c r="AT40" s="580">
        <f t="shared" si="25"/>
        <v>32955.5</v>
      </c>
      <c r="AU40" s="580">
        <f t="shared" si="25"/>
        <v>33994.5</v>
      </c>
      <c r="AV40" s="580">
        <f t="shared" si="25"/>
        <v>38900.6</v>
      </c>
      <c r="AW40" s="580">
        <f t="shared" si="25"/>
        <v>43418.2</v>
      </c>
      <c r="AX40" s="580">
        <f t="shared" si="25"/>
        <v>41770.800000000003</v>
      </c>
      <c r="AY40" s="580">
        <f t="shared" si="25"/>
        <v>41447.9</v>
      </c>
      <c r="AZ40" s="580">
        <f t="shared" si="25"/>
        <v>47062.9</v>
      </c>
      <c r="BA40" s="580">
        <f t="shared" si="25"/>
        <v>52672.6</v>
      </c>
      <c r="BB40" s="580">
        <f t="shared" si="25"/>
        <v>49858.9</v>
      </c>
      <c r="BC40" s="580">
        <f t="shared" si="25"/>
        <v>46514.400000000001</v>
      </c>
      <c r="BD40" s="580">
        <f t="shared" si="25"/>
        <v>48656.6</v>
      </c>
      <c r="BE40" s="580">
        <f t="shared" si="25"/>
        <v>49724</v>
      </c>
      <c r="BF40" s="580">
        <f t="shared" si="25"/>
        <v>54127.1</v>
      </c>
      <c r="BG40" s="580">
        <f t="shared" si="25"/>
        <v>47464.800000000003</v>
      </c>
      <c r="BH40" s="580">
        <f t="shared" si="25"/>
        <v>49110.9</v>
      </c>
      <c r="BI40" s="580">
        <f t="shared" si="25"/>
        <v>51748.9</v>
      </c>
      <c r="BJ40" s="580">
        <f t="shared" si="25"/>
        <v>51312.4</v>
      </c>
      <c r="BK40" s="580">
        <f t="shared" si="25"/>
        <v>49322.9</v>
      </c>
      <c r="BL40" s="580">
        <f t="shared" ref="BL40:BQ40" si="26">BL37+BL39</f>
        <v>52524.1</v>
      </c>
      <c r="BM40" s="580">
        <f t="shared" si="26"/>
        <v>59630.9</v>
      </c>
      <c r="BN40" s="580">
        <f t="shared" si="26"/>
        <v>56571.7</v>
      </c>
      <c r="BO40" s="580">
        <f t="shared" si="26"/>
        <v>47393.4</v>
      </c>
      <c r="BP40" s="580">
        <f t="shared" si="26"/>
        <v>55992.800000000003</v>
      </c>
      <c r="BQ40" s="580">
        <f t="shared" si="26"/>
        <v>60799.4</v>
      </c>
      <c r="BR40" s="580">
        <f t="shared" ref="BR40:BS40" si="27">BR37+BR39</f>
        <v>55478.3</v>
      </c>
      <c r="BS40" s="580">
        <f t="shared" si="27"/>
        <v>53594.9</v>
      </c>
      <c r="BT40" s="580">
        <f t="shared" ref="BT40:BU40" si="28">BT37+BT39</f>
        <v>57479.5</v>
      </c>
      <c r="BU40" s="580">
        <f t="shared" si="28"/>
        <v>60545.2</v>
      </c>
      <c r="BV40" s="582">
        <f t="shared" ref="BV40:BW40" si="29">BV37+BV39</f>
        <v>50668.9</v>
      </c>
      <c r="BW40" s="582">
        <f t="shared" si="29"/>
        <v>48973.200000000004</v>
      </c>
    </row>
    <row r="41" spans="1:75" s="245" customFormat="1">
      <c r="A41" s="243"/>
      <c r="B41" s="243" t="s">
        <v>818</v>
      </c>
      <c r="C41" s="246" t="s">
        <v>406</v>
      </c>
      <c r="D41" s="243"/>
      <c r="F41" s="245" t="e">
        <f t="shared" ref="F41:AD41" si="30">IF(E40&lt;0,"n.a.",((F40*12/F$4)/(E40*12/E$4)-1))*100</f>
        <v>#DIV/0!</v>
      </c>
      <c r="G41" s="245" t="e">
        <f t="shared" si="30"/>
        <v>#DIV/0!</v>
      </c>
      <c r="H41" s="245" t="e">
        <f t="shared" si="30"/>
        <v>#DIV/0!</v>
      </c>
      <c r="I41" s="245" t="e">
        <f t="shared" si="30"/>
        <v>#DIV/0!</v>
      </c>
      <c r="J41" s="245" t="e">
        <f t="shared" si="30"/>
        <v>#DIV/0!</v>
      </c>
      <c r="K41" s="245" t="e">
        <f t="shared" si="30"/>
        <v>#DIV/0!</v>
      </c>
      <c r="M41" s="245" t="e">
        <f t="shared" si="30"/>
        <v>#DIV/0!</v>
      </c>
      <c r="N41" s="245">
        <f t="shared" si="30"/>
        <v>15.538127689158232</v>
      </c>
      <c r="O41" s="245">
        <f t="shared" si="30"/>
        <v>19.26436026646423</v>
      </c>
      <c r="P41" s="245">
        <f t="shared" si="30"/>
        <v>30.132279027238297</v>
      </c>
      <c r="Q41" s="245">
        <f t="shared" si="30"/>
        <v>23.922872615282852</v>
      </c>
      <c r="R41" s="245">
        <f t="shared" si="30"/>
        <v>-6.0031356785595902</v>
      </c>
      <c r="S41" s="245">
        <f t="shared" si="30"/>
        <v>-2.241777984795279</v>
      </c>
      <c r="T41" s="245">
        <f t="shared" si="30"/>
        <v>34.846582059057397</v>
      </c>
      <c r="U41" s="245">
        <f t="shared" si="30"/>
        <v>37.957105852284137</v>
      </c>
      <c r="V41" s="245">
        <f t="shared" si="30"/>
        <v>19.091999563367491</v>
      </c>
      <c r="W41" s="245">
        <f t="shared" si="30"/>
        <v>2.3978210843577319</v>
      </c>
      <c r="X41" s="245">
        <f t="shared" si="30"/>
        <v>0.76140469314531778</v>
      </c>
      <c r="Y41" s="245">
        <f t="shared" si="30"/>
        <v>7.258241019260514</v>
      </c>
      <c r="Z41" s="245">
        <f>IF(Y40&lt;0,"n.a.",((Z40*12/Z$4)/(Y40*12/Y$4)-1))*100</f>
        <v>4.5091132199180262</v>
      </c>
      <c r="AA41" s="245">
        <f>IF(Z40&lt;0,"n.a.",((AA40*12/AA$4)/(Z40*12/Z$4)-1))*100</f>
        <v>-3.6297756360873734</v>
      </c>
      <c r="AB41" s="245">
        <f>IF(AA40&lt;0,"n.a.",((AB40*12/AB$4)/(AA40*12/AA$4)-1))*100</f>
        <v>20.534518315446661</v>
      </c>
      <c r="AC41" s="245">
        <f t="shared" si="30"/>
        <v>15.800062026025795</v>
      </c>
      <c r="AD41" s="245">
        <f t="shared" si="30"/>
        <v>15.942287381312227</v>
      </c>
      <c r="AF41" s="580" t="e">
        <f t="shared" ref="AF41:BK41" si="31">IF(AE40&lt;0,"n.a.",((AF40*12/AF$4)/(AE40*12/AE$4)-1))*100</f>
        <v>#DIV/0!</v>
      </c>
      <c r="AG41" s="580">
        <f t="shared" si="31"/>
        <v>10.592193075644939</v>
      </c>
      <c r="AH41" s="580">
        <f t="shared" si="31"/>
        <v>5.4294593118962897</v>
      </c>
      <c r="AI41" s="580">
        <f t="shared" si="31"/>
        <v>-9.9165573176857151</v>
      </c>
      <c r="AJ41" s="580">
        <f t="shared" si="31"/>
        <v>-8.8565192020920271</v>
      </c>
      <c r="AK41" s="580">
        <f t="shared" si="31"/>
        <v>12.006259929338681</v>
      </c>
      <c r="AL41" s="580">
        <f t="shared" si="31"/>
        <v>5.9034981497319894</v>
      </c>
      <c r="AM41" s="580">
        <f t="shared" si="31"/>
        <v>-17.063468265867066</v>
      </c>
      <c r="AN41" s="580">
        <f t="shared" si="31"/>
        <v>11.391935211742865</v>
      </c>
      <c r="AO41" s="580">
        <f t="shared" si="31"/>
        <v>10.284883393847055</v>
      </c>
      <c r="AP41" s="580">
        <f t="shared" si="31"/>
        <v>-17.474680489556317</v>
      </c>
      <c r="AQ41" s="580">
        <f t="shared" si="31"/>
        <v>-10.446008273501018</v>
      </c>
      <c r="AR41" s="580">
        <f t="shared" si="31"/>
        <v>24.16149431085104</v>
      </c>
      <c r="AS41" s="580">
        <f t="shared" si="31"/>
        <v>23.478599255068477</v>
      </c>
      <c r="AT41" s="580">
        <f t="shared" si="31"/>
        <v>14.131206472012249</v>
      </c>
      <c r="AU41" s="580">
        <f t="shared" si="31"/>
        <v>3.152736265570244</v>
      </c>
      <c r="AV41" s="580">
        <f t="shared" si="31"/>
        <v>14.432040477135999</v>
      </c>
      <c r="AW41" s="580">
        <f t="shared" si="31"/>
        <v>11.613188485524638</v>
      </c>
      <c r="AX41" s="580">
        <f t="shared" si="31"/>
        <v>-3.7942613926878477</v>
      </c>
      <c r="AY41" s="580">
        <f t="shared" si="31"/>
        <v>-0.7730280483016827</v>
      </c>
      <c r="AZ41" s="580">
        <f t="shared" si="31"/>
        <v>13.547127840011196</v>
      </c>
      <c r="BA41" s="580">
        <f t="shared" si="31"/>
        <v>11.919579966385395</v>
      </c>
      <c r="BB41" s="580">
        <f t="shared" si="31"/>
        <v>-5.341866549211538</v>
      </c>
      <c r="BC41" s="580">
        <f t="shared" si="31"/>
        <v>-6.7079297778330442</v>
      </c>
      <c r="BD41" s="580">
        <f t="shared" si="31"/>
        <v>4.6054555148512977</v>
      </c>
      <c r="BE41" s="580">
        <f t="shared" si="31"/>
        <v>2.1937414451482562</v>
      </c>
      <c r="BF41" s="580">
        <f t="shared" si="31"/>
        <v>8.8550800418309095</v>
      </c>
      <c r="BG41" s="580">
        <f t="shared" si="31"/>
        <v>-12.308621744006221</v>
      </c>
      <c r="BH41" s="580">
        <f t="shared" si="31"/>
        <v>3.4680436871112663</v>
      </c>
      <c r="BI41" s="580">
        <f t="shared" si="31"/>
        <v>5.3715163028981383</v>
      </c>
      <c r="BJ41" s="580">
        <f t="shared" si="31"/>
        <v>-0.84349619025718692</v>
      </c>
      <c r="BK41" s="580">
        <f t="shared" si="31"/>
        <v>-3.8772304550167225</v>
      </c>
      <c r="BL41" s="580">
        <f t="shared" ref="BL41:BS41" si="32">IF(BK40&lt;0,"n.a.",((BL40*12/BL$4)/(BK40*12/BK$4)-1))*100</f>
        <v>6.4902915278704176</v>
      </c>
      <c r="BM41" s="580">
        <f t="shared" si="32"/>
        <v>13.530550737661384</v>
      </c>
      <c r="BN41" s="580">
        <f t="shared" si="32"/>
        <v>-5.1302261076053064</v>
      </c>
      <c r="BO41" s="580">
        <f t="shared" si="32"/>
        <v>-16.2241898334326</v>
      </c>
      <c r="BP41" s="580">
        <f t="shared" si="32"/>
        <v>18.144720572906792</v>
      </c>
      <c r="BQ41" s="580">
        <f t="shared" si="32"/>
        <v>8.5843179837407533</v>
      </c>
      <c r="BR41" s="580">
        <f t="shared" si="32"/>
        <v>-8.7518955779168692</v>
      </c>
      <c r="BS41" s="580">
        <f t="shared" si="32"/>
        <v>-3.394840865707871</v>
      </c>
      <c r="BT41" s="580">
        <f t="shared" ref="BT41:BW41" si="33">IF(BS40&lt;0,"n.a.",((BT40*12/BT$4)/(BS40*12/BS$4)-1))*100</f>
        <v>7.248077708886469</v>
      </c>
      <c r="BU41" s="580">
        <f t="shared" si="33"/>
        <v>5.3335537017545231</v>
      </c>
      <c r="BV41" s="580">
        <f t="shared" si="33"/>
        <v>-16.31227578734563</v>
      </c>
      <c r="BW41" s="580">
        <f t="shared" si="33"/>
        <v>-3.3466287999147304</v>
      </c>
    </row>
    <row r="42" spans="1:75" s="245" customFormat="1">
      <c r="B42" s="243" t="s">
        <v>819</v>
      </c>
      <c r="C42" s="250" t="s">
        <v>820</v>
      </c>
      <c r="F42" s="245">
        <f t="shared" ref="F42:AD42" si="34">F43+F47+F66+F69</f>
        <v>0</v>
      </c>
      <c r="G42" s="245">
        <f t="shared" si="34"/>
        <v>0</v>
      </c>
      <c r="H42" s="245">
        <f t="shared" si="34"/>
        <v>0</v>
      </c>
      <c r="I42" s="245">
        <f t="shared" si="34"/>
        <v>0</v>
      </c>
      <c r="J42" s="245">
        <f t="shared" si="34"/>
        <v>0</v>
      </c>
      <c r="K42" s="245">
        <f t="shared" si="34"/>
        <v>0</v>
      </c>
      <c r="M42" s="245">
        <f t="shared" si="34"/>
        <v>35204.089</v>
      </c>
      <c r="N42" s="245">
        <f t="shared" si="34"/>
        <v>40639.788</v>
      </c>
      <c r="O42" s="245">
        <f t="shared" si="34"/>
        <v>50136.830999999998</v>
      </c>
      <c r="P42" s="245">
        <f t="shared" si="34"/>
        <v>63116.3</v>
      </c>
      <c r="Q42" s="245">
        <f t="shared" si="34"/>
        <v>81034.399999999994</v>
      </c>
      <c r="R42" s="245">
        <f t="shared" si="34"/>
        <v>77874.899999999994</v>
      </c>
      <c r="S42" s="245">
        <f t="shared" si="34"/>
        <v>76905</v>
      </c>
      <c r="T42" s="245">
        <f t="shared" si="34"/>
        <v>93284.200000000012</v>
      </c>
      <c r="U42" s="245">
        <f t="shared" si="34"/>
        <v>132240.1</v>
      </c>
      <c r="V42" s="245">
        <f t="shared" si="34"/>
        <v>158089.9</v>
      </c>
      <c r="W42" s="245">
        <f t="shared" si="34"/>
        <v>163591.99999999997</v>
      </c>
      <c r="X42" s="245">
        <f t="shared" si="34"/>
        <v>159031.80000000002</v>
      </c>
      <c r="Y42" s="245">
        <f t="shared" si="34"/>
        <v>174452.4</v>
      </c>
      <c r="Z42" s="245">
        <f>Z43+Z47+Z66+Z69</f>
        <v>178045.80000000002</v>
      </c>
      <c r="AA42" s="245">
        <f>AA43+AA47+AA66+AA69</f>
        <v>173443.30000000002</v>
      </c>
      <c r="AB42" s="245">
        <f>AB43+AB47+AB66+AB69</f>
        <v>210386.27784058146</v>
      </c>
      <c r="AC42" s="245">
        <f t="shared" si="34"/>
        <v>243357.01310311205</v>
      </c>
      <c r="AD42" s="245">
        <f t="shared" si="34"/>
        <v>285515.57724092307</v>
      </c>
      <c r="AF42" s="580">
        <f>AF43+AF47+AF66+AF69</f>
        <v>18419.7</v>
      </c>
      <c r="AG42" s="580">
        <f t="shared" ref="AG42:BK42" si="35">AG43+AG47+AG66+AG69</f>
        <v>20707.800000000003</v>
      </c>
      <c r="AH42" s="580">
        <f t="shared" si="35"/>
        <v>22046.1</v>
      </c>
      <c r="AI42" s="580">
        <f t="shared" si="35"/>
        <v>19872.600000000002</v>
      </c>
      <c r="AJ42" s="580">
        <f t="shared" si="35"/>
        <v>18337.5</v>
      </c>
      <c r="AK42" s="580">
        <f t="shared" si="35"/>
        <v>19837.7</v>
      </c>
      <c r="AL42" s="580">
        <f t="shared" si="35"/>
        <v>21342.7</v>
      </c>
      <c r="AM42" s="580">
        <f t="shared" si="35"/>
        <v>18128.8</v>
      </c>
      <c r="AN42" s="580">
        <f t="shared" si="35"/>
        <v>20439.8</v>
      </c>
      <c r="AO42" s="580">
        <f t="shared" si="35"/>
        <v>22046.1</v>
      </c>
      <c r="AP42" s="580">
        <f t="shared" si="35"/>
        <v>17972.600000000002</v>
      </c>
      <c r="AQ42" s="580">
        <f t="shared" si="35"/>
        <v>15805.7</v>
      </c>
      <c r="AR42" s="580">
        <f t="shared" si="35"/>
        <v>18830.5</v>
      </c>
      <c r="AS42" s="580">
        <f t="shared" si="35"/>
        <v>22510</v>
      </c>
      <c r="AT42" s="580">
        <f t="shared" si="35"/>
        <v>25720.199999999997</v>
      </c>
      <c r="AU42" s="580">
        <f t="shared" si="35"/>
        <v>26223.5</v>
      </c>
      <c r="AV42" s="580">
        <f t="shared" si="35"/>
        <v>31131.300000000003</v>
      </c>
      <c r="AW42" s="580">
        <f t="shared" si="35"/>
        <v>34446.5</v>
      </c>
      <c r="AX42" s="580">
        <f t="shared" si="35"/>
        <v>33277.599999999999</v>
      </c>
      <c r="AY42" s="580">
        <f t="shared" si="35"/>
        <v>33413.800000000003</v>
      </c>
      <c r="AZ42" s="580">
        <f t="shared" si="35"/>
        <v>38664.499999999993</v>
      </c>
      <c r="BA42" s="580">
        <f t="shared" si="35"/>
        <v>42098.9</v>
      </c>
      <c r="BB42" s="580">
        <f t="shared" si="35"/>
        <v>40017.600000000006</v>
      </c>
      <c r="BC42" s="580">
        <f t="shared" si="35"/>
        <v>37308.500000000007</v>
      </c>
      <c r="BD42" s="580">
        <f t="shared" si="35"/>
        <v>39939.600000000006</v>
      </c>
      <c r="BE42" s="580">
        <f t="shared" si="35"/>
        <v>40571.9</v>
      </c>
      <c r="BF42" s="580">
        <f t="shared" si="35"/>
        <v>44009.600000000006</v>
      </c>
      <c r="BG42" s="580">
        <f t="shared" si="35"/>
        <v>39098.9</v>
      </c>
      <c r="BH42" s="580">
        <f t="shared" si="35"/>
        <v>39083.799999999996</v>
      </c>
      <c r="BI42" s="580">
        <f t="shared" si="35"/>
        <v>40035.700000000004</v>
      </c>
      <c r="BJ42" s="580">
        <f t="shared" si="35"/>
        <v>40915.800000000003</v>
      </c>
      <c r="BK42" s="580">
        <f t="shared" si="35"/>
        <v>39639.300000000003</v>
      </c>
      <c r="BL42" s="580">
        <f t="shared" ref="BL42:BQ42" si="36">BL43+BL47+BL66+BL69</f>
        <v>42600.5</v>
      </c>
      <c r="BM42" s="580">
        <f t="shared" si="36"/>
        <v>47689</v>
      </c>
      <c r="BN42" s="580">
        <f t="shared" si="36"/>
        <v>45093.3</v>
      </c>
      <c r="BO42" s="580">
        <f t="shared" si="36"/>
        <v>39069.600000000006</v>
      </c>
      <c r="BP42" s="580">
        <f t="shared" si="36"/>
        <v>44590.400000000009</v>
      </c>
      <c r="BQ42" s="580">
        <f t="shared" si="36"/>
        <v>47632.100000000006</v>
      </c>
      <c r="BR42" s="580">
        <f t="shared" ref="BR42:BS42" si="37">BR43+BR47+BR66+BR69</f>
        <v>43762</v>
      </c>
      <c r="BS42" s="580">
        <f t="shared" si="37"/>
        <v>42061.3</v>
      </c>
      <c r="BT42" s="580">
        <f t="shared" ref="BT42:BU42" si="38">BT43+BT47+BT66+BT69</f>
        <v>45716.2</v>
      </c>
      <c r="BU42" s="580">
        <f t="shared" si="38"/>
        <v>47583.899999999994</v>
      </c>
      <c r="BV42" s="580">
        <f t="shared" ref="BV42:BW42" si="39">BV43+BV47+BV66+BV69</f>
        <v>40229.800000000003</v>
      </c>
      <c r="BW42" s="580">
        <f t="shared" si="39"/>
        <v>39913.399999999994</v>
      </c>
    </row>
    <row r="43" spans="1:75" s="245" customFormat="1">
      <c r="B43" s="243" t="s">
        <v>821</v>
      </c>
      <c r="C43" s="243" t="s">
        <v>822</v>
      </c>
      <c r="F43" s="245">
        <f t="shared" ref="F43:AD43" si="40">SUM(F44:F46)</f>
        <v>0</v>
      </c>
      <c r="G43" s="245">
        <f t="shared" si="40"/>
        <v>0</v>
      </c>
      <c r="H43" s="245">
        <f t="shared" si="40"/>
        <v>0</v>
      </c>
      <c r="I43" s="245">
        <f t="shared" si="40"/>
        <v>0</v>
      </c>
      <c r="J43" s="245">
        <f t="shared" si="40"/>
        <v>0</v>
      </c>
      <c r="K43" s="245">
        <f t="shared" si="40"/>
        <v>0</v>
      </c>
      <c r="M43" s="245">
        <f t="shared" si="40"/>
        <v>26883.081000000002</v>
      </c>
      <c r="N43" s="245">
        <f t="shared" si="40"/>
        <v>31992.219000000001</v>
      </c>
      <c r="O43" s="245">
        <f t="shared" si="40"/>
        <v>41020.847000000002</v>
      </c>
      <c r="P43" s="245">
        <f t="shared" si="40"/>
        <v>53246.000000000007</v>
      </c>
      <c r="Q43" s="245">
        <f t="shared" si="40"/>
        <v>69010.099999999991</v>
      </c>
      <c r="R43" s="245">
        <f t="shared" si="40"/>
        <v>66192.899999999994</v>
      </c>
      <c r="S43" s="245">
        <f t="shared" si="40"/>
        <v>64615.7</v>
      </c>
      <c r="T43" s="245">
        <f t="shared" si="40"/>
        <v>80704.400000000009</v>
      </c>
      <c r="U43" s="245">
        <f t="shared" si="40"/>
        <v>117988.1</v>
      </c>
      <c r="V43" s="245">
        <f t="shared" si="40"/>
        <v>141025.4</v>
      </c>
      <c r="W43" s="245">
        <f t="shared" si="40"/>
        <v>144065.69999999998</v>
      </c>
      <c r="X43" s="245">
        <f t="shared" si="40"/>
        <v>138766.70000000001</v>
      </c>
      <c r="Y43" s="245">
        <f t="shared" si="40"/>
        <v>148498</v>
      </c>
      <c r="Z43" s="245">
        <f>SUM(Z44:Z46)</f>
        <v>150568.6</v>
      </c>
      <c r="AA43" s="245">
        <f>SUM(AA44:AA46)</f>
        <v>146241.50000000003</v>
      </c>
      <c r="AB43" s="245">
        <f>SUM(AB44:AB46)</f>
        <v>178669.63128951236</v>
      </c>
      <c r="AC43" s="245">
        <f t="shared" si="40"/>
        <v>207507.17834495608</v>
      </c>
      <c r="AD43" s="245">
        <f t="shared" si="40"/>
        <v>243406.59036019136</v>
      </c>
      <c r="AF43" s="580">
        <f>SUM(AF44:AF46)</f>
        <v>15543.9</v>
      </c>
      <c r="AG43" s="580">
        <f t="shared" ref="AG43:BK43" si="41">SUM(AG44:AG46)</f>
        <v>17691.800000000003</v>
      </c>
      <c r="AH43" s="580">
        <f t="shared" si="41"/>
        <v>18855.8</v>
      </c>
      <c r="AI43" s="580">
        <f t="shared" si="41"/>
        <v>16918.600000000002</v>
      </c>
      <c r="AJ43" s="580">
        <f t="shared" si="41"/>
        <v>15260.2</v>
      </c>
      <c r="AK43" s="580">
        <f t="shared" si="41"/>
        <v>17066.7</v>
      </c>
      <c r="AL43" s="580">
        <f t="shared" si="41"/>
        <v>18636.5</v>
      </c>
      <c r="AM43" s="580">
        <f t="shared" si="41"/>
        <v>15240.3</v>
      </c>
      <c r="AN43" s="580">
        <f t="shared" si="41"/>
        <v>17454.3</v>
      </c>
      <c r="AO43" s="580">
        <f t="shared" si="41"/>
        <v>19015.3</v>
      </c>
      <c r="AP43" s="580">
        <f t="shared" si="41"/>
        <v>15162.100000000002</v>
      </c>
      <c r="AQ43" s="580">
        <f t="shared" si="41"/>
        <v>12951.5</v>
      </c>
      <c r="AR43" s="580">
        <f t="shared" si="41"/>
        <v>15470.199999999999</v>
      </c>
      <c r="AS43" s="580">
        <f t="shared" si="41"/>
        <v>19124</v>
      </c>
      <c r="AT43" s="580">
        <f t="shared" si="41"/>
        <v>22566.6</v>
      </c>
      <c r="AU43" s="580">
        <f t="shared" si="41"/>
        <v>23543.599999999999</v>
      </c>
      <c r="AV43" s="580">
        <f t="shared" si="41"/>
        <v>27681.800000000003</v>
      </c>
      <c r="AW43" s="580">
        <f t="shared" si="41"/>
        <v>30711.9</v>
      </c>
      <c r="AX43" s="580">
        <f t="shared" si="41"/>
        <v>29826</v>
      </c>
      <c r="AY43" s="580">
        <f t="shared" si="41"/>
        <v>29768.400000000001</v>
      </c>
      <c r="AZ43" s="580">
        <f t="shared" si="41"/>
        <v>34658.799999999996</v>
      </c>
      <c r="BA43" s="580">
        <f t="shared" si="41"/>
        <v>37615.599999999999</v>
      </c>
      <c r="BB43" s="580">
        <f t="shared" si="41"/>
        <v>35636.100000000006</v>
      </c>
      <c r="BC43" s="580">
        <f t="shared" si="41"/>
        <v>33126.100000000006</v>
      </c>
      <c r="BD43" s="580">
        <f t="shared" si="41"/>
        <v>35080.400000000001</v>
      </c>
      <c r="BE43" s="580">
        <f t="shared" si="41"/>
        <v>35686.300000000003</v>
      </c>
      <c r="BF43" s="580">
        <f t="shared" si="41"/>
        <v>39210.700000000004</v>
      </c>
      <c r="BG43" s="580">
        <f t="shared" si="41"/>
        <v>34088.300000000003</v>
      </c>
      <c r="BH43" s="580">
        <f t="shared" si="41"/>
        <v>34066.6</v>
      </c>
      <c r="BI43" s="580">
        <f t="shared" si="41"/>
        <v>34685.700000000004</v>
      </c>
      <c r="BJ43" s="580">
        <f t="shared" si="41"/>
        <v>35662.700000000004</v>
      </c>
      <c r="BK43" s="580">
        <f t="shared" si="41"/>
        <v>34351.700000000004</v>
      </c>
      <c r="BL43" s="580">
        <f t="shared" ref="BL43:BQ43" si="42">SUM(BL44:BL46)</f>
        <v>36802.199999999997</v>
      </c>
      <c r="BM43" s="580">
        <f t="shared" si="42"/>
        <v>41100.5</v>
      </c>
      <c r="BN43" s="580">
        <f t="shared" si="42"/>
        <v>38619.800000000003</v>
      </c>
      <c r="BO43" s="580">
        <f t="shared" si="42"/>
        <v>31975.500000000004</v>
      </c>
      <c r="BP43" s="580">
        <f t="shared" si="42"/>
        <v>37727.500000000007</v>
      </c>
      <c r="BQ43" s="580">
        <f t="shared" si="42"/>
        <v>40550.800000000003</v>
      </c>
      <c r="BR43" s="580">
        <f t="shared" ref="BR43:BS43" si="43">SUM(BR44:BR46)</f>
        <v>36957.700000000004</v>
      </c>
      <c r="BS43" s="580">
        <f t="shared" si="43"/>
        <v>35332.600000000006</v>
      </c>
      <c r="BT43" s="580">
        <f t="shared" ref="BT43:BU43" si="44">SUM(BT44:BT46)</f>
        <v>38627.699999999997</v>
      </c>
      <c r="BU43" s="580">
        <f t="shared" si="44"/>
        <v>40570.599999999991</v>
      </c>
      <c r="BV43" s="580">
        <f t="shared" ref="BV43:BW43" si="45">SUM(BV44:BV46)</f>
        <v>33840.5</v>
      </c>
      <c r="BW43" s="580">
        <f t="shared" si="45"/>
        <v>33202.699999999997</v>
      </c>
    </row>
    <row r="44" spans="1:75" s="240" customFormat="1">
      <c r="B44" s="209" t="s">
        <v>823</v>
      </c>
      <c r="C44" s="209" t="s">
        <v>824</v>
      </c>
      <c r="F44" s="251"/>
      <c r="G44" s="251"/>
      <c r="H44" s="251"/>
      <c r="I44" s="251"/>
      <c r="J44" s="251"/>
      <c r="K44" s="251"/>
      <c r="L44" s="251"/>
      <c r="M44" s="251">
        <f>+'Inc Stmt'!C10</f>
        <v>26883.081000000002</v>
      </c>
      <c r="N44" s="251">
        <f>+'Inc Stmt'!D10</f>
        <v>31992.219000000001</v>
      </c>
      <c r="O44" s="251">
        <f>+'Inc Stmt'!E10</f>
        <v>41020.847000000002</v>
      </c>
      <c r="P44" s="251">
        <f>+'Inc Stmt'!F10</f>
        <v>53246.000000000007</v>
      </c>
      <c r="Q44" s="251">
        <f>+'Inc Stmt'!G10</f>
        <v>69010.099999999991</v>
      </c>
      <c r="R44" s="251">
        <f>+'Inc Stmt'!H10</f>
        <v>66192.899999999994</v>
      </c>
      <c r="S44" s="251">
        <f>+'Inc Stmt'!I10</f>
        <v>64615.7</v>
      </c>
      <c r="T44" s="251">
        <f>+'Inc Stmt'!J10</f>
        <v>80704.400000000009</v>
      </c>
      <c r="U44" s="251">
        <f>+'Inc Stmt'!K10</f>
        <v>117988.1</v>
      </c>
      <c r="V44" s="251">
        <f>+'Inc Stmt'!L10</f>
        <v>141025.4</v>
      </c>
      <c r="W44" s="251">
        <f>+'Inc Stmt'!M10</f>
        <v>144065.69999999998</v>
      </c>
      <c r="X44" s="251">
        <f>+'Inc Stmt'!N10</f>
        <v>138766.70000000001</v>
      </c>
      <c r="Y44" s="251">
        <f>+'Inc Stmt'!O10</f>
        <v>148498</v>
      </c>
      <c r="Z44" s="251">
        <f>+'Inc Stmt'!P10</f>
        <v>150568.6</v>
      </c>
      <c r="AA44" s="251">
        <f>+'Inc Stmt'!Q10</f>
        <v>146241.50000000003</v>
      </c>
      <c r="AB44" s="251">
        <f>+'Inc Stmt'!R10</f>
        <v>178669.63128951236</v>
      </c>
      <c r="AC44" s="251">
        <f>+'Inc Stmt'!S10</f>
        <v>207507.17834495608</v>
      </c>
      <c r="AD44" s="251">
        <f>+'Inc Stmt'!T10</f>
        <v>243406.59036019136</v>
      </c>
      <c r="AF44" s="579">
        <f>Quarterly!C18</f>
        <v>15543.9</v>
      </c>
      <c r="AG44" s="579">
        <f>Quarterly!D18</f>
        <v>17691.800000000003</v>
      </c>
      <c r="AH44" s="579">
        <f>Quarterly!E18</f>
        <v>18855.8</v>
      </c>
      <c r="AI44" s="579">
        <f>Quarterly!F18</f>
        <v>16918.600000000002</v>
      </c>
      <c r="AJ44" s="579">
        <f>Quarterly!G18</f>
        <v>15260.2</v>
      </c>
      <c r="AK44" s="579">
        <f>Quarterly!H18</f>
        <v>17066.7</v>
      </c>
      <c r="AL44" s="579">
        <f>Quarterly!I18</f>
        <v>18636.5</v>
      </c>
      <c r="AM44" s="579">
        <f>Quarterly!J18</f>
        <v>15240.3</v>
      </c>
      <c r="AN44" s="579">
        <f>Quarterly!K18</f>
        <v>17454.3</v>
      </c>
      <c r="AO44" s="579">
        <f>Quarterly!L18</f>
        <v>19015.3</v>
      </c>
      <c r="AP44" s="579">
        <f>Quarterly!M18</f>
        <v>15162.100000000002</v>
      </c>
      <c r="AQ44" s="579">
        <f>Quarterly!N18</f>
        <v>12951.5</v>
      </c>
      <c r="AR44" s="579">
        <f>Quarterly!O18</f>
        <v>15470.199999999999</v>
      </c>
      <c r="AS44" s="579">
        <f>Quarterly!P18</f>
        <v>19124</v>
      </c>
      <c r="AT44" s="579">
        <f>Quarterly!Q18</f>
        <v>22566.6</v>
      </c>
      <c r="AU44" s="579">
        <f>Quarterly!R18</f>
        <v>23543.599999999999</v>
      </c>
      <c r="AV44" s="579">
        <f>Quarterly!S18</f>
        <v>27681.800000000003</v>
      </c>
      <c r="AW44" s="579">
        <f>Quarterly!T18</f>
        <v>30711.9</v>
      </c>
      <c r="AX44" s="579">
        <f>Quarterly!U18</f>
        <v>29826</v>
      </c>
      <c r="AY44" s="579">
        <f>Quarterly!V18</f>
        <v>29768.400000000001</v>
      </c>
      <c r="AZ44" s="579">
        <f>Quarterly!W18</f>
        <v>34658.799999999996</v>
      </c>
      <c r="BA44" s="579">
        <f>Quarterly!X18</f>
        <v>37615.599999999999</v>
      </c>
      <c r="BB44" s="579">
        <f>Quarterly!Y18</f>
        <v>35636.100000000006</v>
      </c>
      <c r="BC44" s="579">
        <f>Quarterly!Z18</f>
        <v>33126.100000000006</v>
      </c>
      <c r="BD44" s="579">
        <f>Quarterly!AA18</f>
        <v>35080.400000000001</v>
      </c>
      <c r="BE44" s="579">
        <f>Quarterly!AB18</f>
        <v>35686.300000000003</v>
      </c>
      <c r="BF44" s="579">
        <f>Quarterly!AC18</f>
        <v>39210.700000000004</v>
      </c>
      <c r="BG44" s="579">
        <f>Quarterly!AD18</f>
        <v>34088.300000000003</v>
      </c>
      <c r="BH44" s="579">
        <f>Quarterly!AE18</f>
        <v>34066.6</v>
      </c>
      <c r="BI44" s="579">
        <f>Quarterly!AF18</f>
        <v>34685.700000000004</v>
      </c>
      <c r="BJ44" s="579">
        <f>Quarterly!AG18</f>
        <v>35662.700000000004</v>
      </c>
      <c r="BK44" s="579">
        <f>Quarterly!AH18</f>
        <v>34351.700000000004</v>
      </c>
      <c r="BL44" s="579">
        <f>Quarterly!AI18</f>
        <v>36802.199999999997</v>
      </c>
      <c r="BM44" s="579">
        <f>Quarterly!AJ18</f>
        <v>41100.5</v>
      </c>
      <c r="BN44" s="579">
        <f>Quarterly!AK18</f>
        <v>38619.800000000003</v>
      </c>
      <c r="BO44" s="579">
        <f>Quarterly!AL18</f>
        <v>31975.500000000004</v>
      </c>
      <c r="BP44" s="579">
        <f>Quarterly!AM18</f>
        <v>37727.500000000007</v>
      </c>
      <c r="BQ44" s="579">
        <f>Quarterly!AN18</f>
        <v>40550.800000000003</v>
      </c>
      <c r="BR44" s="579">
        <f>Quarterly!AO18</f>
        <v>36957.700000000004</v>
      </c>
      <c r="BS44" s="579">
        <f>Quarterly!AP18</f>
        <v>35332.600000000006</v>
      </c>
      <c r="BT44" s="579">
        <f>Quarterly!AQ18</f>
        <v>38627.699999999997</v>
      </c>
      <c r="BU44" s="579">
        <f>Quarterly!AR18</f>
        <v>40570.599999999991</v>
      </c>
      <c r="BV44" s="579">
        <f>Quarterly!AS18</f>
        <v>33840.5</v>
      </c>
      <c r="BW44" s="579">
        <f>Quarterly!AT18</f>
        <v>33202.699999999997</v>
      </c>
    </row>
    <row r="45" spans="1:75" s="240" customFormat="1">
      <c r="B45" s="209" t="s">
        <v>825</v>
      </c>
      <c r="C45" s="209" t="s">
        <v>826</v>
      </c>
      <c r="F45" s="251"/>
      <c r="G45" s="251"/>
      <c r="H45" s="251"/>
      <c r="I45" s="251"/>
      <c r="J45" s="251"/>
      <c r="K45" s="251"/>
      <c r="L45" s="251"/>
      <c r="M45" s="251"/>
      <c r="N45" s="251"/>
      <c r="O45" s="251"/>
      <c r="P45" s="251"/>
      <c r="Q45" s="251"/>
      <c r="R45" s="251"/>
      <c r="S45" s="251"/>
      <c r="T45" s="251"/>
      <c r="U45" s="251"/>
      <c r="V45" s="251"/>
      <c r="W45" s="251"/>
      <c r="X45" s="251"/>
      <c r="Y45" s="251"/>
      <c r="Z45" s="251"/>
      <c r="AA45" s="251"/>
      <c r="AB45" s="251"/>
      <c r="AC45" s="251"/>
      <c r="AD45" s="251"/>
      <c r="AF45" s="579"/>
      <c r="AG45" s="579"/>
      <c r="AH45" s="579"/>
      <c r="AI45" s="579"/>
      <c r="AJ45" s="579"/>
      <c r="AK45" s="579"/>
      <c r="AL45" s="579"/>
      <c r="AM45" s="579"/>
      <c r="AN45" s="579"/>
      <c r="AO45" s="579"/>
      <c r="AP45" s="579"/>
      <c r="AQ45" s="579"/>
      <c r="AR45" s="579"/>
      <c r="AS45" s="579"/>
      <c r="AT45" s="579"/>
      <c r="AU45" s="579"/>
      <c r="AV45" s="579"/>
      <c r="AW45" s="579"/>
      <c r="AX45" s="579"/>
      <c r="AY45" s="579"/>
      <c r="AZ45" s="579"/>
      <c r="BA45" s="579"/>
      <c r="BB45" s="579"/>
      <c r="BC45" s="579"/>
      <c r="BD45" s="579"/>
      <c r="BE45" s="579"/>
      <c r="BF45" s="579"/>
      <c r="BG45" s="579"/>
      <c r="BH45" s="579"/>
      <c r="BI45" s="579"/>
      <c r="BJ45" s="579"/>
      <c r="BK45" s="579"/>
      <c r="BL45" s="579"/>
      <c r="BM45" s="579"/>
      <c r="BN45" s="579"/>
      <c r="BO45" s="579"/>
      <c r="BP45" s="579"/>
      <c r="BQ45" s="579"/>
      <c r="BR45" s="579"/>
      <c r="BS45" s="579"/>
      <c r="BT45" s="579"/>
      <c r="BU45" s="579"/>
      <c r="BV45" s="579"/>
      <c r="BW45" s="579"/>
    </row>
    <row r="46" spans="1:75" s="240" customFormat="1">
      <c r="B46" s="209" t="s">
        <v>830</v>
      </c>
      <c r="C46" s="209" t="s">
        <v>831</v>
      </c>
      <c r="F46" s="251"/>
      <c r="G46" s="251"/>
      <c r="H46" s="251"/>
      <c r="I46" s="251"/>
      <c r="J46" s="251"/>
      <c r="K46" s="251"/>
      <c r="L46" s="251"/>
      <c r="M46" s="251"/>
      <c r="N46" s="251"/>
      <c r="O46" s="251"/>
      <c r="P46" s="251"/>
      <c r="Q46" s="251"/>
      <c r="R46" s="251"/>
      <c r="S46" s="251"/>
      <c r="T46" s="251"/>
      <c r="U46" s="251"/>
      <c r="V46" s="251"/>
      <c r="W46" s="251"/>
      <c r="X46" s="251"/>
      <c r="Y46" s="251"/>
      <c r="Z46" s="251"/>
      <c r="AA46" s="251"/>
      <c r="AB46" s="251"/>
      <c r="AC46" s="251"/>
      <c r="AD46" s="251"/>
      <c r="AF46" s="579"/>
      <c r="AG46" s="579"/>
      <c r="AH46" s="579"/>
      <c r="AI46" s="579"/>
      <c r="AJ46" s="579"/>
      <c r="AK46" s="579"/>
      <c r="AL46" s="579"/>
      <c r="AM46" s="579"/>
      <c r="AN46" s="579"/>
      <c r="AO46" s="579"/>
      <c r="AP46" s="579"/>
      <c r="AQ46" s="579"/>
      <c r="AR46" s="579"/>
      <c r="AS46" s="579"/>
      <c r="AT46" s="579"/>
      <c r="AU46" s="579"/>
      <c r="AV46" s="579"/>
      <c r="AW46" s="579"/>
      <c r="AX46" s="579"/>
      <c r="AY46" s="579"/>
      <c r="AZ46" s="579"/>
      <c r="BA46" s="579"/>
      <c r="BB46" s="579"/>
      <c r="BC46" s="579"/>
      <c r="BD46" s="579"/>
      <c r="BE46" s="579"/>
      <c r="BF46" s="579"/>
      <c r="BG46" s="579"/>
      <c r="BH46" s="579"/>
      <c r="BI46" s="579"/>
      <c r="BJ46" s="579"/>
      <c r="BK46" s="579"/>
      <c r="BL46" s="579"/>
      <c r="BM46" s="579"/>
      <c r="BN46" s="579"/>
      <c r="BO46" s="579"/>
      <c r="BP46" s="579"/>
      <c r="BQ46" s="579"/>
      <c r="BR46" s="579"/>
      <c r="BS46" s="579"/>
      <c r="BT46" s="579"/>
      <c r="BU46" s="579"/>
      <c r="BV46" s="579"/>
      <c r="BW46" s="579"/>
    </row>
    <row r="47" spans="1:75" s="245" customFormat="1">
      <c r="B47" s="243" t="s">
        <v>832</v>
      </c>
      <c r="C47" s="243" t="s">
        <v>833</v>
      </c>
      <c r="F47" s="245">
        <f t="shared" ref="F47:AD47" si="46">SUM(F48:F65)</f>
        <v>0</v>
      </c>
      <c r="G47" s="245">
        <f t="shared" si="46"/>
        <v>0</v>
      </c>
      <c r="H47" s="245">
        <f t="shared" si="46"/>
        <v>0</v>
      </c>
      <c r="I47" s="245">
        <f t="shared" si="46"/>
        <v>0</v>
      </c>
      <c r="J47" s="245">
        <f t="shared" si="46"/>
        <v>0</v>
      </c>
      <c r="K47" s="245">
        <f t="shared" si="46"/>
        <v>0</v>
      </c>
      <c r="M47" s="245">
        <f t="shared" si="46"/>
        <v>8321.0079999999998</v>
      </c>
      <c r="N47" s="245">
        <f t="shared" si="46"/>
        <v>8647.5689999999995</v>
      </c>
      <c r="O47" s="245">
        <f t="shared" si="46"/>
        <v>9115.9839999999986</v>
      </c>
      <c r="P47" s="245">
        <f t="shared" si="46"/>
        <v>9870.2999999999993</v>
      </c>
      <c r="Q47" s="245">
        <f t="shared" si="46"/>
        <v>12024.3</v>
      </c>
      <c r="R47" s="245">
        <f t="shared" si="46"/>
        <v>11682</v>
      </c>
      <c r="S47" s="245">
        <f t="shared" si="46"/>
        <v>12289.3</v>
      </c>
      <c r="T47" s="245">
        <f t="shared" si="46"/>
        <v>12579.8</v>
      </c>
      <c r="U47" s="245">
        <f t="shared" si="46"/>
        <v>14252</v>
      </c>
      <c r="V47" s="245">
        <f t="shared" si="46"/>
        <v>17064.5</v>
      </c>
      <c r="W47" s="245">
        <f t="shared" si="46"/>
        <v>19526.3</v>
      </c>
      <c r="X47" s="245">
        <f t="shared" si="46"/>
        <v>20265.100000000002</v>
      </c>
      <c r="Y47" s="245">
        <f t="shared" si="46"/>
        <v>25954.399999999998</v>
      </c>
      <c r="Z47" s="245">
        <f>SUM(Z48:Z65)</f>
        <v>27477.200000000001</v>
      </c>
      <c r="AA47" s="245">
        <f>SUM(AA48:AA65)</f>
        <v>27201.8</v>
      </c>
      <c r="AB47" s="245">
        <f>SUM(AB48:AB65)</f>
        <v>31716.646551069098</v>
      </c>
      <c r="AC47" s="245">
        <f t="shared" si="46"/>
        <v>35849.834758155965</v>
      </c>
      <c r="AD47" s="245">
        <f t="shared" si="46"/>
        <v>42108.98688073174</v>
      </c>
      <c r="AF47" s="580">
        <f>SUM(AF48:AF65)</f>
        <v>2875.8</v>
      </c>
      <c r="AG47" s="580">
        <f t="shared" ref="AG47:BK47" si="47">SUM(AG48:AG65)</f>
        <v>3016</v>
      </c>
      <c r="AH47" s="580">
        <f t="shared" si="47"/>
        <v>3190.2999999999997</v>
      </c>
      <c r="AI47" s="580">
        <f t="shared" si="47"/>
        <v>2954</v>
      </c>
      <c r="AJ47" s="580">
        <f t="shared" si="47"/>
        <v>3077.3</v>
      </c>
      <c r="AK47" s="580">
        <f t="shared" si="47"/>
        <v>2771</v>
      </c>
      <c r="AL47" s="580">
        <f t="shared" si="47"/>
        <v>2706.2</v>
      </c>
      <c r="AM47" s="580">
        <f t="shared" si="47"/>
        <v>2888.5</v>
      </c>
      <c r="AN47" s="580">
        <f t="shared" si="47"/>
        <v>2985.5</v>
      </c>
      <c r="AO47" s="580">
        <f t="shared" si="47"/>
        <v>3030.7999999999997</v>
      </c>
      <c r="AP47" s="580">
        <f t="shared" si="47"/>
        <v>2810.5</v>
      </c>
      <c r="AQ47" s="580">
        <f t="shared" si="47"/>
        <v>2854.2000000000003</v>
      </c>
      <c r="AR47" s="580">
        <f t="shared" si="47"/>
        <v>3360.2999999999997</v>
      </c>
      <c r="AS47" s="580">
        <f t="shared" si="47"/>
        <v>3386</v>
      </c>
      <c r="AT47" s="580">
        <f t="shared" si="47"/>
        <v>3153.6000000000004</v>
      </c>
      <c r="AU47" s="580">
        <f t="shared" si="47"/>
        <v>2679.9</v>
      </c>
      <c r="AV47" s="580">
        <f t="shared" si="47"/>
        <v>3449.5</v>
      </c>
      <c r="AW47" s="580">
        <f t="shared" si="47"/>
        <v>3734.6000000000004</v>
      </c>
      <c r="AX47" s="580">
        <f t="shared" si="47"/>
        <v>3451.6</v>
      </c>
      <c r="AY47" s="580">
        <f t="shared" si="47"/>
        <v>3645.4</v>
      </c>
      <c r="AZ47" s="580">
        <f t="shared" si="47"/>
        <v>4005.7000000000003</v>
      </c>
      <c r="BA47" s="580">
        <f t="shared" si="47"/>
        <v>4483.3</v>
      </c>
      <c r="BB47" s="580">
        <f t="shared" si="47"/>
        <v>4381.5</v>
      </c>
      <c r="BC47" s="580">
        <f t="shared" si="47"/>
        <v>4182.3999999999996</v>
      </c>
      <c r="BD47" s="580">
        <f t="shared" si="47"/>
        <v>4859.2000000000007</v>
      </c>
      <c r="BE47" s="580">
        <f t="shared" si="47"/>
        <v>4885.5999999999995</v>
      </c>
      <c r="BF47" s="580">
        <f t="shared" si="47"/>
        <v>4798.8999999999996</v>
      </c>
      <c r="BG47" s="580">
        <f t="shared" si="47"/>
        <v>5010.6000000000004</v>
      </c>
      <c r="BH47" s="580">
        <f t="shared" si="47"/>
        <v>5017.2</v>
      </c>
      <c r="BI47" s="580">
        <f t="shared" si="47"/>
        <v>5350</v>
      </c>
      <c r="BJ47" s="580">
        <f t="shared" si="47"/>
        <v>5253.1</v>
      </c>
      <c r="BK47" s="580">
        <f t="shared" si="47"/>
        <v>5287.6</v>
      </c>
      <c r="BL47" s="580">
        <f t="shared" ref="BL47:BQ47" si="48">SUM(BL48:BL65)</f>
        <v>5798.3</v>
      </c>
      <c r="BM47" s="580">
        <f t="shared" si="48"/>
        <v>6588.5</v>
      </c>
      <c r="BN47" s="580">
        <f t="shared" si="48"/>
        <v>6473.5</v>
      </c>
      <c r="BO47" s="580">
        <f t="shared" si="48"/>
        <v>7094.1</v>
      </c>
      <c r="BP47" s="580">
        <f t="shared" si="48"/>
        <v>6862.9</v>
      </c>
      <c r="BQ47" s="580">
        <f t="shared" si="48"/>
        <v>7081.3</v>
      </c>
      <c r="BR47" s="580">
        <f t="shared" ref="BR47:BS47" si="49">SUM(BR48:BR65)</f>
        <v>6804.2999999999993</v>
      </c>
      <c r="BS47" s="580">
        <f t="shared" si="49"/>
        <v>6728.7</v>
      </c>
      <c r="BT47" s="580">
        <f t="shared" ref="BT47:BU47" si="50">SUM(BT48:BT65)</f>
        <v>7088.5</v>
      </c>
      <c r="BU47" s="580">
        <f t="shared" si="50"/>
        <v>7013.3</v>
      </c>
      <c r="BV47" s="580">
        <f t="shared" ref="BV47:BW47" si="51">SUM(BV48:BV65)</f>
        <v>6389.3</v>
      </c>
      <c r="BW47" s="580">
        <f t="shared" si="51"/>
        <v>6710.7</v>
      </c>
    </row>
    <row r="48" spans="1:75" s="240" customFormat="1">
      <c r="B48" s="209" t="s">
        <v>834</v>
      </c>
      <c r="C48" s="209" t="s">
        <v>835</v>
      </c>
      <c r="F48" s="251"/>
      <c r="G48" s="251"/>
      <c r="H48" s="251"/>
      <c r="I48" s="251"/>
      <c r="J48" s="251"/>
      <c r="K48" s="251"/>
      <c r="L48" s="251"/>
      <c r="M48" s="251"/>
      <c r="N48" s="251"/>
      <c r="O48" s="251"/>
      <c r="P48" s="251"/>
      <c r="Q48" s="251"/>
      <c r="R48" s="251"/>
      <c r="S48" s="251"/>
      <c r="T48" s="251"/>
      <c r="U48" s="251"/>
      <c r="V48" s="251"/>
      <c r="W48" s="251"/>
      <c r="X48" s="251"/>
      <c r="Y48" s="251"/>
      <c r="Z48" s="251"/>
      <c r="AA48" s="251"/>
      <c r="AB48" s="251"/>
      <c r="AC48" s="251"/>
      <c r="AD48" s="251"/>
      <c r="AF48" s="579"/>
      <c r="AG48" s="579"/>
      <c r="AH48" s="579"/>
      <c r="AI48" s="579"/>
      <c r="AJ48" s="579"/>
      <c r="AK48" s="579"/>
      <c r="AL48" s="579"/>
      <c r="AM48" s="579"/>
      <c r="AN48" s="579"/>
      <c r="AO48" s="579"/>
      <c r="AP48" s="579"/>
      <c r="AQ48" s="579"/>
      <c r="AR48" s="579"/>
      <c r="AS48" s="579"/>
      <c r="AT48" s="579"/>
      <c r="AU48" s="579"/>
      <c r="AV48" s="579"/>
      <c r="AW48" s="579"/>
      <c r="AX48" s="579"/>
      <c r="AY48" s="579"/>
      <c r="AZ48" s="579"/>
      <c r="BA48" s="579"/>
      <c r="BB48" s="579"/>
      <c r="BC48" s="579"/>
      <c r="BD48" s="579"/>
      <c r="BE48" s="579"/>
      <c r="BF48" s="579"/>
      <c r="BG48" s="579"/>
      <c r="BH48" s="579"/>
      <c r="BI48" s="579"/>
      <c r="BJ48" s="579"/>
      <c r="BK48" s="579"/>
      <c r="BL48" s="579"/>
      <c r="BM48" s="579"/>
      <c r="BN48" s="579"/>
      <c r="BO48" s="579"/>
      <c r="BP48" s="579"/>
      <c r="BQ48" s="579"/>
      <c r="BR48" s="579"/>
      <c r="BS48" s="579"/>
      <c r="BT48" s="579"/>
      <c r="BU48" s="579"/>
      <c r="BV48" s="579"/>
      <c r="BW48" s="579"/>
    </row>
    <row r="49" spans="2:75" s="240" customFormat="1">
      <c r="B49" s="209" t="s">
        <v>836</v>
      </c>
      <c r="C49" s="209" t="s">
        <v>837</v>
      </c>
      <c r="F49" s="251"/>
      <c r="G49" s="251"/>
      <c r="H49" s="251"/>
      <c r="I49" s="251"/>
      <c r="J49" s="251"/>
      <c r="K49" s="251"/>
      <c r="L49" s="251"/>
      <c r="M49" s="251"/>
      <c r="N49" s="251"/>
      <c r="O49" s="251"/>
      <c r="P49" s="251"/>
      <c r="Q49" s="251"/>
      <c r="R49" s="251"/>
      <c r="S49" s="251"/>
      <c r="T49" s="251"/>
      <c r="U49" s="251"/>
      <c r="V49" s="251"/>
      <c r="W49" s="251"/>
      <c r="X49" s="251"/>
      <c r="Y49" s="251"/>
      <c r="Z49" s="251"/>
      <c r="AA49" s="251"/>
      <c r="AB49" s="251"/>
      <c r="AC49" s="251"/>
      <c r="AD49" s="251"/>
      <c r="AF49" s="579"/>
      <c r="AG49" s="579"/>
      <c r="AH49" s="579"/>
      <c r="AI49" s="579"/>
      <c r="AJ49" s="579"/>
      <c r="AK49" s="579"/>
      <c r="AL49" s="579"/>
      <c r="AM49" s="579"/>
      <c r="AN49" s="579"/>
      <c r="AO49" s="579"/>
      <c r="AP49" s="579"/>
      <c r="AQ49" s="579"/>
      <c r="AR49" s="579"/>
      <c r="AS49" s="579"/>
      <c r="AT49" s="579"/>
      <c r="AU49" s="579"/>
      <c r="AV49" s="579"/>
      <c r="AW49" s="579"/>
      <c r="AX49" s="579"/>
      <c r="AY49" s="579"/>
      <c r="AZ49" s="579"/>
      <c r="BA49" s="579"/>
      <c r="BB49" s="579"/>
      <c r="BC49" s="579"/>
      <c r="BD49" s="579"/>
      <c r="BE49" s="579"/>
      <c r="BF49" s="579"/>
      <c r="BG49" s="579"/>
      <c r="BH49" s="579"/>
      <c r="BI49" s="579"/>
      <c r="BJ49" s="579"/>
      <c r="BK49" s="579"/>
      <c r="BL49" s="579"/>
      <c r="BM49" s="579"/>
      <c r="BN49" s="579"/>
      <c r="BO49" s="579"/>
      <c r="BP49" s="579"/>
      <c r="BQ49" s="579"/>
      <c r="BR49" s="579"/>
      <c r="BS49" s="579"/>
      <c r="BT49" s="579"/>
      <c r="BU49" s="579"/>
      <c r="BV49" s="579"/>
      <c r="BW49" s="579"/>
    </row>
    <row r="50" spans="2:75" s="240" customFormat="1">
      <c r="B50" s="209" t="s">
        <v>838</v>
      </c>
      <c r="C50" s="209" t="s">
        <v>839</v>
      </c>
      <c r="F50" s="251"/>
      <c r="G50" s="251"/>
      <c r="H50" s="251"/>
      <c r="I50" s="251"/>
      <c r="J50" s="251"/>
      <c r="K50" s="251"/>
      <c r="L50" s="251"/>
      <c r="M50" s="251">
        <f>+'Inc Stmt'!C14</f>
        <v>2838.404</v>
      </c>
      <c r="N50" s="251">
        <f>+'Inc Stmt'!D14</f>
        <v>2405.3560000000002</v>
      </c>
      <c r="O50" s="251">
        <f>+'Inc Stmt'!E14</f>
        <v>2490.636</v>
      </c>
      <c r="P50" s="251">
        <f>+'Inc Stmt'!F14</f>
        <v>2741.3</v>
      </c>
      <c r="Q50" s="251">
        <f>+'Inc Stmt'!G14</f>
        <v>3015.2</v>
      </c>
      <c r="R50" s="251">
        <f>+'Inc Stmt'!H14</f>
        <v>3467.3</v>
      </c>
      <c r="S50" s="251">
        <f>+'Inc Stmt'!I14</f>
        <v>3600.9</v>
      </c>
      <c r="T50" s="251">
        <f>+'Inc Stmt'!J14</f>
        <v>3994.6</v>
      </c>
      <c r="U50" s="251">
        <f>+'Inc Stmt'!K14</f>
        <v>4767.8</v>
      </c>
      <c r="V50" s="251">
        <f>+'Inc Stmt'!L14</f>
        <v>5401.1</v>
      </c>
      <c r="W50" s="251">
        <f>+'Inc Stmt'!M14</f>
        <v>6394.8</v>
      </c>
      <c r="X50" s="251">
        <f>+'Inc Stmt'!N14</f>
        <v>7265.8</v>
      </c>
      <c r="Y50" s="251">
        <f>+'Inc Stmt'!O14</f>
        <v>8973</v>
      </c>
      <c r="Z50" s="251">
        <f>+'Inc Stmt'!P14</f>
        <v>9171.2000000000007</v>
      </c>
      <c r="AA50" s="251">
        <f>+'Inc Stmt'!Q14</f>
        <v>9970.7000000000007</v>
      </c>
      <c r="AB50" s="251">
        <f>+'Inc Stmt'!R14</f>
        <v>11566.012000000001</v>
      </c>
      <c r="AC50" s="251">
        <f>+'Inc Stmt'!S14</f>
        <v>13416.573919999999</v>
      </c>
      <c r="AD50" s="251">
        <f>+'Inc Stmt'!T14</f>
        <v>15563.225747199998</v>
      </c>
      <c r="AF50" s="579">
        <f>Quarterly!C27</f>
        <v>855.8</v>
      </c>
      <c r="AG50" s="579">
        <f>Quarterly!D27</f>
        <v>725.9</v>
      </c>
      <c r="AH50" s="579">
        <f>Quarterly!E27</f>
        <v>757.1</v>
      </c>
      <c r="AI50" s="579">
        <f>Quarterly!F27</f>
        <v>688.2</v>
      </c>
      <c r="AJ50" s="579">
        <f>Quarterly!G27</f>
        <v>986.7</v>
      </c>
      <c r="AK50" s="579">
        <f>Quarterly!H27</f>
        <v>735.2</v>
      </c>
      <c r="AL50" s="579">
        <f>Quarterly!I27</f>
        <v>845.9</v>
      </c>
      <c r="AM50" s="579">
        <f>Quarterly!J27</f>
        <v>863</v>
      </c>
      <c r="AN50" s="579">
        <f>Quarterly!K27</f>
        <v>1081.0999999999999</v>
      </c>
      <c r="AO50" s="579">
        <f>Quarterly!L27</f>
        <v>754.6</v>
      </c>
      <c r="AP50" s="579">
        <f>Quarterly!M27</f>
        <v>761.5</v>
      </c>
      <c r="AQ50" s="579">
        <f>Quarterly!N27</f>
        <v>946.4</v>
      </c>
      <c r="AR50" s="579">
        <f>Quarterly!O27</f>
        <v>1129.0999999999999</v>
      </c>
      <c r="AS50" s="579">
        <f>Quarterly!P27</f>
        <v>1073.8</v>
      </c>
      <c r="AT50" s="579">
        <f>Quarterly!Q27</f>
        <v>929.8</v>
      </c>
      <c r="AU50" s="579">
        <f>Quarterly!R27</f>
        <v>861.9</v>
      </c>
      <c r="AV50" s="579">
        <f>Quarterly!S27</f>
        <v>1263.9000000000001</v>
      </c>
      <c r="AW50" s="579">
        <f>Quarterly!T27</f>
        <v>1141.5</v>
      </c>
      <c r="AX50" s="579">
        <f>Quarterly!U27</f>
        <v>1066</v>
      </c>
      <c r="AY50" s="579">
        <f>Quarterly!V27</f>
        <v>1338.4</v>
      </c>
      <c r="AZ50" s="579">
        <f>Quarterly!W27</f>
        <v>1430.9</v>
      </c>
      <c r="BA50" s="579">
        <f>Quarterly!X27</f>
        <v>1310.8</v>
      </c>
      <c r="BB50" s="579">
        <f>Quarterly!Y27</f>
        <v>1320.4</v>
      </c>
      <c r="BC50" s="579">
        <f>Quarterly!Z27</f>
        <v>1195.5999999999999</v>
      </c>
      <c r="BD50" s="579">
        <f>Quarterly!AA27</f>
        <v>1604</v>
      </c>
      <c r="BE50" s="579">
        <f>Quarterly!AB27</f>
        <v>1532.2</v>
      </c>
      <c r="BF50" s="579">
        <f>Quarterly!AC27</f>
        <v>1592.3</v>
      </c>
      <c r="BG50" s="579">
        <f>Quarterly!AD27</f>
        <v>1666.3</v>
      </c>
      <c r="BH50" s="579">
        <f>Quarterly!AE27</f>
        <v>1836.5</v>
      </c>
      <c r="BI50" s="579">
        <f>Quarterly!AF27</f>
        <v>1833.8</v>
      </c>
      <c r="BJ50" s="579">
        <f>Quarterly!AG27</f>
        <v>1847.9</v>
      </c>
      <c r="BK50" s="579">
        <f>Quarterly!AH27</f>
        <v>1747.6</v>
      </c>
      <c r="BL50" s="579">
        <f>Quarterly!AI27</f>
        <v>2145.6999999999998</v>
      </c>
      <c r="BM50" s="579">
        <f>Quarterly!AJ27</f>
        <v>2102.4</v>
      </c>
      <c r="BN50" s="579">
        <f>Quarterly!AK27</f>
        <v>2139.1999999999998</v>
      </c>
      <c r="BO50" s="579">
        <f>Quarterly!AL27</f>
        <v>2585.6999999999998</v>
      </c>
      <c r="BP50" s="579">
        <f>Quarterly!AM27</f>
        <v>2434.1</v>
      </c>
      <c r="BQ50" s="579">
        <f>Quarterly!AN27</f>
        <v>2414</v>
      </c>
      <c r="BR50" s="579">
        <f>Quarterly!AO27</f>
        <v>2299.1</v>
      </c>
      <c r="BS50" s="579">
        <f>Quarterly!AP27</f>
        <v>2024</v>
      </c>
      <c r="BT50" s="579">
        <f>Quarterly!AQ27</f>
        <v>2683.1</v>
      </c>
      <c r="BU50" s="579">
        <f>Quarterly!AR27</f>
        <v>2587.1999999999998</v>
      </c>
      <c r="BV50" s="579">
        <f>Quarterly!AS27</f>
        <v>2427.1999999999998</v>
      </c>
      <c r="BW50" s="579">
        <f>Quarterly!AT27</f>
        <v>2273.1999999999998</v>
      </c>
    </row>
    <row r="51" spans="2:75" s="240" customFormat="1">
      <c r="B51" s="209" t="s">
        <v>840</v>
      </c>
      <c r="C51" s="209" t="s">
        <v>841</v>
      </c>
      <c r="F51" s="251"/>
      <c r="G51" s="251"/>
      <c r="H51" s="251"/>
      <c r="I51" s="251"/>
      <c r="J51" s="251"/>
      <c r="K51" s="251"/>
      <c r="L51" s="251"/>
      <c r="M51" s="251"/>
      <c r="N51" s="251"/>
      <c r="O51" s="251"/>
      <c r="P51" s="251"/>
      <c r="Q51" s="251"/>
      <c r="R51" s="251"/>
      <c r="S51" s="251"/>
      <c r="T51" s="251"/>
      <c r="U51" s="251"/>
      <c r="V51" s="251"/>
      <c r="W51" s="251"/>
      <c r="X51" s="251"/>
      <c r="Y51" s="251"/>
      <c r="Z51" s="251"/>
      <c r="AA51" s="251"/>
      <c r="AB51" s="251"/>
      <c r="AC51" s="251"/>
      <c r="AD51" s="251"/>
      <c r="AF51" s="579"/>
      <c r="AG51" s="579"/>
      <c r="AH51" s="579"/>
      <c r="AI51" s="579"/>
      <c r="AJ51" s="579"/>
      <c r="AK51" s="579"/>
      <c r="AL51" s="579"/>
      <c r="AM51" s="579"/>
      <c r="AN51" s="579"/>
      <c r="AO51" s="579"/>
      <c r="AP51" s="579"/>
      <c r="AQ51" s="579"/>
      <c r="AR51" s="579"/>
      <c r="AS51" s="579"/>
      <c r="AT51" s="579"/>
      <c r="AU51" s="579"/>
      <c r="AV51" s="579"/>
      <c r="AW51" s="579"/>
      <c r="AX51" s="579"/>
      <c r="AY51" s="579"/>
      <c r="AZ51" s="579"/>
      <c r="BA51" s="579"/>
      <c r="BB51" s="579"/>
      <c r="BC51" s="579"/>
      <c r="BD51" s="579"/>
      <c r="BE51" s="579"/>
      <c r="BF51" s="579"/>
      <c r="BG51" s="579"/>
      <c r="BH51" s="579"/>
      <c r="BI51" s="579"/>
      <c r="BJ51" s="579"/>
      <c r="BK51" s="579"/>
      <c r="BL51" s="579"/>
      <c r="BM51" s="579"/>
      <c r="BN51" s="579"/>
      <c r="BO51" s="579"/>
      <c r="BP51" s="579"/>
      <c r="BQ51" s="579"/>
      <c r="BR51" s="579"/>
      <c r="BS51" s="579"/>
      <c r="BT51" s="579"/>
      <c r="BU51" s="579"/>
      <c r="BV51" s="579"/>
      <c r="BW51" s="579"/>
    </row>
    <row r="52" spans="2:75" s="240" customFormat="1">
      <c r="B52" s="209" t="s">
        <v>842</v>
      </c>
      <c r="C52" s="209" t="s">
        <v>843</v>
      </c>
      <c r="F52" s="251"/>
      <c r="G52" s="251"/>
      <c r="H52" s="251"/>
      <c r="I52" s="251"/>
      <c r="J52" s="251"/>
      <c r="K52" s="251"/>
      <c r="L52" s="251"/>
      <c r="M52" s="251"/>
      <c r="N52" s="251"/>
      <c r="O52" s="251"/>
      <c r="P52" s="251"/>
      <c r="Q52" s="251"/>
      <c r="R52" s="251"/>
      <c r="S52" s="251"/>
      <c r="T52" s="251"/>
      <c r="U52" s="251"/>
      <c r="V52" s="251"/>
      <c r="W52" s="251"/>
      <c r="X52" s="251"/>
      <c r="Y52" s="251"/>
      <c r="Z52" s="251"/>
      <c r="AA52" s="251"/>
      <c r="AB52" s="251"/>
      <c r="AC52" s="251"/>
      <c r="AD52" s="251"/>
      <c r="AF52" s="579"/>
      <c r="AG52" s="579"/>
      <c r="AH52" s="579"/>
      <c r="AI52" s="579"/>
      <c r="AJ52" s="579"/>
      <c r="AK52" s="579"/>
      <c r="AL52" s="579"/>
      <c r="AM52" s="579"/>
      <c r="AN52" s="579"/>
      <c r="AO52" s="579"/>
      <c r="AP52" s="579"/>
      <c r="AQ52" s="579"/>
      <c r="AR52" s="579"/>
      <c r="AS52" s="579"/>
      <c r="AT52" s="579"/>
      <c r="AU52" s="579"/>
      <c r="AV52" s="579"/>
      <c r="AW52" s="579"/>
      <c r="AX52" s="579"/>
      <c r="AY52" s="579"/>
      <c r="AZ52" s="579"/>
      <c r="BA52" s="579"/>
      <c r="BB52" s="579"/>
      <c r="BC52" s="579"/>
      <c r="BD52" s="579"/>
      <c r="BE52" s="579"/>
      <c r="BF52" s="579"/>
      <c r="BG52" s="579"/>
      <c r="BH52" s="579"/>
      <c r="BI52" s="579"/>
      <c r="BJ52" s="579"/>
      <c r="BK52" s="579"/>
      <c r="BL52" s="579"/>
      <c r="BM52" s="579"/>
      <c r="BN52" s="579"/>
      <c r="BO52" s="579"/>
      <c r="BP52" s="579"/>
      <c r="BQ52" s="579"/>
      <c r="BR52" s="579"/>
      <c r="BS52" s="579"/>
      <c r="BT52" s="579"/>
      <c r="BU52" s="579"/>
      <c r="BV52" s="579"/>
      <c r="BW52" s="579"/>
    </row>
    <row r="53" spans="2:75" s="240" customFormat="1">
      <c r="B53" s="209" t="s">
        <v>844</v>
      </c>
      <c r="C53" s="209" t="s">
        <v>845</v>
      </c>
      <c r="F53" s="251"/>
      <c r="G53" s="251"/>
      <c r="H53" s="251"/>
      <c r="I53" s="251"/>
      <c r="J53" s="251"/>
      <c r="K53" s="251"/>
      <c r="L53" s="251"/>
      <c r="M53" s="251"/>
      <c r="N53" s="251"/>
      <c r="O53" s="251"/>
      <c r="P53" s="251"/>
      <c r="Q53" s="251"/>
      <c r="R53" s="251"/>
      <c r="S53" s="251"/>
      <c r="T53" s="251"/>
      <c r="U53" s="251"/>
      <c r="V53" s="251"/>
      <c r="W53" s="251"/>
      <c r="X53" s="251"/>
      <c r="Y53" s="251"/>
      <c r="Z53" s="251"/>
      <c r="AA53" s="251"/>
      <c r="AB53" s="251"/>
      <c r="AC53" s="251"/>
      <c r="AD53" s="251"/>
      <c r="AF53" s="579"/>
      <c r="AG53" s="579"/>
      <c r="AH53" s="579"/>
      <c r="AI53" s="579"/>
      <c r="AJ53" s="579"/>
      <c r="AK53" s="579"/>
      <c r="AL53" s="579"/>
      <c r="AM53" s="579"/>
      <c r="AN53" s="579"/>
      <c r="AO53" s="579"/>
      <c r="AP53" s="579"/>
      <c r="AQ53" s="579"/>
      <c r="AR53" s="579"/>
      <c r="AS53" s="579"/>
      <c r="AT53" s="579"/>
      <c r="AU53" s="579"/>
      <c r="AV53" s="579"/>
      <c r="AW53" s="579"/>
      <c r="AX53" s="579"/>
      <c r="AY53" s="579"/>
      <c r="AZ53" s="579"/>
      <c r="BA53" s="579"/>
      <c r="BB53" s="579"/>
      <c r="BC53" s="579"/>
      <c r="BD53" s="579"/>
      <c r="BE53" s="579"/>
      <c r="BF53" s="579"/>
      <c r="BG53" s="579"/>
      <c r="BH53" s="579"/>
      <c r="BI53" s="579"/>
      <c r="BJ53" s="579"/>
      <c r="BK53" s="579"/>
      <c r="BL53" s="579"/>
      <c r="BM53" s="579"/>
      <c r="BN53" s="579"/>
      <c r="BO53" s="579"/>
      <c r="BP53" s="579"/>
      <c r="BQ53" s="579"/>
      <c r="BR53" s="579"/>
      <c r="BS53" s="579"/>
      <c r="BT53" s="579"/>
      <c r="BU53" s="579"/>
      <c r="BV53" s="579"/>
      <c r="BW53" s="579"/>
    </row>
    <row r="54" spans="2:75" s="240" customFormat="1">
      <c r="B54" s="209" t="s">
        <v>846</v>
      </c>
      <c r="C54" s="209" t="s">
        <v>847</v>
      </c>
      <c r="F54" s="251"/>
      <c r="G54" s="251"/>
      <c r="H54" s="251"/>
      <c r="I54" s="251"/>
      <c r="J54" s="251"/>
      <c r="K54" s="251"/>
      <c r="L54" s="251"/>
      <c r="M54" s="251"/>
      <c r="N54" s="251"/>
      <c r="O54" s="251"/>
      <c r="P54" s="251"/>
      <c r="Q54" s="251"/>
      <c r="R54" s="251"/>
      <c r="S54" s="251"/>
      <c r="T54" s="251"/>
      <c r="U54" s="251"/>
      <c r="V54" s="251"/>
      <c r="W54" s="251"/>
      <c r="X54" s="251"/>
      <c r="Y54" s="251"/>
      <c r="Z54" s="251"/>
      <c r="AA54" s="251"/>
      <c r="AB54" s="251"/>
      <c r="AC54" s="251"/>
      <c r="AD54" s="251"/>
      <c r="AF54" s="579"/>
      <c r="AG54" s="579"/>
      <c r="AH54" s="579"/>
      <c r="AI54" s="579"/>
      <c r="AJ54" s="579"/>
      <c r="AK54" s="579"/>
      <c r="AL54" s="579"/>
      <c r="AM54" s="579"/>
      <c r="AN54" s="579"/>
      <c r="AO54" s="579"/>
      <c r="AP54" s="579"/>
      <c r="AQ54" s="579"/>
      <c r="AR54" s="579"/>
      <c r="AS54" s="579"/>
      <c r="AT54" s="579"/>
      <c r="AU54" s="579"/>
      <c r="AV54" s="579"/>
      <c r="AW54" s="579"/>
      <c r="AX54" s="579"/>
      <c r="AY54" s="579"/>
      <c r="AZ54" s="579"/>
      <c r="BA54" s="579"/>
      <c r="BB54" s="579"/>
      <c r="BC54" s="579"/>
      <c r="BD54" s="579"/>
      <c r="BE54" s="579"/>
      <c r="BF54" s="579"/>
      <c r="BG54" s="579"/>
      <c r="BH54" s="579"/>
      <c r="BI54" s="579"/>
      <c r="BJ54" s="579"/>
      <c r="BK54" s="579"/>
      <c r="BL54" s="579"/>
      <c r="BM54" s="579"/>
      <c r="BN54" s="579"/>
      <c r="BO54" s="579"/>
      <c r="BP54" s="579"/>
      <c r="BQ54" s="579"/>
      <c r="BR54" s="579"/>
      <c r="BS54" s="579"/>
      <c r="BT54" s="579"/>
      <c r="BU54" s="579"/>
      <c r="BV54" s="579"/>
      <c r="BW54" s="579"/>
    </row>
    <row r="55" spans="2:75" s="240" customFormat="1">
      <c r="B55" s="209" t="s">
        <v>848</v>
      </c>
      <c r="C55" s="209" t="s">
        <v>849</v>
      </c>
      <c r="F55" s="251"/>
      <c r="G55" s="251"/>
      <c r="H55" s="251"/>
      <c r="I55" s="251"/>
      <c r="J55" s="251"/>
      <c r="K55" s="251"/>
      <c r="L55" s="251"/>
      <c r="M55" s="251"/>
      <c r="N55" s="251"/>
      <c r="O55" s="251"/>
      <c r="P55" s="251"/>
      <c r="Q55" s="251"/>
      <c r="R55" s="251"/>
      <c r="S55" s="251"/>
      <c r="T55" s="251"/>
      <c r="U55" s="251"/>
      <c r="V55" s="251"/>
      <c r="W55" s="251"/>
      <c r="X55" s="251"/>
      <c r="Y55" s="251"/>
      <c r="Z55" s="251"/>
      <c r="AA55" s="251"/>
      <c r="AB55" s="251"/>
      <c r="AC55" s="251"/>
      <c r="AD55" s="251"/>
      <c r="AF55" s="579"/>
      <c r="AG55" s="579"/>
      <c r="AH55" s="579"/>
      <c r="AI55" s="579"/>
      <c r="AJ55" s="579"/>
      <c r="AK55" s="579"/>
      <c r="AL55" s="579"/>
      <c r="AM55" s="579"/>
      <c r="AN55" s="579"/>
      <c r="AO55" s="579"/>
      <c r="AP55" s="579"/>
      <c r="AQ55" s="579"/>
      <c r="AR55" s="579"/>
      <c r="AS55" s="579"/>
      <c r="AT55" s="579"/>
      <c r="AU55" s="579"/>
      <c r="AV55" s="579"/>
      <c r="AW55" s="579"/>
      <c r="AX55" s="579"/>
      <c r="AY55" s="579"/>
      <c r="AZ55" s="579"/>
      <c r="BA55" s="579"/>
      <c r="BB55" s="579"/>
      <c r="BC55" s="579"/>
      <c r="BD55" s="579"/>
      <c r="BE55" s="579"/>
      <c r="BF55" s="579"/>
      <c r="BG55" s="579"/>
      <c r="BH55" s="579"/>
      <c r="BI55" s="579"/>
      <c r="BJ55" s="579"/>
      <c r="BK55" s="579"/>
      <c r="BL55" s="579"/>
      <c r="BM55" s="579"/>
      <c r="BN55" s="579"/>
      <c r="BO55" s="579"/>
      <c r="BP55" s="579"/>
      <c r="BQ55" s="579"/>
      <c r="BR55" s="579"/>
      <c r="BS55" s="579"/>
      <c r="BT55" s="579"/>
      <c r="BU55" s="579"/>
      <c r="BV55" s="579"/>
      <c r="BW55" s="579"/>
    </row>
    <row r="56" spans="2:75" s="240" customFormat="1">
      <c r="B56" s="209" t="s">
        <v>850</v>
      </c>
      <c r="C56" s="209" t="s">
        <v>851</v>
      </c>
      <c r="F56" s="251"/>
      <c r="G56" s="251"/>
      <c r="H56" s="251"/>
      <c r="I56" s="251"/>
      <c r="J56" s="251"/>
      <c r="K56" s="251"/>
      <c r="L56" s="251"/>
      <c r="M56" s="251"/>
      <c r="N56" s="251"/>
      <c r="O56" s="251"/>
      <c r="P56" s="251"/>
      <c r="Q56" s="251"/>
      <c r="R56" s="251"/>
      <c r="S56" s="251"/>
      <c r="T56" s="251"/>
      <c r="U56" s="251"/>
      <c r="V56" s="251"/>
      <c r="W56" s="251"/>
      <c r="X56" s="251"/>
      <c r="Y56" s="251"/>
      <c r="Z56" s="251"/>
      <c r="AA56" s="251"/>
      <c r="AB56" s="251"/>
      <c r="AC56" s="251"/>
      <c r="AD56" s="251"/>
      <c r="AF56" s="579"/>
      <c r="AG56" s="579"/>
      <c r="AH56" s="579"/>
      <c r="AI56" s="579"/>
      <c r="AJ56" s="579"/>
      <c r="AK56" s="579"/>
      <c r="AL56" s="579"/>
      <c r="AM56" s="579"/>
      <c r="AN56" s="579"/>
      <c r="AO56" s="579"/>
      <c r="AP56" s="579"/>
      <c r="AQ56" s="579"/>
      <c r="AR56" s="579"/>
      <c r="AS56" s="579"/>
      <c r="AT56" s="579"/>
      <c r="AU56" s="579"/>
      <c r="AV56" s="579"/>
      <c r="AW56" s="579"/>
      <c r="AX56" s="579"/>
      <c r="AY56" s="579"/>
      <c r="AZ56" s="579"/>
      <c r="BA56" s="579"/>
      <c r="BB56" s="579"/>
      <c r="BC56" s="579"/>
      <c r="BD56" s="579"/>
      <c r="BE56" s="579"/>
      <c r="BF56" s="579"/>
      <c r="BG56" s="579"/>
      <c r="BH56" s="579"/>
      <c r="BI56" s="579"/>
      <c r="BJ56" s="579"/>
      <c r="BK56" s="579"/>
      <c r="BL56" s="579"/>
      <c r="BM56" s="579"/>
      <c r="BN56" s="579"/>
      <c r="BO56" s="579"/>
      <c r="BP56" s="579"/>
      <c r="BQ56" s="579"/>
      <c r="BR56" s="579"/>
      <c r="BS56" s="579"/>
      <c r="BT56" s="579"/>
      <c r="BU56" s="579"/>
      <c r="BV56" s="579"/>
      <c r="BW56" s="579"/>
    </row>
    <row r="57" spans="2:75" s="240" customFormat="1">
      <c r="B57" s="209" t="s">
        <v>852</v>
      </c>
      <c r="C57" s="209" t="s">
        <v>853</v>
      </c>
      <c r="F57" s="251"/>
      <c r="G57" s="251"/>
      <c r="H57" s="251"/>
      <c r="I57" s="251"/>
      <c r="J57" s="251"/>
      <c r="K57" s="251"/>
      <c r="L57" s="251"/>
      <c r="M57" s="251"/>
      <c r="N57" s="251"/>
      <c r="O57" s="251"/>
      <c r="P57" s="251"/>
      <c r="Q57" s="251"/>
      <c r="R57" s="251"/>
      <c r="S57" s="251"/>
      <c r="T57" s="251"/>
      <c r="U57" s="251"/>
      <c r="V57" s="251"/>
      <c r="W57" s="251"/>
      <c r="X57" s="251"/>
      <c r="Y57" s="251"/>
      <c r="Z57" s="251"/>
      <c r="AA57" s="251"/>
      <c r="AB57" s="251"/>
      <c r="AC57" s="251"/>
      <c r="AD57" s="251"/>
      <c r="AF57" s="579"/>
      <c r="AG57" s="579"/>
      <c r="AH57" s="579"/>
      <c r="AI57" s="579"/>
      <c r="AJ57" s="579"/>
      <c r="AK57" s="579"/>
      <c r="AL57" s="579"/>
      <c r="AM57" s="579"/>
      <c r="AN57" s="579"/>
      <c r="AO57" s="579"/>
      <c r="AP57" s="579"/>
      <c r="AQ57" s="579"/>
      <c r="AR57" s="579"/>
      <c r="AS57" s="579"/>
      <c r="AT57" s="579"/>
      <c r="AU57" s="579"/>
      <c r="AV57" s="579"/>
      <c r="AW57" s="579"/>
      <c r="AX57" s="579"/>
      <c r="AY57" s="579"/>
      <c r="AZ57" s="579"/>
      <c r="BA57" s="579"/>
      <c r="BB57" s="579"/>
      <c r="BC57" s="579"/>
      <c r="BD57" s="579"/>
      <c r="BE57" s="579"/>
      <c r="BF57" s="579"/>
      <c r="BG57" s="579"/>
      <c r="BH57" s="579"/>
      <c r="BI57" s="579"/>
      <c r="BJ57" s="579"/>
      <c r="BK57" s="579"/>
      <c r="BL57" s="579"/>
      <c r="BM57" s="579"/>
      <c r="BN57" s="579"/>
      <c r="BO57" s="579"/>
      <c r="BP57" s="579"/>
      <c r="BQ57" s="579"/>
      <c r="BR57" s="579"/>
      <c r="BS57" s="579"/>
      <c r="BT57" s="579"/>
      <c r="BU57" s="579"/>
      <c r="BV57" s="579"/>
      <c r="BW57" s="579"/>
    </row>
    <row r="58" spans="2:75" s="240" customFormat="1">
      <c r="B58" s="209" t="s">
        <v>854</v>
      </c>
      <c r="C58" s="209" t="s">
        <v>855</v>
      </c>
      <c r="F58" s="251"/>
      <c r="G58" s="251"/>
      <c r="H58" s="251"/>
      <c r="I58" s="251"/>
      <c r="J58" s="251"/>
      <c r="K58" s="251"/>
      <c r="L58" s="251"/>
      <c r="M58" s="251"/>
      <c r="N58" s="251"/>
      <c r="O58" s="251"/>
      <c r="P58" s="251"/>
      <c r="Q58" s="251"/>
      <c r="R58" s="251"/>
      <c r="S58" s="251"/>
      <c r="T58" s="251"/>
      <c r="U58" s="251"/>
      <c r="V58" s="251"/>
      <c r="W58" s="251"/>
      <c r="X58" s="251"/>
      <c r="Y58" s="251"/>
      <c r="Z58" s="251"/>
      <c r="AA58" s="251"/>
      <c r="AB58" s="251"/>
      <c r="AC58" s="251"/>
      <c r="AD58" s="251"/>
      <c r="AF58" s="579"/>
      <c r="AG58" s="579"/>
      <c r="AH58" s="579"/>
      <c r="AI58" s="579"/>
      <c r="AJ58" s="579"/>
      <c r="AK58" s="579"/>
      <c r="AL58" s="579"/>
      <c r="AM58" s="579"/>
      <c r="AN58" s="579"/>
      <c r="AO58" s="579"/>
      <c r="AP58" s="579"/>
      <c r="AQ58" s="579"/>
      <c r="AR58" s="579"/>
      <c r="AS58" s="579"/>
      <c r="AT58" s="579"/>
      <c r="AU58" s="579"/>
      <c r="AV58" s="579"/>
      <c r="AW58" s="579"/>
      <c r="AX58" s="579"/>
      <c r="AY58" s="579"/>
      <c r="AZ58" s="579"/>
      <c r="BA58" s="579"/>
      <c r="BB58" s="579"/>
      <c r="BC58" s="579"/>
      <c r="BD58" s="579"/>
      <c r="BE58" s="579"/>
      <c r="BF58" s="579"/>
      <c r="BG58" s="579"/>
      <c r="BH58" s="579"/>
      <c r="BI58" s="579"/>
      <c r="BJ58" s="579"/>
      <c r="BK58" s="579"/>
      <c r="BL58" s="579"/>
      <c r="BM58" s="579"/>
      <c r="BN58" s="579"/>
      <c r="BO58" s="579"/>
      <c r="BP58" s="579"/>
      <c r="BQ58" s="579"/>
      <c r="BR58" s="579"/>
      <c r="BS58" s="579"/>
      <c r="BT58" s="579"/>
      <c r="BU58" s="579"/>
      <c r="BV58" s="579"/>
      <c r="BW58" s="579"/>
    </row>
    <row r="59" spans="2:75" s="240" customFormat="1">
      <c r="B59" s="209" t="s">
        <v>856</v>
      </c>
      <c r="C59" s="209" t="s">
        <v>857</v>
      </c>
      <c r="F59" s="251"/>
      <c r="G59" s="251"/>
      <c r="H59" s="251"/>
      <c r="I59" s="251"/>
      <c r="J59" s="251"/>
      <c r="K59" s="251"/>
      <c r="L59" s="251"/>
      <c r="M59" s="251"/>
      <c r="N59" s="251"/>
      <c r="O59" s="251"/>
      <c r="P59" s="251"/>
      <c r="Q59" s="251"/>
      <c r="R59" s="251"/>
      <c r="S59" s="251"/>
      <c r="T59" s="251"/>
      <c r="U59" s="251"/>
      <c r="V59" s="251"/>
      <c r="W59" s="251"/>
      <c r="X59" s="251"/>
      <c r="Y59" s="251"/>
      <c r="Z59" s="251"/>
      <c r="AA59" s="251"/>
      <c r="AB59" s="251"/>
      <c r="AC59" s="251"/>
      <c r="AD59" s="251"/>
      <c r="AF59" s="579"/>
      <c r="AG59" s="579"/>
      <c r="AH59" s="579"/>
      <c r="AI59" s="579"/>
      <c r="AJ59" s="579"/>
      <c r="AK59" s="579"/>
      <c r="AL59" s="579"/>
      <c r="AM59" s="579"/>
      <c r="AN59" s="579"/>
      <c r="AO59" s="579"/>
      <c r="AP59" s="579"/>
      <c r="AQ59" s="579"/>
      <c r="AR59" s="579"/>
      <c r="AS59" s="579"/>
      <c r="AT59" s="579"/>
      <c r="AU59" s="579"/>
      <c r="AV59" s="579"/>
      <c r="AW59" s="579"/>
      <c r="AX59" s="579"/>
      <c r="AY59" s="579"/>
      <c r="AZ59" s="579"/>
      <c r="BA59" s="579"/>
      <c r="BB59" s="579"/>
      <c r="BC59" s="579"/>
      <c r="BD59" s="579"/>
      <c r="BE59" s="579"/>
      <c r="BF59" s="579"/>
      <c r="BG59" s="579"/>
      <c r="BH59" s="579"/>
      <c r="BI59" s="579"/>
      <c r="BJ59" s="579"/>
      <c r="BK59" s="579"/>
      <c r="BL59" s="579"/>
      <c r="BM59" s="579"/>
      <c r="BN59" s="579"/>
      <c r="BO59" s="579"/>
      <c r="BP59" s="579"/>
      <c r="BQ59" s="579"/>
      <c r="BR59" s="579"/>
      <c r="BS59" s="579"/>
      <c r="BT59" s="579"/>
      <c r="BU59" s="579"/>
      <c r="BV59" s="579"/>
      <c r="BW59" s="579"/>
    </row>
    <row r="60" spans="2:75" s="240" customFormat="1">
      <c r="B60" s="209" t="s">
        <v>858</v>
      </c>
      <c r="C60" s="209" t="s">
        <v>859</v>
      </c>
      <c r="F60" s="251"/>
      <c r="G60" s="251"/>
      <c r="H60" s="251"/>
      <c r="I60" s="251"/>
      <c r="J60" s="251"/>
      <c r="K60" s="251"/>
      <c r="L60" s="251"/>
      <c r="M60" s="251"/>
      <c r="N60" s="251"/>
      <c r="O60" s="251"/>
      <c r="P60" s="251"/>
      <c r="Q60" s="251"/>
      <c r="R60" s="251"/>
      <c r="S60" s="251"/>
      <c r="T60" s="251"/>
      <c r="U60" s="251"/>
      <c r="V60" s="251"/>
      <c r="W60" s="251"/>
      <c r="X60" s="251"/>
      <c r="Y60" s="251"/>
      <c r="Z60" s="251"/>
      <c r="AA60" s="251"/>
      <c r="AB60" s="251"/>
      <c r="AC60" s="251"/>
      <c r="AD60" s="251"/>
      <c r="AF60" s="579"/>
      <c r="AG60" s="579"/>
      <c r="AH60" s="579"/>
      <c r="AI60" s="579"/>
      <c r="AJ60" s="579"/>
      <c r="AK60" s="579"/>
      <c r="AL60" s="579"/>
      <c r="AM60" s="579"/>
      <c r="AN60" s="579"/>
      <c r="AO60" s="579"/>
      <c r="AP60" s="579"/>
      <c r="AQ60" s="579"/>
      <c r="AR60" s="579"/>
      <c r="AS60" s="579"/>
      <c r="AT60" s="579"/>
      <c r="AU60" s="579"/>
      <c r="AV60" s="579"/>
      <c r="AW60" s="579"/>
      <c r="AX60" s="579"/>
      <c r="AY60" s="579"/>
      <c r="AZ60" s="579"/>
      <c r="BA60" s="579"/>
      <c r="BB60" s="579"/>
      <c r="BC60" s="579"/>
      <c r="BD60" s="579"/>
      <c r="BE60" s="579"/>
      <c r="BF60" s="579"/>
      <c r="BG60" s="579"/>
      <c r="BH60" s="579"/>
      <c r="BI60" s="579"/>
      <c r="BJ60" s="579"/>
      <c r="BK60" s="579"/>
      <c r="BL60" s="579"/>
      <c r="BM60" s="579"/>
      <c r="BN60" s="579"/>
      <c r="BO60" s="579"/>
      <c r="BP60" s="579"/>
      <c r="BQ60" s="579"/>
      <c r="BR60" s="579"/>
      <c r="BS60" s="579"/>
      <c r="BT60" s="579"/>
      <c r="BU60" s="579"/>
      <c r="BV60" s="579"/>
      <c r="BW60" s="579"/>
    </row>
    <row r="61" spans="2:75" s="240" customFormat="1">
      <c r="B61" s="209" t="s">
        <v>860</v>
      </c>
      <c r="C61" s="209" t="s">
        <v>861</v>
      </c>
      <c r="F61" s="251"/>
      <c r="G61" s="251"/>
      <c r="H61" s="251"/>
      <c r="I61" s="251"/>
      <c r="J61" s="251"/>
      <c r="K61" s="251"/>
      <c r="L61" s="251"/>
      <c r="M61" s="251"/>
      <c r="N61" s="251"/>
      <c r="O61" s="251"/>
      <c r="P61" s="251"/>
      <c r="Q61" s="251"/>
      <c r="R61" s="251"/>
      <c r="S61" s="251"/>
      <c r="T61" s="251"/>
      <c r="U61" s="251"/>
      <c r="V61" s="251"/>
      <c r="W61" s="251"/>
      <c r="X61" s="251"/>
      <c r="Y61" s="251"/>
      <c r="Z61" s="251"/>
      <c r="AA61" s="251"/>
      <c r="AB61" s="251"/>
      <c r="AC61" s="251"/>
      <c r="AD61" s="251"/>
      <c r="AF61" s="579"/>
      <c r="AG61" s="579"/>
      <c r="AH61" s="579"/>
      <c r="AI61" s="579"/>
      <c r="AJ61" s="579"/>
      <c r="AK61" s="579"/>
      <c r="AL61" s="579"/>
      <c r="AM61" s="579"/>
      <c r="AN61" s="579"/>
      <c r="AO61" s="579"/>
      <c r="AP61" s="579"/>
      <c r="AQ61" s="579"/>
      <c r="AR61" s="579"/>
      <c r="AS61" s="579"/>
      <c r="AT61" s="579"/>
      <c r="AU61" s="579"/>
      <c r="AV61" s="579"/>
      <c r="AW61" s="579"/>
      <c r="AX61" s="579"/>
      <c r="AY61" s="579"/>
      <c r="AZ61" s="579"/>
      <c r="BA61" s="579"/>
      <c r="BB61" s="579"/>
      <c r="BC61" s="579"/>
      <c r="BD61" s="579"/>
      <c r="BE61" s="579"/>
      <c r="BF61" s="579"/>
      <c r="BG61" s="579"/>
      <c r="BH61" s="579"/>
      <c r="BI61" s="579"/>
      <c r="BJ61" s="579"/>
      <c r="BK61" s="579"/>
      <c r="BL61" s="579"/>
      <c r="BM61" s="579"/>
      <c r="BN61" s="579"/>
      <c r="BO61" s="579"/>
      <c r="BP61" s="579"/>
      <c r="BQ61" s="579"/>
      <c r="BR61" s="579"/>
      <c r="BS61" s="579"/>
      <c r="BT61" s="579"/>
      <c r="BU61" s="579"/>
      <c r="BV61" s="579"/>
      <c r="BW61" s="579"/>
    </row>
    <row r="62" spans="2:75" s="240" customFormat="1">
      <c r="B62" s="209" t="s">
        <v>862</v>
      </c>
      <c r="C62" s="209" t="s">
        <v>863</v>
      </c>
      <c r="F62" s="251"/>
      <c r="G62" s="251"/>
      <c r="H62" s="251"/>
      <c r="I62" s="251"/>
      <c r="J62" s="251"/>
      <c r="K62" s="251"/>
      <c r="L62" s="251"/>
      <c r="M62" s="251"/>
      <c r="N62" s="251"/>
      <c r="O62" s="251"/>
      <c r="P62" s="251"/>
      <c r="Q62" s="251"/>
      <c r="R62" s="251"/>
      <c r="S62" s="251"/>
      <c r="T62" s="251"/>
      <c r="U62" s="251"/>
      <c r="V62" s="251"/>
      <c r="W62" s="251"/>
      <c r="X62" s="251"/>
      <c r="Y62" s="251"/>
      <c r="Z62" s="251"/>
      <c r="AA62" s="251"/>
      <c r="AB62" s="251"/>
      <c r="AC62" s="251"/>
      <c r="AD62" s="251"/>
      <c r="AF62" s="579"/>
      <c r="AG62" s="579"/>
      <c r="AH62" s="579"/>
      <c r="AI62" s="579"/>
      <c r="AJ62" s="579"/>
      <c r="AK62" s="579"/>
      <c r="AL62" s="579"/>
      <c r="AM62" s="579"/>
      <c r="AN62" s="579"/>
      <c r="AO62" s="579"/>
      <c r="AP62" s="579"/>
      <c r="AQ62" s="579"/>
      <c r="AR62" s="579"/>
      <c r="AS62" s="579"/>
      <c r="AT62" s="579"/>
      <c r="AU62" s="579"/>
      <c r="AV62" s="579"/>
      <c r="AW62" s="579"/>
      <c r="AX62" s="579"/>
      <c r="AY62" s="579"/>
      <c r="AZ62" s="579"/>
      <c r="BA62" s="579"/>
      <c r="BB62" s="579"/>
      <c r="BC62" s="579"/>
      <c r="BD62" s="579"/>
      <c r="BE62" s="579"/>
      <c r="BF62" s="579"/>
      <c r="BG62" s="579"/>
      <c r="BH62" s="579"/>
      <c r="BI62" s="579"/>
      <c r="BJ62" s="579"/>
      <c r="BK62" s="579"/>
      <c r="BL62" s="579"/>
      <c r="BM62" s="579"/>
      <c r="BN62" s="579"/>
      <c r="BO62" s="579"/>
      <c r="BP62" s="579"/>
      <c r="BQ62" s="579"/>
      <c r="BR62" s="579"/>
      <c r="BS62" s="579"/>
      <c r="BT62" s="579"/>
      <c r="BU62" s="579"/>
      <c r="BV62" s="579"/>
      <c r="BW62" s="579"/>
    </row>
    <row r="63" spans="2:75" s="240" customFormat="1">
      <c r="B63" s="209" t="s">
        <v>864</v>
      </c>
      <c r="C63" s="209" t="s">
        <v>865</v>
      </c>
      <c r="F63" s="251"/>
      <c r="G63" s="251"/>
      <c r="H63" s="251"/>
      <c r="I63" s="251"/>
      <c r="J63" s="251"/>
      <c r="K63" s="251"/>
      <c r="L63" s="251"/>
      <c r="M63" s="251"/>
      <c r="N63" s="251"/>
      <c r="O63" s="251"/>
      <c r="P63" s="251"/>
      <c r="Q63" s="251"/>
      <c r="R63" s="251"/>
      <c r="S63" s="251"/>
      <c r="T63" s="251"/>
      <c r="U63" s="251"/>
      <c r="V63" s="251"/>
      <c r="W63" s="251"/>
      <c r="X63" s="251"/>
      <c r="Y63" s="251"/>
      <c r="Z63" s="251"/>
      <c r="AA63" s="251"/>
      <c r="AB63" s="251"/>
      <c r="AC63" s="251"/>
      <c r="AD63" s="251"/>
      <c r="AF63" s="579"/>
      <c r="AG63" s="579"/>
      <c r="AH63" s="579"/>
      <c r="AI63" s="579"/>
      <c r="AJ63" s="579"/>
      <c r="AK63" s="579"/>
      <c r="AL63" s="579"/>
      <c r="AM63" s="579"/>
      <c r="AN63" s="579"/>
      <c r="AO63" s="579"/>
      <c r="AP63" s="579"/>
      <c r="AQ63" s="579"/>
      <c r="AR63" s="579"/>
      <c r="AS63" s="579"/>
      <c r="AT63" s="579"/>
      <c r="AU63" s="579"/>
      <c r="AV63" s="579"/>
      <c r="AW63" s="579"/>
      <c r="AX63" s="579"/>
      <c r="AY63" s="579"/>
      <c r="AZ63" s="579"/>
      <c r="BA63" s="579"/>
      <c r="BB63" s="579"/>
      <c r="BC63" s="579"/>
      <c r="BD63" s="579"/>
      <c r="BE63" s="579"/>
      <c r="BF63" s="579"/>
      <c r="BG63" s="579"/>
      <c r="BH63" s="579"/>
      <c r="BI63" s="579"/>
      <c r="BJ63" s="579"/>
      <c r="BK63" s="579"/>
      <c r="BL63" s="579"/>
      <c r="BM63" s="579"/>
      <c r="BN63" s="579"/>
      <c r="BO63" s="579"/>
      <c r="BP63" s="579"/>
      <c r="BQ63" s="579"/>
      <c r="BR63" s="579"/>
      <c r="BS63" s="579"/>
      <c r="BT63" s="579"/>
      <c r="BU63" s="579"/>
      <c r="BV63" s="579"/>
      <c r="BW63" s="579"/>
    </row>
    <row r="64" spans="2:75" s="240" customFormat="1">
      <c r="B64" s="209" t="s">
        <v>866</v>
      </c>
      <c r="C64" s="209" t="s">
        <v>867</v>
      </c>
      <c r="F64" s="251"/>
      <c r="G64" s="251"/>
      <c r="H64" s="251"/>
      <c r="I64" s="251"/>
      <c r="J64" s="251"/>
      <c r="K64" s="251"/>
      <c r="L64" s="251"/>
      <c r="M64" s="251"/>
      <c r="N64" s="251"/>
      <c r="O64" s="251"/>
      <c r="P64" s="251"/>
      <c r="Q64" s="251"/>
      <c r="R64" s="251"/>
      <c r="S64" s="251"/>
      <c r="T64" s="251"/>
      <c r="U64" s="251"/>
      <c r="V64" s="251"/>
      <c r="W64" s="251"/>
      <c r="X64" s="251"/>
      <c r="Y64" s="251"/>
      <c r="Z64" s="251"/>
      <c r="AA64" s="251"/>
      <c r="AB64" s="251"/>
      <c r="AC64" s="251"/>
      <c r="AD64" s="251"/>
      <c r="AF64" s="579"/>
      <c r="AG64" s="579"/>
      <c r="AH64" s="579"/>
      <c r="AI64" s="579"/>
      <c r="AJ64" s="579"/>
      <c r="AK64" s="579"/>
      <c r="AL64" s="579"/>
      <c r="AM64" s="579"/>
      <c r="AN64" s="579"/>
      <c r="AO64" s="579"/>
      <c r="AP64" s="579"/>
      <c r="AQ64" s="579"/>
      <c r="AR64" s="579"/>
      <c r="AS64" s="579"/>
      <c r="AT64" s="579"/>
      <c r="AU64" s="579"/>
      <c r="AV64" s="579"/>
      <c r="AW64" s="579"/>
      <c r="AX64" s="579"/>
      <c r="AY64" s="579"/>
      <c r="AZ64" s="579"/>
      <c r="BA64" s="579"/>
      <c r="BB64" s="579"/>
      <c r="BC64" s="579"/>
      <c r="BD64" s="579"/>
      <c r="BE64" s="579"/>
      <c r="BF64" s="579"/>
      <c r="BG64" s="579"/>
      <c r="BH64" s="579"/>
      <c r="BI64" s="579"/>
      <c r="BJ64" s="579"/>
      <c r="BK64" s="579"/>
      <c r="BL64" s="579"/>
      <c r="BM64" s="579"/>
      <c r="BN64" s="579"/>
      <c r="BO64" s="579"/>
      <c r="BP64" s="579"/>
      <c r="BQ64" s="579"/>
      <c r="BR64" s="579"/>
      <c r="BS64" s="579"/>
      <c r="BT64" s="579"/>
      <c r="BU64" s="579"/>
      <c r="BV64" s="579"/>
      <c r="BW64" s="579"/>
    </row>
    <row r="65" spans="1:75" s="240" customFormat="1">
      <c r="B65" s="209" t="s">
        <v>868</v>
      </c>
      <c r="C65" s="209" t="s">
        <v>869</v>
      </c>
      <c r="F65" s="251"/>
      <c r="G65" s="251"/>
      <c r="H65" s="251"/>
      <c r="I65" s="251"/>
      <c r="J65" s="251"/>
      <c r="K65" s="251"/>
      <c r="L65" s="251"/>
      <c r="M65" s="251">
        <f>+'Inc Stmt'!C15</f>
        <v>5482.6039999999994</v>
      </c>
      <c r="N65" s="251">
        <f>+'Inc Stmt'!D15</f>
        <v>6242.2129999999997</v>
      </c>
      <c r="O65" s="251">
        <f>+'Inc Stmt'!E15</f>
        <v>6625.347999999999</v>
      </c>
      <c r="P65" s="251">
        <f>+'Inc Stmt'!F15</f>
        <v>7128.9999999999991</v>
      </c>
      <c r="Q65" s="251">
        <f>+'Inc Stmt'!G15</f>
        <v>9009.0999999999985</v>
      </c>
      <c r="R65" s="251">
        <f>+'Inc Stmt'!H15</f>
        <v>8214.6999999999989</v>
      </c>
      <c r="S65" s="251">
        <f>+'Inc Stmt'!I15</f>
        <v>8688.4</v>
      </c>
      <c r="T65" s="251">
        <f>+'Inc Stmt'!J15</f>
        <v>8585.1999999999989</v>
      </c>
      <c r="U65" s="251">
        <f>+'Inc Stmt'!K15</f>
        <v>9484.2000000000007</v>
      </c>
      <c r="V65" s="251">
        <f>+'Inc Stmt'!L15</f>
        <v>11663.4</v>
      </c>
      <c r="W65" s="251">
        <f>+'Inc Stmt'!M15</f>
        <v>13131.5</v>
      </c>
      <c r="X65" s="251">
        <f>+'Inc Stmt'!N15</f>
        <v>12999.300000000001</v>
      </c>
      <c r="Y65" s="251">
        <f>+'Inc Stmt'!O15</f>
        <v>16981.399999999998</v>
      </c>
      <c r="Z65" s="251">
        <f>+'Inc Stmt'!P15</f>
        <v>18306</v>
      </c>
      <c r="AA65" s="251">
        <f>+'Inc Stmt'!Q15</f>
        <v>17231.099999999999</v>
      </c>
      <c r="AB65" s="251">
        <f>+'Inc Stmt'!R15</f>
        <v>20150.634551069099</v>
      </c>
      <c r="AC65" s="251">
        <f>+'Inc Stmt'!S15</f>
        <v>22433.260838155962</v>
      </c>
      <c r="AD65" s="251">
        <f>+'Inc Stmt'!T15</f>
        <v>26545.761133531742</v>
      </c>
      <c r="AF65" s="579">
        <f>Quarterly!C31</f>
        <v>2020</v>
      </c>
      <c r="AG65" s="579">
        <f>Quarterly!D31</f>
        <v>2290.1</v>
      </c>
      <c r="AH65" s="579">
        <f>Quarterly!E31</f>
        <v>2433.1999999999998</v>
      </c>
      <c r="AI65" s="579">
        <f>Quarterly!F31</f>
        <v>2265.8000000000002</v>
      </c>
      <c r="AJ65" s="579">
        <f>Quarterly!G31</f>
        <v>2090.6</v>
      </c>
      <c r="AK65" s="579">
        <f>Quarterly!H31</f>
        <v>2035.8</v>
      </c>
      <c r="AL65" s="579">
        <f>Quarterly!I31</f>
        <v>1860.3</v>
      </c>
      <c r="AM65" s="579">
        <f>Quarterly!J31</f>
        <v>2025.5</v>
      </c>
      <c r="AN65" s="579">
        <f>Quarterly!K31</f>
        <v>1904.4</v>
      </c>
      <c r="AO65" s="579">
        <f>Quarterly!L31</f>
        <v>2276.1999999999998</v>
      </c>
      <c r="AP65" s="579">
        <f>Quarterly!M31</f>
        <v>2049</v>
      </c>
      <c r="AQ65" s="579">
        <f>Quarterly!N31</f>
        <v>1907.8000000000002</v>
      </c>
      <c r="AR65" s="579">
        <f>Quarterly!O31</f>
        <v>2231.1999999999998</v>
      </c>
      <c r="AS65" s="579">
        <f>Quarterly!P31</f>
        <v>2312.1999999999998</v>
      </c>
      <c r="AT65" s="579">
        <f>Quarterly!Q31</f>
        <v>2223.8000000000002</v>
      </c>
      <c r="AU65" s="579">
        <f>Quarterly!R31</f>
        <v>1818</v>
      </c>
      <c r="AV65" s="579">
        <f>Quarterly!S31</f>
        <v>2185.6</v>
      </c>
      <c r="AW65" s="579">
        <f>Quarterly!T31</f>
        <v>2593.1000000000004</v>
      </c>
      <c r="AX65" s="579">
        <f>Quarterly!U31</f>
        <v>2385.6</v>
      </c>
      <c r="AY65" s="579">
        <f>Quarterly!V31</f>
        <v>2307</v>
      </c>
      <c r="AZ65" s="579">
        <f>Quarterly!W31</f>
        <v>2574.8000000000002</v>
      </c>
      <c r="BA65" s="579">
        <f>Quarterly!X31</f>
        <v>3172.5</v>
      </c>
      <c r="BB65" s="579">
        <f>Quarterly!Y31</f>
        <v>3061.1</v>
      </c>
      <c r="BC65" s="579">
        <f>Quarterly!Z31</f>
        <v>2986.8</v>
      </c>
      <c r="BD65" s="579">
        <f>Quarterly!AA31</f>
        <v>3255.2000000000003</v>
      </c>
      <c r="BE65" s="579">
        <f>Quarterly!AB31</f>
        <v>3353.3999999999996</v>
      </c>
      <c r="BF65" s="579">
        <f>Quarterly!AC31</f>
        <v>3206.6</v>
      </c>
      <c r="BG65" s="579">
        <f>Quarterly!AD31</f>
        <v>3344.3</v>
      </c>
      <c r="BH65" s="579">
        <f>Quarterly!AE31</f>
        <v>3180.7</v>
      </c>
      <c r="BI65" s="579">
        <f>Quarterly!AF31</f>
        <v>3516.2000000000003</v>
      </c>
      <c r="BJ65" s="579">
        <f>Quarterly!AG31</f>
        <v>3405.2</v>
      </c>
      <c r="BK65" s="579">
        <f>Quarterly!AH31</f>
        <v>3540</v>
      </c>
      <c r="BL65" s="579">
        <f>Quarterly!AI31</f>
        <v>3652.6000000000004</v>
      </c>
      <c r="BM65" s="579">
        <f>Quarterly!AJ31</f>
        <v>4486.0999999999995</v>
      </c>
      <c r="BN65" s="579">
        <f>Quarterly!AK31</f>
        <v>4334.3</v>
      </c>
      <c r="BO65" s="579">
        <f>Quarterly!AL31</f>
        <v>4508.4000000000005</v>
      </c>
      <c r="BP65" s="579">
        <f>Quarterly!AM31</f>
        <v>4428.7999999999993</v>
      </c>
      <c r="BQ65" s="579">
        <f>Quarterly!AN31</f>
        <v>4667.3</v>
      </c>
      <c r="BR65" s="579">
        <f>Quarterly!AO31</f>
        <v>4505.2</v>
      </c>
      <c r="BS65" s="579">
        <f>Quarterly!AP31</f>
        <v>4704.7</v>
      </c>
      <c r="BT65" s="579">
        <f>Quarterly!AQ31</f>
        <v>4405.3999999999996</v>
      </c>
      <c r="BU65" s="579">
        <f>Quarterly!AR31</f>
        <v>4426.1000000000004</v>
      </c>
      <c r="BV65" s="579">
        <f>Quarterly!AS31</f>
        <v>3962.1000000000004</v>
      </c>
      <c r="BW65" s="579">
        <f>Quarterly!AT31</f>
        <v>4437.5</v>
      </c>
    </row>
    <row r="66" spans="1:75" s="245" customFormat="1">
      <c r="B66" s="243" t="s">
        <v>870</v>
      </c>
      <c r="C66" s="243" t="s">
        <v>871</v>
      </c>
      <c r="F66" s="245">
        <f t="shared" ref="F66:AD66" si="52">SUM(F67:F68)</f>
        <v>0</v>
      </c>
      <c r="G66" s="245">
        <f t="shared" si="52"/>
        <v>0</v>
      </c>
      <c r="H66" s="245">
        <f t="shared" si="52"/>
        <v>0</v>
      </c>
      <c r="I66" s="245">
        <f t="shared" si="52"/>
        <v>0</v>
      </c>
      <c r="J66" s="245">
        <f t="shared" si="52"/>
        <v>0</v>
      </c>
      <c r="K66" s="245">
        <f t="shared" si="52"/>
        <v>0</v>
      </c>
      <c r="M66" s="245">
        <f t="shared" si="52"/>
        <v>0</v>
      </c>
      <c r="N66" s="245">
        <f t="shared" si="52"/>
        <v>0</v>
      </c>
      <c r="O66" s="245">
        <f t="shared" si="52"/>
        <v>0</v>
      </c>
      <c r="P66" s="245">
        <f t="shared" si="52"/>
        <v>0</v>
      </c>
      <c r="Q66" s="245">
        <f t="shared" si="52"/>
        <v>0</v>
      </c>
      <c r="R66" s="245">
        <f t="shared" si="52"/>
        <v>0</v>
      </c>
      <c r="S66" s="245">
        <f t="shared" si="52"/>
        <v>0</v>
      </c>
      <c r="T66" s="245">
        <f t="shared" si="52"/>
        <v>0</v>
      </c>
      <c r="U66" s="245">
        <f t="shared" si="52"/>
        <v>0</v>
      </c>
      <c r="V66" s="245">
        <f t="shared" si="52"/>
        <v>0</v>
      </c>
      <c r="W66" s="245">
        <f t="shared" si="52"/>
        <v>0</v>
      </c>
      <c r="X66" s="245">
        <f t="shared" si="52"/>
        <v>0</v>
      </c>
      <c r="Y66" s="245">
        <f t="shared" si="52"/>
        <v>0</v>
      </c>
      <c r="Z66" s="245">
        <f>SUM(Z67:Z68)</f>
        <v>0</v>
      </c>
      <c r="AA66" s="245">
        <f>SUM(AA67:AA68)</f>
        <v>0</v>
      </c>
      <c r="AB66" s="245">
        <f>SUM(AB67:AB68)</f>
        <v>0</v>
      </c>
      <c r="AC66" s="245">
        <f t="shared" si="52"/>
        <v>0</v>
      </c>
      <c r="AD66" s="245">
        <f t="shared" si="52"/>
        <v>0</v>
      </c>
      <c r="AF66" s="580">
        <f t="shared" ref="AF66:BK66" si="53">SUM(AF67:AF68)</f>
        <v>0</v>
      </c>
      <c r="AG66" s="580">
        <f t="shared" si="53"/>
        <v>0</v>
      </c>
      <c r="AH66" s="580">
        <f t="shared" si="53"/>
        <v>0</v>
      </c>
      <c r="AI66" s="580">
        <f t="shared" si="53"/>
        <v>0</v>
      </c>
      <c r="AJ66" s="580">
        <f t="shared" si="53"/>
        <v>0</v>
      </c>
      <c r="AK66" s="580">
        <f t="shared" si="53"/>
        <v>0</v>
      </c>
      <c r="AL66" s="580">
        <f t="shared" si="53"/>
        <v>0</v>
      </c>
      <c r="AM66" s="580">
        <f t="shared" si="53"/>
        <v>0</v>
      </c>
      <c r="AN66" s="580">
        <f t="shared" si="53"/>
        <v>0</v>
      </c>
      <c r="AO66" s="580">
        <f t="shared" si="53"/>
        <v>0</v>
      </c>
      <c r="AP66" s="580">
        <f t="shared" si="53"/>
        <v>0</v>
      </c>
      <c r="AQ66" s="580">
        <f t="shared" si="53"/>
        <v>0</v>
      </c>
      <c r="AR66" s="580">
        <f t="shared" si="53"/>
        <v>0</v>
      </c>
      <c r="AS66" s="580">
        <f t="shared" si="53"/>
        <v>0</v>
      </c>
      <c r="AT66" s="580">
        <f t="shared" si="53"/>
        <v>0</v>
      </c>
      <c r="AU66" s="580">
        <f t="shared" si="53"/>
        <v>0</v>
      </c>
      <c r="AV66" s="580">
        <f t="shared" si="53"/>
        <v>0</v>
      </c>
      <c r="AW66" s="580">
        <f t="shared" si="53"/>
        <v>0</v>
      </c>
      <c r="AX66" s="580">
        <f t="shared" si="53"/>
        <v>0</v>
      </c>
      <c r="AY66" s="580">
        <f t="shared" si="53"/>
        <v>0</v>
      </c>
      <c r="AZ66" s="580">
        <f t="shared" si="53"/>
        <v>0</v>
      </c>
      <c r="BA66" s="580">
        <f t="shared" si="53"/>
        <v>0</v>
      </c>
      <c r="BB66" s="580">
        <f t="shared" si="53"/>
        <v>0</v>
      </c>
      <c r="BC66" s="580">
        <f t="shared" si="53"/>
        <v>0</v>
      </c>
      <c r="BD66" s="580">
        <f t="shared" si="53"/>
        <v>0</v>
      </c>
      <c r="BE66" s="580">
        <f t="shared" si="53"/>
        <v>0</v>
      </c>
      <c r="BF66" s="580">
        <f t="shared" si="53"/>
        <v>0</v>
      </c>
      <c r="BG66" s="580">
        <f t="shared" si="53"/>
        <v>0</v>
      </c>
      <c r="BH66" s="580">
        <f t="shared" si="53"/>
        <v>0</v>
      </c>
      <c r="BI66" s="580">
        <f t="shared" si="53"/>
        <v>0</v>
      </c>
      <c r="BJ66" s="580">
        <f t="shared" si="53"/>
        <v>0</v>
      </c>
      <c r="BK66" s="580">
        <f t="shared" si="53"/>
        <v>0</v>
      </c>
      <c r="BL66" s="580">
        <f t="shared" ref="BL66:BQ66" si="54">SUM(BL67:BL68)</f>
        <v>0</v>
      </c>
      <c r="BM66" s="580">
        <f t="shared" si="54"/>
        <v>0</v>
      </c>
      <c r="BN66" s="580">
        <f t="shared" si="54"/>
        <v>0</v>
      </c>
      <c r="BO66" s="580">
        <f t="shared" si="54"/>
        <v>0</v>
      </c>
      <c r="BP66" s="580">
        <f t="shared" si="54"/>
        <v>0</v>
      </c>
      <c r="BQ66" s="580">
        <f t="shared" si="54"/>
        <v>0</v>
      </c>
      <c r="BR66" s="580">
        <f t="shared" ref="BR66:BS66" si="55">SUM(BR67:BR68)</f>
        <v>0</v>
      </c>
      <c r="BS66" s="580">
        <f t="shared" si="55"/>
        <v>0</v>
      </c>
      <c r="BT66" s="580">
        <f t="shared" ref="BT66:BU66" si="56">SUM(BT67:BT68)</f>
        <v>0</v>
      </c>
      <c r="BU66" s="580">
        <f t="shared" si="56"/>
        <v>0</v>
      </c>
      <c r="BV66" s="580">
        <f t="shared" ref="BV66:BW66" si="57">SUM(BV67:BV68)</f>
        <v>0</v>
      </c>
      <c r="BW66" s="580">
        <f t="shared" si="57"/>
        <v>0</v>
      </c>
    </row>
    <row r="67" spans="1:75" s="240" customFormat="1">
      <c r="B67" s="209" t="s">
        <v>872</v>
      </c>
      <c r="C67" s="209" t="s">
        <v>873</v>
      </c>
      <c r="F67" s="251"/>
      <c r="G67" s="251"/>
      <c r="H67" s="251"/>
      <c r="I67" s="251"/>
      <c r="J67" s="251"/>
      <c r="K67" s="251"/>
      <c r="L67" s="251"/>
      <c r="M67" s="251"/>
      <c r="N67" s="251"/>
      <c r="O67" s="251"/>
      <c r="P67" s="251"/>
      <c r="Q67" s="251"/>
      <c r="R67" s="251"/>
      <c r="S67" s="251"/>
      <c r="T67" s="251"/>
      <c r="U67" s="251"/>
      <c r="V67" s="251"/>
      <c r="W67" s="251"/>
      <c r="X67" s="251"/>
      <c r="Y67" s="251"/>
      <c r="Z67" s="251"/>
      <c r="AA67" s="251"/>
      <c r="AB67" s="251"/>
      <c r="AC67" s="251"/>
      <c r="AD67" s="251"/>
      <c r="AF67" s="579"/>
      <c r="AG67" s="579"/>
      <c r="AH67" s="579"/>
      <c r="AI67" s="579"/>
      <c r="AJ67" s="579"/>
      <c r="AK67" s="579"/>
      <c r="AL67" s="579"/>
      <c r="AM67" s="579"/>
      <c r="AN67" s="579"/>
      <c r="AO67" s="579"/>
      <c r="AP67" s="579"/>
      <c r="AQ67" s="579"/>
      <c r="AR67" s="579"/>
      <c r="AS67" s="579"/>
      <c r="AT67" s="579"/>
      <c r="AU67" s="579"/>
      <c r="AV67" s="579"/>
      <c r="AW67" s="579"/>
      <c r="AX67" s="579"/>
      <c r="AY67" s="579"/>
      <c r="AZ67" s="579"/>
      <c r="BA67" s="579"/>
      <c r="BB67" s="579"/>
      <c r="BC67" s="579"/>
      <c r="BD67" s="579"/>
      <c r="BE67" s="579"/>
      <c r="BF67" s="579"/>
      <c r="BG67" s="579"/>
      <c r="BH67" s="579"/>
      <c r="BI67" s="579"/>
      <c r="BJ67" s="579"/>
      <c r="BK67" s="579"/>
      <c r="BL67" s="579"/>
      <c r="BM67" s="579"/>
      <c r="BN67" s="579"/>
      <c r="BO67" s="579"/>
      <c r="BP67" s="579"/>
      <c r="BQ67" s="579"/>
      <c r="BR67" s="579"/>
      <c r="BS67" s="579"/>
      <c r="BT67" s="579"/>
      <c r="BU67" s="579"/>
      <c r="BV67" s="579"/>
      <c r="BW67" s="579"/>
    </row>
    <row r="68" spans="1:75" s="240" customFormat="1">
      <c r="B68" s="209" t="s">
        <v>874</v>
      </c>
      <c r="C68" s="209" t="s">
        <v>875</v>
      </c>
      <c r="F68" s="251"/>
      <c r="G68" s="251"/>
      <c r="H68" s="251"/>
      <c r="I68" s="251"/>
      <c r="J68" s="251"/>
      <c r="K68" s="251"/>
      <c r="L68" s="251"/>
      <c r="M68" s="251"/>
      <c r="N68" s="251"/>
      <c r="O68" s="251"/>
      <c r="P68" s="251"/>
      <c r="Q68" s="251"/>
      <c r="R68" s="251"/>
      <c r="S68" s="251"/>
      <c r="T68" s="251"/>
      <c r="U68" s="251"/>
      <c r="V68" s="251"/>
      <c r="W68" s="251"/>
      <c r="X68" s="251"/>
      <c r="Y68" s="251"/>
      <c r="Z68" s="251"/>
      <c r="AA68" s="251"/>
      <c r="AB68" s="251"/>
      <c r="AC68" s="251"/>
      <c r="AD68" s="251"/>
      <c r="AF68" s="579"/>
      <c r="AG68" s="579"/>
      <c r="AH68" s="579"/>
      <c r="AI68" s="579"/>
      <c r="AJ68" s="579"/>
      <c r="AK68" s="579"/>
      <c r="AL68" s="579"/>
      <c r="AM68" s="579"/>
      <c r="AN68" s="579"/>
      <c r="AO68" s="579"/>
      <c r="AP68" s="579"/>
      <c r="AQ68" s="579"/>
      <c r="AR68" s="579"/>
      <c r="AS68" s="579"/>
      <c r="AT68" s="579"/>
      <c r="AU68" s="579"/>
      <c r="AV68" s="579"/>
      <c r="AW68" s="579"/>
      <c r="AX68" s="579"/>
      <c r="AY68" s="579"/>
      <c r="AZ68" s="579"/>
      <c r="BA68" s="579"/>
      <c r="BB68" s="579"/>
      <c r="BC68" s="579"/>
      <c r="BD68" s="579"/>
      <c r="BE68" s="579"/>
      <c r="BF68" s="579"/>
      <c r="BG68" s="579"/>
      <c r="BH68" s="579"/>
      <c r="BI68" s="579"/>
      <c r="BJ68" s="579"/>
      <c r="BK68" s="579"/>
      <c r="BL68" s="579"/>
      <c r="BM68" s="579"/>
      <c r="BN68" s="579"/>
      <c r="BO68" s="579"/>
      <c r="BP68" s="579"/>
      <c r="BQ68" s="579"/>
      <c r="BR68" s="579"/>
      <c r="BS68" s="579"/>
      <c r="BT68" s="579"/>
      <c r="BU68" s="579"/>
      <c r="BV68" s="579"/>
      <c r="BW68" s="579"/>
    </row>
    <row r="69" spans="1:75" s="245" customFormat="1">
      <c r="B69" s="243" t="s">
        <v>876</v>
      </c>
      <c r="C69" s="243" t="s">
        <v>877</v>
      </c>
      <c r="F69" s="245">
        <f t="shared" ref="F69:AD69" si="58">SUM(F70:F76)</f>
        <v>0</v>
      </c>
      <c r="G69" s="245">
        <f t="shared" si="58"/>
        <v>0</v>
      </c>
      <c r="H69" s="245">
        <f t="shared" si="58"/>
        <v>0</v>
      </c>
      <c r="I69" s="245">
        <f t="shared" si="58"/>
        <v>0</v>
      </c>
      <c r="J69" s="245">
        <f t="shared" si="58"/>
        <v>0</v>
      </c>
      <c r="K69" s="245">
        <f t="shared" si="58"/>
        <v>0</v>
      </c>
      <c r="M69" s="245">
        <f t="shared" si="58"/>
        <v>0</v>
      </c>
      <c r="N69" s="245">
        <f t="shared" si="58"/>
        <v>0</v>
      </c>
      <c r="O69" s="245">
        <f t="shared" si="58"/>
        <v>0</v>
      </c>
      <c r="P69" s="245">
        <f t="shared" si="58"/>
        <v>0</v>
      </c>
      <c r="Q69" s="245">
        <f t="shared" si="58"/>
        <v>0</v>
      </c>
      <c r="R69" s="245">
        <f t="shared" si="58"/>
        <v>0</v>
      </c>
      <c r="S69" s="245">
        <f t="shared" si="58"/>
        <v>0</v>
      </c>
      <c r="T69" s="245">
        <f t="shared" si="58"/>
        <v>0</v>
      </c>
      <c r="U69" s="245">
        <f t="shared" si="58"/>
        <v>0</v>
      </c>
      <c r="V69" s="245">
        <f t="shared" si="58"/>
        <v>0</v>
      </c>
      <c r="W69" s="245">
        <f t="shared" si="58"/>
        <v>0</v>
      </c>
      <c r="X69" s="245">
        <f t="shared" si="58"/>
        <v>0</v>
      </c>
      <c r="Y69" s="245">
        <f t="shared" si="58"/>
        <v>0</v>
      </c>
      <c r="Z69" s="245">
        <f>SUM(Z70:Z76)</f>
        <v>0</v>
      </c>
      <c r="AA69" s="245">
        <f>SUM(AA70:AA76)</f>
        <v>0</v>
      </c>
      <c r="AB69" s="245">
        <f>SUM(AB70:AB76)</f>
        <v>0</v>
      </c>
      <c r="AC69" s="245">
        <f t="shared" si="58"/>
        <v>0</v>
      </c>
      <c r="AD69" s="245">
        <f t="shared" si="58"/>
        <v>0</v>
      </c>
      <c r="AF69" s="580">
        <f t="shared" ref="AF69:BK69" si="59">SUM(AF70:AF76)</f>
        <v>0</v>
      </c>
      <c r="AG69" s="580">
        <f t="shared" si="59"/>
        <v>0</v>
      </c>
      <c r="AH69" s="580">
        <f t="shared" si="59"/>
        <v>0</v>
      </c>
      <c r="AI69" s="580">
        <f t="shared" si="59"/>
        <v>0</v>
      </c>
      <c r="AJ69" s="580">
        <f t="shared" si="59"/>
        <v>0</v>
      </c>
      <c r="AK69" s="580">
        <f t="shared" si="59"/>
        <v>0</v>
      </c>
      <c r="AL69" s="580">
        <f t="shared" si="59"/>
        <v>0</v>
      </c>
      <c r="AM69" s="580">
        <f t="shared" si="59"/>
        <v>0</v>
      </c>
      <c r="AN69" s="580">
        <f t="shared" si="59"/>
        <v>0</v>
      </c>
      <c r="AO69" s="580">
        <f t="shared" si="59"/>
        <v>0</v>
      </c>
      <c r="AP69" s="580">
        <f t="shared" si="59"/>
        <v>0</v>
      </c>
      <c r="AQ69" s="580">
        <f t="shared" si="59"/>
        <v>0</v>
      </c>
      <c r="AR69" s="580">
        <f t="shared" si="59"/>
        <v>0</v>
      </c>
      <c r="AS69" s="580">
        <f t="shared" si="59"/>
        <v>0</v>
      </c>
      <c r="AT69" s="580">
        <f t="shared" si="59"/>
        <v>0</v>
      </c>
      <c r="AU69" s="580">
        <f t="shared" si="59"/>
        <v>0</v>
      </c>
      <c r="AV69" s="580">
        <f t="shared" si="59"/>
        <v>0</v>
      </c>
      <c r="AW69" s="580">
        <f t="shared" si="59"/>
        <v>0</v>
      </c>
      <c r="AX69" s="580">
        <f t="shared" si="59"/>
        <v>0</v>
      </c>
      <c r="AY69" s="580">
        <f t="shared" si="59"/>
        <v>0</v>
      </c>
      <c r="AZ69" s="580">
        <f t="shared" si="59"/>
        <v>0</v>
      </c>
      <c r="BA69" s="580">
        <f t="shared" si="59"/>
        <v>0</v>
      </c>
      <c r="BB69" s="580">
        <f t="shared" si="59"/>
        <v>0</v>
      </c>
      <c r="BC69" s="580">
        <f t="shared" si="59"/>
        <v>0</v>
      </c>
      <c r="BD69" s="580">
        <f t="shared" si="59"/>
        <v>0</v>
      </c>
      <c r="BE69" s="580">
        <f t="shared" si="59"/>
        <v>0</v>
      </c>
      <c r="BF69" s="580">
        <f t="shared" si="59"/>
        <v>0</v>
      </c>
      <c r="BG69" s="580">
        <f t="shared" si="59"/>
        <v>0</v>
      </c>
      <c r="BH69" s="580">
        <f t="shared" si="59"/>
        <v>0</v>
      </c>
      <c r="BI69" s="580">
        <f t="shared" si="59"/>
        <v>0</v>
      </c>
      <c r="BJ69" s="580">
        <f t="shared" si="59"/>
        <v>0</v>
      </c>
      <c r="BK69" s="580">
        <f t="shared" si="59"/>
        <v>0</v>
      </c>
      <c r="BL69" s="580">
        <f t="shared" ref="BL69:BQ69" si="60">SUM(BL70:BL76)</f>
        <v>0</v>
      </c>
      <c r="BM69" s="580">
        <f t="shared" si="60"/>
        <v>0</v>
      </c>
      <c r="BN69" s="580">
        <f t="shared" si="60"/>
        <v>0</v>
      </c>
      <c r="BO69" s="580">
        <f t="shared" si="60"/>
        <v>0</v>
      </c>
      <c r="BP69" s="580">
        <f t="shared" si="60"/>
        <v>0</v>
      </c>
      <c r="BQ69" s="580">
        <f t="shared" si="60"/>
        <v>0</v>
      </c>
      <c r="BR69" s="580">
        <f t="shared" ref="BR69:BS69" si="61">SUM(BR70:BR76)</f>
        <v>0</v>
      </c>
      <c r="BS69" s="580">
        <f t="shared" si="61"/>
        <v>0</v>
      </c>
      <c r="BT69" s="580">
        <f t="shared" ref="BT69:BU69" si="62">SUM(BT70:BT76)</f>
        <v>0</v>
      </c>
      <c r="BU69" s="580">
        <f t="shared" si="62"/>
        <v>0</v>
      </c>
      <c r="BV69" s="580">
        <f t="shared" ref="BV69:BW69" si="63">SUM(BV70:BV76)</f>
        <v>0</v>
      </c>
      <c r="BW69" s="580">
        <f t="shared" si="63"/>
        <v>0</v>
      </c>
    </row>
    <row r="70" spans="1:75" s="240" customFormat="1">
      <c r="B70" s="209" t="s">
        <v>878</v>
      </c>
      <c r="C70" s="209" t="s">
        <v>879</v>
      </c>
      <c r="F70" s="251"/>
      <c r="G70" s="251"/>
      <c r="H70" s="251"/>
      <c r="I70" s="251"/>
      <c r="J70" s="251"/>
      <c r="K70" s="251"/>
      <c r="L70" s="251"/>
      <c r="M70" s="251"/>
      <c r="N70" s="251"/>
      <c r="O70" s="251"/>
      <c r="P70" s="251"/>
      <c r="Q70" s="251"/>
      <c r="R70" s="251"/>
      <c r="S70" s="251"/>
      <c r="T70" s="251"/>
      <c r="U70" s="251"/>
      <c r="V70" s="251"/>
      <c r="W70" s="251"/>
      <c r="X70" s="251"/>
      <c r="Y70" s="251"/>
      <c r="Z70" s="251"/>
      <c r="AA70" s="251"/>
      <c r="AB70" s="251"/>
      <c r="AC70" s="251"/>
      <c r="AD70" s="251"/>
      <c r="AF70" s="579"/>
      <c r="AG70" s="579"/>
      <c r="AH70" s="579"/>
      <c r="AI70" s="579"/>
      <c r="AJ70" s="579"/>
      <c r="AK70" s="579"/>
      <c r="AL70" s="579"/>
      <c r="AM70" s="579"/>
      <c r="AN70" s="579"/>
      <c r="AO70" s="579"/>
      <c r="AP70" s="579"/>
      <c r="AQ70" s="579"/>
      <c r="AR70" s="579"/>
      <c r="AS70" s="579"/>
      <c r="AT70" s="579"/>
      <c r="AU70" s="579"/>
      <c r="AV70" s="579"/>
      <c r="AW70" s="579"/>
      <c r="AX70" s="579"/>
      <c r="AY70" s="579"/>
      <c r="AZ70" s="579"/>
      <c r="BA70" s="579"/>
      <c r="BB70" s="579"/>
      <c r="BC70" s="579"/>
      <c r="BD70" s="579"/>
      <c r="BE70" s="579"/>
      <c r="BF70" s="579"/>
      <c r="BG70" s="579"/>
      <c r="BH70" s="579"/>
      <c r="BI70" s="579"/>
      <c r="BJ70" s="579"/>
      <c r="BK70" s="579"/>
      <c r="BL70" s="579"/>
      <c r="BM70" s="579"/>
      <c r="BN70" s="579"/>
      <c r="BO70" s="579"/>
      <c r="BP70" s="579"/>
      <c r="BQ70" s="579"/>
      <c r="BR70" s="579"/>
      <c r="BS70" s="579"/>
      <c r="BT70" s="579"/>
      <c r="BU70" s="579"/>
      <c r="BV70" s="579"/>
      <c r="BW70" s="579"/>
    </row>
    <row r="71" spans="1:75" s="240" customFormat="1">
      <c r="B71" s="209" t="s">
        <v>880</v>
      </c>
      <c r="C71" s="209" t="s">
        <v>881</v>
      </c>
      <c r="F71" s="251"/>
      <c r="G71" s="251"/>
      <c r="H71" s="251"/>
      <c r="I71" s="251"/>
      <c r="J71" s="251"/>
      <c r="K71" s="251"/>
      <c r="L71" s="251"/>
      <c r="M71" s="251"/>
      <c r="N71" s="251"/>
      <c r="O71" s="251"/>
      <c r="P71" s="251"/>
      <c r="Q71" s="251"/>
      <c r="R71" s="251"/>
      <c r="S71" s="251"/>
      <c r="T71" s="251"/>
      <c r="U71" s="251"/>
      <c r="V71" s="251"/>
      <c r="W71" s="251"/>
      <c r="X71" s="251"/>
      <c r="Y71" s="251"/>
      <c r="Z71" s="251"/>
      <c r="AA71" s="251"/>
      <c r="AB71" s="251"/>
      <c r="AC71" s="251"/>
      <c r="AD71" s="251"/>
      <c r="AF71" s="579"/>
      <c r="AG71" s="579"/>
      <c r="AH71" s="579"/>
      <c r="AI71" s="579"/>
      <c r="AJ71" s="579"/>
      <c r="AK71" s="579"/>
      <c r="AL71" s="579"/>
      <c r="AM71" s="579"/>
      <c r="AN71" s="579"/>
      <c r="AO71" s="579"/>
      <c r="AP71" s="579"/>
      <c r="AQ71" s="579"/>
      <c r="AR71" s="579"/>
      <c r="AS71" s="579"/>
      <c r="AT71" s="579"/>
      <c r="AU71" s="579"/>
      <c r="AV71" s="579"/>
      <c r="AW71" s="579"/>
      <c r="AX71" s="579"/>
      <c r="AY71" s="579"/>
      <c r="AZ71" s="579"/>
      <c r="BA71" s="579"/>
      <c r="BB71" s="579"/>
      <c r="BC71" s="579"/>
      <c r="BD71" s="579"/>
      <c r="BE71" s="579"/>
      <c r="BF71" s="579"/>
      <c r="BG71" s="579"/>
      <c r="BH71" s="579"/>
      <c r="BI71" s="579"/>
      <c r="BJ71" s="579"/>
      <c r="BK71" s="579"/>
      <c r="BL71" s="579"/>
      <c r="BM71" s="579"/>
      <c r="BN71" s="579"/>
      <c r="BO71" s="579"/>
      <c r="BP71" s="579"/>
      <c r="BQ71" s="579"/>
      <c r="BR71" s="579"/>
      <c r="BS71" s="579"/>
      <c r="BT71" s="579"/>
      <c r="BU71" s="579"/>
      <c r="BV71" s="579"/>
      <c r="BW71" s="579"/>
    </row>
    <row r="72" spans="1:75" s="240" customFormat="1">
      <c r="B72" s="209" t="s">
        <v>882</v>
      </c>
      <c r="C72" s="209" t="s">
        <v>883</v>
      </c>
      <c r="F72" s="251"/>
      <c r="G72" s="251"/>
      <c r="H72" s="251"/>
      <c r="I72" s="251"/>
      <c r="J72" s="251"/>
      <c r="K72" s="251"/>
      <c r="L72" s="251"/>
      <c r="M72" s="251"/>
      <c r="N72" s="251"/>
      <c r="O72" s="251"/>
      <c r="P72" s="251"/>
      <c r="Q72" s="251"/>
      <c r="R72" s="251"/>
      <c r="S72" s="251"/>
      <c r="T72" s="251"/>
      <c r="U72" s="251"/>
      <c r="V72" s="251"/>
      <c r="W72" s="251"/>
      <c r="X72" s="251"/>
      <c r="Y72" s="251"/>
      <c r="Z72" s="251"/>
      <c r="AA72" s="251"/>
      <c r="AB72" s="251"/>
      <c r="AC72" s="251"/>
      <c r="AD72" s="251"/>
      <c r="AF72" s="579"/>
      <c r="AG72" s="579"/>
      <c r="AH72" s="579"/>
      <c r="AI72" s="579"/>
      <c r="AJ72" s="579"/>
      <c r="AK72" s="579"/>
      <c r="AL72" s="579"/>
      <c r="AM72" s="579"/>
      <c r="AN72" s="579"/>
      <c r="AO72" s="579"/>
      <c r="AP72" s="579"/>
      <c r="AQ72" s="579"/>
      <c r="AR72" s="579"/>
      <c r="AS72" s="579"/>
      <c r="AT72" s="579"/>
      <c r="AU72" s="579"/>
      <c r="AV72" s="579"/>
      <c r="AW72" s="579"/>
      <c r="AX72" s="579"/>
      <c r="AY72" s="579"/>
      <c r="AZ72" s="579"/>
      <c r="BA72" s="579"/>
      <c r="BB72" s="579"/>
      <c r="BC72" s="579"/>
      <c r="BD72" s="579"/>
      <c r="BE72" s="579"/>
      <c r="BF72" s="579"/>
      <c r="BG72" s="579"/>
      <c r="BH72" s="579"/>
      <c r="BI72" s="579"/>
      <c r="BJ72" s="579"/>
      <c r="BK72" s="579"/>
      <c r="BL72" s="579"/>
      <c r="BM72" s="579"/>
      <c r="BN72" s="579"/>
      <c r="BO72" s="579"/>
      <c r="BP72" s="579"/>
      <c r="BQ72" s="579"/>
      <c r="BR72" s="579"/>
      <c r="BS72" s="579"/>
      <c r="BT72" s="579"/>
      <c r="BU72" s="579"/>
      <c r="BV72" s="579"/>
      <c r="BW72" s="579"/>
    </row>
    <row r="73" spans="1:75" s="240" customFormat="1">
      <c r="B73" s="209" t="s">
        <v>884</v>
      </c>
      <c r="C73" s="209" t="s">
        <v>885</v>
      </c>
      <c r="F73" s="251"/>
      <c r="G73" s="251"/>
      <c r="H73" s="251"/>
      <c r="I73" s="251"/>
      <c r="J73" s="251"/>
      <c r="K73" s="251"/>
      <c r="L73" s="251"/>
      <c r="M73" s="251"/>
      <c r="N73" s="251"/>
      <c r="O73" s="251"/>
      <c r="P73" s="251"/>
      <c r="Q73" s="251"/>
      <c r="R73" s="251"/>
      <c r="S73" s="251"/>
      <c r="T73" s="251"/>
      <c r="U73" s="251"/>
      <c r="V73" s="251"/>
      <c r="W73" s="251"/>
      <c r="X73" s="251"/>
      <c r="Y73" s="251"/>
      <c r="Z73" s="251"/>
      <c r="AA73" s="251"/>
      <c r="AB73" s="251"/>
      <c r="AC73" s="251"/>
      <c r="AD73" s="251"/>
      <c r="AF73" s="579"/>
      <c r="AG73" s="579"/>
      <c r="AH73" s="579"/>
      <c r="AI73" s="579"/>
      <c r="AJ73" s="579"/>
      <c r="AK73" s="579"/>
      <c r="AL73" s="579"/>
      <c r="AM73" s="579"/>
      <c r="AN73" s="579"/>
      <c r="AO73" s="579"/>
      <c r="AP73" s="579"/>
      <c r="AQ73" s="579"/>
      <c r="AR73" s="579"/>
      <c r="AS73" s="579"/>
      <c r="AT73" s="579"/>
      <c r="AU73" s="579"/>
      <c r="AV73" s="579"/>
      <c r="AW73" s="579"/>
      <c r="AX73" s="579"/>
      <c r="AY73" s="579"/>
      <c r="AZ73" s="579"/>
      <c r="BA73" s="579"/>
      <c r="BB73" s="579"/>
      <c r="BC73" s="579"/>
      <c r="BD73" s="579"/>
      <c r="BE73" s="579"/>
      <c r="BF73" s="579"/>
      <c r="BG73" s="579"/>
      <c r="BH73" s="579"/>
      <c r="BI73" s="579"/>
      <c r="BJ73" s="579"/>
      <c r="BK73" s="579"/>
      <c r="BL73" s="579"/>
      <c r="BM73" s="579"/>
      <c r="BN73" s="579"/>
      <c r="BO73" s="579"/>
      <c r="BP73" s="579"/>
      <c r="BQ73" s="579"/>
      <c r="BR73" s="579"/>
      <c r="BS73" s="579"/>
      <c r="BT73" s="579"/>
      <c r="BU73" s="579"/>
      <c r="BV73" s="579"/>
      <c r="BW73" s="579"/>
    </row>
    <row r="74" spans="1:75" s="240" customFormat="1">
      <c r="B74" s="209" t="s">
        <v>886</v>
      </c>
      <c r="C74" s="209" t="s">
        <v>887</v>
      </c>
      <c r="F74" s="251"/>
      <c r="G74" s="251"/>
      <c r="H74" s="251"/>
      <c r="I74" s="251"/>
      <c r="J74" s="251"/>
      <c r="K74" s="251"/>
      <c r="L74" s="251"/>
      <c r="M74" s="251"/>
      <c r="N74" s="251"/>
      <c r="O74" s="251"/>
      <c r="P74" s="251"/>
      <c r="Q74" s="251"/>
      <c r="R74" s="251"/>
      <c r="S74" s="251"/>
      <c r="T74" s="251"/>
      <c r="U74" s="251"/>
      <c r="V74" s="251"/>
      <c r="W74" s="251"/>
      <c r="X74" s="251"/>
      <c r="Y74" s="251"/>
      <c r="Z74" s="251"/>
      <c r="AA74" s="251"/>
      <c r="AB74" s="251"/>
      <c r="AC74" s="251"/>
      <c r="AD74" s="251"/>
      <c r="AF74" s="579"/>
      <c r="AG74" s="579"/>
      <c r="AH74" s="579"/>
      <c r="AI74" s="579"/>
      <c r="AJ74" s="579"/>
      <c r="AK74" s="579"/>
      <c r="AL74" s="579"/>
      <c r="AM74" s="579"/>
      <c r="AN74" s="579"/>
      <c r="AO74" s="579"/>
      <c r="AP74" s="579"/>
      <c r="AQ74" s="579"/>
      <c r="AR74" s="579"/>
      <c r="AS74" s="579"/>
      <c r="AT74" s="579"/>
      <c r="AU74" s="579"/>
      <c r="AV74" s="579"/>
      <c r="AW74" s="579"/>
      <c r="AX74" s="579"/>
      <c r="AY74" s="579"/>
      <c r="AZ74" s="579"/>
      <c r="BA74" s="579"/>
      <c r="BB74" s="579"/>
      <c r="BC74" s="579"/>
      <c r="BD74" s="579"/>
      <c r="BE74" s="579"/>
      <c r="BF74" s="579"/>
      <c r="BG74" s="579"/>
      <c r="BH74" s="579"/>
      <c r="BI74" s="579"/>
      <c r="BJ74" s="579"/>
      <c r="BK74" s="579"/>
      <c r="BL74" s="579"/>
      <c r="BM74" s="579"/>
      <c r="BN74" s="579"/>
      <c r="BO74" s="579"/>
      <c r="BP74" s="579"/>
      <c r="BQ74" s="579"/>
      <c r="BR74" s="579"/>
      <c r="BS74" s="579"/>
      <c r="BT74" s="579"/>
      <c r="BU74" s="579"/>
      <c r="BV74" s="579"/>
      <c r="BW74" s="579"/>
    </row>
    <row r="75" spans="1:75" s="240" customFormat="1">
      <c r="B75" s="209" t="s">
        <v>888</v>
      </c>
      <c r="C75" s="209" t="s">
        <v>765</v>
      </c>
      <c r="F75" s="251"/>
      <c r="G75" s="251"/>
      <c r="H75" s="251"/>
      <c r="I75" s="251"/>
      <c r="J75" s="251"/>
      <c r="K75" s="251"/>
      <c r="L75" s="251"/>
      <c r="M75" s="251"/>
      <c r="N75" s="251"/>
      <c r="O75" s="251"/>
      <c r="P75" s="251"/>
      <c r="Q75" s="251"/>
      <c r="R75" s="251"/>
      <c r="S75" s="251"/>
      <c r="T75" s="251"/>
      <c r="U75" s="251"/>
      <c r="V75" s="251"/>
      <c r="W75" s="251"/>
      <c r="X75" s="251"/>
      <c r="Y75" s="251"/>
      <c r="Z75" s="251"/>
      <c r="AA75" s="251"/>
      <c r="AB75" s="251"/>
      <c r="AC75" s="251"/>
      <c r="AD75" s="251"/>
      <c r="AF75" s="579"/>
      <c r="AG75" s="579"/>
      <c r="AH75" s="579"/>
      <c r="AI75" s="579"/>
      <c r="AJ75" s="579"/>
      <c r="AK75" s="579"/>
      <c r="AL75" s="579"/>
      <c r="AM75" s="579"/>
      <c r="AN75" s="579"/>
      <c r="AO75" s="579"/>
      <c r="AP75" s="579"/>
      <c r="AQ75" s="579"/>
      <c r="AR75" s="579"/>
      <c r="AS75" s="579"/>
      <c r="AT75" s="579"/>
      <c r="AU75" s="579"/>
      <c r="AV75" s="579"/>
      <c r="AW75" s="579"/>
      <c r="AX75" s="579"/>
      <c r="AY75" s="579"/>
      <c r="AZ75" s="579"/>
      <c r="BA75" s="579"/>
      <c r="BB75" s="579"/>
      <c r="BC75" s="579"/>
      <c r="BD75" s="579"/>
      <c r="BE75" s="579"/>
      <c r="BF75" s="579"/>
      <c r="BG75" s="579"/>
      <c r="BH75" s="579"/>
      <c r="BI75" s="579"/>
      <c r="BJ75" s="579"/>
      <c r="BK75" s="579"/>
      <c r="BL75" s="579"/>
      <c r="BM75" s="579"/>
      <c r="BN75" s="579"/>
      <c r="BO75" s="579"/>
      <c r="BP75" s="579"/>
      <c r="BQ75" s="579"/>
      <c r="BR75" s="579"/>
      <c r="BS75" s="579"/>
      <c r="BT75" s="579"/>
      <c r="BU75" s="579"/>
      <c r="BV75" s="579"/>
      <c r="BW75" s="579"/>
    </row>
    <row r="76" spans="1:75" s="240" customFormat="1">
      <c r="B76" s="209" t="s">
        <v>889</v>
      </c>
      <c r="C76" s="209" t="s">
        <v>890</v>
      </c>
      <c r="F76" s="251"/>
      <c r="G76" s="251"/>
      <c r="H76" s="251"/>
      <c r="I76" s="251"/>
      <c r="J76" s="251"/>
      <c r="K76" s="251"/>
      <c r="L76" s="251"/>
      <c r="M76" s="251"/>
      <c r="N76" s="251"/>
      <c r="O76" s="251"/>
      <c r="P76" s="251"/>
      <c r="Q76" s="251"/>
      <c r="R76" s="251"/>
      <c r="S76" s="251"/>
      <c r="T76" s="251"/>
      <c r="U76" s="251"/>
      <c r="V76" s="251"/>
      <c r="W76" s="251"/>
      <c r="X76" s="251"/>
      <c r="Y76" s="251"/>
      <c r="Z76" s="251"/>
      <c r="AA76" s="251"/>
      <c r="AB76" s="251"/>
      <c r="AC76" s="251"/>
      <c r="AD76" s="251"/>
      <c r="AF76" s="579"/>
      <c r="AG76" s="579"/>
      <c r="AH76" s="579"/>
      <c r="AI76" s="579"/>
      <c r="AJ76" s="579"/>
      <c r="AK76" s="579"/>
      <c r="AL76" s="579"/>
      <c r="AM76" s="579"/>
      <c r="AN76" s="579"/>
      <c r="AO76" s="579"/>
      <c r="AP76" s="579"/>
      <c r="AQ76" s="579"/>
      <c r="AR76" s="579"/>
      <c r="AS76" s="579"/>
      <c r="AT76" s="579"/>
      <c r="AU76" s="579"/>
      <c r="AV76" s="579"/>
      <c r="AW76" s="579"/>
      <c r="AX76" s="579"/>
      <c r="AY76" s="579"/>
      <c r="AZ76" s="579"/>
      <c r="BA76" s="579"/>
      <c r="BB76" s="579"/>
      <c r="BC76" s="579"/>
      <c r="BD76" s="579"/>
      <c r="BE76" s="579"/>
      <c r="BF76" s="579"/>
      <c r="BG76" s="579"/>
      <c r="BH76" s="579"/>
      <c r="BI76" s="579"/>
      <c r="BJ76" s="579"/>
      <c r="BK76" s="579"/>
      <c r="BL76" s="579"/>
      <c r="BM76" s="579"/>
      <c r="BN76" s="579"/>
      <c r="BO76" s="579"/>
      <c r="BP76" s="579"/>
      <c r="BQ76" s="579"/>
      <c r="BR76" s="579"/>
      <c r="BS76" s="579"/>
      <c r="BT76" s="579"/>
      <c r="BU76" s="579"/>
      <c r="BV76" s="579"/>
      <c r="BW76" s="579"/>
    </row>
    <row r="77" spans="1:75" s="245" customFormat="1">
      <c r="A77" s="243"/>
      <c r="B77" s="243" t="s">
        <v>891</v>
      </c>
      <c r="C77" s="243" t="s">
        <v>659</v>
      </c>
      <c r="D77" s="243"/>
      <c r="F77" s="245">
        <f t="shared" ref="F77:AD77" si="64">F40-F42</f>
        <v>0</v>
      </c>
      <c r="G77" s="245">
        <f t="shared" si="64"/>
        <v>0</v>
      </c>
      <c r="H77" s="245">
        <f t="shared" si="64"/>
        <v>0</v>
      </c>
      <c r="I77" s="245">
        <f t="shared" si="64"/>
        <v>0</v>
      </c>
      <c r="J77" s="245">
        <f t="shared" si="64"/>
        <v>0</v>
      </c>
      <c r="K77" s="245">
        <f t="shared" si="64"/>
        <v>0</v>
      </c>
      <c r="M77" s="245">
        <f t="shared" si="64"/>
        <v>7965.0889999999999</v>
      </c>
      <c r="N77" s="245">
        <f t="shared" si="64"/>
        <v>9237.0720000000001</v>
      </c>
      <c r="O77" s="245">
        <f t="shared" si="64"/>
        <v>9348.487000000001</v>
      </c>
      <c r="P77" s="245">
        <f t="shared" si="64"/>
        <v>14293.300000000003</v>
      </c>
      <c r="Q77" s="245">
        <f t="shared" si="64"/>
        <v>14893.800000000003</v>
      </c>
      <c r="R77" s="245">
        <f t="shared" si="64"/>
        <v>12294.600000000006</v>
      </c>
      <c r="S77" s="245">
        <f t="shared" si="64"/>
        <v>11243.100000000006</v>
      </c>
      <c r="T77" s="245">
        <f t="shared" si="64"/>
        <v>25580.499999999985</v>
      </c>
      <c r="U77" s="245">
        <f t="shared" si="64"/>
        <v>31742.199999999983</v>
      </c>
      <c r="V77" s="245">
        <f t="shared" si="64"/>
        <v>37199.899999999994</v>
      </c>
      <c r="W77" s="245">
        <f t="shared" si="64"/>
        <v>36380.500000000029</v>
      </c>
      <c r="X77" s="245">
        <f t="shared" si="64"/>
        <v>42463.299999999988</v>
      </c>
      <c r="Y77" s="245">
        <f t="shared" si="64"/>
        <v>41667.700000000012</v>
      </c>
      <c r="Z77" s="245">
        <f>Z40-Z42</f>
        <v>47819.399999999994</v>
      </c>
      <c r="AA77" s="245">
        <f>AA40-AA42</f>
        <v>44223.5</v>
      </c>
      <c r="AB77" s="245">
        <f>AB40-AB42</f>
        <v>51977.351072065212</v>
      </c>
      <c r="AC77" s="245">
        <f t="shared" si="64"/>
        <v>60460.231911464944</v>
      </c>
      <c r="AD77" s="245">
        <f t="shared" si="64"/>
        <v>66737.08608786331</v>
      </c>
      <c r="AF77" s="580">
        <f>AF40-AF42</f>
        <v>3606.8999999999978</v>
      </c>
      <c r="AG77" s="580">
        <f t="shared" ref="AG77:BK77" si="65">AG40-AG42</f>
        <v>3651.8999999999978</v>
      </c>
      <c r="AH77" s="580">
        <f t="shared" si="65"/>
        <v>3636.2000000000007</v>
      </c>
      <c r="AI77" s="580">
        <f t="shared" si="65"/>
        <v>3262.8999999999978</v>
      </c>
      <c r="AJ77" s="580">
        <f t="shared" si="65"/>
        <v>2749</v>
      </c>
      <c r="AK77" s="580">
        <f t="shared" si="65"/>
        <v>3780.5</v>
      </c>
      <c r="AL77" s="580">
        <f t="shared" si="65"/>
        <v>3669.7999999999993</v>
      </c>
      <c r="AM77" s="580">
        <f t="shared" si="65"/>
        <v>2615.7000000000007</v>
      </c>
      <c r="AN77" s="580">
        <f t="shared" si="65"/>
        <v>2667.9000000000015</v>
      </c>
      <c r="AO77" s="580">
        <f t="shared" si="65"/>
        <v>3438.2000000000007</v>
      </c>
      <c r="AP77" s="580">
        <f t="shared" si="65"/>
        <v>3058.3999999999978</v>
      </c>
      <c r="AQ77" s="580">
        <f t="shared" si="65"/>
        <v>3028.4000000000015</v>
      </c>
      <c r="AR77" s="580">
        <f t="shared" si="65"/>
        <v>4554.1999999999971</v>
      </c>
      <c r="AS77" s="580">
        <f t="shared" si="65"/>
        <v>6365.0999999999985</v>
      </c>
      <c r="AT77" s="580">
        <f t="shared" si="65"/>
        <v>7235.3000000000029</v>
      </c>
      <c r="AU77" s="580">
        <f t="shared" si="65"/>
        <v>7771</v>
      </c>
      <c r="AV77" s="580">
        <f t="shared" si="65"/>
        <v>7769.2999999999956</v>
      </c>
      <c r="AW77" s="580">
        <f t="shared" si="65"/>
        <v>8971.6999999999971</v>
      </c>
      <c r="AX77" s="580">
        <f t="shared" si="65"/>
        <v>8493.2000000000044</v>
      </c>
      <c r="AY77" s="580">
        <f t="shared" si="65"/>
        <v>8034.0999999999985</v>
      </c>
      <c r="AZ77" s="580">
        <f t="shared" si="65"/>
        <v>8398.4000000000087</v>
      </c>
      <c r="BA77" s="580">
        <f t="shared" si="65"/>
        <v>10573.699999999997</v>
      </c>
      <c r="BB77" s="580">
        <f t="shared" si="65"/>
        <v>9841.2999999999956</v>
      </c>
      <c r="BC77" s="580">
        <f t="shared" si="65"/>
        <v>9205.8999999999942</v>
      </c>
      <c r="BD77" s="580">
        <f t="shared" si="65"/>
        <v>8716.9999999999927</v>
      </c>
      <c r="BE77" s="580">
        <f t="shared" si="65"/>
        <v>9152.0999999999985</v>
      </c>
      <c r="BF77" s="580">
        <f t="shared" si="65"/>
        <v>10117.499999999993</v>
      </c>
      <c r="BG77" s="580">
        <f t="shared" si="65"/>
        <v>8365.9000000000015</v>
      </c>
      <c r="BH77" s="580">
        <f t="shared" si="65"/>
        <v>10027.100000000006</v>
      </c>
      <c r="BI77" s="580">
        <f t="shared" si="65"/>
        <v>11713.199999999997</v>
      </c>
      <c r="BJ77" s="580">
        <f t="shared" si="65"/>
        <v>10396.599999999999</v>
      </c>
      <c r="BK77" s="580">
        <f t="shared" si="65"/>
        <v>9683.5999999999985</v>
      </c>
      <c r="BL77" s="580">
        <f t="shared" ref="BL77:BQ77" si="66">BL40-BL42</f>
        <v>9923.5999999999985</v>
      </c>
      <c r="BM77" s="580">
        <f t="shared" si="66"/>
        <v>11941.900000000001</v>
      </c>
      <c r="BN77" s="580">
        <f t="shared" si="66"/>
        <v>11478.399999999994</v>
      </c>
      <c r="BO77" s="580">
        <f t="shared" si="66"/>
        <v>8323.7999999999956</v>
      </c>
      <c r="BP77" s="580">
        <f t="shared" si="66"/>
        <v>11402.399999999994</v>
      </c>
      <c r="BQ77" s="580">
        <f t="shared" si="66"/>
        <v>13167.299999999996</v>
      </c>
      <c r="BR77" s="580">
        <f t="shared" ref="BR77:BS77" si="67">BR40-BR42</f>
        <v>11716.300000000003</v>
      </c>
      <c r="BS77" s="580">
        <f t="shared" si="67"/>
        <v>11533.599999999999</v>
      </c>
      <c r="BT77" s="580">
        <f t="shared" ref="BT77:BU77" si="68">BT40-BT42</f>
        <v>11763.300000000003</v>
      </c>
      <c r="BU77" s="580">
        <f t="shared" si="68"/>
        <v>12961.300000000003</v>
      </c>
      <c r="BV77" s="582">
        <f t="shared" ref="BV77:BW77" si="69">BV40-BV42</f>
        <v>10439.099999999999</v>
      </c>
      <c r="BW77" s="582">
        <f t="shared" si="69"/>
        <v>9059.8000000000102</v>
      </c>
    </row>
    <row r="78" spans="1:75" s="245" customFormat="1">
      <c r="A78" s="243"/>
      <c r="B78" s="243" t="s">
        <v>892</v>
      </c>
      <c r="C78" s="243" t="s">
        <v>893</v>
      </c>
      <c r="D78" s="243"/>
      <c r="F78" s="245">
        <f t="shared" ref="F78:AD78" si="70">F79+F80</f>
        <v>0</v>
      </c>
      <c r="G78" s="245">
        <f t="shared" si="70"/>
        <v>0</v>
      </c>
      <c r="H78" s="245">
        <f t="shared" si="70"/>
        <v>0</v>
      </c>
      <c r="I78" s="245">
        <f t="shared" si="70"/>
        <v>0</v>
      </c>
      <c r="J78" s="245">
        <f t="shared" si="70"/>
        <v>0</v>
      </c>
      <c r="K78" s="245">
        <f t="shared" si="70"/>
        <v>0</v>
      </c>
      <c r="M78" s="245">
        <f t="shared" si="70"/>
        <v>1711.5650000000001</v>
      </c>
      <c r="N78" s="245">
        <f t="shared" si="70"/>
        <v>1798.9459999999999</v>
      </c>
      <c r="O78" s="245">
        <f t="shared" si="70"/>
        <v>1853.663</v>
      </c>
      <c r="P78" s="245">
        <f t="shared" si="70"/>
        <v>1910</v>
      </c>
      <c r="Q78" s="245">
        <f t="shared" si="70"/>
        <v>1902.6</v>
      </c>
      <c r="R78" s="245">
        <f t="shared" si="70"/>
        <v>1746.1</v>
      </c>
      <c r="S78" s="245">
        <f t="shared" si="70"/>
        <v>1306.2</v>
      </c>
      <c r="T78" s="245">
        <f t="shared" si="70"/>
        <v>1364.5</v>
      </c>
      <c r="U78" s="245">
        <f t="shared" si="70"/>
        <v>1228.4000000000001</v>
      </c>
      <c r="V78" s="245">
        <f t="shared" si="70"/>
        <v>1456.2</v>
      </c>
      <c r="W78" s="245">
        <f t="shared" si="70"/>
        <v>1667.7</v>
      </c>
      <c r="X78" s="245">
        <f t="shared" si="70"/>
        <v>1796.1</v>
      </c>
      <c r="Y78" s="245">
        <f t="shared" si="70"/>
        <v>2674</v>
      </c>
      <c r="Z78" s="245">
        <f>Z79+Z80</f>
        <v>3071.6</v>
      </c>
      <c r="AA78" s="245">
        <f>AA79+AA80</f>
        <v>3072.9</v>
      </c>
      <c r="AB78" s="245">
        <f>AB79+AB80</f>
        <v>3374.2725000000005</v>
      </c>
      <c r="AC78" s="245">
        <f t="shared" si="70"/>
        <v>3650.2725000000005</v>
      </c>
      <c r="AD78" s="245">
        <f t="shared" si="70"/>
        <v>3983.1750000000002</v>
      </c>
      <c r="AF78" s="580">
        <f>AF79+AF80</f>
        <v>481.2</v>
      </c>
      <c r="AG78" s="580">
        <f t="shared" ref="AG78:BK78" si="71">AG79+AG80</f>
        <v>491.7</v>
      </c>
      <c r="AH78" s="580">
        <f t="shared" si="71"/>
        <v>472.1</v>
      </c>
      <c r="AI78" s="580">
        <f t="shared" si="71"/>
        <v>457.6</v>
      </c>
      <c r="AJ78" s="580">
        <f t="shared" si="71"/>
        <v>490.2</v>
      </c>
      <c r="AK78" s="580">
        <f t="shared" si="71"/>
        <v>487.2</v>
      </c>
      <c r="AL78" s="580">
        <f t="shared" si="71"/>
        <v>418.3</v>
      </c>
      <c r="AM78" s="580">
        <f t="shared" si="71"/>
        <v>413.9</v>
      </c>
      <c r="AN78" s="580">
        <f t="shared" si="71"/>
        <v>335.3</v>
      </c>
      <c r="AO78" s="580">
        <f t="shared" si="71"/>
        <v>330.8</v>
      </c>
      <c r="AP78" s="580">
        <f t="shared" si="71"/>
        <v>318.89999999999998</v>
      </c>
      <c r="AQ78" s="580">
        <f t="shared" si="71"/>
        <v>312.89999999999998</v>
      </c>
      <c r="AR78" s="580">
        <f t="shared" si="71"/>
        <v>330.8</v>
      </c>
      <c r="AS78" s="580">
        <f t="shared" si="71"/>
        <v>335.8</v>
      </c>
      <c r="AT78" s="580">
        <f t="shared" si="71"/>
        <v>356.8</v>
      </c>
      <c r="AU78" s="580">
        <f t="shared" si="71"/>
        <v>341.1</v>
      </c>
      <c r="AV78" s="580">
        <f t="shared" si="71"/>
        <v>318.2</v>
      </c>
      <c r="AW78" s="580">
        <f t="shared" si="71"/>
        <v>299.5</v>
      </c>
      <c r="AX78" s="580">
        <f t="shared" si="71"/>
        <v>310.2</v>
      </c>
      <c r="AY78" s="580">
        <f t="shared" si="71"/>
        <v>300.5</v>
      </c>
      <c r="AZ78" s="580">
        <f t="shared" si="71"/>
        <v>306.39999999999998</v>
      </c>
      <c r="BA78" s="580">
        <f t="shared" si="71"/>
        <v>394.2</v>
      </c>
      <c r="BB78" s="580">
        <f t="shared" si="71"/>
        <v>321.39999999999998</v>
      </c>
      <c r="BC78" s="580">
        <f t="shared" si="71"/>
        <v>294.2</v>
      </c>
      <c r="BD78" s="580">
        <f t="shared" si="71"/>
        <v>352.4</v>
      </c>
      <c r="BE78" s="580">
        <f t="shared" si="71"/>
        <v>410.4</v>
      </c>
      <c r="BF78" s="580">
        <f t="shared" si="71"/>
        <v>410.8</v>
      </c>
      <c r="BG78" s="580">
        <f t="shared" si="71"/>
        <v>466.1</v>
      </c>
      <c r="BH78" s="580">
        <f t="shared" si="71"/>
        <v>443.9</v>
      </c>
      <c r="BI78" s="580">
        <f t="shared" si="71"/>
        <v>442.9</v>
      </c>
      <c r="BJ78" s="580">
        <f t="shared" si="71"/>
        <v>459.5</v>
      </c>
      <c r="BK78" s="580">
        <f t="shared" si="71"/>
        <v>444.8</v>
      </c>
      <c r="BL78" s="580">
        <f t="shared" ref="BL78:BQ78" si="72">BL79+BL80</f>
        <v>692</v>
      </c>
      <c r="BM78" s="580">
        <f t="shared" si="72"/>
        <v>686.2</v>
      </c>
      <c r="BN78" s="580">
        <f t="shared" si="72"/>
        <v>657.7</v>
      </c>
      <c r="BO78" s="580">
        <f t="shared" si="72"/>
        <v>638.1</v>
      </c>
      <c r="BP78" s="580">
        <f t="shared" si="72"/>
        <v>784.1</v>
      </c>
      <c r="BQ78" s="580">
        <f t="shared" si="72"/>
        <v>780.1</v>
      </c>
      <c r="BR78" s="580">
        <f t="shared" ref="BR78:BS78" si="73">BR79+BR80</f>
        <v>746.4</v>
      </c>
      <c r="BS78" s="580">
        <f t="shared" si="73"/>
        <v>761</v>
      </c>
      <c r="BT78" s="580">
        <f t="shared" ref="BT78:BU78" si="74">BT79+BT80</f>
        <v>774.7</v>
      </c>
      <c r="BU78" s="580">
        <f t="shared" si="74"/>
        <v>769.5</v>
      </c>
      <c r="BV78" s="580">
        <f t="shared" ref="BV78:BW78" si="75">BV79+BV80</f>
        <v>771.7</v>
      </c>
      <c r="BW78" s="580">
        <f t="shared" si="75"/>
        <v>757</v>
      </c>
    </row>
    <row r="79" spans="1:75" s="240" customFormat="1">
      <c r="A79" s="209"/>
      <c r="B79" s="209" t="s">
        <v>894</v>
      </c>
      <c r="C79" s="220" t="s">
        <v>660</v>
      </c>
      <c r="D79" s="209"/>
      <c r="F79" s="251">
        <f t="shared" ref="F79:Y79" si="76">F355</f>
        <v>0</v>
      </c>
      <c r="G79" s="251">
        <f t="shared" si="76"/>
        <v>0</v>
      </c>
      <c r="H79" s="251">
        <f t="shared" si="76"/>
        <v>0</v>
      </c>
      <c r="I79" s="251">
        <f t="shared" si="76"/>
        <v>0</v>
      </c>
      <c r="J79" s="251">
        <f t="shared" si="76"/>
        <v>0</v>
      </c>
      <c r="K79" s="251">
        <f t="shared" si="76"/>
        <v>0</v>
      </c>
      <c r="L79" s="251"/>
      <c r="M79" s="251">
        <f t="shared" si="76"/>
        <v>1711.5650000000001</v>
      </c>
      <c r="N79" s="251">
        <f t="shared" si="76"/>
        <v>1798.9459999999999</v>
      </c>
      <c r="O79" s="251">
        <f t="shared" si="76"/>
        <v>1853.663</v>
      </c>
      <c r="P79" s="251">
        <f t="shared" si="76"/>
        <v>1910</v>
      </c>
      <c r="Q79" s="251">
        <f t="shared" si="76"/>
        <v>1902.6</v>
      </c>
      <c r="R79" s="251">
        <f t="shared" si="76"/>
        <v>1746.1</v>
      </c>
      <c r="S79" s="251">
        <f t="shared" si="76"/>
        <v>1306.2</v>
      </c>
      <c r="T79" s="251">
        <f t="shared" si="76"/>
        <v>1364.5</v>
      </c>
      <c r="U79" s="251">
        <f t="shared" si="76"/>
        <v>1228.4000000000001</v>
      </c>
      <c r="V79" s="251">
        <f t="shared" si="76"/>
        <v>1456.2</v>
      </c>
      <c r="W79" s="251">
        <f t="shared" si="76"/>
        <v>1667.7</v>
      </c>
      <c r="X79" s="251">
        <f t="shared" si="76"/>
        <v>1796.1</v>
      </c>
      <c r="Y79" s="251">
        <f t="shared" si="76"/>
        <v>2674</v>
      </c>
      <c r="Z79" s="251">
        <f>Z355</f>
        <v>3071.6</v>
      </c>
      <c r="AA79" s="251">
        <f>AA355</f>
        <v>3072.9</v>
      </c>
      <c r="AB79" s="251">
        <f>AB355</f>
        <v>3374.2725000000005</v>
      </c>
      <c r="AC79" s="251">
        <f t="shared" ref="AC79:AD79" si="77">AC355</f>
        <v>3650.2725000000005</v>
      </c>
      <c r="AD79" s="251">
        <f t="shared" si="77"/>
        <v>3983.1750000000002</v>
      </c>
      <c r="AF79" s="579">
        <f>Quarterly!C41</f>
        <v>481.2</v>
      </c>
      <c r="AG79" s="579">
        <f>Quarterly!D41</f>
        <v>491.7</v>
      </c>
      <c r="AH79" s="579">
        <f>Quarterly!E41</f>
        <v>472.1</v>
      </c>
      <c r="AI79" s="579">
        <f>Quarterly!F41</f>
        <v>457.6</v>
      </c>
      <c r="AJ79" s="579">
        <f>Quarterly!G41</f>
        <v>490.2</v>
      </c>
      <c r="AK79" s="579">
        <f>Quarterly!H41</f>
        <v>487.2</v>
      </c>
      <c r="AL79" s="579">
        <f>Quarterly!I41</f>
        <v>418.3</v>
      </c>
      <c r="AM79" s="579">
        <f>Quarterly!J41</f>
        <v>413.9</v>
      </c>
      <c r="AN79" s="579">
        <f>Quarterly!K41</f>
        <v>335.3</v>
      </c>
      <c r="AO79" s="579">
        <f>Quarterly!L41</f>
        <v>330.8</v>
      </c>
      <c r="AP79" s="579">
        <f>Quarterly!M41</f>
        <v>318.89999999999998</v>
      </c>
      <c r="AQ79" s="579">
        <f>Quarterly!N41</f>
        <v>312.89999999999998</v>
      </c>
      <c r="AR79" s="579">
        <f>Quarterly!O41</f>
        <v>330.8</v>
      </c>
      <c r="AS79" s="579">
        <f>Quarterly!P41</f>
        <v>335.8</v>
      </c>
      <c r="AT79" s="579">
        <f>Quarterly!Q41</f>
        <v>356.8</v>
      </c>
      <c r="AU79" s="579">
        <f>Quarterly!R41</f>
        <v>341.1</v>
      </c>
      <c r="AV79" s="579">
        <f>Quarterly!S41</f>
        <v>318.2</v>
      </c>
      <c r="AW79" s="579">
        <f>Quarterly!T41</f>
        <v>299.5</v>
      </c>
      <c r="AX79" s="579">
        <f>Quarterly!U41</f>
        <v>310.2</v>
      </c>
      <c r="AY79" s="579">
        <f>Quarterly!V41</f>
        <v>300.5</v>
      </c>
      <c r="AZ79" s="579">
        <f>Quarterly!W41</f>
        <v>306.39999999999998</v>
      </c>
      <c r="BA79" s="579">
        <f>Quarterly!X41</f>
        <v>394.2</v>
      </c>
      <c r="BB79" s="579">
        <f>Quarterly!Y41</f>
        <v>321.39999999999998</v>
      </c>
      <c r="BC79" s="579">
        <f>Quarterly!Z41</f>
        <v>294.2</v>
      </c>
      <c r="BD79" s="579">
        <f>Quarterly!AA41</f>
        <v>352.4</v>
      </c>
      <c r="BE79" s="579">
        <f>Quarterly!AB41</f>
        <v>410.4</v>
      </c>
      <c r="BF79" s="579">
        <f>Quarterly!AC41</f>
        <v>410.8</v>
      </c>
      <c r="BG79" s="579">
        <f>Quarterly!AD41</f>
        <v>466.1</v>
      </c>
      <c r="BH79" s="579">
        <f>Quarterly!AE41</f>
        <v>443.9</v>
      </c>
      <c r="BI79" s="579">
        <f>Quarterly!AF41</f>
        <v>442.9</v>
      </c>
      <c r="BJ79" s="579">
        <f>Quarterly!AG41</f>
        <v>459.5</v>
      </c>
      <c r="BK79" s="579">
        <f>Quarterly!AH41</f>
        <v>444.8</v>
      </c>
      <c r="BL79" s="579">
        <f>Quarterly!AI41</f>
        <v>692</v>
      </c>
      <c r="BM79" s="579">
        <f>Quarterly!AJ41</f>
        <v>686.2</v>
      </c>
      <c r="BN79" s="579">
        <f>Quarterly!AK41</f>
        <v>657.7</v>
      </c>
      <c r="BO79" s="579">
        <f>Quarterly!AL41</f>
        <v>638.1</v>
      </c>
      <c r="BP79" s="579">
        <f>Quarterly!AM41</f>
        <v>784.1</v>
      </c>
      <c r="BQ79" s="579">
        <f>Quarterly!AN41</f>
        <v>780.1</v>
      </c>
      <c r="BR79" s="579">
        <f>Quarterly!AO41</f>
        <v>746.4</v>
      </c>
      <c r="BS79" s="579">
        <f>Quarterly!AP41</f>
        <v>761</v>
      </c>
      <c r="BT79" s="579">
        <f>Quarterly!AQ41</f>
        <v>774.7</v>
      </c>
      <c r="BU79" s="579">
        <f>Quarterly!AR41</f>
        <v>769.5</v>
      </c>
      <c r="BV79" s="579">
        <f>Quarterly!AS41</f>
        <v>771.7</v>
      </c>
      <c r="BW79" s="579">
        <f>Quarterly!AT41</f>
        <v>757</v>
      </c>
    </row>
    <row r="80" spans="1:75" s="240" customFormat="1">
      <c r="A80" s="209"/>
      <c r="B80" s="209" t="s">
        <v>895</v>
      </c>
      <c r="C80" s="220" t="s">
        <v>661</v>
      </c>
      <c r="D80" s="209"/>
      <c r="F80" s="251">
        <f t="shared" ref="F80:K80" si="78">F358</f>
        <v>0</v>
      </c>
      <c r="G80" s="251">
        <f t="shared" si="78"/>
        <v>0</v>
      </c>
      <c r="H80" s="251">
        <f t="shared" si="78"/>
        <v>0</v>
      </c>
      <c r="I80" s="251">
        <f t="shared" si="78"/>
        <v>0</v>
      </c>
      <c r="J80" s="251">
        <f t="shared" si="78"/>
        <v>0</v>
      </c>
      <c r="K80" s="251">
        <f t="shared" si="78"/>
        <v>0</v>
      </c>
      <c r="L80" s="251"/>
      <c r="M80" s="251"/>
      <c r="N80" s="251"/>
      <c r="O80" s="251"/>
      <c r="P80" s="251"/>
      <c r="Q80" s="251"/>
      <c r="R80" s="251"/>
      <c r="S80" s="251"/>
      <c r="T80" s="251"/>
      <c r="U80" s="251"/>
      <c r="V80" s="251"/>
      <c r="W80" s="251"/>
      <c r="X80" s="251"/>
      <c r="Y80" s="251"/>
      <c r="Z80" s="251"/>
      <c r="AA80" s="251"/>
      <c r="AB80" s="251"/>
      <c r="AC80" s="251"/>
      <c r="AD80" s="251"/>
      <c r="AF80" s="579"/>
      <c r="AG80" s="579"/>
      <c r="AH80" s="579"/>
      <c r="AI80" s="579"/>
      <c r="AJ80" s="579"/>
      <c r="AK80" s="579"/>
      <c r="AL80" s="579"/>
      <c r="AM80" s="579"/>
      <c r="AN80" s="579"/>
      <c r="AO80" s="579"/>
      <c r="AP80" s="579"/>
      <c r="AQ80" s="579"/>
      <c r="AR80" s="579"/>
      <c r="AS80" s="579"/>
      <c r="AT80" s="579"/>
      <c r="AU80" s="579"/>
      <c r="AV80" s="579"/>
      <c r="AW80" s="579"/>
      <c r="AX80" s="579"/>
      <c r="AY80" s="579"/>
      <c r="AZ80" s="579"/>
      <c r="BA80" s="579"/>
      <c r="BB80" s="579"/>
      <c r="BC80" s="579"/>
      <c r="BD80" s="579"/>
      <c r="BE80" s="579"/>
      <c r="BF80" s="579"/>
      <c r="BG80" s="579"/>
      <c r="BH80" s="579"/>
      <c r="BI80" s="579"/>
      <c r="BJ80" s="579"/>
      <c r="BK80" s="579"/>
      <c r="BL80" s="579"/>
      <c r="BM80" s="579"/>
      <c r="BN80" s="579"/>
      <c r="BO80" s="579"/>
      <c r="BP80" s="579"/>
      <c r="BQ80" s="579"/>
      <c r="BR80" s="579"/>
      <c r="BS80" s="579"/>
      <c r="BT80" s="579"/>
      <c r="BU80" s="579"/>
      <c r="BV80" s="579"/>
      <c r="BW80" s="579"/>
    </row>
    <row r="81" spans="1:75" s="245" customFormat="1">
      <c r="A81" s="243"/>
      <c r="B81" s="243" t="s">
        <v>896</v>
      </c>
      <c r="C81" s="246" t="s">
        <v>663</v>
      </c>
      <c r="D81" s="243"/>
      <c r="F81" s="245">
        <f t="shared" ref="F81:AD81" si="79">F77-F78</f>
        <v>0</v>
      </c>
      <c r="G81" s="245">
        <f t="shared" si="79"/>
        <v>0</v>
      </c>
      <c r="H81" s="245">
        <f t="shared" si="79"/>
        <v>0</v>
      </c>
      <c r="I81" s="245">
        <f t="shared" si="79"/>
        <v>0</v>
      </c>
      <c r="J81" s="245">
        <f t="shared" si="79"/>
        <v>0</v>
      </c>
      <c r="K81" s="245">
        <f t="shared" si="79"/>
        <v>0</v>
      </c>
      <c r="M81" s="245">
        <f t="shared" si="79"/>
        <v>6253.5239999999994</v>
      </c>
      <c r="N81" s="245">
        <f t="shared" si="79"/>
        <v>7438.1260000000002</v>
      </c>
      <c r="O81" s="245">
        <f t="shared" si="79"/>
        <v>7494.8240000000005</v>
      </c>
      <c r="P81" s="245">
        <f t="shared" si="79"/>
        <v>12383.300000000003</v>
      </c>
      <c r="Q81" s="245">
        <f t="shared" si="79"/>
        <v>12991.200000000003</v>
      </c>
      <c r="R81" s="245">
        <f t="shared" si="79"/>
        <v>10548.500000000005</v>
      </c>
      <c r="S81" s="245">
        <f t="shared" si="79"/>
        <v>9936.9000000000051</v>
      </c>
      <c r="T81" s="245">
        <f t="shared" si="79"/>
        <v>24215.999999999985</v>
      </c>
      <c r="U81" s="245">
        <f t="shared" si="79"/>
        <v>30513.799999999981</v>
      </c>
      <c r="V81" s="245">
        <f t="shared" si="79"/>
        <v>35743.699999999997</v>
      </c>
      <c r="W81" s="245">
        <f t="shared" si="79"/>
        <v>34712.800000000032</v>
      </c>
      <c r="X81" s="245">
        <f t="shared" si="79"/>
        <v>40667.19999999999</v>
      </c>
      <c r="Y81" s="245">
        <f t="shared" si="79"/>
        <v>38993.700000000012</v>
      </c>
      <c r="Z81" s="245">
        <f>Z77-Z78</f>
        <v>44747.799999999996</v>
      </c>
      <c r="AA81" s="245">
        <f>AA77-AA78</f>
        <v>41150.6</v>
      </c>
      <c r="AB81" s="245">
        <f>AB77-AB78</f>
        <v>48603.078572065213</v>
      </c>
      <c r="AC81" s="245">
        <f t="shared" si="79"/>
        <v>56809.959411464944</v>
      </c>
      <c r="AD81" s="245">
        <f t="shared" si="79"/>
        <v>62753.911087863307</v>
      </c>
      <c r="AF81" s="580">
        <f>AF77-AF78</f>
        <v>3125.699999999998</v>
      </c>
      <c r="AG81" s="580">
        <f t="shared" ref="AG81:BK81" si="80">AG77-AG78</f>
        <v>3160.199999999998</v>
      </c>
      <c r="AH81" s="580">
        <f t="shared" si="80"/>
        <v>3164.1000000000008</v>
      </c>
      <c r="AI81" s="580">
        <f t="shared" si="80"/>
        <v>2805.2999999999979</v>
      </c>
      <c r="AJ81" s="580">
        <f t="shared" si="80"/>
        <v>2258.8000000000002</v>
      </c>
      <c r="AK81" s="580">
        <f t="shared" si="80"/>
        <v>3293.3</v>
      </c>
      <c r="AL81" s="580">
        <f t="shared" si="80"/>
        <v>3251.4999999999991</v>
      </c>
      <c r="AM81" s="580">
        <f t="shared" si="80"/>
        <v>2201.8000000000006</v>
      </c>
      <c r="AN81" s="580">
        <f t="shared" si="80"/>
        <v>2332.6000000000013</v>
      </c>
      <c r="AO81" s="580">
        <f t="shared" si="80"/>
        <v>3107.4000000000005</v>
      </c>
      <c r="AP81" s="580">
        <f t="shared" si="80"/>
        <v>2739.4999999999977</v>
      </c>
      <c r="AQ81" s="580">
        <f t="shared" si="80"/>
        <v>2715.5000000000014</v>
      </c>
      <c r="AR81" s="580">
        <f t="shared" si="80"/>
        <v>4223.3999999999969</v>
      </c>
      <c r="AS81" s="580">
        <f t="shared" si="80"/>
        <v>6029.2999999999984</v>
      </c>
      <c r="AT81" s="580">
        <f t="shared" si="80"/>
        <v>6878.5000000000027</v>
      </c>
      <c r="AU81" s="580">
        <f t="shared" si="80"/>
        <v>7429.9</v>
      </c>
      <c r="AV81" s="580">
        <f t="shared" si="80"/>
        <v>7451.0999999999958</v>
      </c>
      <c r="AW81" s="580">
        <f t="shared" si="80"/>
        <v>8672.1999999999971</v>
      </c>
      <c r="AX81" s="580">
        <f t="shared" si="80"/>
        <v>8183.0000000000045</v>
      </c>
      <c r="AY81" s="580">
        <f t="shared" si="80"/>
        <v>7733.5999999999985</v>
      </c>
      <c r="AZ81" s="580">
        <f t="shared" si="80"/>
        <v>8092.0000000000091</v>
      </c>
      <c r="BA81" s="580">
        <f t="shared" si="80"/>
        <v>10179.499999999996</v>
      </c>
      <c r="BB81" s="580">
        <f t="shared" si="80"/>
        <v>9519.899999999996</v>
      </c>
      <c r="BC81" s="580">
        <f t="shared" si="80"/>
        <v>8911.6999999999935</v>
      </c>
      <c r="BD81" s="580">
        <f t="shared" si="80"/>
        <v>8364.5999999999931</v>
      </c>
      <c r="BE81" s="580">
        <f t="shared" si="80"/>
        <v>8741.6999999999989</v>
      </c>
      <c r="BF81" s="580">
        <f t="shared" si="80"/>
        <v>9706.6999999999935</v>
      </c>
      <c r="BG81" s="580">
        <f t="shared" si="80"/>
        <v>7899.8000000000011</v>
      </c>
      <c r="BH81" s="580">
        <f t="shared" si="80"/>
        <v>9583.2000000000062</v>
      </c>
      <c r="BI81" s="580">
        <f t="shared" si="80"/>
        <v>11270.299999999997</v>
      </c>
      <c r="BJ81" s="580">
        <f t="shared" si="80"/>
        <v>9937.0999999999985</v>
      </c>
      <c r="BK81" s="580">
        <f t="shared" si="80"/>
        <v>9238.7999999999993</v>
      </c>
      <c r="BL81" s="580">
        <f t="shared" ref="BL81:BQ81" si="81">BL77-BL78</f>
        <v>9231.5999999999985</v>
      </c>
      <c r="BM81" s="580">
        <f t="shared" si="81"/>
        <v>11255.7</v>
      </c>
      <c r="BN81" s="580">
        <f t="shared" si="81"/>
        <v>10820.699999999993</v>
      </c>
      <c r="BO81" s="580">
        <f t="shared" si="81"/>
        <v>7685.6999999999953</v>
      </c>
      <c r="BP81" s="580">
        <f t="shared" si="81"/>
        <v>10618.299999999994</v>
      </c>
      <c r="BQ81" s="580">
        <f t="shared" si="81"/>
        <v>12387.199999999995</v>
      </c>
      <c r="BR81" s="580">
        <f t="shared" ref="BR81:BS81" si="82">BR77-BR78</f>
        <v>10969.900000000003</v>
      </c>
      <c r="BS81" s="580">
        <f t="shared" si="82"/>
        <v>10772.599999999999</v>
      </c>
      <c r="BT81" s="580">
        <f t="shared" ref="BT81:BU81" si="83">BT77-BT78</f>
        <v>10988.600000000002</v>
      </c>
      <c r="BU81" s="580">
        <f t="shared" si="83"/>
        <v>12191.800000000003</v>
      </c>
      <c r="BV81" s="580">
        <f t="shared" ref="BV81:BW81" si="84">BV77-BV78</f>
        <v>9667.3999999999978</v>
      </c>
      <c r="BW81" s="580">
        <f t="shared" si="84"/>
        <v>8302.8000000000102</v>
      </c>
    </row>
    <row r="82" spans="1:75" s="240" customFormat="1">
      <c r="A82" s="209"/>
      <c r="B82" s="209" t="s">
        <v>897</v>
      </c>
      <c r="C82" s="220" t="s">
        <v>367</v>
      </c>
      <c r="D82" s="209"/>
      <c r="F82" s="251"/>
      <c r="G82" s="251"/>
      <c r="H82" s="251"/>
      <c r="I82" s="251"/>
      <c r="J82" s="251"/>
      <c r="K82" s="251"/>
      <c r="L82" s="251"/>
      <c r="M82" s="251">
        <f>+'Inc Stmt'!C28</f>
        <v>1643.8540000000003</v>
      </c>
      <c r="N82" s="251">
        <f>+'Inc Stmt'!D28</f>
        <v>2825.8409999999999</v>
      </c>
      <c r="O82" s="251">
        <f>+'Inc Stmt'!E28</f>
        <v>3866.4719999999998</v>
      </c>
      <c r="P82" s="251">
        <f>+'Inc Stmt'!F28</f>
        <v>3653.8</v>
      </c>
      <c r="Q82" s="251">
        <f>+'Inc Stmt'!G28</f>
        <v>4831.8999999999996</v>
      </c>
      <c r="R82" s="251">
        <f>+'Inc Stmt'!H28</f>
        <v>1470.4999999999998</v>
      </c>
      <c r="S82" s="251">
        <f>+'Inc Stmt'!I28</f>
        <v>1219</v>
      </c>
      <c r="T82" s="251">
        <f>+'Inc Stmt'!J28</f>
        <v>1570.1</v>
      </c>
      <c r="U82" s="251">
        <f>+'Inc Stmt'!K28</f>
        <v>5765.0999999999995</v>
      </c>
      <c r="V82" s="251">
        <f>+'Inc Stmt'!L28</f>
        <v>4740.4000000000005</v>
      </c>
      <c r="W82" s="251">
        <f>+'Inc Stmt'!M28</f>
        <v>5472</v>
      </c>
      <c r="X82" s="251">
        <f>+'Inc Stmt'!N28</f>
        <v>6118.2000000000007</v>
      </c>
      <c r="Y82" s="251">
        <f>+'Inc Stmt'!O28</f>
        <v>5727.7999999999993</v>
      </c>
      <c r="Z82" s="251">
        <f>+'Inc Stmt'!P28</f>
        <v>10735.9</v>
      </c>
      <c r="AA82" s="251">
        <f>+'Inc Stmt'!Q28</f>
        <v>12219.7</v>
      </c>
      <c r="AB82" s="251">
        <f>+'Inc Stmt'!R28</f>
        <v>13359.569299999997</v>
      </c>
      <c r="AC82" s="251">
        <f>+'Inc Stmt'!S28</f>
        <v>14956.331029999998</v>
      </c>
      <c r="AD82" s="251">
        <f>+'Inc Stmt'!T28</f>
        <v>14193.774933000001</v>
      </c>
      <c r="AF82" s="579">
        <f>Quarterly!C51</f>
        <v>945.6</v>
      </c>
      <c r="AG82" s="579">
        <f>Quarterly!D51</f>
        <v>1424.3</v>
      </c>
      <c r="AH82" s="579">
        <f>Quarterly!E51</f>
        <v>1609.5</v>
      </c>
      <c r="AI82" s="579">
        <f>Quarterly!F51</f>
        <v>1577</v>
      </c>
      <c r="AJ82" s="579">
        <f>Quarterly!G51</f>
        <v>1026.9000000000001</v>
      </c>
      <c r="AK82" s="579">
        <f>Quarterly!H51</f>
        <v>1472.3</v>
      </c>
      <c r="AL82" s="579">
        <f>Quarterly!I51</f>
        <v>429.5</v>
      </c>
      <c r="AM82" s="579">
        <f>Quarterly!J51</f>
        <v>204.4</v>
      </c>
      <c r="AN82" s="579">
        <f>Quarterly!K51</f>
        <v>287.8</v>
      </c>
      <c r="AO82" s="579">
        <f>Quarterly!L51</f>
        <v>221</v>
      </c>
      <c r="AP82" s="579">
        <f>Quarterly!M51</f>
        <v>378.8</v>
      </c>
      <c r="AQ82" s="579">
        <f>Quarterly!N51</f>
        <v>229.1</v>
      </c>
      <c r="AR82" s="579">
        <f>Quarterly!O51</f>
        <v>231.4</v>
      </c>
      <c r="AS82" s="579">
        <f>Quarterly!P51</f>
        <v>217.3</v>
      </c>
      <c r="AT82" s="579">
        <f>Quarterly!Q51</f>
        <v>351.3</v>
      </c>
      <c r="AU82" s="579">
        <f>Quarterly!R51</f>
        <v>425</v>
      </c>
      <c r="AV82" s="579">
        <f>Quarterly!S51</f>
        <v>816.7</v>
      </c>
      <c r="AW82" s="579">
        <f>Quarterly!T51</f>
        <v>837.1</v>
      </c>
      <c r="AX82" s="579">
        <f>Quarterly!U51</f>
        <v>994.6</v>
      </c>
      <c r="AY82" s="579">
        <f>Quarterly!V51</f>
        <v>1561.5</v>
      </c>
      <c r="AZ82" s="579">
        <f>Quarterly!W51</f>
        <v>1440.9</v>
      </c>
      <c r="BA82" s="579">
        <f>Quarterly!X51</f>
        <v>744.8</v>
      </c>
      <c r="BB82" s="579">
        <f>Quarterly!Y51</f>
        <v>1680.8</v>
      </c>
      <c r="BC82" s="579">
        <f>Quarterly!Z51</f>
        <v>1394.9</v>
      </c>
      <c r="BD82" s="579">
        <f>Quarterly!AA51</f>
        <v>1819.7</v>
      </c>
      <c r="BE82" s="579">
        <f>Quarterly!AB51</f>
        <v>1667.2</v>
      </c>
      <c r="BF82" s="579">
        <f>Quarterly!AC51</f>
        <v>2031.9</v>
      </c>
      <c r="BG82" s="579">
        <f>Quarterly!AD51</f>
        <v>2436.1</v>
      </c>
      <c r="BH82" s="579">
        <f>Quarterly!AE51</f>
        <v>1756</v>
      </c>
      <c r="BI82" s="579">
        <f>Quarterly!AF51</f>
        <v>1241.5999999999999</v>
      </c>
      <c r="BJ82" s="579">
        <f>Quarterly!AG51</f>
        <v>2218.4</v>
      </c>
      <c r="BK82" s="579">
        <f>Quarterly!AH51</f>
        <v>1848.1</v>
      </c>
      <c r="BL82" s="579">
        <f>Quarterly!AI51</f>
        <v>2192.6999999999998</v>
      </c>
      <c r="BM82" s="579">
        <f>Quarterly!AJ51</f>
        <v>1136.0999999999999</v>
      </c>
      <c r="BN82" s="579">
        <f>Quarterly!AK51</f>
        <v>952.7</v>
      </c>
      <c r="BO82" s="579">
        <f>Quarterly!AL51</f>
        <v>1542.7</v>
      </c>
      <c r="BP82" s="579">
        <f>Quarterly!AM51</f>
        <v>3062.6</v>
      </c>
      <c r="BQ82" s="579">
        <f>Quarterly!AN51</f>
        <v>2679.8</v>
      </c>
      <c r="BR82" s="579">
        <f>Quarterly!AO51</f>
        <v>2424.6</v>
      </c>
      <c r="BS82" s="579">
        <f>Quarterly!AP51</f>
        <v>2568.9</v>
      </c>
      <c r="BT82" s="579">
        <f>Quarterly!AQ51</f>
        <v>2670.6</v>
      </c>
      <c r="BU82" s="579">
        <f>Quarterly!AR51</f>
        <v>3420.2</v>
      </c>
      <c r="BV82" s="579">
        <f>Quarterly!AS51</f>
        <v>3192.9</v>
      </c>
      <c r="BW82" s="579">
        <f>Quarterly!AT51</f>
        <v>2936</v>
      </c>
    </row>
    <row r="83" spans="1:75" s="245" customFormat="1">
      <c r="A83" s="243"/>
      <c r="B83" s="243" t="s">
        <v>898</v>
      </c>
      <c r="C83" s="246" t="s">
        <v>899</v>
      </c>
      <c r="D83" s="243"/>
      <c r="F83" s="245">
        <f t="shared" ref="F83:AD83" si="85">F81+F82</f>
        <v>0</v>
      </c>
      <c r="G83" s="245">
        <f t="shared" si="85"/>
        <v>0</v>
      </c>
      <c r="H83" s="245">
        <f t="shared" si="85"/>
        <v>0</v>
      </c>
      <c r="I83" s="245">
        <f t="shared" si="85"/>
        <v>0</v>
      </c>
      <c r="J83" s="245">
        <f t="shared" si="85"/>
        <v>0</v>
      </c>
      <c r="K83" s="245">
        <f t="shared" si="85"/>
        <v>0</v>
      </c>
      <c r="M83" s="245">
        <f t="shared" si="85"/>
        <v>7897.3779999999997</v>
      </c>
      <c r="N83" s="245">
        <f t="shared" si="85"/>
        <v>10263.967000000001</v>
      </c>
      <c r="O83" s="245">
        <f t="shared" si="85"/>
        <v>11361.296</v>
      </c>
      <c r="P83" s="245">
        <f t="shared" si="85"/>
        <v>16037.100000000002</v>
      </c>
      <c r="Q83" s="245">
        <f t="shared" si="85"/>
        <v>17823.100000000002</v>
      </c>
      <c r="R83" s="245">
        <f t="shared" si="85"/>
        <v>12019.000000000005</v>
      </c>
      <c r="S83" s="245">
        <f t="shared" si="85"/>
        <v>11155.900000000005</v>
      </c>
      <c r="T83" s="245">
        <f t="shared" si="85"/>
        <v>25786.099999999984</v>
      </c>
      <c r="U83" s="245">
        <f t="shared" si="85"/>
        <v>36278.89999999998</v>
      </c>
      <c r="V83" s="245">
        <f t="shared" si="85"/>
        <v>40484.1</v>
      </c>
      <c r="W83" s="245">
        <f t="shared" si="85"/>
        <v>40184.800000000032</v>
      </c>
      <c r="X83" s="245">
        <f t="shared" si="85"/>
        <v>46785.399999999994</v>
      </c>
      <c r="Y83" s="245">
        <f t="shared" si="85"/>
        <v>44721.500000000015</v>
      </c>
      <c r="Z83" s="245">
        <f>Z81+Z82</f>
        <v>55483.7</v>
      </c>
      <c r="AA83" s="245">
        <f>AA81+AA82</f>
        <v>53370.3</v>
      </c>
      <c r="AB83" s="245">
        <f>AB81+AB82</f>
        <v>61962.647872065209</v>
      </c>
      <c r="AC83" s="245">
        <f t="shared" si="85"/>
        <v>71766.290441464938</v>
      </c>
      <c r="AD83" s="245">
        <f t="shared" si="85"/>
        <v>76947.686020863301</v>
      </c>
      <c r="AF83" s="580">
        <f t="shared" ref="AF83:BK83" si="86">AF81+AF82</f>
        <v>4071.2999999999979</v>
      </c>
      <c r="AG83" s="580">
        <f t="shared" si="86"/>
        <v>4584.4999999999982</v>
      </c>
      <c r="AH83" s="580">
        <f t="shared" si="86"/>
        <v>4773.6000000000004</v>
      </c>
      <c r="AI83" s="580">
        <f t="shared" si="86"/>
        <v>4382.2999999999975</v>
      </c>
      <c r="AJ83" s="580">
        <f t="shared" si="86"/>
        <v>3285.7000000000003</v>
      </c>
      <c r="AK83" s="580">
        <f t="shared" si="86"/>
        <v>4765.6000000000004</v>
      </c>
      <c r="AL83" s="580">
        <f t="shared" si="86"/>
        <v>3680.9999999999991</v>
      </c>
      <c r="AM83" s="580">
        <f t="shared" si="86"/>
        <v>2406.2000000000007</v>
      </c>
      <c r="AN83" s="580">
        <f t="shared" si="86"/>
        <v>2620.4000000000015</v>
      </c>
      <c r="AO83" s="580">
        <f t="shared" si="86"/>
        <v>3328.4000000000005</v>
      </c>
      <c r="AP83" s="580">
        <f t="shared" si="86"/>
        <v>3118.2999999999979</v>
      </c>
      <c r="AQ83" s="580">
        <f t="shared" si="86"/>
        <v>2944.6000000000013</v>
      </c>
      <c r="AR83" s="580">
        <f t="shared" si="86"/>
        <v>4454.7999999999965</v>
      </c>
      <c r="AS83" s="580">
        <f t="shared" si="86"/>
        <v>6246.5999999999985</v>
      </c>
      <c r="AT83" s="580">
        <f t="shared" si="86"/>
        <v>7229.8000000000029</v>
      </c>
      <c r="AU83" s="580">
        <f t="shared" si="86"/>
        <v>7854.9</v>
      </c>
      <c r="AV83" s="580">
        <f t="shared" si="86"/>
        <v>8267.7999999999956</v>
      </c>
      <c r="AW83" s="580">
        <f t="shared" si="86"/>
        <v>9509.2999999999975</v>
      </c>
      <c r="AX83" s="580">
        <f t="shared" si="86"/>
        <v>9177.600000000004</v>
      </c>
      <c r="AY83" s="580">
        <f t="shared" si="86"/>
        <v>9295.0999999999985</v>
      </c>
      <c r="AZ83" s="580">
        <f t="shared" si="86"/>
        <v>9532.9000000000087</v>
      </c>
      <c r="BA83" s="580">
        <f t="shared" si="86"/>
        <v>10924.299999999996</v>
      </c>
      <c r="BB83" s="580">
        <f t="shared" si="86"/>
        <v>11200.699999999995</v>
      </c>
      <c r="BC83" s="580">
        <f t="shared" si="86"/>
        <v>10306.599999999993</v>
      </c>
      <c r="BD83" s="580">
        <f t="shared" si="86"/>
        <v>10184.299999999994</v>
      </c>
      <c r="BE83" s="580">
        <f t="shared" si="86"/>
        <v>10408.9</v>
      </c>
      <c r="BF83" s="580">
        <f t="shared" si="86"/>
        <v>11738.599999999993</v>
      </c>
      <c r="BG83" s="580">
        <f t="shared" si="86"/>
        <v>10335.900000000001</v>
      </c>
      <c r="BH83" s="580">
        <f t="shared" si="86"/>
        <v>11339.200000000006</v>
      </c>
      <c r="BI83" s="580">
        <f t="shared" si="86"/>
        <v>12511.899999999998</v>
      </c>
      <c r="BJ83" s="580">
        <f t="shared" si="86"/>
        <v>12155.499999999998</v>
      </c>
      <c r="BK83" s="580">
        <f t="shared" si="86"/>
        <v>11086.9</v>
      </c>
      <c r="BL83" s="580">
        <f t="shared" ref="BL83:BQ83" si="87">BL81+BL82</f>
        <v>11424.3</v>
      </c>
      <c r="BM83" s="580">
        <f t="shared" si="87"/>
        <v>12391.800000000001</v>
      </c>
      <c r="BN83" s="580">
        <f t="shared" si="87"/>
        <v>11773.399999999994</v>
      </c>
      <c r="BO83" s="580">
        <f t="shared" si="87"/>
        <v>9228.399999999996</v>
      </c>
      <c r="BP83" s="580">
        <f t="shared" si="87"/>
        <v>13680.899999999994</v>
      </c>
      <c r="BQ83" s="580">
        <f t="shared" si="87"/>
        <v>15066.999999999996</v>
      </c>
      <c r="BR83" s="580">
        <f t="shared" ref="BR83:BS83" si="88">BR81+BR82</f>
        <v>13394.500000000004</v>
      </c>
      <c r="BS83" s="580">
        <f t="shared" si="88"/>
        <v>13341.499999999998</v>
      </c>
      <c r="BT83" s="580">
        <f t="shared" ref="BT83:BU83" si="89">BT81+BT82</f>
        <v>13659.200000000003</v>
      </c>
      <c r="BU83" s="580">
        <f t="shared" si="89"/>
        <v>15612.000000000004</v>
      </c>
      <c r="BV83" s="580">
        <f t="shared" ref="BV83:BW83" si="90">BV81+BV82</f>
        <v>12860.299999999997</v>
      </c>
      <c r="BW83" s="580">
        <f t="shared" si="90"/>
        <v>11238.80000000001</v>
      </c>
    </row>
    <row r="84" spans="1:75" s="245" customFormat="1">
      <c r="A84" s="243"/>
      <c r="B84" s="243" t="s">
        <v>900</v>
      </c>
      <c r="C84" s="246" t="s">
        <v>901</v>
      </c>
      <c r="D84" s="243"/>
      <c r="F84" s="245">
        <f t="shared" ref="F84:AD84" si="91">+F86-F85</f>
        <v>0</v>
      </c>
      <c r="G84" s="245">
        <f t="shared" si="91"/>
        <v>0</v>
      </c>
      <c r="H84" s="245">
        <f t="shared" si="91"/>
        <v>0</v>
      </c>
      <c r="I84" s="245">
        <f t="shared" si="91"/>
        <v>0</v>
      </c>
      <c r="J84" s="245">
        <f t="shared" si="91"/>
        <v>0</v>
      </c>
      <c r="K84" s="245">
        <f t="shared" si="91"/>
        <v>0</v>
      </c>
      <c r="M84" s="245">
        <f t="shared" si="91"/>
        <v>11.177</v>
      </c>
      <c r="N84" s="245">
        <f t="shared" si="91"/>
        <v>9.3509999999999991</v>
      </c>
      <c r="O84" s="245">
        <f t="shared" si="91"/>
        <v>6.681</v>
      </c>
      <c r="P84" s="245">
        <f t="shared" si="91"/>
        <v>3.4000000000000004</v>
      </c>
      <c r="Q84" s="245">
        <f t="shared" si="91"/>
        <v>53.400000000000006</v>
      </c>
      <c r="R84" s="245">
        <f t="shared" si="91"/>
        <v>51.6</v>
      </c>
      <c r="S84" s="245">
        <f t="shared" si="91"/>
        <v>218.9</v>
      </c>
      <c r="T84" s="245">
        <f t="shared" si="91"/>
        <v>59.8</v>
      </c>
      <c r="U84" s="245">
        <f t="shared" si="91"/>
        <v>16.899999999999999</v>
      </c>
      <c r="V84" s="245">
        <f t="shared" si="91"/>
        <v>222.4</v>
      </c>
      <c r="W84" s="245">
        <f t="shared" si="91"/>
        <v>5.4</v>
      </c>
      <c r="X84" s="245">
        <f t="shared" si="91"/>
        <v>5.4</v>
      </c>
      <c r="Y84" s="245">
        <f t="shared" si="91"/>
        <v>64.900000000000006</v>
      </c>
      <c r="Z84" s="245">
        <f>+Z86-Z85</f>
        <v>10.5</v>
      </c>
      <c r="AA84" s="245">
        <f>+AA86-AA85</f>
        <v>14</v>
      </c>
      <c r="AB84" s="245">
        <f>+AB86-AB85</f>
        <v>10</v>
      </c>
      <c r="AC84" s="245">
        <f t="shared" si="91"/>
        <v>10</v>
      </c>
      <c r="AD84" s="245">
        <f t="shared" si="91"/>
        <v>10</v>
      </c>
      <c r="AF84" s="580">
        <f>+AF86-AF85</f>
        <v>7.3</v>
      </c>
      <c r="AG84" s="580">
        <f t="shared" ref="AG84:BK84" si="92">+AG86-AG85</f>
        <v>20</v>
      </c>
      <c r="AH84" s="580">
        <f t="shared" si="92"/>
        <v>2.2000000000000002</v>
      </c>
      <c r="AI84" s="580">
        <f t="shared" si="92"/>
        <v>23.9</v>
      </c>
      <c r="AJ84" s="580">
        <f t="shared" si="92"/>
        <v>0.6</v>
      </c>
      <c r="AK84" s="580">
        <f t="shared" si="92"/>
        <v>13.6</v>
      </c>
      <c r="AL84" s="580">
        <f t="shared" si="92"/>
        <v>19.3</v>
      </c>
      <c r="AM84" s="580">
        <f t="shared" si="92"/>
        <v>18.100000000000001</v>
      </c>
      <c r="AN84" s="580">
        <f t="shared" si="92"/>
        <v>9.1999999999999993</v>
      </c>
      <c r="AO84" s="580">
        <f t="shared" si="92"/>
        <v>58.7</v>
      </c>
      <c r="AP84" s="580">
        <f t="shared" si="92"/>
        <v>90.2</v>
      </c>
      <c r="AQ84" s="580">
        <f t="shared" si="92"/>
        <v>52</v>
      </c>
      <c r="AR84" s="580">
        <f t="shared" si="92"/>
        <v>59.7</v>
      </c>
      <c r="AS84" s="580">
        <f t="shared" si="92"/>
        <v>0</v>
      </c>
      <c r="AT84" s="580">
        <f t="shared" si="92"/>
        <v>0.02</v>
      </c>
      <c r="AU84" s="580">
        <f t="shared" si="92"/>
        <v>-0.1</v>
      </c>
      <c r="AV84" s="580">
        <f t="shared" si="92"/>
        <v>6.3</v>
      </c>
      <c r="AW84" s="580">
        <f t="shared" si="92"/>
        <v>6.5</v>
      </c>
      <c r="AX84" s="580">
        <f t="shared" si="92"/>
        <v>3.6</v>
      </c>
      <c r="AY84" s="580">
        <f t="shared" si="92"/>
        <v>0.5</v>
      </c>
      <c r="AZ84" s="580">
        <f t="shared" si="92"/>
        <v>2.2999999999999998</v>
      </c>
      <c r="BA84" s="580">
        <f t="shared" si="92"/>
        <v>202.2</v>
      </c>
      <c r="BB84" s="580">
        <f t="shared" si="92"/>
        <v>0.2</v>
      </c>
      <c r="BC84" s="580">
        <f t="shared" si="92"/>
        <v>17.7</v>
      </c>
      <c r="BD84" s="580">
        <f t="shared" si="92"/>
        <v>0.4</v>
      </c>
      <c r="BE84" s="580">
        <f t="shared" si="92"/>
        <v>2.2000000000000002</v>
      </c>
      <c r="BF84" s="580">
        <f t="shared" si="92"/>
        <v>1</v>
      </c>
      <c r="BG84" s="580">
        <f t="shared" si="92"/>
        <v>1.8</v>
      </c>
      <c r="BH84" s="580">
        <f t="shared" si="92"/>
        <v>0.9</v>
      </c>
      <c r="BI84" s="580">
        <f t="shared" si="92"/>
        <v>0.4</v>
      </c>
      <c r="BJ84" s="580">
        <f t="shared" si="92"/>
        <v>1.9</v>
      </c>
      <c r="BK84" s="580">
        <f t="shared" si="92"/>
        <v>1.7</v>
      </c>
      <c r="BL84" s="580">
        <f t="shared" ref="BL84:BQ84" si="93">+BL86-BL85</f>
        <v>1.1000000000000001</v>
      </c>
      <c r="BM84" s="580">
        <f t="shared" si="93"/>
        <v>0.5</v>
      </c>
      <c r="BN84" s="580">
        <f t="shared" si="93"/>
        <v>0.7</v>
      </c>
      <c r="BO84" s="580">
        <f t="shared" si="93"/>
        <v>61.6</v>
      </c>
      <c r="BP84" s="580">
        <f t="shared" si="93"/>
        <v>1.1000000000000001</v>
      </c>
      <c r="BQ84" s="580">
        <f t="shared" si="93"/>
        <v>3.4</v>
      </c>
      <c r="BR84" s="580">
        <f t="shared" ref="BR84:BS84" si="94">+BR86-BR85</f>
        <v>2.1</v>
      </c>
      <c r="BS84" s="580">
        <f t="shared" si="94"/>
        <v>3.9</v>
      </c>
      <c r="BT84" s="580">
        <f t="shared" ref="BT84:BU84" si="95">+BT86-BT85</f>
        <v>2.2000000000000002</v>
      </c>
      <c r="BU84" s="580">
        <f t="shared" si="95"/>
        <v>6.8</v>
      </c>
      <c r="BV84" s="580">
        <f t="shared" ref="BV84:BW84" si="96">+BV86-BV85</f>
        <v>2.6</v>
      </c>
      <c r="BW84" s="580">
        <f t="shared" si="96"/>
        <v>2.4</v>
      </c>
    </row>
    <row r="85" spans="1:75" s="240" customFormat="1">
      <c r="A85" s="209"/>
      <c r="B85" s="209" t="s">
        <v>902</v>
      </c>
      <c r="C85" s="220" t="s">
        <v>903</v>
      </c>
      <c r="D85" s="209"/>
      <c r="F85" s="251"/>
      <c r="G85" s="251"/>
      <c r="H85" s="251"/>
      <c r="I85" s="251"/>
      <c r="J85" s="251"/>
      <c r="K85" s="251"/>
      <c r="L85" s="251"/>
      <c r="M85" s="251"/>
      <c r="N85" s="251"/>
      <c r="O85" s="251"/>
      <c r="P85" s="251"/>
      <c r="Q85" s="251"/>
      <c r="R85" s="251"/>
      <c r="S85" s="251"/>
      <c r="T85" s="251"/>
      <c r="U85" s="251"/>
      <c r="V85" s="251"/>
      <c r="W85" s="251"/>
      <c r="X85" s="251"/>
      <c r="Y85" s="251"/>
      <c r="Z85" s="251"/>
      <c r="AA85" s="251"/>
      <c r="AB85" s="251"/>
      <c r="AC85" s="251"/>
      <c r="AD85" s="251"/>
      <c r="AF85" s="579"/>
      <c r="AG85" s="579"/>
      <c r="AH85" s="579"/>
      <c r="AI85" s="579"/>
      <c r="AJ85" s="579"/>
      <c r="AK85" s="579"/>
      <c r="AL85" s="579"/>
      <c r="AM85" s="579"/>
      <c r="AN85" s="579"/>
      <c r="AO85" s="579"/>
      <c r="AP85" s="579"/>
      <c r="AQ85" s="579"/>
      <c r="AR85" s="579"/>
      <c r="AS85" s="579"/>
      <c r="AT85" s="579"/>
      <c r="AU85" s="579"/>
      <c r="AV85" s="579"/>
      <c r="AW85" s="579"/>
      <c r="AX85" s="579"/>
      <c r="AY85" s="579"/>
      <c r="AZ85" s="579"/>
      <c r="BA85" s="579"/>
      <c r="BB85" s="579"/>
      <c r="BC85" s="579"/>
      <c r="BD85" s="579"/>
      <c r="BE85" s="579"/>
      <c r="BF85" s="579"/>
      <c r="BG85" s="579"/>
      <c r="BH85" s="579"/>
      <c r="BI85" s="579"/>
      <c r="BJ85" s="579"/>
      <c r="BK85" s="579"/>
      <c r="BL85" s="579"/>
      <c r="BM85" s="579"/>
      <c r="BN85" s="579"/>
      <c r="BO85" s="579"/>
      <c r="BP85" s="579"/>
      <c r="BQ85" s="579"/>
      <c r="BR85" s="579"/>
      <c r="BS85" s="579"/>
      <c r="BT85" s="579"/>
      <c r="BU85" s="579"/>
      <c r="BV85" s="579"/>
      <c r="BW85" s="579"/>
    </row>
    <row r="86" spans="1:75" s="240" customFormat="1">
      <c r="A86" s="209"/>
      <c r="B86" s="209" t="s">
        <v>904</v>
      </c>
      <c r="C86" s="220" t="s">
        <v>118</v>
      </c>
      <c r="D86" s="209"/>
      <c r="F86" s="251"/>
      <c r="G86" s="251"/>
      <c r="H86" s="251"/>
      <c r="I86" s="251"/>
      <c r="J86" s="251"/>
      <c r="K86" s="251"/>
      <c r="L86" s="251"/>
      <c r="M86" s="251">
        <f>+'Inc Stmt'!C27</f>
        <v>11.177</v>
      </c>
      <c r="N86" s="251">
        <f>+'Inc Stmt'!D27</f>
        <v>9.3509999999999991</v>
      </c>
      <c r="O86" s="251">
        <f>+'Inc Stmt'!E27</f>
        <v>6.681</v>
      </c>
      <c r="P86" s="251">
        <f>+'Inc Stmt'!F27</f>
        <v>3.4000000000000004</v>
      </c>
      <c r="Q86" s="251">
        <f>+'Inc Stmt'!G27</f>
        <v>53.400000000000006</v>
      </c>
      <c r="R86" s="251">
        <f>+'Inc Stmt'!H27</f>
        <v>51.6</v>
      </c>
      <c r="S86" s="251">
        <f>+'Inc Stmt'!I27</f>
        <v>218.9</v>
      </c>
      <c r="T86" s="251">
        <f>+'Inc Stmt'!J27</f>
        <v>59.8</v>
      </c>
      <c r="U86" s="251">
        <f>+'Inc Stmt'!K27</f>
        <v>16.899999999999999</v>
      </c>
      <c r="V86" s="251">
        <f>+'Inc Stmt'!L27</f>
        <v>222.4</v>
      </c>
      <c r="W86" s="251">
        <f>+'Inc Stmt'!M27</f>
        <v>5.4</v>
      </c>
      <c r="X86" s="251">
        <f>+'Inc Stmt'!N27</f>
        <v>5.4</v>
      </c>
      <c r="Y86" s="251">
        <f>+'Inc Stmt'!O27</f>
        <v>64.900000000000006</v>
      </c>
      <c r="Z86" s="251">
        <f>+'Inc Stmt'!P27</f>
        <v>10.5</v>
      </c>
      <c r="AA86" s="251">
        <f>+'Inc Stmt'!Q27</f>
        <v>14</v>
      </c>
      <c r="AB86" s="251">
        <f>+'Inc Stmt'!R27</f>
        <v>10</v>
      </c>
      <c r="AC86" s="251">
        <f>+'Inc Stmt'!S27</f>
        <v>10</v>
      </c>
      <c r="AD86" s="251">
        <f>+'Inc Stmt'!T27</f>
        <v>10</v>
      </c>
      <c r="AF86" s="579">
        <f>Quarterly!C50</f>
        <v>7.3</v>
      </c>
      <c r="AG86" s="579">
        <f>Quarterly!D50</f>
        <v>20</v>
      </c>
      <c r="AH86" s="579">
        <f>Quarterly!E50</f>
        <v>2.2000000000000002</v>
      </c>
      <c r="AI86" s="579">
        <f>Quarterly!F50</f>
        <v>23.9</v>
      </c>
      <c r="AJ86" s="579">
        <f>Quarterly!G50</f>
        <v>0.6</v>
      </c>
      <c r="AK86" s="579">
        <f>Quarterly!H50</f>
        <v>13.6</v>
      </c>
      <c r="AL86" s="579">
        <f>Quarterly!I50</f>
        <v>19.3</v>
      </c>
      <c r="AM86" s="579">
        <f>Quarterly!J50</f>
        <v>18.100000000000001</v>
      </c>
      <c r="AN86" s="579">
        <f>Quarterly!K50</f>
        <v>9.1999999999999993</v>
      </c>
      <c r="AO86" s="579">
        <f>Quarterly!L50</f>
        <v>58.7</v>
      </c>
      <c r="AP86" s="579">
        <f>Quarterly!M50</f>
        <v>90.2</v>
      </c>
      <c r="AQ86" s="579">
        <f>Quarterly!N50</f>
        <v>52</v>
      </c>
      <c r="AR86" s="579">
        <f>Quarterly!O50</f>
        <v>59.7</v>
      </c>
      <c r="AS86" s="579">
        <f>Quarterly!P50</f>
        <v>0</v>
      </c>
      <c r="AT86" s="579">
        <f>Quarterly!Q50</f>
        <v>0.02</v>
      </c>
      <c r="AU86" s="579">
        <f>Quarterly!R50</f>
        <v>-0.1</v>
      </c>
      <c r="AV86" s="579">
        <f>Quarterly!S50</f>
        <v>6.3</v>
      </c>
      <c r="AW86" s="579">
        <f>Quarterly!T50</f>
        <v>6.5</v>
      </c>
      <c r="AX86" s="579">
        <f>Quarterly!U50</f>
        <v>3.6</v>
      </c>
      <c r="AY86" s="579">
        <f>Quarterly!V50</f>
        <v>0.5</v>
      </c>
      <c r="AZ86" s="579">
        <f>Quarterly!W50</f>
        <v>2.2999999999999998</v>
      </c>
      <c r="BA86" s="579">
        <f>Quarterly!X50</f>
        <v>202.2</v>
      </c>
      <c r="BB86" s="579">
        <f>Quarterly!Y50</f>
        <v>0.2</v>
      </c>
      <c r="BC86" s="579">
        <f>Quarterly!Z50</f>
        <v>17.7</v>
      </c>
      <c r="BD86" s="579">
        <f>Quarterly!AA50</f>
        <v>0.4</v>
      </c>
      <c r="BE86" s="579">
        <f>Quarterly!AB50</f>
        <v>2.2000000000000002</v>
      </c>
      <c r="BF86" s="579">
        <f>Quarterly!AC50</f>
        <v>1</v>
      </c>
      <c r="BG86" s="579">
        <f>Quarterly!AD50</f>
        <v>1.8</v>
      </c>
      <c r="BH86" s="579">
        <f>Quarterly!AE50</f>
        <v>0.9</v>
      </c>
      <c r="BI86" s="579">
        <f>Quarterly!AF50</f>
        <v>0.4</v>
      </c>
      <c r="BJ86" s="579">
        <f>Quarterly!AG50</f>
        <v>1.9</v>
      </c>
      <c r="BK86" s="579">
        <f>Quarterly!AH50</f>
        <v>1.7</v>
      </c>
      <c r="BL86" s="579">
        <f>Quarterly!AI50</f>
        <v>1.1000000000000001</v>
      </c>
      <c r="BM86" s="579">
        <f>Quarterly!AJ50</f>
        <v>0.5</v>
      </c>
      <c r="BN86" s="579">
        <f>Quarterly!AK50</f>
        <v>0.7</v>
      </c>
      <c r="BO86" s="579">
        <f>Quarterly!AL50</f>
        <v>61.6</v>
      </c>
      <c r="BP86" s="579">
        <f>Quarterly!AM50</f>
        <v>1.1000000000000001</v>
      </c>
      <c r="BQ86" s="579">
        <f>Quarterly!AN50</f>
        <v>3.4</v>
      </c>
      <c r="BR86" s="579">
        <f>Quarterly!AO50</f>
        <v>2.1</v>
      </c>
      <c r="BS86" s="579">
        <f>Quarterly!AP50</f>
        <v>3.9</v>
      </c>
      <c r="BT86" s="579">
        <f>Quarterly!AQ50</f>
        <v>2.2000000000000002</v>
      </c>
      <c r="BU86" s="579">
        <f>Quarterly!AR50</f>
        <v>6.8</v>
      </c>
      <c r="BV86" s="579">
        <f>Quarterly!AS50</f>
        <v>2.6</v>
      </c>
      <c r="BW86" s="579">
        <f>Quarterly!AT50</f>
        <v>2.4</v>
      </c>
    </row>
    <row r="87" spans="1:75" s="245" customFormat="1">
      <c r="A87" s="243"/>
      <c r="B87" s="243" t="s">
        <v>905</v>
      </c>
      <c r="C87" s="246" t="s">
        <v>906</v>
      </c>
      <c r="D87" s="243"/>
      <c r="F87" s="245">
        <f t="shared" ref="F87:AD87" si="97">+F83-F84</f>
        <v>0</v>
      </c>
      <c r="G87" s="245">
        <f t="shared" si="97"/>
        <v>0</v>
      </c>
      <c r="H87" s="245">
        <f t="shared" si="97"/>
        <v>0</v>
      </c>
      <c r="I87" s="245">
        <f t="shared" si="97"/>
        <v>0</v>
      </c>
      <c r="J87" s="245">
        <f t="shared" si="97"/>
        <v>0</v>
      </c>
      <c r="K87" s="245">
        <f t="shared" si="97"/>
        <v>0</v>
      </c>
      <c r="M87" s="245">
        <f t="shared" si="97"/>
        <v>7886.201</v>
      </c>
      <c r="N87" s="245">
        <f t="shared" si="97"/>
        <v>10254.616</v>
      </c>
      <c r="O87" s="245">
        <f t="shared" si="97"/>
        <v>11354.615</v>
      </c>
      <c r="P87" s="245">
        <f t="shared" si="97"/>
        <v>16033.700000000003</v>
      </c>
      <c r="Q87" s="245">
        <f t="shared" si="97"/>
        <v>17769.7</v>
      </c>
      <c r="R87" s="245">
        <f t="shared" si="97"/>
        <v>11967.400000000005</v>
      </c>
      <c r="S87" s="245">
        <f t="shared" si="97"/>
        <v>10937.000000000005</v>
      </c>
      <c r="T87" s="245">
        <f t="shared" si="97"/>
        <v>25726.299999999985</v>
      </c>
      <c r="U87" s="245">
        <f t="shared" si="97"/>
        <v>36261.999999999978</v>
      </c>
      <c r="V87" s="245">
        <f t="shared" si="97"/>
        <v>40261.699999999997</v>
      </c>
      <c r="W87" s="245">
        <f t="shared" si="97"/>
        <v>40179.400000000031</v>
      </c>
      <c r="X87" s="245">
        <f t="shared" si="97"/>
        <v>46779.999999999993</v>
      </c>
      <c r="Y87" s="245">
        <f t="shared" si="97"/>
        <v>44656.600000000013</v>
      </c>
      <c r="Z87" s="245">
        <f>+Z83-Z84</f>
        <v>55473.2</v>
      </c>
      <c r="AA87" s="245">
        <f>+AA83-AA84</f>
        <v>53356.3</v>
      </c>
      <c r="AB87" s="245">
        <f>+AB83-AB84</f>
        <v>61952.647872065209</v>
      </c>
      <c r="AC87" s="245">
        <f t="shared" si="97"/>
        <v>71756.290441464938</v>
      </c>
      <c r="AD87" s="245">
        <f t="shared" si="97"/>
        <v>76937.686020863301</v>
      </c>
      <c r="AF87" s="580">
        <f>+AF83-AF84</f>
        <v>4063.9999999999977</v>
      </c>
      <c r="AG87" s="580">
        <f t="shared" ref="AG87:BK87" si="98">+AG83-AG84</f>
        <v>4564.4999999999982</v>
      </c>
      <c r="AH87" s="580">
        <f t="shared" si="98"/>
        <v>4771.4000000000005</v>
      </c>
      <c r="AI87" s="580">
        <f t="shared" si="98"/>
        <v>4358.3999999999978</v>
      </c>
      <c r="AJ87" s="580">
        <f t="shared" si="98"/>
        <v>3285.1000000000004</v>
      </c>
      <c r="AK87" s="580">
        <f t="shared" si="98"/>
        <v>4752</v>
      </c>
      <c r="AL87" s="580">
        <f t="shared" si="98"/>
        <v>3661.6999999999989</v>
      </c>
      <c r="AM87" s="580">
        <f t="shared" si="98"/>
        <v>2388.1000000000008</v>
      </c>
      <c r="AN87" s="580">
        <f t="shared" si="98"/>
        <v>2611.2000000000016</v>
      </c>
      <c r="AO87" s="580">
        <f t="shared" si="98"/>
        <v>3269.7000000000007</v>
      </c>
      <c r="AP87" s="580">
        <f t="shared" si="98"/>
        <v>3028.0999999999981</v>
      </c>
      <c r="AQ87" s="580">
        <f t="shared" si="98"/>
        <v>2892.6000000000013</v>
      </c>
      <c r="AR87" s="580">
        <f t="shared" si="98"/>
        <v>4395.0999999999967</v>
      </c>
      <c r="AS87" s="580">
        <f t="shared" si="98"/>
        <v>6246.5999999999985</v>
      </c>
      <c r="AT87" s="580">
        <f t="shared" si="98"/>
        <v>7229.7800000000025</v>
      </c>
      <c r="AU87" s="580">
        <f t="shared" si="98"/>
        <v>7855</v>
      </c>
      <c r="AV87" s="580">
        <f t="shared" si="98"/>
        <v>8261.4999999999964</v>
      </c>
      <c r="AW87" s="580">
        <f t="shared" si="98"/>
        <v>9502.7999999999975</v>
      </c>
      <c r="AX87" s="580">
        <f t="shared" si="98"/>
        <v>9174.0000000000036</v>
      </c>
      <c r="AY87" s="580">
        <f t="shared" si="98"/>
        <v>9294.5999999999985</v>
      </c>
      <c r="AZ87" s="580">
        <f t="shared" si="98"/>
        <v>9530.6000000000095</v>
      </c>
      <c r="BA87" s="580">
        <f t="shared" si="98"/>
        <v>10722.099999999995</v>
      </c>
      <c r="BB87" s="580">
        <f t="shared" si="98"/>
        <v>11200.499999999995</v>
      </c>
      <c r="BC87" s="580">
        <f t="shared" si="98"/>
        <v>10288.899999999992</v>
      </c>
      <c r="BD87" s="580">
        <f t="shared" si="98"/>
        <v>10183.899999999994</v>
      </c>
      <c r="BE87" s="580">
        <f t="shared" si="98"/>
        <v>10406.699999999999</v>
      </c>
      <c r="BF87" s="580">
        <f t="shared" si="98"/>
        <v>11737.599999999993</v>
      </c>
      <c r="BG87" s="580">
        <f t="shared" si="98"/>
        <v>10334.100000000002</v>
      </c>
      <c r="BH87" s="580">
        <f t="shared" si="98"/>
        <v>11338.300000000007</v>
      </c>
      <c r="BI87" s="580">
        <f t="shared" si="98"/>
        <v>12511.499999999998</v>
      </c>
      <c r="BJ87" s="580">
        <f t="shared" si="98"/>
        <v>12153.599999999999</v>
      </c>
      <c r="BK87" s="580">
        <f t="shared" si="98"/>
        <v>11085.199999999999</v>
      </c>
      <c r="BL87" s="580">
        <f t="shared" ref="BL87:BQ87" si="99">+BL83-BL84</f>
        <v>11423.199999999999</v>
      </c>
      <c r="BM87" s="580">
        <f t="shared" si="99"/>
        <v>12391.300000000001</v>
      </c>
      <c r="BN87" s="580">
        <f t="shared" si="99"/>
        <v>11772.699999999993</v>
      </c>
      <c r="BO87" s="580">
        <f t="shared" si="99"/>
        <v>9166.7999999999956</v>
      </c>
      <c r="BP87" s="580">
        <f t="shared" si="99"/>
        <v>13679.799999999994</v>
      </c>
      <c r="BQ87" s="580">
        <f t="shared" si="99"/>
        <v>15063.599999999997</v>
      </c>
      <c r="BR87" s="580">
        <f t="shared" ref="BR87:BS87" si="100">+BR83-BR84</f>
        <v>13392.400000000003</v>
      </c>
      <c r="BS87" s="580">
        <f t="shared" si="100"/>
        <v>13337.599999999999</v>
      </c>
      <c r="BT87" s="580">
        <f t="shared" ref="BT87:BU87" si="101">+BT83-BT84</f>
        <v>13657.000000000002</v>
      </c>
      <c r="BU87" s="580">
        <f t="shared" si="101"/>
        <v>15605.200000000004</v>
      </c>
      <c r="BV87" s="580">
        <f t="shared" ref="BV87:BW87" si="102">+BV83-BV84</f>
        <v>12857.699999999997</v>
      </c>
      <c r="BW87" s="580">
        <f t="shared" si="102"/>
        <v>11236.400000000011</v>
      </c>
    </row>
    <row r="88" spans="1:75" s="245" customFormat="1">
      <c r="A88" s="243"/>
      <c r="B88" s="243" t="s">
        <v>907</v>
      </c>
      <c r="C88" s="252" t="s">
        <v>908</v>
      </c>
      <c r="D88" s="243"/>
      <c r="F88" s="245">
        <f t="shared" ref="F88:AD88" si="103">F104-F97</f>
        <v>0</v>
      </c>
      <c r="G88" s="245">
        <f t="shared" si="103"/>
        <v>0</v>
      </c>
      <c r="H88" s="245">
        <f t="shared" si="103"/>
        <v>0</v>
      </c>
      <c r="I88" s="245">
        <f t="shared" si="103"/>
        <v>0</v>
      </c>
      <c r="J88" s="245">
        <f t="shared" si="103"/>
        <v>0</v>
      </c>
      <c r="K88" s="245">
        <f t="shared" si="103"/>
        <v>0</v>
      </c>
      <c r="M88" s="245">
        <f t="shared" si="103"/>
        <v>2501.9749999999999</v>
      </c>
      <c r="N88" s="245">
        <f t="shared" si="103"/>
        <v>2289.1289999999999</v>
      </c>
      <c r="O88" s="245">
        <f t="shared" si="103"/>
        <v>3196.3009999999999</v>
      </c>
      <c r="P88" s="245">
        <f t="shared" si="103"/>
        <v>4791.1000000000004</v>
      </c>
      <c r="Q88" s="245">
        <f t="shared" si="103"/>
        <v>4900.8999999999996</v>
      </c>
      <c r="R88" s="245">
        <f t="shared" si="103"/>
        <v>3684.2</v>
      </c>
      <c r="S88" s="245">
        <f t="shared" si="103"/>
        <v>2888.8</v>
      </c>
      <c r="T88" s="245">
        <f t="shared" si="103"/>
        <v>7075</v>
      </c>
      <c r="U88" s="245">
        <f t="shared" si="103"/>
        <v>10110.200000000001</v>
      </c>
      <c r="V88" s="245">
        <f t="shared" si="103"/>
        <v>10221.199999999999</v>
      </c>
      <c r="W88" s="245">
        <f t="shared" si="103"/>
        <v>12226.6</v>
      </c>
      <c r="X88" s="245">
        <f t="shared" si="103"/>
        <v>13901</v>
      </c>
      <c r="Y88" s="245">
        <f t="shared" si="103"/>
        <v>12710.5</v>
      </c>
      <c r="Z88" s="245">
        <f>Z104-Z97</f>
        <v>16176.5</v>
      </c>
      <c r="AA88" s="245">
        <f>AA104-AA97</f>
        <v>15080.7</v>
      </c>
      <c r="AB88" s="245">
        <f>AB104-AB97</f>
        <v>17966.267882898912</v>
      </c>
      <c r="AC88" s="245">
        <f t="shared" si="103"/>
        <v>20809.324228024834</v>
      </c>
      <c r="AD88" s="245">
        <f t="shared" si="103"/>
        <v>22311.928946050346</v>
      </c>
      <c r="AF88" s="580">
        <f>AF104-AF97</f>
        <v>1300</v>
      </c>
      <c r="AG88" s="580">
        <f t="shared" ref="AG88:BK88" si="104">AG104-AG97</f>
        <v>1250</v>
      </c>
      <c r="AH88" s="580">
        <f t="shared" si="104"/>
        <v>1200</v>
      </c>
      <c r="AI88" s="580">
        <f t="shared" si="104"/>
        <v>1150.9000000000001</v>
      </c>
      <c r="AJ88" s="580">
        <f t="shared" si="104"/>
        <v>1025</v>
      </c>
      <c r="AK88" s="580">
        <f t="shared" si="104"/>
        <v>1315</v>
      </c>
      <c r="AL88" s="580">
        <f t="shared" si="104"/>
        <v>1013.1</v>
      </c>
      <c r="AM88" s="580">
        <f t="shared" si="104"/>
        <v>669.6</v>
      </c>
      <c r="AN88" s="580">
        <f t="shared" si="104"/>
        <v>860</v>
      </c>
      <c r="AO88" s="580">
        <f t="shared" si="104"/>
        <v>810</v>
      </c>
      <c r="AP88" s="580">
        <f t="shared" si="104"/>
        <v>755</v>
      </c>
      <c r="AQ88" s="580">
        <f t="shared" si="104"/>
        <v>591.1</v>
      </c>
      <c r="AR88" s="580">
        <f t="shared" si="104"/>
        <v>1220</v>
      </c>
      <c r="AS88" s="580">
        <f t="shared" si="104"/>
        <v>1760</v>
      </c>
      <c r="AT88" s="580">
        <f t="shared" si="104"/>
        <v>2020</v>
      </c>
      <c r="AU88" s="580">
        <f t="shared" si="104"/>
        <v>2075</v>
      </c>
      <c r="AV88" s="580">
        <f t="shared" si="104"/>
        <v>2360</v>
      </c>
      <c r="AW88" s="580">
        <f t="shared" si="104"/>
        <v>2682</v>
      </c>
      <c r="AX88" s="580">
        <f t="shared" si="104"/>
        <v>2502.9</v>
      </c>
      <c r="AY88" s="580">
        <f t="shared" si="104"/>
        <v>2535.3000000000002</v>
      </c>
      <c r="AZ88" s="580">
        <f t="shared" si="104"/>
        <v>2420</v>
      </c>
      <c r="BA88" s="580">
        <f t="shared" si="104"/>
        <v>2510</v>
      </c>
      <c r="BB88" s="580">
        <f t="shared" si="104"/>
        <v>2660</v>
      </c>
      <c r="BC88" s="580">
        <f t="shared" si="104"/>
        <v>2631.2</v>
      </c>
      <c r="BD88" s="580">
        <f t="shared" si="104"/>
        <v>3000</v>
      </c>
      <c r="BE88" s="580">
        <f t="shared" si="104"/>
        <v>3000</v>
      </c>
      <c r="BF88" s="580">
        <f t="shared" si="104"/>
        <v>3550.2</v>
      </c>
      <c r="BG88" s="580">
        <f t="shared" si="104"/>
        <v>2676.4</v>
      </c>
      <c r="BH88" s="580">
        <f t="shared" si="104"/>
        <v>3001.5</v>
      </c>
      <c r="BI88" s="580">
        <f t="shared" si="104"/>
        <v>3746.3</v>
      </c>
      <c r="BJ88" s="580">
        <f t="shared" si="104"/>
        <v>4063.3</v>
      </c>
      <c r="BK88" s="580">
        <f t="shared" si="104"/>
        <v>3089.9</v>
      </c>
      <c r="BL88" s="580">
        <f t="shared" ref="BL88:BQ88" si="105">BL104-BL97</f>
        <v>3351.1</v>
      </c>
      <c r="BM88" s="580">
        <f t="shared" si="105"/>
        <v>2405.3000000000002</v>
      </c>
      <c r="BN88" s="580">
        <f t="shared" si="105"/>
        <v>3950.2</v>
      </c>
      <c r="BO88" s="580">
        <f t="shared" si="105"/>
        <v>3003.9</v>
      </c>
      <c r="BP88" s="580">
        <f t="shared" si="105"/>
        <v>4106.2</v>
      </c>
      <c r="BQ88" s="580">
        <f t="shared" si="105"/>
        <v>4539.7</v>
      </c>
      <c r="BR88" s="580">
        <f t="shared" ref="BR88:BS88" si="106">BR104-BR97</f>
        <v>3686.3</v>
      </c>
      <c r="BS88" s="580">
        <f t="shared" si="106"/>
        <v>3844.2999999999997</v>
      </c>
      <c r="BT88" s="580">
        <f t="shared" ref="BT88:BU88" si="107">BT104-BT97</f>
        <v>3873.3</v>
      </c>
      <c r="BU88" s="580">
        <f t="shared" si="107"/>
        <v>4377.7</v>
      </c>
      <c r="BV88" s="580">
        <f t="shared" ref="BV88:BW88" si="108">BV104-BV97</f>
        <v>3611.5</v>
      </c>
      <c r="BW88" s="580">
        <f t="shared" si="108"/>
        <v>3218.2</v>
      </c>
    </row>
    <row r="89" spans="1:75" s="245" customFormat="1">
      <c r="A89" s="243"/>
      <c r="B89" s="243" t="s">
        <v>909</v>
      </c>
      <c r="C89" s="252" t="s">
        <v>910</v>
      </c>
      <c r="D89" s="243"/>
      <c r="F89" s="245">
        <f t="shared" ref="F89:AD89" si="109">F87-F88</f>
        <v>0</v>
      </c>
      <c r="G89" s="245">
        <f t="shared" si="109"/>
        <v>0</v>
      </c>
      <c r="H89" s="245">
        <f t="shared" si="109"/>
        <v>0</v>
      </c>
      <c r="I89" s="245">
        <f t="shared" si="109"/>
        <v>0</v>
      </c>
      <c r="J89" s="245">
        <f t="shared" si="109"/>
        <v>0</v>
      </c>
      <c r="K89" s="245">
        <f t="shared" si="109"/>
        <v>0</v>
      </c>
      <c r="M89" s="245">
        <f t="shared" si="109"/>
        <v>5384.2260000000006</v>
      </c>
      <c r="N89" s="245">
        <f t="shared" si="109"/>
        <v>7965.4870000000001</v>
      </c>
      <c r="O89" s="245">
        <f t="shared" si="109"/>
        <v>8158.3140000000003</v>
      </c>
      <c r="P89" s="245">
        <f t="shared" si="109"/>
        <v>11242.600000000002</v>
      </c>
      <c r="Q89" s="245">
        <f t="shared" si="109"/>
        <v>12868.800000000001</v>
      </c>
      <c r="R89" s="245">
        <f t="shared" si="109"/>
        <v>8283.2000000000044</v>
      </c>
      <c r="S89" s="245">
        <f t="shared" si="109"/>
        <v>8048.2000000000053</v>
      </c>
      <c r="T89" s="245">
        <f t="shared" si="109"/>
        <v>18651.299999999985</v>
      </c>
      <c r="U89" s="245">
        <f t="shared" si="109"/>
        <v>26151.799999999977</v>
      </c>
      <c r="V89" s="245">
        <f t="shared" si="109"/>
        <v>30040.5</v>
      </c>
      <c r="W89" s="245">
        <f t="shared" si="109"/>
        <v>27952.800000000032</v>
      </c>
      <c r="X89" s="245">
        <f t="shared" si="109"/>
        <v>32878.999999999993</v>
      </c>
      <c r="Y89" s="245">
        <f t="shared" si="109"/>
        <v>31946.100000000013</v>
      </c>
      <c r="Z89" s="245">
        <f>Z87-Z88</f>
        <v>39296.699999999997</v>
      </c>
      <c r="AA89" s="245">
        <f>AA87-AA88</f>
        <v>38275.600000000006</v>
      </c>
      <c r="AB89" s="245">
        <f>AB87-AB88</f>
        <v>43986.379989166293</v>
      </c>
      <c r="AC89" s="245">
        <f t="shared" si="109"/>
        <v>50946.966213440101</v>
      </c>
      <c r="AD89" s="245">
        <f t="shared" si="109"/>
        <v>54625.757074812951</v>
      </c>
      <c r="AF89" s="580">
        <f t="shared" ref="AF89:BK89" si="110">AF87-AF88</f>
        <v>2763.9999999999977</v>
      </c>
      <c r="AG89" s="580">
        <f t="shared" si="110"/>
        <v>3314.4999999999982</v>
      </c>
      <c r="AH89" s="580">
        <f t="shared" si="110"/>
        <v>3571.4000000000005</v>
      </c>
      <c r="AI89" s="580">
        <f t="shared" si="110"/>
        <v>3207.4999999999977</v>
      </c>
      <c r="AJ89" s="580">
        <f t="shared" si="110"/>
        <v>2260.1000000000004</v>
      </c>
      <c r="AK89" s="580">
        <f t="shared" si="110"/>
        <v>3437</v>
      </c>
      <c r="AL89" s="580">
        <f t="shared" si="110"/>
        <v>2648.599999999999</v>
      </c>
      <c r="AM89" s="580">
        <f t="shared" si="110"/>
        <v>1718.5000000000009</v>
      </c>
      <c r="AN89" s="580">
        <f t="shared" si="110"/>
        <v>1751.2000000000016</v>
      </c>
      <c r="AO89" s="580">
        <f t="shared" si="110"/>
        <v>2459.7000000000007</v>
      </c>
      <c r="AP89" s="580">
        <f t="shared" si="110"/>
        <v>2273.0999999999981</v>
      </c>
      <c r="AQ89" s="580">
        <f t="shared" si="110"/>
        <v>2301.5000000000014</v>
      </c>
      <c r="AR89" s="580">
        <f t="shared" si="110"/>
        <v>3175.0999999999967</v>
      </c>
      <c r="AS89" s="580">
        <f t="shared" si="110"/>
        <v>4486.5999999999985</v>
      </c>
      <c r="AT89" s="580">
        <f t="shared" si="110"/>
        <v>5209.7800000000025</v>
      </c>
      <c r="AU89" s="580">
        <f t="shared" si="110"/>
        <v>5780</v>
      </c>
      <c r="AV89" s="580">
        <f t="shared" si="110"/>
        <v>5901.4999999999964</v>
      </c>
      <c r="AW89" s="580">
        <f t="shared" si="110"/>
        <v>6820.7999999999975</v>
      </c>
      <c r="AX89" s="580">
        <f t="shared" si="110"/>
        <v>6671.100000000004</v>
      </c>
      <c r="AY89" s="580">
        <f t="shared" si="110"/>
        <v>6759.2999999999984</v>
      </c>
      <c r="AZ89" s="580">
        <f t="shared" si="110"/>
        <v>7110.6000000000095</v>
      </c>
      <c r="BA89" s="580">
        <f t="shared" si="110"/>
        <v>8212.0999999999949</v>
      </c>
      <c r="BB89" s="580">
        <f t="shared" si="110"/>
        <v>8540.4999999999945</v>
      </c>
      <c r="BC89" s="580">
        <f t="shared" si="110"/>
        <v>7657.6999999999925</v>
      </c>
      <c r="BD89" s="580">
        <f t="shared" si="110"/>
        <v>7183.8999999999942</v>
      </c>
      <c r="BE89" s="580">
        <f t="shared" si="110"/>
        <v>7406.6999999999989</v>
      </c>
      <c r="BF89" s="580">
        <f t="shared" si="110"/>
        <v>8187.3999999999933</v>
      </c>
      <c r="BG89" s="580">
        <f t="shared" si="110"/>
        <v>7657.7000000000025</v>
      </c>
      <c r="BH89" s="580">
        <f t="shared" si="110"/>
        <v>8336.8000000000065</v>
      </c>
      <c r="BI89" s="580">
        <f t="shared" si="110"/>
        <v>8765.1999999999971</v>
      </c>
      <c r="BJ89" s="580">
        <f t="shared" si="110"/>
        <v>8090.2999999999984</v>
      </c>
      <c r="BK89" s="580">
        <f t="shared" si="110"/>
        <v>7995.2999999999993</v>
      </c>
      <c r="BL89" s="580">
        <f t="shared" ref="BL89:BQ89" si="111">BL87-BL88</f>
        <v>8072.0999999999985</v>
      </c>
      <c r="BM89" s="580">
        <f t="shared" si="111"/>
        <v>9986</v>
      </c>
      <c r="BN89" s="580">
        <f t="shared" si="111"/>
        <v>7822.4999999999936</v>
      </c>
      <c r="BO89" s="580">
        <f t="shared" si="111"/>
        <v>6162.899999999996</v>
      </c>
      <c r="BP89" s="580">
        <f t="shared" si="111"/>
        <v>9573.5999999999949</v>
      </c>
      <c r="BQ89" s="580">
        <f t="shared" si="111"/>
        <v>10523.899999999998</v>
      </c>
      <c r="BR89" s="580">
        <f t="shared" ref="BR89:BS89" si="112">BR87-BR88</f>
        <v>9706.1000000000022</v>
      </c>
      <c r="BS89" s="580">
        <f t="shared" si="112"/>
        <v>9493.2999999999993</v>
      </c>
      <c r="BT89" s="580">
        <f t="shared" ref="BT89:BU89" si="113">BT87-BT88</f>
        <v>9783.7000000000007</v>
      </c>
      <c r="BU89" s="580">
        <f t="shared" si="113"/>
        <v>11227.500000000004</v>
      </c>
      <c r="BV89" s="580">
        <f t="shared" ref="BV89:BW89" si="114">BV87-BV88</f>
        <v>9246.1999999999971</v>
      </c>
      <c r="BW89" s="580">
        <f t="shared" si="114"/>
        <v>8018.2000000000107</v>
      </c>
    </row>
    <row r="90" spans="1:75" s="248" customFormat="1">
      <c r="A90" s="247"/>
      <c r="B90" s="247" t="s">
        <v>911</v>
      </c>
      <c r="C90" s="253" t="s">
        <v>912</v>
      </c>
      <c r="D90" s="247"/>
      <c r="F90" s="249"/>
      <c r="G90" s="249"/>
      <c r="H90" s="249"/>
      <c r="I90" s="249"/>
      <c r="J90" s="249"/>
      <c r="K90" s="249"/>
      <c r="L90" s="249"/>
      <c r="M90" s="249"/>
      <c r="N90" s="249"/>
      <c r="O90" s="249"/>
      <c r="P90" s="249"/>
      <c r="Q90" s="249"/>
      <c r="R90" s="249"/>
      <c r="S90" s="249"/>
      <c r="T90" s="249"/>
      <c r="U90" s="249"/>
      <c r="V90" s="249"/>
      <c r="W90" s="249"/>
      <c r="X90" s="249"/>
      <c r="Y90" s="249"/>
      <c r="Z90" s="249"/>
      <c r="AA90" s="249"/>
      <c r="AB90" s="249"/>
      <c r="AC90" s="249"/>
      <c r="AD90" s="249"/>
      <c r="AF90" s="581"/>
      <c r="AG90" s="581"/>
      <c r="AH90" s="581"/>
      <c r="AI90" s="581"/>
      <c r="AJ90" s="581"/>
      <c r="AK90" s="581"/>
      <c r="AL90" s="581"/>
      <c r="AM90" s="581"/>
      <c r="AN90" s="581"/>
      <c r="AO90" s="581"/>
      <c r="AP90" s="581"/>
      <c r="AQ90" s="581"/>
      <c r="AR90" s="581"/>
      <c r="AS90" s="581"/>
      <c r="AT90" s="581"/>
      <c r="AU90" s="581"/>
      <c r="AV90" s="581"/>
      <c r="AW90" s="581"/>
      <c r="AX90" s="581"/>
      <c r="AY90" s="581"/>
      <c r="AZ90" s="581"/>
      <c r="BA90" s="581"/>
      <c r="BB90" s="581"/>
      <c r="BC90" s="581"/>
      <c r="BD90" s="581"/>
      <c r="BE90" s="581"/>
      <c r="BF90" s="581"/>
      <c r="BG90" s="581"/>
      <c r="BH90" s="581"/>
      <c r="BI90" s="581"/>
      <c r="BJ90" s="581"/>
      <c r="BK90" s="581"/>
      <c r="BL90" s="581"/>
      <c r="BM90" s="581"/>
      <c r="BN90" s="581"/>
      <c r="BO90" s="581"/>
      <c r="BP90" s="581"/>
      <c r="BQ90" s="581"/>
      <c r="BR90" s="581"/>
      <c r="BS90" s="581"/>
      <c r="BT90" s="581"/>
      <c r="BU90" s="581"/>
      <c r="BV90" s="581"/>
      <c r="BW90" s="581"/>
    </row>
    <row r="91" spans="1:75" s="248" customFormat="1">
      <c r="A91" s="247"/>
      <c r="B91" s="247" t="s">
        <v>913</v>
      </c>
      <c r="C91" s="253" t="s">
        <v>914</v>
      </c>
      <c r="D91" s="247"/>
      <c r="F91" s="249"/>
      <c r="G91" s="249"/>
      <c r="H91" s="249"/>
      <c r="I91" s="249"/>
      <c r="J91" s="249"/>
      <c r="K91" s="249"/>
      <c r="L91" s="249"/>
      <c r="M91" s="249"/>
      <c r="N91" s="249"/>
      <c r="O91" s="249"/>
      <c r="P91" s="249"/>
      <c r="Q91" s="249"/>
      <c r="R91" s="249"/>
      <c r="S91" s="249"/>
      <c r="T91" s="249"/>
      <c r="U91" s="249"/>
      <c r="V91" s="249"/>
      <c r="W91" s="249"/>
      <c r="X91" s="249"/>
      <c r="Y91" s="249"/>
      <c r="Z91" s="249"/>
      <c r="AA91" s="249"/>
      <c r="AB91" s="249"/>
      <c r="AC91" s="249"/>
      <c r="AD91" s="249"/>
      <c r="AF91" s="581"/>
      <c r="AG91" s="581"/>
      <c r="AH91" s="581"/>
      <c r="AI91" s="581"/>
      <c r="AJ91" s="581"/>
      <c r="AK91" s="581"/>
      <c r="AL91" s="581"/>
      <c r="AM91" s="581"/>
      <c r="AN91" s="581"/>
      <c r="AO91" s="581"/>
      <c r="AP91" s="581"/>
      <c r="AQ91" s="581"/>
      <c r="AR91" s="581"/>
      <c r="AS91" s="581"/>
      <c r="AT91" s="581"/>
      <c r="AU91" s="581"/>
      <c r="AV91" s="581"/>
      <c r="AW91" s="581"/>
      <c r="AX91" s="581"/>
      <c r="AY91" s="581"/>
      <c r="AZ91" s="581"/>
      <c r="BA91" s="581"/>
      <c r="BB91" s="581"/>
      <c r="BC91" s="581"/>
      <c r="BD91" s="581"/>
      <c r="BE91" s="581"/>
      <c r="BF91" s="581"/>
      <c r="BG91" s="581"/>
      <c r="BH91" s="581"/>
      <c r="BI91" s="581"/>
      <c r="BJ91" s="581"/>
      <c r="BK91" s="581"/>
      <c r="BL91" s="581"/>
      <c r="BM91" s="581"/>
      <c r="BN91" s="581"/>
      <c r="BO91" s="581"/>
      <c r="BP91" s="581"/>
      <c r="BQ91" s="581"/>
      <c r="BR91" s="581"/>
      <c r="BS91" s="581"/>
      <c r="BT91" s="581"/>
      <c r="BU91" s="581"/>
      <c r="BV91" s="581"/>
      <c r="BW91" s="581"/>
    </row>
    <row r="92" spans="1:75" s="245" customFormat="1">
      <c r="A92" s="243"/>
      <c r="B92" s="243" t="s">
        <v>915</v>
      </c>
      <c r="C92" s="252" t="s">
        <v>916</v>
      </c>
      <c r="D92" s="243"/>
      <c r="F92" s="245">
        <f t="shared" ref="F92:AD92" si="115">F89+F90+F91</f>
        <v>0</v>
      </c>
      <c r="G92" s="245">
        <f t="shared" si="115"/>
        <v>0</v>
      </c>
      <c r="H92" s="245">
        <f t="shared" si="115"/>
        <v>0</v>
      </c>
      <c r="I92" s="245">
        <f t="shared" si="115"/>
        <v>0</v>
      </c>
      <c r="J92" s="245">
        <f t="shared" si="115"/>
        <v>0</v>
      </c>
      <c r="K92" s="245">
        <f t="shared" si="115"/>
        <v>0</v>
      </c>
      <c r="M92" s="245">
        <f t="shared" si="115"/>
        <v>5384.2260000000006</v>
      </c>
      <c r="N92" s="245">
        <f t="shared" si="115"/>
        <v>7965.4870000000001</v>
      </c>
      <c r="O92" s="245">
        <f t="shared" si="115"/>
        <v>8158.3140000000003</v>
      </c>
      <c r="P92" s="245">
        <f t="shared" si="115"/>
        <v>11242.600000000002</v>
      </c>
      <c r="Q92" s="245">
        <f t="shared" si="115"/>
        <v>12868.800000000001</v>
      </c>
      <c r="R92" s="245">
        <f t="shared" si="115"/>
        <v>8283.2000000000044</v>
      </c>
      <c r="S92" s="245">
        <f t="shared" si="115"/>
        <v>8048.2000000000053</v>
      </c>
      <c r="T92" s="245">
        <f t="shared" si="115"/>
        <v>18651.299999999985</v>
      </c>
      <c r="U92" s="245">
        <f t="shared" si="115"/>
        <v>26151.799999999977</v>
      </c>
      <c r="V92" s="245">
        <f t="shared" si="115"/>
        <v>30040.5</v>
      </c>
      <c r="W92" s="245">
        <f t="shared" si="115"/>
        <v>27952.800000000032</v>
      </c>
      <c r="X92" s="245">
        <f t="shared" si="115"/>
        <v>32878.999999999993</v>
      </c>
      <c r="Y92" s="245">
        <f t="shared" si="115"/>
        <v>31946.100000000013</v>
      </c>
      <c r="Z92" s="245">
        <f>Z89+Z90+Z91</f>
        <v>39296.699999999997</v>
      </c>
      <c r="AA92" s="245">
        <f>AA89+AA90+AA91</f>
        <v>38275.600000000006</v>
      </c>
      <c r="AB92" s="245">
        <f>AB89+AB90+AB91</f>
        <v>43986.379989166293</v>
      </c>
      <c r="AC92" s="245">
        <f t="shared" si="115"/>
        <v>50946.966213440101</v>
      </c>
      <c r="AD92" s="245">
        <f t="shared" si="115"/>
        <v>54625.757074812951</v>
      </c>
      <c r="AF92" s="580">
        <f t="shared" ref="AF92:BK92" si="116">+AF89+AF90-AF91</f>
        <v>2763.9999999999977</v>
      </c>
      <c r="AG92" s="580">
        <f t="shared" si="116"/>
        <v>3314.4999999999982</v>
      </c>
      <c r="AH92" s="580">
        <f t="shared" si="116"/>
        <v>3571.4000000000005</v>
      </c>
      <c r="AI92" s="580">
        <f t="shared" si="116"/>
        <v>3207.4999999999977</v>
      </c>
      <c r="AJ92" s="580">
        <f t="shared" si="116"/>
        <v>2260.1000000000004</v>
      </c>
      <c r="AK92" s="580">
        <f t="shared" si="116"/>
        <v>3437</v>
      </c>
      <c r="AL92" s="580">
        <f t="shared" si="116"/>
        <v>2648.599999999999</v>
      </c>
      <c r="AM92" s="580">
        <f t="shared" si="116"/>
        <v>1718.5000000000009</v>
      </c>
      <c r="AN92" s="580">
        <f t="shared" si="116"/>
        <v>1751.2000000000016</v>
      </c>
      <c r="AO92" s="580">
        <f t="shared" si="116"/>
        <v>2459.7000000000007</v>
      </c>
      <c r="AP92" s="580">
        <f t="shared" si="116"/>
        <v>2273.0999999999981</v>
      </c>
      <c r="AQ92" s="580">
        <f t="shared" si="116"/>
        <v>2301.5000000000014</v>
      </c>
      <c r="AR92" s="580">
        <f t="shared" si="116"/>
        <v>3175.0999999999967</v>
      </c>
      <c r="AS92" s="580">
        <f t="shared" si="116"/>
        <v>4486.5999999999985</v>
      </c>
      <c r="AT92" s="580">
        <f t="shared" si="116"/>
        <v>5209.7800000000025</v>
      </c>
      <c r="AU92" s="580">
        <f t="shared" si="116"/>
        <v>5780</v>
      </c>
      <c r="AV92" s="580">
        <f t="shared" si="116"/>
        <v>5901.4999999999964</v>
      </c>
      <c r="AW92" s="580">
        <f t="shared" si="116"/>
        <v>6820.7999999999975</v>
      </c>
      <c r="AX92" s="580">
        <f t="shared" si="116"/>
        <v>6671.100000000004</v>
      </c>
      <c r="AY92" s="580">
        <f t="shared" si="116"/>
        <v>6759.2999999999984</v>
      </c>
      <c r="AZ92" s="580">
        <f t="shared" si="116"/>
        <v>7110.6000000000095</v>
      </c>
      <c r="BA92" s="580">
        <f t="shared" si="116"/>
        <v>8212.0999999999949</v>
      </c>
      <c r="BB92" s="580">
        <f t="shared" si="116"/>
        <v>8540.4999999999945</v>
      </c>
      <c r="BC92" s="580">
        <f t="shared" si="116"/>
        <v>7657.6999999999925</v>
      </c>
      <c r="BD92" s="580">
        <f t="shared" si="116"/>
        <v>7183.8999999999942</v>
      </c>
      <c r="BE92" s="580">
        <f t="shared" si="116"/>
        <v>7406.6999999999989</v>
      </c>
      <c r="BF92" s="580">
        <f t="shared" si="116"/>
        <v>8187.3999999999933</v>
      </c>
      <c r="BG92" s="580">
        <f t="shared" si="116"/>
        <v>7657.7000000000025</v>
      </c>
      <c r="BH92" s="580">
        <f t="shared" si="116"/>
        <v>8336.8000000000065</v>
      </c>
      <c r="BI92" s="580">
        <f t="shared" si="116"/>
        <v>8765.1999999999971</v>
      </c>
      <c r="BJ92" s="580">
        <f t="shared" si="116"/>
        <v>8090.2999999999984</v>
      </c>
      <c r="BK92" s="580">
        <f t="shared" si="116"/>
        <v>7995.2999999999993</v>
      </c>
      <c r="BL92" s="580">
        <f t="shared" ref="BL92:BQ92" si="117">+BL89+BL90-BL91</f>
        <v>8072.0999999999985</v>
      </c>
      <c r="BM92" s="580">
        <f t="shared" si="117"/>
        <v>9986</v>
      </c>
      <c r="BN92" s="580">
        <f t="shared" si="117"/>
        <v>7822.4999999999936</v>
      </c>
      <c r="BO92" s="580">
        <f t="shared" si="117"/>
        <v>6162.899999999996</v>
      </c>
      <c r="BP92" s="580">
        <f t="shared" si="117"/>
        <v>9573.5999999999949</v>
      </c>
      <c r="BQ92" s="580">
        <f t="shared" si="117"/>
        <v>10523.899999999998</v>
      </c>
      <c r="BR92" s="580">
        <f t="shared" ref="BR92:BS92" si="118">+BR89+BR90-BR91</f>
        <v>9706.1000000000022</v>
      </c>
      <c r="BS92" s="580">
        <f t="shared" si="118"/>
        <v>9493.2999999999993</v>
      </c>
      <c r="BT92" s="580">
        <f t="shared" ref="BT92:BU92" si="119">+BT89+BT90-BT91</f>
        <v>9783.7000000000007</v>
      </c>
      <c r="BU92" s="580">
        <f t="shared" si="119"/>
        <v>11227.500000000004</v>
      </c>
      <c r="BV92" s="580">
        <f t="shared" ref="BV92:BW92" si="120">+BV89+BV90-BV91</f>
        <v>9246.1999999999971</v>
      </c>
      <c r="BW92" s="580">
        <f t="shared" si="120"/>
        <v>8018.2000000000107</v>
      </c>
    </row>
    <row r="93" spans="1:75" s="245" customFormat="1">
      <c r="A93" s="243"/>
      <c r="B93" s="243" t="s">
        <v>917</v>
      </c>
      <c r="C93" s="254" t="s">
        <v>918</v>
      </c>
      <c r="D93" s="243"/>
      <c r="F93" s="245">
        <f t="shared" ref="F93:AD93" si="121">SUM(F94:F97)</f>
        <v>0</v>
      </c>
      <c r="G93" s="245">
        <f t="shared" si="121"/>
        <v>0</v>
      </c>
      <c r="H93" s="245">
        <f t="shared" si="121"/>
        <v>0</v>
      </c>
      <c r="I93" s="245">
        <f t="shared" si="121"/>
        <v>0</v>
      </c>
      <c r="J93" s="245">
        <f t="shared" si="121"/>
        <v>0</v>
      </c>
      <c r="K93" s="245">
        <f t="shared" si="121"/>
        <v>0</v>
      </c>
      <c r="M93" s="245">
        <f t="shared" si="121"/>
        <v>0</v>
      </c>
      <c r="N93" s="245">
        <f t="shared" si="121"/>
        <v>-581.50700000000006</v>
      </c>
      <c r="O93" s="245">
        <f t="shared" si="121"/>
        <v>-508.69399999999996</v>
      </c>
      <c r="P93" s="245">
        <f t="shared" si="121"/>
        <v>-226.4</v>
      </c>
      <c r="Q93" s="245">
        <f t="shared" si="121"/>
        <v>-489.6</v>
      </c>
      <c r="R93" s="245">
        <f t="shared" si="121"/>
        <v>-1023.6</v>
      </c>
      <c r="S93" s="245">
        <f t="shared" si="121"/>
        <v>-2051</v>
      </c>
      <c r="T93" s="245">
        <f t="shared" si="121"/>
        <v>-1615</v>
      </c>
      <c r="U93" s="245">
        <f t="shared" si="121"/>
        <v>7245.5</v>
      </c>
      <c r="V93" s="245">
        <f t="shared" si="121"/>
        <v>0</v>
      </c>
      <c r="W93" s="245">
        <f t="shared" si="121"/>
        <v>2482.9</v>
      </c>
      <c r="X93" s="245">
        <f t="shared" si="121"/>
        <v>-446.29999999999984</v>
      </c>
      <c r="Y93" s="245">
        <f t="shared" si="121"/>
        <v>-3808.7</v>
      </c>
      <c r="Z93" s="245">
        <f>SUM(Z94:Z97)</f>
        <v>0</v>
      </c>
      <c r="AA93" s="245">
        <f>SUM(AA94:AA97)</f>
        <v>0</v>
      </c>
      <c r="AB93" s="245">
        <f>SUM(AB94:AB97)</f>
        <v>0</v>
      </c>
      <c r="AC93" s="245">
        <f t="shared" si="121"/>
        <v>0</v>
      </c>
      <c r="AD93" s="245">
        <f t="shared" si="121"/>
        <v>0</v>
      </c>
      <c r="AF93" s="580">
        <f>SUM(AF94:AF97)</f>
        <v>-103.9</v>
      </c>
      <c r="AG93" s="580">
        <f t="shared" ref="AG93:BK93" si="122">SUM(AG94:AG97)</f>
        <v>-126</v>
      </c>
      <c r="AH93" s="580">
        <f t="shared" si="122"/>
        <v>-123.2</v>
      </c>
      <c r="AI93" s="580">
        <f t="shared" si="122"/>
        <v>-124.4</v>
      </c>
      <c r="AJ93" s="580">
        <f t="shared" si="122"/>
        <v>0</v>
      </c>
      <c r="AK93" s="580">
        <f t="shared" si="122"/>
        <v>-77.400000000000006</v>
      </c>
      <c r="AL93" s="580">
        <f t="shared" si="122"/>
        <v>-511.8</v>
      </c>
      <c r="AM93" s="580">
        <f t="shared" si="122"/>
        <v>-510.6</v>
      </c>
      <c r="AN93" s="580">
        <f t="shared" si="122"/>
        <v>0</v>
      </c>
      <c r="AO93" s="580">
        <f t="shared" si="122"/>
        <v>-611</v>
      </c>
      <c r="AP93" s="580">
        <f t="shared" si="122"/>
        <v>-630.4</v>
      </c>
      <c r="AQ93" s="580">
        <f t="shared" si="122"/>
        <v>-999.4</v>
      </c>
      <c r="AR93" s="580">
        <f t="shared" si="122"/>
        <v>-240.2</v>
      </c>
      <c r="AS93" s="580">
        <f t="shared" si="122"/>
        <v>-458.3</v>
      </c>
      <c r="AT93" s="580">
        <f t="shared" si="122"/>
        <v>-458.2</v>
      </c>
      <c r="AU93" s="580">
        <f t="shared" si="122"/>
        <v>-458.3</v>
      </c>
      <c r="AV93" s="580">
        <f t="shared" si="122"/>
        <v>0</v>
      </c>
      <c r="AW93" s="580">
        <f t="shared" si="122"/>
        <v>0</v>
      </c>
      <c r="AX93" s="580">
        <f t="shared" si="122"/>
        <v>0</v>
      </c>
      <c r="AY93" s="580">
        <f t="shared" si="122"/>
        <v>7245.5000000000009</v>
      </c>
      <c r="AZ93" s="580">
        <f t="shared" si="122"/>
        <v>0</v>
      </c>
      <c r="BA93" s="580">
        <f t="shared" si="122"/>
        <v>-954.1</v>
      </c>
      <c r="BB93" s="580">
        <f t="shared" si="122"/>
        <v>-588.6</v>
      </c>
      <c r="BC93" s="580">
        <f t="shared" si="122"/>
        <v>62.699999999999989</v>
      </c>
      <c r="BD93" s="580">
        <f t="shared" si="122"/>
        <v>0</v>
      </c>
      <c r="BE93" s="580">
        <f t="shared" si="122"/>
        <v>0</v>
      </c>
      <c r="BF93" s="580">
        <f t="shared" si="122"/>
        <v>0</v>
      </c>
      <c r="BG93" s="580">
        <f t="shared" si="122"/>
        <v>0</v>
      </c>
      <c r="BH93" s="580">
        <f t="shared" si="122"/>
        <v>-960</v>
      </c>
      <c r="BI93" s="580">
        <f t="shared" si="122"/>
        <v>-393.6</v>
      </c>
      <c r="BJ93" s="580">
        <f t="shared" si="122"/>
        <v>955.2</v>
      </c>
      <c r="BK93" s="580">
        <f t="shared" si="122"/>
        <v>-356</v>
      </c>
      <c r="BL93" s="580">
        <f t="shared" ref="BL93:BQ93" si="123">SUM(BL94:BL97)</f>
        <v>-672.3</v>
      </c>
      <c r="BM93" s="580">
        <f t="shared" si="123"/>
        <v>-4077</v>
      </c>
      <c r="BN93" s="580">
        <f t="shared" si="123"/>
        <v>789.9</v>
      </c>
      <c r="BO93" s="580">
        <f t="shared" si="123"/>
        <v>54.3</v>
      </c>
      <c r="BP93" s="580">
        <f t="shared" si="123"/>
        <v>0</v>
      </c>
      <c r="BQ93" s="580">
        <f t="shared" si="123"/>
        <v>0</v>
      </c>
      <c r="BR93" s="580">
        <f t="shared" ref="BR93:BS93" si="124">SUM(BR94:BR97)</f>
        <v>0</v>
      </c>
      <c r="BS93" s="580">
        <f t="shared" si="124"/>
        <v>0</v>
      </c>
      <c r="BT93" s="580">
        <f t="shared" ref="BT93:BU93" si="125">SUM(BT94:BT97)</f>
        <v>0</v>
      </c>
      <c r="BU93" s="580">
        <f t="shared" si="125"/>
        <v>0</v>
      </c>
      <c r="BV93" s="580">
        <f t="shared" ref="BV93:BW93" si="126">SUM(BV94:BV97)</f>
        <v>0</v>
      </c>
      <c r="BW93" s="580">
        <f t="shared" si="126"/>
        <v>0</v>
      </c>
    </row>
    <row r="94" spans="1:75" s="240" customFormat="1">
      <c r="A94" s="209"/>
      <c r="B94" s="209" t="s">
        <v>919</v>
      </c>
      <c r="C94" s="255" t="s">
        <v>920</v>
      </c>
      <c r="D94" s="209"/>
      <c r="F94" s="251"/>
      <c r="G94" s="251"/>
      <c r="H94" s="251"/>
      <c r="I94" s="251"/>
      <c r="J94" s="251"/>
      <c r="K94" s="251"/>
      <c r="L94" s="251"/>
      <c r="M94" s="251"/>
      <c r="N94" s="251"/>
      <c r="O94" s="251"/>
      <c r="P94" s="251"/>
      <c r="Q94" s="251"/>
      <c r="R94" s="251"/>
      <c r="S94" s="251"/>
      <c r="T94" s="251"/>
      <c r="U94" s="251"/>
      <c r="V94" s="251"/>
      <c r="W94" s="251"/>
      <c r="X94" s="251"/>
      <c r="Y94" s="251"/>
      <c r="Z94" s="251"/>
      <c r="AA94" s="251"/>
      <c r="AB94" s="251"/>
      <c r="AC94" s="251"/>
      <c r="AD94" s="251"/>
      <c r="AF94" s="579"/>
      <c r="AG94" s="579"/>
      <c r="AH94" s="579"/>
      <c r="AI94" s="579"/>
      <c r="AJ94" s="579"/>
      <c r="AK94" s="579"/>
      <c r="AL94" s="579"/>
      <c r="AM94" s="579"/>
      <c r="AN94" s="579"/>
      <c r="AO94" s="579"/>
      <c r="AP94" s="579"/>
      <c r="AQ94" s="579"/>
      <c r="AR94" s="579"/>
      <c r="AS94" s="579"/>
      <c r="AT94" s="579"/>
      <c r="AU94" s="579"/>
      <c r="AV94" s="579"/>
      <c r="AW94" s="579"/>
      <c r="AX94" s="579"/>
      <c r="AY94" s="579"/>
      <c r="AZ94" s="579"/>
      <c r="BA94" s="579"/>
      <c r="BB94" s="579"/>
      <c r="BC94" s="579"/>
      <c r="BD94" s="579"/>
      <c r="BE94" s="579"/>
      <c r="BF94" s="579"/>
      <c r="BG94" s="579"/>
      <c r="BH94" s="579"/>
      <c r="BI94" s="579"/>
      <c r="BJ94" s="579"/>
      <c r="BK94" s="579"/>
      <c r="BL94" s="579"/>
      <c r="BM94" s="579"/>
      <c r="BN94" s="579"/>
      <c r="BO94" s="579"/>
      <c r="BP94" s="579"/>
      <c r="BQ94" s="579"/>
      <c r="BR94" s="579"/>
      <c r="BS94" s="579"/>
      <c r="BT94" s="579"/>
      <c r="BU94" s="579"/>
      <c r="BV94" s="579"/>
      <c r="BW94" s="579"/>
    </row>
    <row r="95" spans="1:75" s="240" customFormat="1">
      <c r="A95" s="209"/>
      <c r="B95" s="209" t="s">
        <v>921</v>
      </c>
      <c r="C95" s="255" t="s">
        <v>928</v>
      </c>
      <c r="D95" s="209"/>
      <c r="F95" s="251"/>
      <c r="G95" s="251"/>
      <c r="H95" s="251"/>
      <c r="I95" s="251"/>
      <c r="J95" s="251"/>
      <c r="K95" s="251"/>
      <c r="L95" s="251"/>
      <c r="M95" s="251"/>
      <c r="N95" s="251"/>
      <c r="O95" s="251"/>
      <c r="P95" s="251"/>
      <c r="Q95" s="251"/>
      <c r="R95" s="251"/>
      <c r="S95" s="251"/>
      <c r="T95" s="251"/>
      <c r="U95" s="251"/>
      <c r="V95" s="251"/>
      <c r="W95" s="251"/>
      <c r="X95" s="251"/>
      <c r="Y95" s="251"/>
      <c r="Z95" s="251"/>
      <c r="AA95" s="251"/>
      <c r="AB95" s="251"/>
      <c r="AC95" s="251"/>
      <c r="AD95" s="251"/>
      <c r="AF95" s="579"/>
      <c r="AG95" s="579"/>
      <c r="AH95" s="579"/>
      <c r="AI95" s="579"/>
      <c r="AJ95" s="579"/>
      <c r="AK95" s="579"/>
      <c r="AL95" s="579"/>
      <c r="AM95" s="579"/>
      <c r="AN95" s="579"/>
      <c r="AO95" s="579"/>
      <c r="AP95" s="579"/>
      <c r="AQ95" s="579"/>
      <c r="AR95" s="579"/>
      <c r="AS95" s="579"/>
      <c r="AT95" s="579"/>
      <c r="AU95" s="579"/>
      <c r="AV95" s="579"/>
      <c r="AW95" s="579"/>
      <c r="AX95" s="579"/>
      <c r="AY95" s="579"/>
      <c r="AZ95" s="579"/>
      <c r="BA95" s="579"/>
      <c r="BB95" s="579"/>
      <c r="BC95" s="579"/>
      <c r="BD95" s="579"/>
      <c r="BE95" s="579"/>
      <c r="BF95" s="579"/>
      <c r="BG95" s="579"/>
      <c r="BH95" s="579"/>
      <c r="BI95" s="579"/>
      <c r="BJ95" s="579"/>
      <c r="BK95" s="579"/>
      <c r="BL95" s="579"/>
      <c r="BM95" s="579"/>
      <c r="BN95" s="579"/>
      <c r="BO95" s="579"/>
      <c r="BP95" s="579"/>
      <c r="BQ95" s="579"/>
      <c r="BR95" s="579"/>
      <c r="BS95" s="579"/>
      <c r="BT95" s="579"/>
      <c r="BU95" s="579"/>
      <c r="BV95" s="579"/>
      <c r="BW95" s="579"/>
    </row>
    <row r="96" spans="1:75" s="240" customFormat="1">
      <c r="A96" s="209"/>
      <c r="B96" s="209" t="s">
        <v>929</v>
      </c>
      <c r="C96" s="255" t="s">
        <v>741</v>
      </c>
      <c r="D96" s="209"/>
      <c r="F96" s="251"/>
      <c r="G96" s="251"/>
      <c r="H96" s="251"/>
      <c r="I96" s="251"/>
      <c r="J96" s="251"/>
      <c r="K96" s="251"/>
      <c r="L96" s="251"/>
      <c r="M96" s="251">
        <f>+'Inc Stmt'!C29+'Inc Stmt'!C33</f>
        <v>0</v>
      </c>
      <c r="N96" s="251">
        <f>+'Inc Stmt'!D29+'Inc Stmt'!D33</f>
        <v>-581.50700000000006</v>
      </c>
      <c r="O96" s="251">
        <f>+'Inc Stmt'!E29+'Inc Stmt'!E33</f>
        <v>-508.69399999999996</v>
      </c>
      <c r="P96" s="251">
        <f>+'Inc Stmt'!F29+'Inc Stmt'!F33</f>
        <v>-226.4</v>
      </c>
      <c r="Q96" s="251">
        <f>+'Inc Stmt'!G29+'Inc Stmt'!G33</f>
        <v>-489.6</v>
      </c>
      <c r="R96" s="251">
        <f>+'Inc Stmt'!H29+'Inc Stmt'!H33</f>
        <v>-1023.6</v>
      </c>
      <c r="S96" s="251">
        <f>+'Inc Stmt'!I29+'Inc Stmt'!I33</f>
        <v>-2051</v>
      </c>
      <c r="T96" s="251">
        <f>+'Inc Stmt'!J29+'Inc Stmt'!J33</f>
        <v>-1615</v>
      </c>
      <c r="U96" s="251">
        <f>+'Inc Stmt'!K29+'Inc Stmt'!K33</f>
        <v>7245.5</v>
      </c>
      <c r="V96" s="251">
        <f>+'Inc Stmt'!L29+'Inc Stmt'!L33</f>
        <v>0</v>
      </c>
      <c r="W96" s="251">
        <f>+'Inc Stmt'!M29+'Inc Stmt'!M33</f>
        <v>2482.9</v>
      </c>
      <c r="X96" s="251">
        <f>+'Inc Stmt'!N29+'Inc Stmt'!N33</f>
        <v>-446.29999999999984</v>
      </c>
      <c r="Y96" s="251">
        <f>+'Inc Stmt'!O29+'Inc Stmt'!O33</f>
        <v>-3808.7</v>
      </c>
      <c r="Z96" s="251">
        <f>+'Inc Stmt'!P29+'Inc Stmt'!P33</f>
        <v>0</v>
      </c>
      <c r="AA96" s="251">
        <f>+'Inc Stmt'!Q29+'Inc Stmt'!Q33</f>
        <v>0</v>
      </c>
      <c r="AB96" s="251">
        <f>+'Inc Stmt'!R29+'Inc Stmt'!R33</f>
        <v>0</v>
      </c>
      <c r="AC96" s="251">
        <f>+'Inc Stmt'!S29+'Inc Stmt'!S33</f>
        <v>0</v>
      </c>
      <c r="AD96" s="251">
        <f>+'Inc Stmt'!T29+'Inc Stmt'!T33</f>
        <v>0</v>
      </c>
      <c r="AF96" s="579">
        <f>Quarterly!C53+Quarterly!C56</f>
        <v>-103.9</v>
      </c>
      <c r="AG96" s="579">
        <f>Quarterly!D53+Quarterly!D56</f>
        <v>-126</v>
      </c>
      <c r="AH96" s="579">
        <f>Quarterly!E53+Quarterly!E56</f>
        <v>-123.2</v>
      </c>
      <c r="AI96" s="579">
        <f>Quarterly!F53+Quarterly!F56</f>
        <v>-124.4</v>
      </c>
      <c r="AJ96" s="579">
        <f>Quarterly!G53+Quarterly!G56</f>
        <v>0</v>
      </c>
      <c r="AK96" s="579">
        <f>Quarterly!H53+Quarterly!H56</f>
        <v>-77.400000000000006</v>
      </c>
      <c r="AL96" s="579">
        <f>Quarterly!I53+Quarterly!I56</f>
        <v>-511.8</v>
      </c>
      <c r="AM96" s="579">
        <f>Quarterly!J53+Quarterly!J56</f>
        <v>-510.6</v>
      </c>
      <c r="AN96" s="579">
        <f>Quarterly!K53+Quarterly!K56</f>
        <v>0</v>
      </c>
      <c r="AO96" s="579">
        <f>Quarterly!L53+Quarterly!L56</f>
        <v>-611</v>
      </c>
      <c r="AP96" s="579">
        <f>Quarterly!M53+Quarterly!M56</f>
        <v>-630.4</v>
      </c>
      <c r="AQ96" s="579">
        <f>Quarterly!N53+Quarterly!N56</f>
        <v>-999.4</v>
      </c>
      <c r="AR96" s="579">
        <f>Quarterly!O53+Quarterly!O56</f>
        <v>-240.2</v>
      </c>
      <c r="AS96" s="579">
        <f>Quarterly!P53+Quarterly!P56</f>
        <v>-458.3</v>
      </c>
      <c r="AT96" s="579">
        <f>Quarterly!Q53+Quarterly!Q56</f>
        <v>-458.2</v>
      </c>
      <c r="AU96" s="579">
        <f>Quarterly!R53+Quarterly!R56</f>
        <v>-458.3</v>
      </c>
      <c r="AV96" s="579">
        <f>Quarterly!S53+Quarterly!S56</f>
        <v>0</v>
      </c>
      <c r="AW96" s="579">
        <f>Quarterly!T53+Quarterly!T56</f>
        <v>0</v>
      </c>
      <c r="AX96" s="579">
        <f>Quarterly!U53+Quarterly!U56</f>
        <v>0</v>
      </c>
      <c r="AY96" s="579">
        <f>Quarterly!V53+Quarterly!V56</f>
        <v>7245.5000000000009</v>
      </c>
      <c r="AZ96" s="579">
        <f>Quarterly!W53+Quarterly!W56</f>
        <v>0</v>
      </c>
      <c r="BA96" s="579">
        <f>Quarterly!X53+Quarterly!X56</f>
        <v>-954.1</v>
      </c>
      <c r="BB96" s="579">
        <f>Quarterly!Y53+Quarterly!Y56</f>
        <v>-588.6</v>
      </c>
      <c r="BC96" s="579">
        <f>Quarterly!Z53+Quarterly!Z56</f>
        <v>62.699999999999989</v>
      </c>
      <c r="BD96" s="579">
        <f>Quarterly!AA53+Quarterly!AA56</f>
        <v>0</v>
      </c>
      <c r="BE96" s="579">
        <f>Quarterly!AB53+Quarterly!AB56</f>
        <v>0</v>
      </c>
      <c r="BF96" s="579">
        <f>Quarterly!AC53+Quarterly!AC56</f>
        <v>0</v>
      </c>
      <c r="BG96" s="579">
        <f>Quarterly!AD53+Quarterly!AD56</f>
        <v>0</v>
      </c>
      <c r="BH96" s="579">
        <f>Quarterly!AE53+Quarterly!AE56</f>
        <v>-960</v>
      </c>
      <c r="BI96" s="579">
        <f>Quarterly!AF53+Quarterly!AF56</f>
        <v>-393.6</v>
      </c>
      <c r="BJ96" s="579">
        <f>Quarterly!AG53+Quarterly!AG56</f>
        <v>955.2</v>
      </c>
      <c r="BK96" s="579">
        <f>Quarterly!AH53+Quarterly!AH56</f>
        <v>-356</v>
      </c>
      <c r="BL96" s="579">
        <f>Quarterly!AI53+Quarterly!AI56</f>
        <v>-672.3</v>
      </c>
      <c r="BM96" s="579">
        <f>Quarterly!AJ53+Quarterly!AJ56</f>
        <v>-4077</v>
      </c>
      <c r="BN96" s="579">
        <f>Quarterly!AK53+Quarterly!AK56</f>
        <v>789.9</v>
      </c>
      <c r="BO96" s="579">
        <f>Quarterly!AL53+Quarterly!AL56</f>
        <v>54.3</v>
      </c>
      <c r="BP96" s="579">
        <f>Quarterly!AM53+Quarterly!AM56</f>
        <v>0</v>
      </c>
      <c r="BQ96" s="579">
        <f>Quarterly!AN53+Quarterly!AN56</f>
        <v>0</v>
      </c>
      <c r="BR96" s="579">
        <f>Quarterly!AO53+Quarterly!AO56</f>
        <v>0</v>
      </c>
      <c r="BS96" s="579">
        <f>Quarterly!AP53+Quarterly!AP56</f>
        <v>0</v>
      </c>
      <c r="BT96" s="579">
        <f>Quarterly!AQ53+Quarterly!AQ56</f>
        <v>0</v>
      </c>
      <c r="BU96" s="579">
        <f>Quarterly!AR53+Quarterly!AR56</f>
        <v>0</v>
      </c>
      <c r="BV96" s="579">
        <f>Quarterly!AS53+Quarterly!AS56</f>
        <v>0</v>
      </c>
      <c r="BW96" s="579">
        <f>Quarterly!AT53+Quarterly!AT56</f>
        <v>0</v>
      </c>
    </row>
    <row r="97" spans="1:75" s="240" customFormat="1">
      <c r="A97" s="209"/>
      <c r="B97" s="209" t="s">
        <v>930</v>
      </c>
      <c r="C97" s="255" t="s">
        <v>931</v>
      </c>
      <c r="D97" s="209"/>
      <c r="F97" s="251"/>
      <c r="G97" s="251"/>
      <c r="H97" s="251"/>
      <c r="I97" s="251"/>
      <c r="J97" s="251"/>
      <c r="K97" s="251"/>
      <c r="L97" s="251"/>
      <c r="M97" s="251"/>
      <c r="N97" s="251"/>
      <c r="O97" s="251"/>
      <c r="P97" s="251"/>
      <c r="Q97" s="251"/>
      <c r="R97" s="251"/>
      <c r="S97" s="251"/>
      <c r="T97" s="251"/>
      <c r="U97" s="251"/>
      <c r="V97" s="251"/>
      <c r="W97" s="251"/>
      <c r="X97" s="251"/>
      <c r="Y97" s="251"/>
      <c r="Z97" s="251"/>
      <c r="AA97" s="251"/>
      <c r="AB97" s="251"/>
      <c r="AC97" s="251"/>
      <c r="AD97" s="251"/>
      <c r="AF97" s="579"/>
      <c r="AG97" s="579"/>
      <c r="AH97" s="579"/>
      <c r="AI97" s="579"/>
      <c r="AJ97" s="579"/>
      <c r="AK97" s="579"/>
      <c r="AL97" s="579"/>
      <c r="AM97" s="579"/>
      <c r="AN97" s="579"/>
      <c r="AO97" s="579"/>
      <c r="AP97" s="579"/>
      <c r="AQ97" s="579"/>
      <c r="AR97" s="579"/>
      <c r="AS97" s="579"/>
      <c r="AT97" s="579"/>
      <c r="AU97" s="579"/>
      <c r="AV97" s="579"/>
      <c r="AW97" s="579"/>
      <c r="AX97" s="579"/>
      <c r="AY97" s="579"/>
      <c r="AZ97" s="579"/>
      <c r="BA97" s="579"/>
      <c r="BB97" s="579"/>
      <c r="BC97" s="579"/>
      <c r="BD97" s="579"/>
      <c r="BE97" s="579"/>
      <c r="BF97" s="579"/>
      <c r="BG97" s="579"/>
      <c r="BH97" s="579"/>
      <c r="BI97" s="579"/>
      <c r="BJ97" s="579"/>
      <c r="BK97" s="579"/>
      <c r="BL97" s="579"/>
      <c r="BM97" s="579"/>
      <c r="BN97" s="579"/>
      <c r="BO97" s="579"/>
      <c r="BP97" s="579"/>
      <c r="BQ97" s="579"/>
      <c r="BR97" s="579"/>
      <c r="BS97" s="579"/>
      <c r="BT97" s="579"/>
      <c r="BU97" s="579"/>
      <c r="BV97" s="579"/>
      <c r="BW97" s="579"/>
    </row>
    <row r="98" spans="1:75" s="245" customFormat="1">
      <c r="A98" s="243"/>
      <c r="B98" s="243" t="s">
        <v>932</v>
      </c>
      <c r="C98" s="243" t="s">
        <v>933</v>
      </c>
      <c r="D98" s="243"/>
      <c r="F98" s="245">
        <f t="shared" ref="F98:AD98" si="127">F92+F93</f>
        <v>0</v>
      </c>
      <c r="G98" s="245">
        <f t="shared" si="127"/>
        <v>0</v>
      </c>
      <c r="H98" s="245">
        <f t="shared" si="127"/>
        <v>0</v>
      </c>
      <c r="I98" s="245">
        <f t="shared" si="127"/>
        <v>0</v>
      </c>
      <c r="J98" s="245">
        <f t="shared" si="127"/>
        <v>0</v>
      </c>
      <c r="K98" s="245">
        <f t="shared" si="127"/>
        <v>0</v>
      </c>
      <c r="M98" s="245">
        <f t="shared" si="127"/>
        <v>5384.2260000000006</v>
      </c>
      <c r="N98" s="245">
        <f t="shared" si="127"/>
        <v>7383.98</v>
      </c>
      <c r="O98" s="245">
        <f t="shared" si="127"/>
        <v>7649.6200000000008</v>
      </c>
      <c r="P98" s="245">
        <f t="shared" si="127"/>
        <v>11016.200000000003</v>
      </c>
      <c r="Q98" s="245">
        <f t="shared" si="127"/>
        <v>12379.2</v>
      </c>
      <c r="R98" s="245">
        <f t="shared" si="127"/>
        <v>7259.600000000004</v>
      </c>
      <c r="S98" s="245">
        <f t="shared" si="127"/>
        <v>5997.2000000000053</v>
      </c>
      <c r="T98" s="245">
        <f t="shared" si="127"/>
        <v>17036.299999999985</v>
      </c>
      <c r="U98" s="245">
        <f t="shared" si="127"/>
        <v>33397.299999999974</v>
      </c>
      <c r="V98" s="245">
        <f t="shared" si="127"/>
        <v>30040.5</v>
      </c>
      <c r="W98" s="245">
        <f t="shared" si="127"/>
        <v>30435.700000000033</v>
      </c>
      <c r="X98" s="245">
        <f t="shared" si="127"/>
        <v>32432.699999999993</v>
      </c>
      <c r="Y98" s="245">
        <f t="shared" si="127"/>
        <v>28137.400000000012</v>
      </c>
      <c r="Z98" s="245">
        <f>Z92+Z93</f>
        <v>39296.699999999997</v>
      </c>
      <c r="AA98" s="245">
        <f>AA92+AA93</f>
        <v>38275.600000000006</v>
      </c>
      <c r="AB98" s="245">
        <f>AB92+AB93</f>
        <v>43986.379989166293</v>
      </c>
      <c r="AC98" s="245">
        <f t="shared" si="127"/>
        <v>50946.966213440101</v>
      </c>
      <c r="AD98" s="245">
        <f t="shared" si="127"/>
        <v>54625.757074812951</v>
      </c>
      <c r="AF98" s="580">
        <f>AF92+AF93</f>
        <v>2660.0999999999976</v>
      </c>
      <c r="AG98" s="580">
        <f t="shared" ref="AG98:BK98" si="128">AG92+AG93</f>
        <v>3188.4999999999982</v>
      </c>
      <c r="AH98" s="580">
        <f t="shared" si="128"/>
        <v>3448.2000000000007</v>
      </c>
      <c r="AI98" s="580">
        <f t="shared" si="128"/>
        <v>3083.0999999999976</v>
      </c>
      <c r="AJ98" s="580">
        <f t="shared" si="128"/>
        <v>2260.1000000000004</v>
      </c>
      <c r="AK98" s="580">
        <f t="shared" si="128"/>
        <v>3359.6</v>
      </c>
      <c r="AL98" s="580">
        <f t="shared" si="128"/>
        <v>2136.7999999999988</v>
      </c>
      <c r="AM98" s="580">
        <f t="shared" si="128"/>
        <v>1207.900000000001</v>
      </c>
      <c r="AN98" s="580">
        <f t="shared" si="128"/>
        <v>1751.2000000000016</v>
      </c>
      <c r="AO98" s="580">
        <f t="shared" si="128"/>
        <v>1848.7000000000007</v>
      </c>
      <c r="AP98" s="580">
        <f t="shared" si="128"/>
        <v>1642.699999999998</v>
      </c>
      <c r="AQ98" s="580">
        <f t="shared" si="128"/>
        <v>1302.1000000000013</v>
      </c>
      <c r="AR98" s="580">
        <f t="shared" si="128"/>
        <v>2934.8999999999969</v>
      </c>
      <c r="AS98" s="580">
        <f t="shared" si="128"/>
        <v>4028.2999999999984</v>
      </c>
      <c r="AT98" s="580">
        <f t="shared" si="128"/>
        <v>4751.5800000000027</v>
      </c>
      <c r="AU98" s="580">
        <f t="shared" si="128"/>
        <v>5321.7</v>
      </c>
      <c r="AV98" s="580">
        <f t="shared" si="128"/>
        <v>5901.4999999999964</v>
      </c>
      <c r="AW98" s="580">
        <f t="shared" si="128"/>
        <v>6820.7999999999975</v>
      </c>
      <c r="AX98" s="580">
        <f t="shared" si="128"/>
        <v>6671.100000000004</v>
      </c>
      <c r="AY98" s="580">
        <f t="shared" si="128"/>
        <v>14004.8</v>
      </c>
      <c r="AZ98" s="580">
        <f t="shared" si="128"/>
        <v>7110.6000000000095</v>
      </c>
      <c r="BA98" s="580">
        <f t="shared" si="128"/>
        <v>7257.9999999999945</v>
      </c>
      <c r="BB98" s="580">
        <f t="shared" si="128"/>
        <v>7951.8999999999942</v>
      </c>
      <c r="BC98" s="580">
        <f t="shared" si="128"/>
        <v>7720.3999999999924</v>
      </c>
      <c r="BD98" s="580">
        <f t="shared" si="128"/>
        <v>7183.8999999999942</v>
      </c>
      <c r="BE98" s="580">
        <f t="shared" si="128"/>
        <v>7406.6999999999989</v>
      </c>
      <c r="BF98" s="580">
        <f t="shared" si="128"/>
        <v>8187.3999999999933</v>
      </c>
      <c r="BG98" s="580">
        <f t="shared" si="128"/>
        <v>7657.7000000000025</v>
      </c>
      <c r="BH98" s="580">
        <f t="shared" si="128"/>
        <v>7376.8000000000065</v>
      </c>
      <c r="BI98" s="580">
        <f t="shared" si="128"/>
        <v>8371.5999999999967</v>
      </c>
      <c r="BJ98" s="580">
        <f t="shared" si="128"/>
        <v>9045.4999999999982</v>
      </c>
      <c r="BK98" s="580">
        <f t="shared" si="128"/>
        <v>7639.2999999999993</v>
      </c>
      <c r="BL98" s="580">
        <f t="shared" ref="BL98:BQ98" si="129">BL92+BL93</f>
        <v>7399.7999999999984</v>
      </c>
      <c r="BM98" s="580">
        <f t="shared" si="129"/>
        <v>5909</v>
      </c>
      <c r="BN98" s="580">
        <f t="shared" si="129"/>
        <v>8612.3999999999942</v>
      </c>
      <c r="BO98" s="580">
        <f t="shared" si="129"/>
        <v>6217.1999999999962</v>
      </c>
      <c r="BP98" s="580">
        <f t="shared" si="129"/>
        <v>9573.5999999999949</v>
      </c>
      <c r="BQ98" s="580">
        <f t="shared" si="129"/>
        <v>10523.899999999998</v>
      </c>
      <c r="BR98" s="580">
        <f t="shared" ref="BR98:BS98" si="130">BR92+BR93</f>
        <v>9706.1000000000022</v>
      </c>
      <c r="BS98" s="580">
        <f t="shared" si="130"/>
        <v>9493.2999999999993</v>
      </c>
      <c r="BT98" s="580">
        <f t="shared" ref="BT98:BU98" si="131">BT92+BT93</f>
        <v>9783.7000000000007</v>
      </c>
      <c r="BU98" s="580">
        <f t="shared" si="131"/>
        <v>11227.500000000004</v>
      </c>
      <c r="BV98" s="580">
        <f t="shared" ref="BV98:BW98" si="132">BV92+BV93</f>
        <v>9246.1999999999971</v>
      </c>
      <c r="BW98" s="580">
        <f t="shared" si="132"/>
        <v>8018.2000000000107</v>
      </c>
    </row>
    <row r="99" spans="1:75" s="240" customFormat="1">
      <c r="A99" s="209"/>
      <c r="B99" s="209" t="s">
        <v>934</v>
      </c>
      <c r="C99" s="253" t="s">
        <v>935</v>
      </c>
      <c r="D99" s="209"/>
      <c r="F99" s="251"/>
      <c r="G99" s="251"/>
      <c r="H99" s="251"/>
      <c r="I99" s="251"/>
      <c r="J99" s="251"/>
      <c r="K99" s="251"/>
      <c r="L99" s="251"/>
      <c r="M99" s="251"/>
      <c r="N99" s="251"/>
      <c r="O99" s="251"/>
      <c r="P99" s="251"/>
      <c r="Q99" s="251"/>
      <c r="R99" s="251"/>
      <c r="S99" s="251"/>
      <c r="T99" s="251"/>
      <c r="U99" s="251"/>
      <c r="V99" s="251"/>
      <c r="W99" s="251"/>
      <c r="X99" s="251"/>
      <c r="Y99" s="251"/>
      <c r="Z99" s="251"/>
      <c r="AA99" s="251"/>
      <c r="AB99" s="251"/>
      <c r="AC99" s="251"/>
      <c r="AD99" s="251"/>
      <c r="AF99" s="579"/>
      <c r="AG99" s="579"/>
      <c r="AH99" s="579"/>
      <c r="AI99" s="579"/>
      <c r="AJ99" s="579"/>
      <c r="AK99" s="579"/>
      <c r="AL99" s="579"/>
      <c r="AM99" s="579"/>
      <c r="AN99" s="579"/>
      <c r="AO99" s="579"/>
      <c r="AP99" s="579"/>
      <c r="AQ99" s="579"/>
      <c r="AR99" s="579"/>
      <c r="AS99" s="579"/>
      <c r="AT99" s="579"/>
      <c r="AU99" s="579"/>
      <c r="AV99" s="579"/>
      <c r="AW99" s="579"/>
      <c r="AX99" s="579"/>
      <c r="AY99" s="579"/>
      <c r="AZ99" s="579"/>
      <c r="BA99" s="579"/>
      <c r="BB99" s="579"/>
      <c r="BC99" s="579"/>
      <c r="BD99" s="579"/>
      <c r="BE99" s="579"/>
      <c r="BF99" s="579"/>
      <c r="BG99" s="579"/>
      <c r="BH99" s="579"/>
      <c r="BI99" s="579"/>
      <c r="BJ99" s="579"/>
      <c r="BK99" s="579"/>
      <c r="BL99" s="579"/>
      <c r="BM99" s="579"/>
      <c r="BN99" s="579"/>
      <c r="BO99" s="579"/>
      <c r="BP99" s="579"/>
      <c r="BQ99" s="579"/>
      <c r="BR99" s="579"/>
      <c r="BS99" s="579"/>
      <c r="BT99" s="579"/>
      <c r="BU99" s="579"/>
      <c r="BV99" s="579"/>
      <c r="BW99" s="579"/>
    </row>
    <row r="100" spans="1:75" s="245" customFormat="1">
      <c r="A100" s="243"/>
      <c r="B100" s="243" t="s">
        <v>936</v>
      </c>
      <c r="C100" s="243" t="s">
        <v>937</v>
      </c>
      <c r="D100" s="243"/>
      <c r="F100" s="245">
        <f t="shared" ref="F100:AD100" si="133">F98-F99</f>
        <v>0</v>
      </c>
      <c r="G100" s="245">
        <f t="shared" si="133"/>
        <v>0</v>
      </c>
      <c r="H100" s="245">
        <f t="shared" si="133"/>
        <v>0</v>
      </c>
      <c r="I100" s="245">
        <f t="shared" si="133"/>
        <v>0</v>
      </c>
      <c r="J100" s="245">
        <f t="shared" si="133"/>
        <v>0</v>
      </c>
      <c r="K100" s="245">
        <f t="shared" si="133"/>
        <v>0</v>
      </c>
      <c r="M100" s="245">
        <f t="shared" si="133"/>
        <v>5384.2260000000006</v>
      </c>
      <c r="N100" s="245">
        <f t="shared" si="133"/>
        <v>7383.98</v>
      </c>
      <c r="O100" s="245">
        <f t="shared" si="133"/>
        <v>7649.6200000000008</v>
      </c>
      <c r="P100" s="245">
        <f t="shared" si="133"/>
        <v>11016.200000000003</v>
      </c>
      <c r="Q100" s="245">
        <f t="shared" si="133"/>
        <v>12379.2</v>
      </c>
      <c r="R100" s="245">
        <f t="shared" si="133"/>
        <v>7259.600000000004</v>
      </c>
      <c r="S100" s="245">
        <f t="shared" si="133"/>
        <v>5997.2000000000053</v>
      </c>
      <c r="T100" s="245">
        <f t="shared" si="133"/>
        <v>17036.299999999985</v>
      </c>
      <c r="U100" s="245">
        <f t="shared" si="133"/>
        <v>33397.299999999974</v>
      </c>
      <c r="V100" s="245">
        <f t="shared" si="133"/>
        <v>30040.5</v>
      </c>
      <c r="W100" s="245">
        <f t="shared" si="133"/>
        <v>30435.700000000033</v>
      </c>
      <c r="X100" s="245">
        <f t="shared" si="133"/>
        <v>32432.699999999993</v>
      </c>
      <c r="Y100" s="245">
        <f t="shared" si="133"/>
        <v>28137.400000000012</v>
      </c>
      <c r="Z100" s="245">
        <f>Z98-Z99</f>
        <v>39296.699999999997</v>
      </c>
      <c r="AA100" s="245">
        <f>AA98-AA99</f>
        <v>38275.600000000006</v>
      </c>
      <c r="AB100" s="245">
        <f>AB98-AB99</f>
        <v>43986.379989166293</v>
      </c>
      <c r="AC100" s="245">
        <f t="shared" si="133"/>
        <v>50946.966213440101</v>
      </c>
      <c r="AD100" s="245">
        <f t="shared" si="133"/>
        <v>54625.757074812951</v>
      </c>
      <c r="AF100" s="580">
        <f t="shared" ref="AF100:BK100" si="134">AF98-AF99</f>
        <v>2660.0999999999976</v>
      </c>
      <c r="AG100" s="580">
        <f t="shared" si="134"/>
        <v>3188.4999999999982</v>
      </c>
      <c r="AH100" s="580">
        <f t="shared" si="134"/>
        <v>3448.2000000000007</v>
      </c>
      <c r="AI100" s="580">
        <f t="shared" si="134"/>
        <v>3083.0999999999976</v>
      </c>
      <c r="AJ100" s="580">
        <f t="shared" si="134"/>
        <v>2260.1000000000004</v>
      </c>
      <c r="AK100" s="580">
        <f t="shared" si="134"/>
        <v>3359.6</v>
      </c>
      <c r="AL100" s="580">
        <f t="shared" si="134"/>
        <v>2136.7999999999988</v>
      </c>
      <c r="AM100" s="580">
        <f t="shared" si="134"/>
        <v>1207.900000000001</v>
      </c>
      <c r="AN100" s="580">
        <f t="shared" si="134"/>
        <v>1751.2000000000016</v>
      </c>
      <c r="AO100" s="580">
        <f t="shared" si="134"/>
        <v>1848.7000000000007</v>
      </c>
      <c r="AP100" s="580">
        <f t="shared" si="134"/>
        <v>1642.699999999998</v>
      </c>
      <c r="AQ100" s="580">
        <f t="shared" si="134"/>
        <v>1302.1000000000013</v>
      </c>
      <c r="AR100" s="580">
        <f t="shared" si="134"/>
        <v>2934.8999999999969</v>
      </c>
      <c r="AS100" s="580">
        <f t="shared" si="134"/>
        <v>4028.2999999999984</v>
      </c>
      <c r="AT100" s="580">
        <f t="shared" si="134"/>
        <v>4751.5800000000027</v>
      </c>
      <c r="AU100" s="580">
        <f t="shared" si="134"/>
        <v>5321.7</v>
      </c>
      <c r="AV100" s="580">
        <f t="shared" si="134"/>
        <v>5901.4999999999964</v>
      </c>
      <c r="AW100" s="580">
        <f t="shared" si="134"/>
        <v>6820.7999999999975</v>
      </c>
      <c r="AX100" s="580">
        <f t="shared" si="134"/>
        <v>6671.100000000004</v>
      </c>
      <c r="AY100" s="580">
        <f t="shared" si="134"/>
        <v>14004.8</v>
      </c>
      <c r="AZ100" s="580">
        <f t="shared" si="134"/>
        <v>7110.6000000000095</v>
      </c>
      <c r="BA100" s="580">
        <f t="shared" si="134"/>
        <v>7257.9999999999945</v>
      </c>
      <c r="BB100" s="580">
        <f t="shared" si="134"/>
        <v>7951.8999999999942</v>
      </c>
      <c r="BC100" s="580">
        <f t="shared" si="134"/>
        <v>7720.3999999999924</v>
      </c>
      <c r="BD100" s="580">
        <f t="shared" si="134"/>
        <v>7183.8999999999942</v>
      </c>
      <c r="BE100" s="580">
        <f t="shared" si="134"/>
        <v>7406.6999999999989</v>
      </c>
      <c r="BF100" s="580">
        <f t="shared" si="134"/>
        <v>8187.3999999999933</v>
      </c>
      <c r="BG100" s="580">
        <f t="shared" si="134"/>
        <v>7657.7000000000025</v>
      </c>
      <c r="BH100" s="580">
        <f t="shared" si="134"/>
        <v>7376.8000000000065</v>
      </c>
      <c r="BI100" s="580">
        <f t="shared" si="134"/>
        <v>8371.5999999999967</v>
      </c>
      <c r="BJ100" s="580">
        <f t="shared" si="134"/>
        <v>9045.4999999999982</v>
      </c>
      <c r="BK100" s="580">
        <f t="shared" si="134"/>
        <v>7639.2999999999993</v>
      </c>
      <c r="BL100" s="580">
        <f t="shared" ref="BL100:BQ100" si="135">BL98-BL99</f>
        <v>7399.7999999999984</v>
      </c>
      <c r="BM100" s="580">
        <f t="shared" si="135"/>
        <v>5909</v>
      </c>
      <c r="BN100" s="580">
        <f t="shared" si="135"/>
        <v>8612.3999999999942</v>
      </c>
      <c r="BO100" s="580">
        <f t="shared" si="135"/>
        <v>6217.1999999999962</v>
      </c>
      <c r="BP100" s="580">
        <f t="shared" si="135"/>
        <v>9573.5999999999949</v>
      </c>
      <c r="BQ100" s="580">
        <f t="shared" si="135"/>
        <v>10523.899999999998</v>
      </c>
      <c r="BR100" s="580">
        <f t="shared" ref="BR100:BS100" si="136">BR98-BR99</f>
        <v>9706.1000000000022</v>
      </c>
      <c r="BS100" s="580">
        <f t="shared" si="136"/>
        <v>9493.2999999999993</v>
      </c>
      <c r="BT100" s="580">
        <f t="shared" ref="BT100:BU100" si="137">BT98-BT99</f>
        <v>9783.7000000000007</v>
      </c>
      <c r="BU100" s="580">
        <f t="shared" si="137"/>
        <v>11227.500000000004</v>
      </c>
      <c r="BV100" s="580">
        <f t="shared" ref="BV100:BW100" si="138">BV98-BV99</f>
        <v>9246.1999999999971</v>
      </c>
      <c r="BW100" s="580">
        <f t="shared" si="138"/>
        <v>8018.2000000000107</v>
      </c>
    </row>
    <row r="101" spans="1:75" s="245" customFormat="1">
      <c r="A101" s="243"/>
      <c r="B101" s="243" t="s">
        <v>1040</v>
      </c>
      <c r="C101" s="243" t="s">
        <v>1041</v>
      </c>
      <c r="D101" s="243"/>
      <c r="F101" s="245">
        <f t="shared" ref="F101:K101" si="139">F92-F99</f>
        <v>0</v>
      </c>
      <c r="G101" s="245">
        <f t="shared" si="139"/>
        <v>0</v>
      </c>
      <c r="H101" s="245">
        <f t="shared" si="139"/>
        <v>0</v>
      </c>
      <c r="I101" s="245">
        <f t="shared" si="139"/>
        <v>0</v>
      </c>
      <c r="J101" s="245">
        <f t="shared" si="139"/>
        <v>0</v>
      </c>
      <c r="K101" s="245">
        <f t="shared" si="139"/>
        <v>0</v>
      </c>
      <c r="M101" s="245">
        <f t="shared" ref="M101:AA101" si="140">M92-M99+M96*0.3</f>
        <v>5384.2260000000006</v>
      </c>
      <c r="N101" s="245">
        <f t="shared" si="140"/>
        <v>7791.0348999999997</v>
      </c>
      <c r="O101" s="245">
        <f t="shared" si="140"/>
        <v>8005.7058000000006</v>
      </c>
      <c r="P101" s="245">
        <f t="shared" si="140"/>
        <v>11174.680000000002</v>
      </c>
      <c r="Q101" s="245">
        <f t="shared" si="140"/>
        <v>12721.920000000002</v>
      </c>
      <c r="R101" s="245">
        <f t="shared" si="140"/>
        <v>7976.1200000000044</v>
      </c>
      <c r="S101" s="245">
        <f t="shared" si="140"/>
        <v>7432.9000000000051</v>
      </c>
      <c r="T101" s="245">
        <f t="shared" si="140"/>
        <v>18166.799999999985</v>
      </c>
      <c r="U101" s="245">
        <f t="shared" si="140"/>
        <v>28325.449999999979</v>
      </c>
      <c r="V101" s="245">
        <f t="shared" si="140"/>
        <v>30040.5</v>
      </c>
      <c r="W101" s="245">
        <f t="shared" si="140"/>
        <v>28697.670000000031</v>
      </c>
      <c r="X101" s="245">
        <f t="shared" si="140"/>
        <v>32745.109999999993</v>
      </c>
      <c r="Y101" s="245">
        <f t="shared" si="140"/>
        <v>30803.490000000013</v>
      </c>
      <c r="Z101" s="245">
        <f t="shared" si="140"/>
        <v>39296.699999999997</v>
      </c>
      <c r="AA101" s="245">
        <f t="shared" si="140"/>
        <v>38275.600000000006</v>
      </c>
      <c r="AB101" s="245">
        <f t="shared" ref="AB101" si="141">AB92-AB99+AB96*0.3</f>
        <v>43986.379989166293</v>
      </c>
      <c r="AC101" s="245">
        <f>AC92-AC99</f>
        <v>50946.966213440101</v>
      </c>
      <c r="AD101" s="245">
        <f>AD92-AD99</f>
        <v>54625.757074812951</v>
      </c>
      <c r="AF101" s="580">
        <f t="shared" ref="AF101:AL101" si="142">AF92-AF99+AF96*0.3</f>
        <v>2732.8299999999977</v>
      </c>
      <c r="AG101" s="580">
        <f t="shared" si="142"/>
        <v>3276.699999999998</v>
      </c>
      <c r="AH101" s="580">
        <f t="shared" si="142"/>
        <v>3534.4400000000005</v>
      </c>
      <c r="AI101" s="580">
        <f t="shared" si="142"/>
        <v>3170.1799999999976</v>
      </c>
      <c r="AJ101" s="580">
        <f t="shared" si="142"/>
        <v>2260.1000000000004</v>
      </c>
      <c r="AK101" s="580">
        <f t="shared" si="142"/>
        <v>3413.78</v>
      </c>
      <c r="AL101" s="580">
        <f t="shared" si="142"/>
        <v>2495.059999999999</v>
      </c>
      <c r="AM101" s="580">
        <f t="shared" ref="AM101:BN101" si="143">AM92-AM99+0.3*AM96</f>
        <v>1565.3200000000008</v>
      </c>
      <c r="AN101" s="580">
        <f t="shared" si="143"/>
        <v>1751.2000000000016</v>
      </c>
      <c r="AO101" s="580">
        <f t="shared" si="143"/>
        <v>2276.4000000000005</v>
      </c>
      <c r="AP101" s="580">
        <f t="shared" si="143"/>
        <v>2083.9799999999982</v>
      </c>
      <c r="AQ101" s="580">
        <f t="shared" si="143"/>
        <v>2001.6800000000014</v>
      </c>
      <c r="AR101" s="580">
        <f t="shared" si="143"/>
        <v>3103.0399999999968</v>
      </c>
      <c r="AS101" s="580">
        <f t="shared" si="143"/>
        <v>4349.1099999999988</v>
      </c>
      <c r="AT101" s="580">
        <f t="shared" si="143"/>
        <v>5072.3200000000024</v>
      </c>
      <c r="AU101" s="580">
        <f t="shared" si="143"/>
        <v>5642.51</v>
      </c>
      <c r="AV101" s="580">
        <f t="shared" si="143"/>
        <v>5901.4999999999964</v>
      </c>
      <c r="AW101" s="580">
        <f t="shared" si="143"/>
        <v>6820.7999999999975</v>
      </c>
      <c r="AX101" s="580">
        <f t="shared" si="143"/>
        <v>6671.100000000004</v>
      </c>
      <c r="AY101" s="580">
        <f t="shared" si="143"/>
        <v>8932.9499999999989</v>
      </c>
      <c r="AZ101" s="580">
        <f t="shared" si="143"/>
        <v>7110.6000000000095</v>
      </c>
      <c r="BA101" s="580">
        <f t="shared" si="143"/>
        <v>7925.8699999999953</v>
      </c>
      <c r="BB101" s="580">
        <f t="shared" si="143"/>
        <v>8363.9199999999946</v>
      </c>
      <c r="BC101" s="580">
        <f t="shared" si="143"/>
        <v>7676.5099999999929</v>
      </c>
      <c r="BD101" s="580">
        <f t="shared" si="143"/>
        <v>7183.8999999999942</v>
      </c>
      <c r="BE101" s="580">
        <f t="shared" si="143"/>
        <v>7406.6999999999989</v>
      </c>
      <c r="BF101" s="580">
        <f t="shared" si="143"/>
        <v>8187.3999999999933</v>
      </c>
      <c r="BG101" s="580">
        <f t="shared" si="143"/>
        <v>7657.7000000000025</v>
      </c>
      <c r="BH101" s="580">
        <f t="shared" si="143"/>
        <v>8048.8000000000065</v>
      </c>
      <c r="BI101" s="580">
        <f t="shared" si="143"/>
        <v>8647.1199999999972</v>
      </c>
      <c r="BJ101" s="580">
        <f t="shared" si="143"/>
        <v>8376.8599999999988</v>
      </c>
      <c r="BK101" s="580">
        <f t="shared" si="143"/>
        <v>7888.4999999999991</v>
      </c>
      <c r="BL101" s="580">
        <f t="shared" si="143"/>
        <v>7870.4099999999989</v>
      </c>
      <c r="BM101" s="580">
        <f t="shared" si="143"/>
        <v>8762.9</v>
      </c>
      <c r="BN101" s="580">
        <f t="shared" si="143"/>
        <v>8059.4699999999939</v>
      </c>
      <c r="BO101" s="580">
        <f>BO92-BO99+0.3*BO96</f>
        <v>6179.189999999996</v>
      </c>
      <c r="BP101" s="580">
        <f>BP92-BP99+0.3*BP96</f>
        <v>9573.5999999999949</v>
      </c>
      <c r="BQ101" s="580">
        <f>BQ92-BQ99+0.3*BQ96</f>
        <v>10523.899999999998</v>
      </c>
      <c r="BR101" s="580">
        <f>BR92-BR99+0.3*BR96</f>
        <v>9706.1000000000022</v>
      </c>
      <c r="BS101" s="580">
        <f>BS92-BS99+0.3*BS96</f>
        <v>9493.2999999999993</v>
      </c>
      <c r="BT101" s="580">
        <f t="shared" ref="BT101:BU101" si="144">BT92-BT99+0.3*BT96</f>
        <v>9783.7000000000007</v>
      </c>
      <c r="BU101" s="580">
        <f t="shared" si="144"/>
        <v>11227.500000000004</v>
      </c>
      <c r="BV101" s="582">
        <f t="shared" ref="BV101:BW101" si="145">BV92-BV99+0.3*BV96</f>
        <v>9246.1999999999971</v>
      </c>
      <c r="BW101" s="582">
        <f t="shared" si="145"/>
        <v>8018.2000000000107</v>
      </c>
    </row>
    <row r="102" spans="1:75" s="248" customFormat="1">
      <c r="A102" s="247"/>
      <c r="B102" s="247" t="s">
        <v>1042</v>
      </c>
      <c r="C102" s="253" t="s">
        <v>1043</v>
      </c>
      <c r="D102" s="247"/>
      <c r="F102" s="249"/>
      <c r="G102" s="249"/>
      <c r="H102" s="249"/>
      <c r="I102" s="249"/>
      <c r="J102" s="249"/>
      <c r="K102" s="249"/>
      <c r="L102" s="249"/>
      <c r="M102" s="249"/>
      <c r="N102" s="249"/>
      <c r="O102" s="249"/>
      <c r="P102" s="249"/>
      <c r="Q102" s="249"/>
      <c r="R102" s="249"/>
      <c r="S102" s="249"/>
      <c r="T102" s="249"/>
      <c r="U102" s="249"/>
      <c r="V102" s="249"/>
      <c r="W102" s="249"/>
      <c r="X102" s="249"/>
      <c r="Y102" s="249"/>
      <c r="Z102" s="249"/>
      <c r="AA102" s="249"/>
      <c r="AB102" s="249"/>
      <c r="AC102" s="249"/>
      <c r="AD102" s="249"/>
      <c r="AF102" s="581"/>
      <c r="AG102" s="581"/>
      <c r="AH102" s="581"/>
      <c r="AI102" s="581"/>
      <c r="AJ102" s="581"/>
      <c r="AK102" s="581"/>
      <c r="AL102" s="581"/>
      <c r="AM102" s="581"/>
      <c r="AN102" s="581"/>
      <c r="AO102" s="581"/>
      <c r="AP102" s="581"/>
      <c r="AQ102" s="581"/>
      <c r="AR102" s="581"/>
      <c r="AS102" s="581"/>
      <c r="AT102" s="581"/>
      <c r="AU102" s="581"/>
      <c r="AV102" s="581"/>
      <c r="AW102" s="581"/>
      <c r="AX102" s="581"/>
      <c r="AY102" s="581"/>
      <c r="AZ102" s="581"/>
      <c r="BA102" s="581"/>
      <c r="BB102" s="581"/>
      <c r="BC102" s="581"/>
      <c r="BD102" s="581"/>
      <c r="BE102" s="581"/>
      <c r="BF102" s="581"/>
      <c r="BG102" s="581"/>
      <c r="BH102" s="581"/>
      <c r="BI102" s="581"/>
      <c r="BJ102" s="581"/>
      <c r="BK102" s="581"/>
      <c r="BL102" s="581"/>
      <c r="BM102" s="581"/>
      <c r="BN102" s="581"/>
      <c r="BO102" s="581"/>
      <c r="BP102" s="581"/>
      <c r="BQ102" s="581"/>
      <c r="BR102" s="581"/>
      <c r="BS102" s="581"/>
      <c r="BT102" s="581"/>
      <c r="BU102" s="581"/>
      <c r="BV102" s="581"/>
      <c r="BW102" s="581"/>
    </row>
    <row r="103" spans="1:75" s="245" customFormat="1">
      <c r="A103" s="243"/>
      <c r="B103" s="243" t="s">
        <v>1044</v>
      </c>
      <c r="C103" s="252" t="s">
        <v>1045</v>
      </c>
      <c r="D103" s="243"/>
      <c r="F103" s="245">
        <f t="shared" ref="F103:AD103" si="146">F92+F78-F99</f>
        <v>0</v>
      </c>
      <c r="G103" s="245">
        <f t="shared" si="146"/>
        <v>0</v>
      </c>
      <c r="H103" s="245">
        <f t="shared" si="146"/>
        <v>0</v>
      </c>
      <c r="I103" s="245">
        <f t="shared" si="146"/>
        <v>0</v>
      </c>
      <c r="J103" s="245">
        <f t="shared" si="146"/>
        <v>0</v>
      </c>
      <c r="K103" s="245">
        <f t="shared" si="146"/>
        <v>0</v>
      </c>
      <c r="M103" s="245">
        <f t="shared" si="146"/>
        <v>7095.7910000000011</v>
      </c>
      <c r="N103" s="245">
        <f t="shared" si="146"/>
        <v>9764.4330000000009</v>
      </c>
      <c r="O103" s="245">
        <f t="shared" si="146"/>
        <v>10011.977000000001</v>
      </c>
      <c r="P103" s="245">
        <f t="shared" si="146"/>
        <v>13152.600000000002</v>
      </c>
      <c r="Q103" s="245">
        <f t="shared" si="146"/>
        <v>14771.400000000001</v>
      </c>
      <c r="R103" s="245">
        <f t="shared" si="146"/>
        <v>10029.300000000005</v>
      </c>
      <c r="S103" s="245">
        <f t="shared" si="146"/>
        <v>9354.4000000000051</v>
      </c>
      <c r="T103" s="245">
        <f t="shared" si="146"/>
        <v>20015.799999999985</v>
      </c>
      <c r="U103" s="245">
        <f t="shared" si="146"/>
        <v>27380.199999999979</v>
      </c>
      <c r="V103" s="245">
        <f t="shared" si="146"/>
        <v>31496.7</v>
      </c>
      <c r="W103" s="245">
        <f t="shared" si="146"/>
        <v>29620.500000000033</v>
      </c>
      <c r="X103" s="245">
        <f t="shared" si="146"/>
        <v>34675.099999999991</v>
      </c>
      <c r="Y103" s="245">
        <f t="shared" si="146"/>
        <v>34620.100000000013</v>
      </c>
      <c r="Z103" s="245">
        <f>Z92+Z78-Z99</f>
        <v>42368.299999999996</v>
      </c>
      <c r="AA103" s="245">
        <f>AA92+AA78-AA99</f>
        <v>41348.500000000007</v>
      </c>
      <c r="AB103" s="245">
        <f>AB92+AB78-AB99</f>
        <v>47360.652489166292</v>
      </c>
      <c r="AC103" s="245">
        <f t="shared" si="146"/>
        <v>54597.2387134401</v>
      </c>
      <c r="AD103" s="245">
        <f t="shared" si="146"/>
        <v>58608.932074812954</v>
      </c>
      <c r="AF103" s="580">
        <f>AF92+AF78-AF99</f>
        <v>3245.1999999999975</v>
      </c>
      <c r="AG103" s="580">
        <f t="shared" ref="AG103:BK103" si="147">AG92+AG78-AG99</f>
        <v>3806.199999999998</v>
      </c>
      <c r="AH103" s="580">
        <f t="shared" si="147"/>
        <v>4043.5000000000005</v>
      </c>
      <c r="AI103" s="580">
        <f t="shared" si="147"/>
        <v>3665.0999999999976</v>
      </c>
      <c r="AJ103" s="580">
        <f t="shared" si="147"/>
        <v>2750.3</v>
      </c>
      <c r="AK103" s="580">
        <f t="shared" si="147"/>
        <v>3924.2</v>
      </c>
      <c r="AL103" s="580">
        <f t="shared" si="147"/>
        <v>3066.8999999999992</v>
      </c>
      <c r="AM103" s="580">
        <f t="shared" si="147"/>
        <v>2132.400000000001</v>
      </c>
      <c r="AN103" s="580">
        <f t="shared" si="147"/>
        <v>2086.5000000000018</v>
      </c>
      <c r="AO103" s="580">
        <f t="shared" si="147"/>
        <v>2790.5000000000009</v>
      </c>
      <c r="AP103" s="580">
        <f t="shared" si="147"/>
        <v>2591.9999999999982</v>
      </c>
      <c r="AQ103" s="580">
        <f t="shared" si="147"/>
        <v>2614.4000000000015</v>
      </c>
      <c r="AR103" s="580">
        <f t="shared" si="147"/>
        <v>3505.8999999999969</v>
      </c>
      <c r="AS103" s="580">
        <f t="shared" si="147"/>
        <v>4822.3999999999987</v>
      </c>
      <c r="AT103" s="580">
        <f t="shared" si="147"/>
        <v>5566.5800000000027</v>
      </c>
      <c r="AU103" s="580">
        <f t="shared" si="147"/>
        <v>6121.1</v>
      </c>
      <c r="AV103" s="580">
        <f t="shared" si="147"/>
        <v>6219.6999999999962</v>
      </c>
      <c r="AW103" s="580">
        <f t="shared" si="147"/>
        <v>7120.2999999999975</v>
      </c>
      <c r="AX103" s="580">
        <f t="shared" si="147"/>
        <v>6981.3000000000038</v>
      </c>
      <c r="AY103" s="580">
        <f t="shared" si="147"/>
        <v>7059.7999999999984</v>
      </c>
      <c r="AZ103" s="580">
        <f t="shared" si="147"/>
        <v>7417.0000000000091</v>
      </c>
      <c r="BA103" s="580">
        <f t="shared" si="147"/>
        <v>8606.2999999999956</v>
      </c>
      <c r="BB103" s="580">
        <f t="shared" si="147"/>
        <v>8861.8999999999942</v>
      </c>
      <c r="BC103" s="580">
        <f t="shared" si="147"/>
        <v>7951.8999999999924</v>
      </c>
      <c r="BD103" s="580">
        <f t="shared" si="147"/>
        <v>7536.2999999999938</v>
      </c>
      <c r="BE103" s="580">
        <f t="shared" si="147"/>
        <v>7817.0999999999985</v>
      </c>
      <c r="BF103" s="580">
        <f t="shared" si="147"/>
        <v>8598.1999999999935</v>
      </c>
      <c r="BG103" s="580">
        <f t="shared" si="147"/>
        <v>8123.8000000000029</v>
      </c>
      <c r="BH103" s="580">
        <f t="shared" si="147"/>
        <v>8780.7000000000062</v>
      </c>
      <c r="BI103" s="580">
        <f t="shared" si="147"/>
        <v>9208.0999999999967</v>
      </c>
      <c r="BJ103" s="580">
        <f t="shared" si="147"/>
        <v>8549.7999999999993</v>
      </c>
      <c r="BK103" s="580">
        <f t="shared" si="147"/>
        <v>8440.0999999999985</v>
      </c>
      <c r="BL103" s="580">
        <f t="shared" ref="BL103:BQ103" si="148">BL92+BL78-BL99</f>
        <v>8764.0999999999985</v>
      </c>
      <c r="BM103" s="580">
        <f t="shared" si="148"/>
        <v>10672.2</v>
      </c>
      <c r="BN103" s="580">
        <f t="shared" si="148"/>
        <v>8480.1999999999935</v>
      </c>
      <c r="BO103" s="580">
        <f t="shared" si="148"/>
        <v>6800.9999999999964</v>
      </c>
      <c r="BP103" s="580">
        <f t="shared" si="148"/>
        <v>10357.699999999995</v>
      </c>
      <c r="BQ103" s="580">
        <f t="shared" si="148"/>
        <v>11303.999999999998</v>
      </c>
      <c r="BR103" s="580">
        <f t="shared" ref="BR103:BS103" si="149">BR92+BR78-BR99</f>
        <v>10452.500000000002</v>
      </c>
      <c r="BS103" s="580">
        <f t="shared" si="149"/>
        <v>10254.299999999999</v>
      </c>
      <c r="BT103" s="580">
        <f t="shared" ref="BT103:BU103" si="150">BT92+BT78-BT99</f>
        <v>10558.400000000001</v>
      </c>
      <c r="BU103" s="580">
        <f t="shared" si="150"/>
        <v>11997.000000000004</v>
      </c>
      <c r="BV103" s="580">
        <f t="shared" ref="BV103:BW103" si="151">BV92+BV78-BV99</f>
        <v>10017.899999999998</v>
      </c>
      <c r="BW103" s="580">
        <f t="shared" si="151"/>
        <v>8775.2000000000116</v>
      </c>
    </row>
    <row r="104" spans="1:75" s="245" customFormat="1">
      <c r="A104" s="243"/>
      <c r="B104" s="243" t="s">
        <v>1046</v>
      </c>
      <c r="C104" s="252" t="s">
        <v>1047</v>
      </c>
      <c r="D104" s="243"/>
      <c r="F104" s="245">
        <f t="shared" ref="F104:AD104" si="152">SUM(F105:F108)</f>
        <v>0</v>
      </c>
      <c r="G104" s="245">
        <f t="shared" si="152"/>
        <v>0</v>
      </c>
      <c r="H104" s="245">
        <f t="shared" si="152"/>
        <v>0</v>
      </c>
      <c r="I104" s="245">
        <f t="shared" si="152"/>
        <v>0</v>
      </c>
      <c r="J104" s="245">
        <f t="shared" si="152"/>
        <v>0</v>
      </c>
      <c r="K104" s="245">
        <f t="shared" si="152"/>
        <v>0</v>
      </c>
      <c r="M104" s="245">
        <f t="shared" si="152"/>
        <v>2501.9749999999999</v>
      </c>
      <c r="N104" s="245">
        <f t="shared" si="152"/>
        <v>2289.1289999999999</v>
      </c>
      <c r="O104" s="245">
        <f t="shared" si="152"/>
        <v>3196.3009999999999</v>
      </c>
      <c r="P104" s="245">
        <f t="shared" si="152"/>
        <v>4791.1000000000004</v>
      </c>
      <c r="Q104" s="245">
        <f t="shared" si="152"/>
        <v>4900.8999999999996</v>
      </c>
      <c r="R104" s="245">
        <f t="shared" si="152"/>
        <v>3684.2</v>
      </c>
      <c r="S104" s="245">
        <f t="shared" si="152"/>
        <v>2888.8</v>
      </c>
      <c r="T104" s="245">
        <f t="shared" si="152"/>
        <v>7075</v>
      </c>
      <c r="U104" s="245">
        <f t="shared" si="152"/>
        <v>10110.200000000001</v>
      </c>
      <c r="V104" s="245">
        <f t="shared" si="152"/>
        <v>10221.199999999999</v>
      </c>
      <c r="W104" s="245">
        <f t="shared" si="152"/>
        <v>12226.6</v>
      </c>
      <c r="X104" s="245">
        <f t="shared" si="152"/>
        <v>13901</v>
      </c>
      <c r="Y104" s="245">
        <f t="shared" si="152"/>
        <v>12710.5</v>
      </c>
      <c r="Z104" s="245">
        <f>SUM(Z105:Z108)</f>
        <v>16176.5</v>
      </c>
      <c r="AA104" s="245">
        <f>SUM(AA105:AA108)</f>
        <v>15080.7</v>
      </c>
      <c r="AB104" s="245">
        <f>SUM(AB105:AB108)</f>
        <v>17966.267882898912</v>
      </c>
      <c r="AC104" s="245">
        <f t="shared" si="152"/>
        <v>20809.324228024834</v>
      </c>
      <c r="AD104" s="245">
        <f t="shared" si="152"/>
        <v>22311.928946050346</v>
      </c>
      <c r="AF104" s="580">
        <f>SUM(AF105:AF108)</f>
        <v>1300</v>
      </c>
      <c r="AG104" s="580">
        <f t="shared" ref="AG104:BK104" si="153">SUM(AG105:AG108)</f>
        <v>1250</v>
      </c>
      <c r="AH104" s="580">
        <f t="shared" si="153"/>
        <v>1200</v>
      </c>
      <c r="AI104" s="580">
        <f t="shared" si="153"/>
        <v>1150.9000000000001</v>
      </c>
      <c r="AJ104" s="580">
        <f t="shared" si="153"/>
        <v>1025</v>
      </c>
      <c r="AK104" s="580">
        <f t="shared" si="153"/>
        <v>1315</v>
      </c>
      <c r="AL104" s="580">
        <f t="shared" si="153"/>
        <v>1013.1</v>
      </c>
      <c r="AM104" s="580">
        <f t="shared" si="153"/>
        <v>669.6</v>
      </c>
      <c r="AN104" s="580">
        <f t="shared" si="153"/>
        <v>860</v>
      </c>
      <c r="AO104" s="580">
        <f t="shared" si="153"/>
        <v>810</v>
      </c>
      <c r="AP104" s="580">
        <f t="shared" si="153"/>
        <v>755</v>
      </c>
      <c r="AQ104" s="580">
        <f t="shared" si="153"/>
        <v>591.1</v>
      </c>
      <c r="AR104" s="580">
        <f t="shared" si="153"/>
        <v>1220</v>
      </c>
      <c r="AS104" s="580">
        <f t="shared" si="153"/>
        <v>1760</v>
      </c>
      <c r="AT104" s="580">
        <f t="shared" si="153"/>
        <v>2020</v>
      </c>
      <c r="AU104" s="580">
        <f t="shared" si="153"/>
        <v>2075</v>
      </c>
      <c r="AV104" s="580">
        <f t="shared" si="153"/>
        <v>2360</v>
      </c>
      <c r="AW104" s="580">
        <f t="shared" si="153"/>
        <v>2682</v>
      </c>
      <c r="AX104" s="580">
        <f t="shared" si="153"/>
        <v>2502.9</v>
      </c>
      <c r="AY104" s="580">
        <f t="shared" si="153"/>
        <v>2535.3000000000002</v>
      </c>
      <c r="AZ104" s="580">
        <f t="shared" si="153"/>
        <v>2420</v>
      </c>
      <c r="BA104" s="580">
        <f t="shared" si="153"/>
        <v>2510</v>
      </c>
      <c r="BB104" s="580">
        <f t="shared" si="153"/>
        <v>2660</v>
      </c>
      <c r="BC104" s="580">
        <f t="shared" si="153"/>
        <v>2631.2</v>
      </c>
      <c r="BD104" s="580">
        <f t="shared" si="153"/>
        <v>3000</v>
      </c>
      <c r="BE104" s="580">
        <f t="shared" si="153"/>
        <v>3000</v>
      </c>
      <c r="BF104" s="580">
        <f t="shared" si="153"/>
        <v>3550.2</v>
      </c>
      <c r="BG104" s="580">
        <f t="shared" si="153"/>
        <v>2676.4</v>
      </c>
      <c r="BH104" s="580">
        <f t="shared" si="153"/>
        <v>3001.5</v>
      </c>
      <c r="BI104" s="580">
        <f t="shared" si="153"/>
        <v>3746.3</v>
      </c>
      <c r="BJ104" s="580">
        <f t="shared" si="153"/>
        <v>4063.3</v>
      </c>
      <c r="BK104" s="580">
        <f t="shared" si="153"/>
        <v>3089.9</v>
      </c>
      <c r="BL104" s="580">
        <f t="shared" ref="BL104:BQ104" si="154">SUM(BL105:BL108)</f>
        <v>3351.1</v>
      </c>
      <c r="BM104" s="580">
        <f t="shared" si="154"/>
        <v>2405.3000000000002</v>
      </c>
      <c r="BN104" s="580">
        <f t="shared" si="154"/>
        <v>3950.2</v>
      </c>
      <c r="BO104" s="580">
        <f t="shared" si="154"/>
        <v>3003.9</v>
      </c>
      <c r="BP104" s="580">
        <f t="shared" si="154"/>
        <v>4106.2</v>
      </c>
      <c r="BQ104" s="580">
        <f t="shared" si="154"/>
        <v>4539.7</v>
      </c>
      <c r="BR104" s="580">
        <f t="shared" ref="BR104:BS104" si="155">SUM(BR105:BR108)</f>
        <v>3686.3</v>
      </c>
      <c r="BS104" s="580">
        <f t="shared" si="155"/>
        <v>3844.2999999999997</v>
      </c>
      <c r="BT104" s="580">
        <f t="shared" ref="BT104:BU104" si="156">SUM(BT105:BT108)</f>
        <v>3873.3</v>
      </c>
      <c r="BU104" s="580">
        <f t="shared" si="156"/>
        <v>4377.7</v>
      </c>
      <c r="BV104" s="580">
        <f t="shared" ref="BV104:BW104" si="157">SUM(BV105:BV108)</f>
        <v>3611.5</v>
      </c>
      <c r="BW104" s="580">
        <f t="shared" si="157"/>
        <v>3218.2</v>
      </c>
    </row>
    <row r="105" spans="1:75" s="240" customFormat="1">
      <c r="A105" s="209"/>
      <c r="B105" s="209" t="s">
        <v>1048</v>
      </c>
      <c r="C105" s="253" t="s">
        <v>1049</v>
      </c>
      <c r="D105" s="209"/>
      <c r="F105" s="251"/>
      <c r="G105" s="251"/>
      <c r="H105" s="251"/>
      <c r="I105" s="251"/>
      <c r="J105" s="251"/>
      <c r="K105" s="251"/>
      <c r="L105" s="251"/>
      <c r="M105" s="251">
        <f>+'Inc Stmt'!C32</f>
        <v>2501.9749999999999</v>
      </c>
      <c r="N105" s="251">
        <f>+'Inc Stmt'!D32</f>
        <v>2289.1289999999999</v>
      </c>
      <c r="O105" s="251">
        <f>+'Inc Stmt'!E32</f>
        <v>3196.3009999999999</v>
      </c>
      <c r="P105" s="251">
        <f>+'Inc Stmt'!F32</f>
        <v>4791.1000000000004</v>
      </c>
      <c r="Q105" s="251">
        <f>+'Inc Stmt'!G32</f>
        <v>4900.8999999999996</v>
      </c>
      <c r="R105" s="251">
        <f>+'Inc Stmt'!H32</f>
        <v>3684.2</v>
      </c>
      <c r="S105" s="251">
        <f>+'Inc Stmt'!I32</f>
        <v>2888.8</v>
      </c>
      <c r="T105" s="251">
        <f>+'Inc Stmt'!J32</f>
        <v>7075</v>
      </c>
      <c r="U105" s="251">
        <f>+'Inc Stmt'!K32</f>
        <v>10110.200000000001</v>
      </c>
      <c r="V105" s="251">
        <f>+'Inc Stmt'!L32</f>
        <v>10221.199999999999</v>
      </c>
      <c r="W105" s="251">
        <f>+'Inc Stmt'!M32</f>
        <v>12226.6</v>
      </c>
      <c r="X105" s="251">
        <f>+'Inc Stmt'!N32</f>
        <v>13901</v>
      </c>
      <c r="Y105" s="251">
        <f>+'Inc Stmt'!O32</f>
        <v>12710.5</v>
      </c>
      <c r="Z105" s="251">
        <f>+'Inc Stmt'!P32</f>
        <v>16176.5</v>
      </c>
      <c r="AA105" s="251">
        <f>+'Inc Stmt'!Q32</f>
        <v>15080.7</v>
      </c>
      <c r="AB105" s="251">
        <f>+'Inc Stmt'!R32</f>
        <v>17966.267882898912</v>
      </c>
      <c r="AC105" s="251">
        <f>+'Inc Stmt'!S32</f>
        <v>20809.324228024834</v>
      </c>
      <c r="AD105" s="251">
        <f>+'Inc Stmt'!T32</f>
        <v>22311.928946050346</v>
      </c>
      <c r="AF105" s="579">
        <f>Quarterly!C57</f>
        <v>1300</v>
      </c>
      <c r="AG105" s="579">
        <f>Quarterly!D57</f>
        <v>1250</v>
      </c>
      <c r="AH105" s="579">
        <f>Quarterly!E57</f>
        <v>1200</v>
      </c>
      <c r="AI105" s="579">
        <f>Quarterly!F57</f>
        <v>1150.9000000000001</v>
      </c>
      <c r="AJ105" s="579">
        <f>Quarterly!G57</f>
        <v>1025</v>
      </c>
      <c r="AK105" s="579">
        <f>Quarterly!H57</f>
        <v>1315</v>
      </c>
      <c r="AL105" s="579">
        <f>Quarterly!I57</f>
        <v>1013.1</v>
      </c>
      <c r="AM105" s="579">
        <f>Quarterly!J57</f>
        <v>669.6</v>
      </c>
      <c r="AN105" s="579">
        <f>Quarterly!K57</f>
        <v>860</v>
      </c>
      <c r="AO105" s="579">
        <f>Quarterly!L57</f>
        <v>810</v>
      </c>
      <c r="AP105" s="579">
        <f>Quarterly!M57</f>
        <v>755</v>
      </c>
      <c r="AQ105" s="579">
        <f>Quarterly!N57</f>
        <v>591.1</v>
      </c>
      <c r="AR105" s="579">
        <f>Quarterly!O57</f>
        <v>1220</v>
      </c>
      <c r="AS105" s="579">
        <f>Quarterly!P57</f>
        <v>1760</v>
      </c>
      <c r="AT105" s="579">
        <f>Quarterly!Q57</f>
        <v>2020</v>
      </c>
      <c r="AU105" s="579">
        <f>Quarterly!R57</f>
        <v>2075</v>
      </c>
      <c r="AV105" s="579">
        <f>Quarterly!S57</f>
        <v>2360</v>
      </c>
      <c r="AW105" s="579">
        <f>Quarterly!T57</f>
        <v>2682</v>
      </c>
      <c r="AX105" s="579">
        <f>Quarterly!U57</f>
        <v>2502.9</v>
      </c>
      <c r="AY105" s="579">
        <f>Quarterly!V57</f>
        <v>2535.3000000000002</v>
      </c>
      <c r="AZ105" s="579">
        <f>Quarterly!W57</f>
        <v>2420</v>
      </c>
      <c r="BA105" s="579">
        <f>Quarterly!X57</f>
        <v>2510</v>
      </c>
      <c r="BB105" s="579">
        <f>Quarterly!Y57</f>
        <v>2660</v>
      </c>
      <c r="BC105" s="579">
        <f>Quarterly!Z57</f>
        <v>2631.2</v>
      </c>
      <c r="BD105" s="579">
        <f>Quarterly!AA57</f>
        <v>3000</v>
      </c>
      <c r="BE105" s="579">
        <f>Quarterly!AB57</f>
        <v>3000</v>
      </c>
      <c r="BF105" s="579">
        <f>Quarterly!AC57</f>
        <v>3550.2</v>
      </c>
      <c r="BG105" s="579">
        <f>Quarterly!AD57</f>
        <v>2676.4</v>
      </c>
      <c r="BH105" s="579">
        <f>Quarterly!AE57</f>
        <v>3001.5</v>
      </c>
      <c r="BI105" s="579">
        <f>Quarterly!AF57</f>
        <v>3746.3</v>
      </c>
      <c r="BJ105" s="579">
        <f>Quarterly!AG57</f>
        <v>4063.3</v>
      </c>
      <c r="BK105" s="579">
        <f>Quarterly!AH57</f>
        <v>3089.9</v>
      </c>
      <c r="BL105" s="579">
        <f>Quarterly!AI57</f>
        <v>3351.1</v>
      </c>
      <c r="BM105" s="579">
        <f>Quarterly!AJ57</f>
        <v>2405.3000000000002</v>
      </c>
      <c r="BN105" s="579">
        <f>Quarterly!AK57</f>
        <v>3950.2</v>
      </c>
      <c r="BO105" s="579">
        <f>Quarterly!AL57</f>
        <v>3003.9</v>
      </c>
      <c r="BP105" s="579">
        <f>Quarterly!AM57</f>
        <v>4106.2</v>
      </c>
      <c r="BQ105" s="579">
        <f>Quarterly!AN57</f>
        <v>4539.7</v>
      </c>
      <c r="BR105" s="579">
        <f>Quarterly!AO57</f>
        <v>3686.3</v>
      </c>
      <c r="BS105" s="579">
        <f>Quarterly!AP57</f>
        <v>3844.2999999999997</v>
      </c>
      <c r="BT105" s="579">
        <f>Quarterly!AQ57</f>
        <v>3873.3</v>
      </c>
      <c r="BU105" s="579">
        <f>Quarterly!AR57</f>
        <v>4377.7</v>
      </c>
      <c r="BV105" s="579">
        <f>Quarterly!AS57</f>
        <v>3611.5</v>
      </c>
      <c r="BW105" s="579">
        <f>Quarterly!AT57</f>
        <v>3218.2</v>
      </c>
    </row>
    <row r="106" spans="1:75" s="240" customFormat="1">
      <c r="A106" s="209"/>
      <c r="B106" s="209" t="s">
        <v>1050</v>
      </c>
      <c r="C106" s="253" t="s">
        <v>1051</v>
      </c>
      <c r="D106" s="209"/>
      <c r="F106" s="251"/>
      <c r="G106" s="251"/>
      <c r="H106" s="251"/>
      <c r="I106" s="251"/>
      <c r="J106" s="251"/>
      <c r="K106" s="251"/>
      <c r="L106" s="251"/>
      <c r="M106" s="251"/>
      <c r="N106" s="251"/>
      <c r="O106" s="251"/>
      <c r="P106" s="251"/>
      <c r="Q106" s="251"/>
      <c r="R106" s="251"/>
      <c r="S106" s="251"/>
      <c r="T106" s="251"/>
      <c r="U106" s="251"/>
      <c r="V106" s="251"/>
      <c r="W106" s="251"/>
      <c r="X106" s="251"/>
      <c r="Y106" s="251"/>
      <c r="Z106" s="251"/>
      <c r="AA106" s="251"/>
      <c r="AB106" s="251"/>
      <c r="AC106" s="251"/>
      <c r="AD106" s="251"/>
      <c r="AF106" s="579"/>
      <c r="AG106" s="579"/>
      <c r="AH106" s="579"/>
      <c r="AI106" s="579"/>
      <c r="AJ106" s="579"/>
      <c r="AK106" s="579"/>
      <c r="AL106" s="579"/>
      <c r="AM106" s="579"/>
      <c r="AN106" s="579"/>
      <c r="AO106" s="579"/>
      <c r="AP106" s="579"/>
      <c r="AQ106" s="579"/>
      <c r="AR106" s="579"/>
      <c r="AS106" s="579"/>
      <c r="AT106" s="579"/>
      <c r="AU106" s="579"/>
      <c r="AV106" s="579"/>
      <c r="AW106" s="579"/>
      <c r="AX106" s="579"/>
      <c r="AY106" s="579"/>
      <c r="AZ106" s="579"/>
      <c r="BA106" s="579"/>
      <c r="BB106" s="579"/>
      <c r="BC106" s="579"/>
      <c r="BD106" s="579"/>
      <c r="BE106" s="579"/>
      <c r="BF106" s="579"/>
      <c r="BG106" s="579"/>
      <c r="BH106" s="579"/>
      <c r="BI106" s="579"/>
      <c r="BJ106" s="579"/>
      <c r="BK106" s="579"/>
    </row>
    <row r="107" spans="1:75" s="240" customFormat="1">
      <c r="A107" s="209"/>
      <c r="B107" s="209" t="s">
        <v>1052</v>
      </c>
      <c r="C107" s="253" t="s">
        <v>1053</v>
      </c>
      <c r="D107" s="209"/>
      <c r="F107" s="251"/>
      <c r="G107" s="251"/>
      <c r="H107" s="251"/>
      <c r="I107" s="251"/>
      <c r="J107" s="251"/>
      <c r="K107" s="251"/>
      <c r="L107" s="251"/>
      <c r="M107" s="251"/>
      <c r="N107" s="251"/>
      <c r="O107" s="251"/>
      <c r="P107" s="251"/>
      <c r="Q107" s="251"/>
      <c r="R107" s="251"/>
      <c r="S107" s="251"/>
      <c r="T107" s="251"/>
      <c r="U107" s="251"/>
      <c r="V107" s="251"/>
      <c r="W107" s="251"/>
      <c r="X107" s="251"/>
      <c r="Y107" s="251"/>
      <c r="Z107" s="251"/>
      <c r="AA107" s="251"/>
      <c r="AB107" s="251"/>
      <c r="AC107" s="251"/>
      <c r="AD107" s="251"/>
      <c r="AF107" s="579"/>
      <c r="AG107" s="579"/>
      <c r="AH107" s="579"/>
      <c r="AI107" s="579"/>
      <c r="AJ107" s="579"/>
      <c r="AK107" s="579"/>
      <c r="AL107" s="579"/>
      <c r="AM107" s="579"/>
      <c r="AN107" s="579"/>
      <c r="AO107" s="579"/>
      <c r="AP107" s="579"/>
      <c r="AQ107" s="579"/>
      <c r="AR107" s="579"/>
      <c r="AS107" s="579"/>
      <c r="AT107" s="579"/>
      <c r="AU107" s="579"/>
      <c r="AV107" s="579"/>
      <c r="AW107" s="579"/>
      <c r="AX107" s="579"/>
      <c r="AY107" s="579"/>
      <c r="AZ107" s="579"/>
      <c r="BA107" s="579"/>
      <c r="BB107" s="579"/>
      <c r="BC107" s="579"/>
      <c r="BD107" s="579"/>
      <c r="BE107" s="579"/>
      <c r="BF107" s="579"/>
      <c r="BG107" s="579"/>
      <c r="BH107" s="579"/>
      <c r="BI107" s="579"/>
      <c r="BJ107" s="579"/>
      <c r="BK107" s="579"/>
    </row>
    <row r="108" spans="1:75" s="240" customFormat="1">
      <c r="A108" s="209"/>
      <c r="B108" s="209" t="s">
        <v>1054</v>
      </c>
      <c r="C108" s="253" t="s">
        <v>741</v>
      </c>
      <c r="D108" s="209"/>
      <c r="F108" s="251"/>
      <c r="G108" s="251"/>
      <c r="H108" s="251"/>
      <c r="I108" s="251"/>
      <c r="J108" s="251"/>
      <c r="K108" s="251"/>
      <c r="L108" s="251"/>
      <c r="M108" s="251"/>
      <c r="N108" s="251"/>
      <c r="O108" s="251"/>
      <c r="P108" s="251"/>
      <c r="Q108" s="251"/>
      <c r="R108" s="251"/>
      <c r="S108" s="251"/>
      <c r="T108" s="251"/>
      <c r="U108" s="251"/>
      <c r="V108" s="251"/>
      <c r="W108" s="251"/>
      <c r="X108" s="251"/>
      <c r="Y108" s="251"/>
      <c r="Z108" s="251"/>
      <c r="AA108" s="251"/>
      <c r="AB108" s="251"/>
      <c r="AC108" s="251"/>
      <c r="AD108" s="251"/>
      <c r="AF108" s="579"/>
      <c r="AG108" s="579"/>
      <c r="AH108" s="579"/>
      <c r="AI108" s="579"/>
      <c r="AJ108" s="579"/>
      <c r="AK108" s="579"/>
      <c r="AL108" s="579"/>
      <c r="AM108" s="579"/>
      <c r="AN108" s="579"/>
      <c r="AO108" s="579"/>
      <c r="AP108" s="579"/>
      <c r="AQ108" s="579"/>
      <c r="AR108" s="579"/>
      <c r="AS108" s="579"/>
      <c r="AT108" s="579"/>
      <c r="AU108" s="579"/>
      <c r="AV108" s="579"/>
      <c r="AW108" s="579"/>
      <c r="AX108" s="579"/>
      <c r="AY108" s="579"/>
      <c r="AZ108" s="579"/>
      <c r="BA108" s="579"/>
      <c r="BB108" s="579"/>
      <c r="BC108" s="579"/>
      <c r="BD108" s="579"/>
      <c r="BE108" s="579"/>
      <c r="BF108" s="579"/>
      <c r="BG108" s="579"/>
      <c r="BH108" s="579"/>
      <c r="BI108" s="579"/>
      <c r="BJ108" s="579"/>
      <c r="BK108" s="579"/>
    </row>
    <row r="109" spans="1:75" s="240" customFormat="1">
      <c r="A109" s="209"/>
      <c r="B109" s="209"/>
      <c r="C109" s="256"/>
      <c r="D109" s="209"/>
      <c r="AF109" s="579"/>
      <c r="AG109" s="579"/>
      <c r="AH109" s="579"/>
      <c r="AI109" s="579"/>
      <c r="AJ109" s="579"/>
      <c r="AK109" s="579"/>
      <c r="AL109" s="579"/>
      <c r="AM109" s="579"/>
      <c r="AN109" s="579"/>
      <c r="AO109" s="579"/>
      <c r="AP109" s="579"/>
      <c r="AQ109" s="579"/>
      <c r="AR109" s="579"/>
      <c r="AS109" s="579"/>
      <c r="AT109" s="579"/>
      <c r="AU109" s="579"/>
      <c r="AV109" s="579"/>
      <c r="AW109" s="579"/>
      <c r="AX109" s="579"/>
      <c r="AY109" s="579"/>
      <c r="AZ109" s="579"/>
      <c r="BA109" s="579"/>
      <c r="BB109" s="579"/>
      <c r="BC109" s="579"/>
      <c r="BD109" s="579"/>
      <c r="BE109" s="579"/>
      <c r="BF109" s="579"/>
      <c r="BG109" s="579"/>
      <c r="BH109" s="579"/>
      <c r="BI109" s="579"/>
      <c r="BJ109" s="579"/>
      <c r="BK109" s="579"/>
    </row>
    <row r="110" spans="1:75" s="240" customFormat="1">
      <c r="A110" s="209"/>
      <c r="B110" s="209"/>
      <c r="C110" s="247"/>
      <c r="D110" s="209"/>
      <c r="AF110" s="579"/>
      <c r="AG110" s="579"/>
      <c r="AH110" s="579"/>
      <c r="AI110" s="579"/>
      <c r="AJ110" s="579"/>
      <c r="AK110" s="579"/>
      <c r="AL110" s="579"/>
      <c r="AM110" s="579"/>
      <c r="AN110" s="579"/>
      <c r="AO110" s="579"/>
      <c r="AP110" s="579"/>
      <c r="AQ110" s="579"/>
      <c r="AR110" s="579"/>
      <c r="AS110" s="579"/>
      <c r="AT110" s="579"/>
      <c r="AU110" s="579"/>
      <c r="AV110" s="579"/>
      <c r="AW110" s="579"/>
      <c r="AX110" s="579"/>
      <c r="AY110" s="579"/>
      <c r="AZ110" s="579"/>
      <c r="BA110" s="579"/>
      <c r="BB110" s="579"/>
      <c r="BC110" s="579"/>
      <c r="BD110" s="579"/>
      <c r="BE110" s="579"/>
      <c r="BF110" s="579"/>
      <c r="BG110" s="579"/>
      <c r="BH110" s="579"/>
      <c r="BI110" s="579"/>
      <c r="BJ110" s="579"/>
      <c r="BK110" s="579"/>
    </row>
    <row r="111" spans="1:75" s="240" customFormat="1">
      <c r="A111" s="209"/>
      <c r="B111" s="220"/>
      <c r="C111" s="257" t="s">
        <v>1055</v>
      </c>
      <c r="D111" s="209"/>
      <c r="AF111" s="579"/>
      <c r="AG111" s="579"/>
      <c r="AH111" s="579"/>
      <c r="AI111" s="579"/>
      <c r="AJ111" s="579"/>
      <c r="AK111" s="579"/>
      <c r="AL111" s="579"/>
      <c r="AM111" s="579"/>
      <c r="AN111" s="579"/>
      <c r="AO111" s="579"/>
      <c r="AP111" s="579"/>
      <c r="AQ111" s="579"/>
      <c r="AR111" s="579"/>
      <c r="AS111" s="579"/>
      <c r="AT111" s="579"/>
      <c r="AU111" s="579"/>
      <c r="AV111" s="579"/>
      <c r="AW111" s="579"/>
      <c r="AX111" s="579"/>
      <c r="AY111" s="579"/>
      <c r="AZ111" s="579"/>
      <c r="BA111" s="579"/>
      <c r="BB111" s="579"/>
      <c r="BC111" s="579"/>
      <c r="BD111" s="579"/>
      <c r="BE111" s="579"/>
      <c r="BF111" s="579"/>
      <c r="BG111" s="579"/>
      <c r="BH111" s="579"/>
      <c r="BI111" s="579"/>
      <c r="BJ111" s="579"/>
      <c r="BK111" s="579"/>
    </row>
    <row r="112" spans="1:75" s="240" customFormat="1">
      <c r="A112" s="209"/>
      <c r="B112" s="220"/>
      <c r="C112" s="258"/>
      <c r="D112" s="209"/>
      <c r="AF112" s="579"/>
      <c r="AG112" s="579"/>
      <c r="AH112" s="579"/>
      <c r="AI112" s="579"/>
      <c r="AJ112" s="579"/>
      <c r="AK112" s="579"/>
      <c r="AL112" s="579"/>
      <c r="AM112" s="579"/>
      <c r="AN112" s="579"/>
      <c r="AO112" s="579"/>
      <c r="AP112" s="579"/>
      <c r="AQ112" s="579"/>
      <c r="AR112" s="579"/>
      <c r="AS112" s="579"/>
      <c r="AT112" s="579"/>
      <c r="AU112" s="579"/>
      <c r="AV112" s="579"/>
      <c r="AW112" s="579"/>
      <c r="AX112" s="579"/>
      <c r="AY112" s="579"/>
      <c r="AZ112" s="579"/>
      <c r="BA112" s="579"/>
      <c r="BB112" s="579"/>
      <c r="BC112" s="579"/>
      <c r="BD112" s="579"/>
      <c r="BE112" s="579"/>
      <c r="BF112" s="579"/>
      <c r="BG112" s="579"/>
      <c r="BH112" s="579"/>
      <c r="BI112" s="579"/>
      <c r="BJ112" s="579"/>
      <c r="BK112" s="579"/>
    </row>
    <row r="113" spans="1:63" s="240" customFormat="1">
      <c r="A113" s="209"/>
      <c r="B113" s="220" t="s">
        <v>1056</v>
      </c>
      <c r="C113" s="220" t="s">
        <v>100</v>
      </c>
      <c r="D113" s="209"/>
      <c r="F113" s="251"/>
      <c r="G113" s="251"/>
      <c r="H113" s="251"/>
      <c r="I113" s="251"/>
      <c r="J113" s="251"/>
      <c r="K113" s="251"/>
      <c r="L113" s="251"/>
      <c r="M113" s="251">
        <f>+'Bal Sheet'!C177</f>
        <v>1011.8351</v>
      </c>
      <c r="N113" s="251">
        <f>+'Bal Sheet'!D177</f>
        <v>1011.8351</v>
      </c>
      <c r="O113" s="251">
        <f>+'Bal Sheet'!E177</f>
        <v>1011.8351</v>
      </c>
      <c r="P113" s="251">
        <f>+'Bal Sheet'!F177</f>
        <v>1011.8351</v>
      </c>
      <c r="Q113" s="251">
        <f>+'Bal Sheet'!G177</f>
        <v>1011.8351</v>
      </c>
      <c r="R113" s="251">
        <f>+'Bal Sheet'!H177</f>
        <v>2893.6702000000005</v>
      </c>
      <c r="S113" s="251">
        <f>+'Bal Sheet'!I177</f>
        <v>2893.6702000000005</v>
      </c>
      <c r="T113" s="251">
        <f>+'Bal Sheet'!J177</f>
        <v>2893.6702000000005</v>
      </c>
      <c r="U113" s="251">
        <f>+'Bal Sheet'!K177</f>
        <v>2893.6702000000005</v>
      </c>
      <c r="V113" s="251">
        <f>+'Bal Sheet'!L177</f>
        <v>2893.6702000000005</v>
      </c>
      <c r="W113" s="251">
        <f>+'Bal Sheet'!M177</f>
        <v>2893.6702000000005</v>
      </c>
      <c r="X113" s="251">
        <f>+'Bal Sheet'!N177</f>
        <v>2893.6702000000005</v>
      </c>
      <c r="Y113" s="251">
        <f>+'Bal Sheet'!O177</f>
        <v>2893.7</v>
      </c>
      <c r="Z113" s="251">
        <f>+'Bal Sheet'!P177</f>
        <v>2893.6702000000005</v>
      </c>
      <c r="AA113" s="251">
        <f>+'Bal Sheet'!Q177</f>
        <v>2893.6702000000005</v>
      </c>
      <c r="AB113" s="251">
        <f>+'Bal Sheet'!R177</f>
        <v>2893.6702000000005</v>
      </c>
      <c r="AC113" s="251">
        <f>+'Bal Sheet'!S177</f>
        <v>2893.6702000000005</v>
      </c>
      <c r="AD113" s="251">
        <f>+'Bal Sheet'!T177</f>
        <v>2893.6702000000005</v>
      </c>
      <c r="AF113" s="579"/>
      <c r="AG113" s="579"/>
      <c r="AH113" s="579"/>
      <c r="AI113" s="579"/>
      <c r="AJ113" s="579"/>
      <c r="AK113" s="579"/>
      <c r="AL113" s="579"/>
      <c r="AM113" s="579"/>
      <c r="AN113" s="579"/>
      <c r="AO113" s="579"/>
      <c r="AP113" s="579"/>
      <c r="AQ113" s="579"/>
      <c r="AR113" s="579"/>
      <c r="AS113" s="579"/>
      <c r="AT113" s="579"/>
      <c r="AU113" s="579"/>
      <c r="AV113" s="579"/>
      <c r="AW113" s="579"/>
      <c r="AX113" s="579"/>
      <c r="AY113" s="579"/>
      <c r="AZ113" s="579"/>
      <c r="BA113" s="579"/>
      <c r="BB113" s="579"/>
      <c r="BC113" s="579"/>
      <c r="BD113" s="579"/>
      <c r="BE113" s="579"/>
      <c r="BF113" s="579"/>
      <c r="BG113" s="579"/>
      <c r="BH113" s="579"/>
      <c r="BI113" s="579"/>
      <c r="BJ113" s="579"/>
      <c r="BK113" s="579"/>
    </row>
    <row r="114" spans="1:63" s="245" customFormat="1">
      <c r="A114" s="243"/>
      <c r="B114" s="246" t="s">
        <v>1057</v>
      </c>
      <c r="C114" s="246" t="s">
        <v>1058</v>
      </c>
      <c r="D114" s="243"/>
      <c r="F114" s="245">
        <f t="shared" ref="F114:AD114" si="158">SUM(F115:F118)</f>
        <v>0</v>
      </c>
      <c r="G114" s="245">
        <f t="shared" si="158"/>
        <v>0</v>
      </c>
      <c r="H114" s="245">
        <f t="shared" si="158"/>
        <v>0</v>
      </c>
      <c r="I114" s="245">
        <f t="shared" si="158"/>
        <v>0</v>
      </c>
      <c r="J114" s="245">
        <f t="shared" si="158"/>
        <v>0</v>
      </c>
      <c r="K114" s="245">
        <f t="shared" si="158"/>
        <v>0</v>
      </c>
      <c r="M114" s="245">
        <f t="shared" si="158"/>
        <v>31394.221364000001</v>
      </c>
      <c r="N114" s="245">
        <f t="shared" si="158"/>
        <v>35924.42</v>
      </c>
      <c r="O114" s="245">
        <f t="shared" si="158"/>
        <v>40331.659999999996</v>
      </c>
      <c r="P114" s="245">
        <f t="shared" si="158"/>
        <v>46695.5</v>
      </c>
      <c r="Q114" s="245">
        <f t="shared" si="158"/>
        <v>54331.4</v>
      </c>
      <c r="R114" s="245">
        <f t="shared" si="158"/>
        <v>13342.064899999999</v>
      </c>
      <c r="S114" s="245">
        <f t="shared" si="158"/>
        <v>15234.264900000002</v>
      </c>
      <c r="T114" s="245">
        <f t="shared" si="158"/>
        <v>26389.8649</v>
      </c>
      <c r="U114" s="245">
        <f t="shared" si="158"/>
        <v>46208.5</v>
      </c>
      <c r="V114" s="245">
        <f t="shared" si="158"/>
        <v>57517</v>
      </c>
      <c r="W114" s="245">
        <f t="shared" si="158"/>
        <v>76125.800000000017</v>
      </c>
      <c r="X114" s="245">
        <f t="shared" si="158"/>
        <v>93186.5</v>
      </c>
      <c r="Y114" s="245">
        <f t="shared" si="158"/>
        <v>104027.80000000002</v>
      </c>
      <c r="Z114" s="245">
        <f>SUM(Z115:Z118)</f>
        <v>120022.9</v>
      </c>
      <c r="AA114" s="245">
        <f>SUM(AA115:AA118)</f>
        <v>136292.13812899997</v>
      </c>
      <c r="AB114" s="245">
        <f>SUM(AB115:AB118)</f>
        <v>154886.56211316629</v>
      </c>
      <c r="AC114" s="245">
        <f t="shared" si="158"/>
        <v>180441.57232160639</v>
      </c>
      <c r="AD114" s="245">
        <f t="shared" si="158"/>
        <v>235067.32939641931</v>
      </c>
      <c r="AF114" s="580">
        <f t="shared" ref="AF114:BK114" si="159">SUM(AF115:AF118)</f>
        <v>0</v>
      </c>
      <c r="AG114" s="580">
        <f t="shared" si="159"/>
        <v>0</v>
      </c>
      <c r="AH114" s="580">
        <f t="shared" si="159"/>
        <v>0</v>
      </c>
      <c r="AI114" s="580">
        <f t="shared" si="159"/>
        <v>0</v>
      </c>
      <c r="AJ114" s="580">
        <f t="shared" si="159"/>
        <v>0</v>
      </c>
      <c r="AK114" s="580">
        <f t="shared" si="159"/>
        <v>0</v>
      </c>
      <c r="AL114" s="580">
        <f t="shared" si="159"/>
        <v>0</v>
      </c>
      <c r="AM114" s="580">
        <f t="shared" si="159"/>
        <v>0</v>
      </c>
      <c r="AN114" s="580">
        <f t="shared" si="159"/>
        <v>0</v>
      </c>
      <c r="AO114" s="580">
        <f t="shared" si="159"/>
        <v>0</v>
      </c>
      <c r="AP114" s="580">
        <f t="shared" si="159"/>
        <v>0</v>
      </c>
      <c r="AQ114" s="580">
        <f t="shared" si="159"/>
        <v>0</v>
      </c>
      <c r="AR114" s="580">
        <f t="shared" si="159"/>
        <v>0</v>
      </c>
      <c r="AS114" s="580">
        <f t="shared" si="159"/>
        <v>0</v>
      </c>
      <c r="AT114" s="580">
        <f t="shared" si="159"/>
        <v>0</v>
      </c>
      <c r="AU114" s="580">
        <f t="shared" si="159"/>
        <v>0</v>
      </c>
      <c r="AV114" s="580">
        <f t="shared" si="159"/>
        <v>0</v>
      </c>
      <c r="AW114" s="580">
        <f t="shared" si="159"/>
        <v>0</v>
      </c>
      <c r="AX114" s="580">
        <f t="shared" si="159"/>
        <v>0</v>
      </c>
      <c r="AY114" s="580">
        <f t="shared" si="159"/>
        <v>0</v>
      </c>
      <c r="AZ114" s="580">
        <f t="shared" si="159"/>
        <v>0</v>
      </c>
      <c r="BA114" s="580">
        <f t="shared" si="159"/>
        <v>0</v>
      </c>
      <c r="BB114" s="580">
        <f t="shared" si="159"/>
        <v>0</v>
      </c>
      <c r="BC114" s="580">
        <f t="shared" si="159"/>
        <v>0</v>
      </c>
      <c r="BD114" s="580">
        <f t="shared" si="159"/>
        <v>0</v>
      </c>
      <c r="BE114" s="580">
        <f t="shared" si="159"/>
        <v>0</v>
      </c>
      <c r="BF114" s="580">
        <f t="shared" si="159"/>
        <v>0</v>
      </c>
      <c r="BG114" s="580">
        <f t="shared" si="159"/>
        <v>0</v>
      </c>
      <c r="BH114" s="580">
        <f t="shared" si="159"/>
        <v>0</v>
      </c>
      <c r="BI114" s="580">
        <f t="shared" si="159"/>
        <v>0</v>
      </c>
      <c r="BJ114" s="580">
        <f t="shared" si="159"/>
        <v>0</v>
      </c>
      <c r="BK114" s="580">
        <f t="shared" si="159"/>
        <v>0</v>
      </c>
    </row>
    <row r="115" spans="1:63" s="248" customFormat="1">
      <c r="A115" s="247"/>
      <c r="B115" s="220" t="s">
        <v>1069</v>
      </c>
      <c r="C115" s="220" t="s">
        <v>1070</v>
      </c>
      <c r="D115" s="247"/>
      <c r="F115" s="249"/>
      <c r="G115" s="249"/>
      <c r="H115" s="249"/>
      <c r="I115" s="249"/>
      <c r="J115" s="249"/>
      <c r="K115" s="249"/>
      <c r="L115" s="249"/>
      <c r="M115" s="249"/>
      <c r="N115" s="249"/>
      <c r="O115" s="249"/>
      <c r="P115" s="249"/>
      <c r="Q115" s="249"/>
      <c r="R115" s="249"/>
      <c r="S115" s="249"/>
      <c r="T115" s="249"/>
      <c r="U115" s="249"/>
      <c r="V115" s="249"/>
      <c r="W115" s="249"/>
      <c r="X115" s="249"/>
      <c r="Y115" s="249"/>
      <c r="Z115" s="249"/>
      <c r="AA115" s="249"/>
      <c r="AB115" s="249"/>
      <c r="AC115" s="249"/>
      <c r="AD115" s="249"/>
      <c r="AF115" s="581"/>
      <c r="AG115" s="581"/>
      <c r="AH115" s="581"/>
      <c r="AI115" s="581"/>
      <c r="AJ115" s="581"/>
      <c r="AK115" s="581"/>
      <c r="AL115" s="581"/>
      <c r="AM115" s="581"/>
      <c r="AN115" s="581"/>
      <c r="AO115" s="581"/>
      <c r="AP115" s="581"/>
      <c r="AQ115" s="581"/>
      <c r="AR115" s="581"/>
      <c r="AS115" s="581"/>
      <c r="AT115" s="581"/>
      <c r="AU115" s="581"/>
      <c r="AV115" s="581"/>
      <c r="AW115" s="581"/>
      <c r="AX115" s="581"/>
      <c r="AY115" s="581"/>
      <c r="AZ115" s="581"/>
      <c r="BA115" s="581"/>
      <c r="BB115" s="581"/>
      <c r="BC115" s="581"/>
      <c r="BD115" s="581"/>
      <c r="BE115" s="581"/>
      <c r="BF115" s="581"/>
      <c r="BG115" s="581"/>
      <c r="BH115" s="581"/>
      <c r="BI115" s="581"/>
      <c r="BJ115" s="581"/>
      <c r="BK115" s="581"/>
    </row>
    <row r="116" spans="1:63" s="248" customFormat="1">
      <c r="A116" s="247"/>
      <c r="B116" s="220" t="s">
        <v>1071</v>
      </c>
      <c r="C116" s="220" t="s">
        <v>1072</v>
      </c>
      <c r="D116" s="247"/>
      <c r="F116" s="249"/>
      <c r="G116" s="249"/>
      <c r="H116" s="249"/>
      <c r="I116" s="249"/>
      <c r="J116" s="249"/>
      <c r="K116" s="249"/>
      <c r="L116" s="249"/>
      <c r="M116" s="249"/>
      <c r="N116" s="249"/>
      <c r="O116" s="249"/>
      <c r="P116" s="249"/>
      <c r="Q116" s="249"/>
      <c r="R116" s="249"/>
      <c r="S116" s="249"/>
      <c r="T116" s="249"/>
      <c r="U116" s="249"/>
      <c r="V116" s="249"/>
      <c r="W116" s="249"/>
      <c r="X116" s="249"/>
      <c r="Y116" s="249"/>
      <c r="Z116" s="249"/>
      <c r="AA116" s="249"/>
      <c r="AB116" s="249"/>
      <c r="AC116" s="249"/>
      <c r="AD116" s="249"/>
      <c r="AF116" s="581"/>
      <c r="AG116" s="581"/>
      <c r="AH116" s="581"/>
      <c r="AI116" s="581"/>
      <c r="AJ116" s="581"/>
      <c r="AK116" s="581"/>
      <c r="AL116" s="581"/>
      <c r="AM116" s="581"/>
      <c r="AN116" s="581"/>
      <c r="AO116" s="581"/>
      <c r="AP116" s="581"/>
      <c r="AQ116" s="581"/>
      <c r="AR116" s="581"/>
      <c r="AS116" s="581"/>
      <c r="AT116" s="581"/>
      <c r="AU116" s="581"/>
      <c r="AV116" s="581"/>
      <c r="AW116" s="581"/>
      <c r="AX116" s="581"/>
      <c r="AY116" s="581"/>
      <c r="AZ116" s="581"/>
      <c r="BA116" s="581"/>
      <c r="BB116" s="581"/>
      <c r="BC116" s="581"/>
      <c r="BD116" s="581"/>
      <c r="BE116" s="581"/>
      <c r="BF116" s="581"/>
      <c r="BG116" s="581"/>
      <c r="BH116" s="581"/>
      <c r="BI116" s="581"/>
      <c r="BJ116" s="581"/>
      <c r="BK116" s="581"/>
    </row>
    <row r="117" spans="1:63" s="248" customFormat="1">
      <c r="A117" s="247"/>
      <c r="B117" s="220" t="s">
        <v>1073</v>
      </c>
      <c r="C117" s="220" t="s">
        <v>1074</v>
      </c>
      <c r="D117" s="247"/>
      <c r="F117" s="249"/>
      <c r="G117" s="249"/>
      <c r="H117" s="249"/>
      <c r="I117" s="249"/>
      <c r="J117" s="249"/>
      <c r="K117" s="249"/>
      <c r="L117" s="249"/>
      <c r="M117" s="249"/>
      <c r="N117" s="249"/>
      <c r="O117" s="249"/>
      <c r="P117" s="249"/>
      <c r="Q117" s="249"/>
      <c r="R117" s="249"/>
      <c r="S117" s="249"/>
      <c r="T117" s="249"/>
      <c r="U117" s="249"/>
      <c r="V117" s="249"/>
      <c r="W117" s="249"/>
      <c r="X117" s="249"/>
      <c r="Y117" s="249"/>
      <c r="Z117" s="249"/>
      <c r="AA117" s="249"/>
      <c r="AB117" s="249"/>
      <c r="AC117" s="249"/>
      <c r="AD117" s="249"/>
      <c r="AF117" s="581"/>
      <c r="AG117" s="581"/>
      <c r="AH117" s="581"/>
      <c r="AI117" s="581"/>
      <c r="AJ117" s="581"/>
      <c r="AK117" s="581"/>
      <c r="AL117" s="581"/>
      <c r="AM117" s="581"/>
      <c r="AN117" s="581"/>
      <c r="AO117" s="581"/>
      <c r="AP117" s="581"/>
      <c r="AQ117" s="581"/>
      <c r="AR117" s="581"/>
      <c r="AS117" s="581"/>
      <c r="AT117" s="581"/>
      <c r="AU117" s="581"/>
      <c r="AV117" s="581"/>
      <c r="AW117" s="581"/>
      <c r="AX117" s="581"/>
      <c r="AY117" s="581"/>
      <c r="AZ117" s="581"/>
      <c r="BA117" s="581"/>
      <c r="BB117" s="581"/>
      <c r="BC117" s="581"/>
      <c r="BD117" s="581"/>
      <c r="BE117" s="581"/>
      <c r="BF117" s="581"/>
      <c r="BG117" s="581"/>
      <c r="BH117" s="581"/>
      <c r="BI117" s="581"/>
      <c r="BJ117" s="581"/>
      <c r="BK117" s="581"/>
    </row>
    <row r="118" spans="1:63" s="248" customFormat="1">
      <c r="A118" s="247"/>
      <c r="B118" s="220" t="s">
        <v>1075</v>
      </c>
      <c r="C118" s="220" t="s">
        <v>1076</v>
      </c>
      <c r="D118" s="247"/>
      <c r="F118" s="249"/>
      <c r="G118" s="249"/>
      <c r="H118" s="249"/>
      <c r="I118" s="249"/>
      <c r="J118" s="249"/>
      <c r="K118" s="249"/>
      <c r="L118" s="249"/>
      <c r="M118" s="249">
        <f>+'Bal Sheet'!C186-'Bal Sheet'!C177</f>
        <v>31394.221364000001</v>
      </c>
      <c r="N118" s="249">
        <f>+'Bal Sheet'!D186-'Bal Sheet'!D177</f>
        <v>35924.42</v>
      </c>
      <c r="O118" s="249">
        <f>+'Bal Sheet'!E186-'Bal Sheet'!E177</f>
        <v>40331.659999999996</v>
      </c>
      <c r="P118" s="249">
        <f>+'Bal Sheet'!F186-'Bal Sheet'!F177</f>
        <v>46695.5</v>
      </c>
      <c r="Q118" s="249">
        <f>+'Bal Sheet'!G186-'Bal Sheet'!G177</f>
        <v>54331.4</v>
      </c>
      <c r="R118" s="249">
        <f>+'Bal Sheet'!H186-'Bal Sheet'!H177</f>
        <v>13342.064899999999</v>
      </c>
      <c r="S118" s="249">
        <f>+'Bal Sheet'!I186-'Bal Sheet'!I177</f>
        <v>15234.264900000002</v>
      </c>
      <c r="T118" s="249">
        <f>+'Bal Sheet'!J186-'Bal Sheet'!J177</f>
        <v>26389.8649</v>
      </c>
      <c r="U118" s="249">
        <f>+'Bal Sheet'!K186-'Bal Sheet'!K177</f>
        <v>46208.5</v>
      </c>
      <c r="V118" s="249">
        <f>+'Bal Sheet'!L186-'Bal Sheet'!L177</f>
        <v>57517</v>
      </c>
      <c r="W118" s="249">
        <f>+'Bal Sheet'!M186-'Bal Sheet'!M177</f>
        <v>76125.800000000017</v>
      </c>
      <c r="X118" s="249">
        <f>+'Bal Sheet'!N186-'Bal Sheet'!N177</f>
        <v>93186.5</v>
      </c>
      <c r="Y118" s="249">
        <f>+'Bal Sheet'!O186-'Bal Sheet'!O177</f>
        <v>104027.80000000002</v>
      </c>
      <c r="Z118" s="249">
        <f>+'Bal Sheet'!P186-'Bal Sheet'!P177</f>
        <v>120022.9</v>
      </c>
      <c r="AA118" s="249">
        <f>+'Bal Sheet'!Q186-'Bal Sheet'!Q177</f>
        <v>136292.13812899997</v>
      </c>
      <c r="AB118" s="249">
        <f>+'Bal Sheet'!R186-'Bal Sheet'!R177</f>
        <v>154886.56211316629</v>
      </c>
      <c r="AC118" s="249">
        <f>+'Bal Sheet'!S186-'Bal Sheet'!S177</f>
        <v>180441.57232160639</v>
      </c>
      <c r="AD118" s="249">
        <f>+'Bal Sheet'!T186-'Bal Sheet'!T177</f>
        <v>235067.32939641931</v>
      </c>
      <c r="AF118" s="581"/>
      <c r="AG118" s="581"/>
      <c r="AH118" s="581"/>
      <c r="AI118" s="581"/>
      <c r="AJ118" s="581"/>
      <c r="AK118" s="581"/>
      <c r="AL118" s="581"/>
      <c r="AM118" s="581"/>
      <c r="AN118" s="581"/>
      <c r="AO118" s="581"/>
      <c r="AP118" s="581"/>
      <c r="AQ118" s="581"/>
      <c r="AR118" s="581"/>
      <c r="AS118" s="581"/>
      <c r="AT118" s="581"/>
      <c r="AU118" s="581"/>
      <c r="AV118" s="581"/>
      <c r="AW118" s="581"/>
      <c r="AX118" s="581"/>
      <c r="AY118" s="581"/>
      <c r="AZ118" s="581"/>
      <c r="BA118" s="581"/>
      <c r="BB118" s="581"/>
      <c r="BC118" s="581"/>
      <c r="BD118" s="581"/>
      <c r="BE118" s="581"/>
      <c r="BF118" s="581"/>
      <c r="BG118" s="581"/>
      <c r="BH118" s="581"/>
      <c r="BI118" s="581"/>
      <c r="BJ118" s="581"/>
      <c r="BK118" s="581"/>
    </row>
    <row r="119" spans="1:63" s="245" customFormat="1">
      <c r="A119" s="243"/>
      <c r="B119" s="246" t="s">
        <v>1077</v>
      </c>
      <c r="C119" s="246" t="s">
        <v>1078</v>
      </c>
      <c r="D119" s="243"/>
      <c r="F119" s="245">
        <f t="shared" ref="F119:AD119" si="160">F114+F113</f>
        <v>0</v>
      </c>
      <c r="G119" s="245">
        <f t="shared" si="160"/>
        <v>0</v>
      </c>
      <c r="H119" s="245">
        <f t="shared" si="160"/>
        <v>0</v>
      </c>
      <c r="I119" s="245">
        <f t="shared" si="160"/>
        <v>0</v>
      </c>
      <c r="J119" s="245">
        <f t="shared" si="160"/>
        <v>0</v>
      </c>
      <c r="K119" s="245">
        <f t="shared" si="160"/>
        <v>0</v>
      </c>
      <c r="M119" s="245">
        <f t="shared" si="160"/>
        <v>32406.056464000001</v>
      </c>
      <c r="N119" s="245">
        <f t="shared" si="160"/>
        <v>36936.255099999995</v>
      </c>
      <c r="O119" s="245">
        <f t="shared" si="160"/>
        <v>41343.495099999993</v>
      </c>
      <c r="P119" s="245">
        <f t="shared" si="160"/>
        <v>47707.335099999997</v>
      </c>
      <c r="Q119" s="245">
        <f t="shared" si="160"/>
        <v>55343.235099999998</v>
      </c>
      <c r="R119" s="245">
        <f t="shared" si="160"/>
        <v>16235.7351</v>
      </c>
      <c r="S119" s="245">
        <f t="shared" si="160"/>
        <v>18127.935100000002</v>
      </c>
      <c r="T119" s="245">
        <f t="shared" si="160"/>
        <v>29283.535100000001</v>
      </c>
      <c r="U119" s="245">
        <f t="shared" si="160"/>
        <v>49102.1702</v>
      </c>
      <c r="V119" s="245">
        <f t="shared" si="160"/>
        <v>60410.6702</v>
      </c>
      <c r="W119" s="245">
        <f t="shared" si="160"/>
        <v>79019.470200000011</v>
      </c>
      <c r="X119" s="245">
        <f t="shared" si="160"/>
        <v>96080.170199999993</v>
      </c>
      <c r="Y119" s="245">
        <f t="shared" si="160"/>
        <v>106921.50000000001</v>
      </c>
      <c r="Z119" s="245">
        <f>Z114+Z113</f>
        <v>122916.57019999999</v>
      </c>
      <c r="AA119" s="245">
        <f>AA114+AA113</f>
        <v>139185.80832899996</v>
      </c>
      <c r="AB119" s="245">
        <f>AB114+AB113</f>
        <v>157780.23231316629</v>
      </c>
      <c r="AC119" s="245">
        <f t="shared" si="160"/>
        <v>183335.24252160639</v>
      </c>
      <c r="AD119" s="245">
        <f t="shared" si="160"/>
        <v>237960.99959641931</v>
      </c>
      <c r="AF119" s="580">
        <f t="shared" ref="AF119:BK119" si="161">AF114+AF113</f>
        <v>0</v>
      </c>
      <c r="AG119" s="580">
        <f t="shared" si="161"/>
        <v>0</v>
      </c>
      <c r="AH119" s="580">
        <f t="shared" si="161"/>
        <v>0</v>
      </c>
      <c r="AI119" s="580">
        <f t="shared" si="161"/>
        <v>0</v>
      </c>
      <c r="AJ119" s="580">
        <f t="shared" si="161"/>
        <v>0</v>
      </c>
      <c r="AK119" s="580">
        <f t="shared" si="161"/>
        <v>0</v>
      </c>
      <c r="AL119" s="580">
        <f t="shared" si="161"/>
        <v>0</v>
      </c>
      <c r="AM119" s="580">
        <f t="shared" si="161"/>
        <v>0</v>
      </c>
      <c r="AN119" s="580">
        <f t="shared" si="161"/>
        <v>0</v>
      </c>
      <c r="AO119" s="580">
        <f t="shared" si="161"/>
        <v>0</v>
      </c>
      <c r="AP119" s="580">
        <f t="shared" si="161"/>
        <v>0</v>
      </c>
      <c r="AQ119" s="580">
        <f t="shared" si="161"/>
        <v>0</v>
      </c>
      <c r="AR119" s="580">
        <f t="shared" si="161"/>
        <v>0</v>
      </c>
      <c r="AS119" s="580">
        <f t="shared" si="161"/>
        <v>0</v>
      </c>
      <c r="AT119" s="580">
        <f t="shared" si="161"/>
        <v>0</v>
      </c>
      <c r="AU119" s="580">
        <f t="shared" si="161"/>
        <v>0</v>
      </c>
      <c r="AV119" s="580">
        <f t="shared" si="161"/>
        <v>0</v>
      </c>
      <c r="AW119" s="580">
        <f t="shared" si="161"/>
        <v>0</v>
      </c>
      <c r="AX119" s="580">
        <f t="shared" si="161"/>
        <v>0</v>
      </c>
      <c r="AY119" s="580">
        <f t="shared" si="161"/>
        <v>0</v>
      </c>
      <c r="AZ119" s="580">
        <f t="shared" si="161"/>
        <v>0</v>
      </c>
      <c r="BA119" s="580">
        <f t="shared" si="161"/>
        <v>0</v>
      </c>
      <c r="BB119" s="580">
        <f t="shared" si="161"/>
        <v>0</v>
      </c>
      <c r="BC119" s="580">
        <f t="shared" si="161"/>
        <v>0</v>
      </c>
      <c r="BD119" s="580">
        <f t="shared" si="161"/>
        <v>0</v>
      </c>
      <c r="BE119" s="580">
        <f t="shared" si="161"/>
        <v>0</v>
      </c>
      <c r="BF119" s="580">
        <f t="shared" si="161"/>
        <v>0</v>
      </c>
      <c r="BG119" s="580">
        <f t="shared" si="161"/>
        <v>0</v>
      </c>
      <c r="BH119" s="580">
        <f t="shared" si="161"/>
        <v>0</v>
      </c>
      <c r="BI119" s="580">
        <f t="shared" si="161"/>
        <v>0</v>
      </c>
      <c r="BJ119" s="580">
        <f t="shared" si="161"/>
        <v>0</v>
      </c>
      <c r="BK119" s="580">
        <f t="shared" si="161"/>
        <v>0</v>
      </c>
    </row>
    <row r="120" spans="1:63" s="245" customFormat="1">
      <c r="A120" s="243"/>
      <c r="B120" s="246" t="s">
        <v>1079</v>
      </c>
      <c r="C120" s="246" t="s">
        <v>1080</v>
      </c>
      <c r="D120" s="243"/>
      <c r="F120" s="245">
        <f t="shared" ref="F120:AD120" si="162">F119-F117-F174</f>
        <v>0</v>
      </c>
      <c r="G120" s="245">
        <f t="shared" si="162"/>
        <v>0</v>
      </c>
      <c r="H120" s="245">
        <f t="shared" si="162"/>
        <v>0</v>
      </c>
      <c r="I120" s="245">
        <f t="shared" si="162"/>
        <v>0</v>
      </c>
      <c r="J120" s="245">
        <f t="shared" si="162"/>
        <v>0</v>
      </c>
      <c r="K120" s="245">
        <f t="shared" si="162"/>
        <v>0</v>
      </c>
      <c r="M120" s="245">
        <f t="shared" si="162"/>
        <v>32231.056464000001</v>
      </c>
      <c r="N120" s="245">
        <f t="shared" si="162"/>
        <v>36761.255099999995</v>
      </c>
      <c r="O120" s="245">
        <f t="shared" si="162"/>
        <v>41168.495099999993</v>
      </c>
      <c r="P120" s="245">
        <f t="shared" si="162"/>
        <v>47532.335099999997</v>
      </c>
      <c r="Q120" s="245">
        <f t="shared" si="162"/>
        <v>55168.235099999998</v>
      </c>
      <c r="R120" s="245">
        <f t="shared" si="162"/>
        <v>12977.6351</v>
      </c>
      <c r="S120" s="245">
        <f t="shared" si="162"/>
        <v>12622.635100000003</v>
      </c>
      <c r="T120" s="245">
        <f t="shared" si="162"/>
        <v>29283.535100000001</v>
      </c>
      <c r="U120" s="245">
        <f t="shared" si="162"/>
        <v>49102.1702</v>
      </c>
      <c r="V120" s="245">
        <f t="shared" si="162"/>
        <v>60410.6702</v>
      </c>
      <c r="W120" s="245">
        <f t="shared" si="162"/>
        <v>79019.470200000011</v>
      </c>
      <c r="X120" s="245">
        <f t="shared" si="162"/>
        <v>96080.170199999993</v>
      </c>
      <c r="Y120" s="245">
        <f t="shared" si="162"/>
        <v>106921.10000000002</v>
      </c>
      <c r="Z120" s="245">
        <f>Z119-Z117-Z174</f>
        <v>122916.57019999999</v>
      </c>
      <c r="AA120" s="245">
        <f>AA119-AA117-AA174</f>
        <v>139185.80832899996</v>
      </c>
      <c r="AB120" s="245">
        <f>AB119-AB117-AB174</f>
        <v>157780.23231316629</v>
      </c>
      <c r="AC120" s="245">
        <f t="shared" si="162"/>
        <v>183335.24252160639</v>
      </c>
      <c r="AD120" s="245">
        <f t="shared" si="162"/>
        <v>237960.99959641931</v>
      </c>
      <c r="AF120" s="580">
        <f t="shared" ref="AF120:BK120" si="163">AF119-AF117-AF174</f>
        <v>0</v>
      </c>
      <c r="AG120" s="580">
        <f t="shared" si="163"/>
        <v>0</v>
      </c>
      <c r="AH120" s="580">
        <f t="shared" si="163"/>
        <v>0</v>
      </c>
      <c r="AI120" s="580">
        <f t="shared" si="163"/>
        <v>0</v>
      </c>
      <c r="AJ120" s="580">
        <f t="shared" si="163"/>
        <v>0</v>
      </c>
      <c r="AK120" s="580">
        <f t="shared" si="163"/>
        <v>0</v>
      </c>
      <c r="AL120" s="580">
        <f t="shared" si="163"/>
        <v>0</v>
      </c>
      <c r="AM120" s="580">
        <f t="shared" si="163"/>
        <v>0</v>
      </c>
      <c r="AN120" s="580">
        <f t="shared" si="163"/>
        <v>0</v>
      </c>
      <c r="AO120" s="580">
        <f t="shared" si="163"/>
        <v>0</v>
      </c>
      <c r="AP120" s="580">
        <f t="shared" si="163"/>
        <v>0</v>
      </c>
      <c r="AQ120" s="580">
        <f t="shared" si="163"/>
        <v>0</v>
      </c>
      <c r="AR120" s="580">
        <f t="shared" si="163"/>
        <v>0</v>
      </c>
      <c r="AS120" s="580">
        <f t="shared" si="163"/>
        <v>0</v>
      </c>
      <c r="AT120" s="580">
        <f t="shared" si="163"/>
        <v>0</v>
      </c>
      <c r="AU120" s="580">
        <f t="shared" si="163"/>
        <v>0</v>
      </c>
      <c r="AV120" s="580">
        <f t="shared" si="163"/>
        <v>0</v>
      </c>
      <c r="AW120" s="580">
        <f t="shared" si="163"/>
        <v>0</v>
      </c>
      <c r="AX120" s="580">
        <f t="shared" si="163"/>
        <v>0</v>
      </c>
      <c r="AY120" s="580">
        <f t="shared" si="163"/>
        <v>0</v>
      </c>
      <c r="AZ120" s="580">
        <f t="shared" si="163"/>
        <v>0</v>
      </c>
      <c r="BA120" s="580">
        <f t="shared" si="163"/>
        <v>0</v>
      </c>
      <c r="BB120" s="580">
        <f t="shared" si="163"/>
        <v>0</v>
      </c>
      <c r="BC120" s="580">
        <f t="shared" si="163"/>
        <v>0</v>
      </c>
      <c r="BD120" s="580">
        <f t="shared" si="163"/>
        <v>0</v>
      </c>
      <c r="BE120" s="580">
        <f t="shared" si="163"/>
        <v>0</v>
      </c>
      <c r="BF120" s="580">
        <f t="shared" si="163"/>
        <v>0</v>
      </c>
      <c r="BG120" s="580">
        <f t="shared" si="163"/>
        <v>0</v>
      </c>
      <c r="BH120" s="580">
        <f t="shared" si="163"/>
        <v>0</v>
      </c>
      <c r="BI120" s="580">
        <f t="shared" si="163"/>
        <v>0</v>
      </c>
      <c r="BJ120" s="580">
        <f t="shared" si="163"/>
        <v>0</v>
      </c>
      <c r="BK120" s="580">
        <f t="shared" si="163"/>
        <v>0</v>
      </c>
    </row>
    <row r="121" spans="1:63" s="240" customFormat="1">
      <c r="A121" s="209"/>
      <c r="B121" s="220" t="s">
        <v>1081</v>
      </c>
      <c r="C121" s="220" t="s">
        <v>1082</v>
      </c>
      <c r="D121" s="209"/>
      <c r="F121" s="251"/>
      <c r="G121" s="251"/>
      <c r="H121" s="251"/>
      <c r="I121" s="251"/>
      <c r="J121" s="251"/>
      <c r="K121" s="251"/>
      <c r="L121" s="251"/>
      <c r="M121" s="251"/>
      <c r="N121" s="251"/>
      <c r="O121" s="251"/>
      <c r="P121" s="251"/>
      <c r="Q121" s="251"/>
      <c r="R121" s="251"/>
      <c r="S121" s="251"/>
      <c r="T121" s="251"/>
      <c r="U121" s="251"/>
      <c r="V121" s="251"/>
      <c r="W121" s="251"/>
      <c r="X121" s="251"/>
      <c r="Y121" s="251"/>
      <c r="Z121" s="251"/>
      <c r="AA121" s="251"/>
      <c r="AB121" s="251"/>
      <c r="AC121" s="251"/>
      <c r="AD121" s="251"/>
      <c r="AF121" s="579"/>
      <c r="AG121" s="579"/>
      <c r="AH121" s="579"/>
      <c r="AI121" s="579"/>
      <c r="AJ121" s="579"/>
      <c r="AK121" s="579"/>
      <c r="AL121" s="579"/>
      <c r="AM121" s="579"/>
      <c r="AN121" s="579"/>
      <c r="AO121" s="579"/>
      <c r="AP121" s="579"/>
      <c r="AQ121" s="579"/>
      <c r="AR121" s="579"/>
      <c r="AS121" s="579"/>
      <c r="AT121" s="579"/>
      <c r="AU121" s="579"/>
      <c r="AV121" s="579"/>
      <c r="AW121" s="579"/>
      <c r="AX121" s="579"/>
      <c r="AY121" s="579"/>
      <c r="AZ121" s="579"/>
      <c r="BA121" s="579"/>
      <c r="BB121" s="579"/>
      <c r="BC121" s="579"/>
      <c r="BD121" s="579"/>
      <c r="BE121" s="579"/>
      <c r="BF121" s="579"/>
      <c r="BG121" s="579"/>
      <c r="BH121" s="579"/>
      <c r="BI121" s="579"/>
      <c r="BJ121" s="579"/>
      <c r="BK121" s="579"/>
    </row>
    <row r="122" spans="1:63" s="245" customFormat="1">
      <c r="A122" s="243"/>
      <c r="B122" s="246" t="s">
        <v>1083</v>
      </c>
      <c r="C122" s="246" t="s">
        <v>1084</v>
      </c>
      <c r="D122" s="243"/>
      <c r="F122" s="245">
        <f t="shared" ref="F122:AD122" si="164">SUM(F123:F129)</f>
        <v>0</v>
      </c>
      <c r="G122" s="245">
        <f t="shared" si="164"/>
        <v>0</v>
      </c>
      <c r="H122" s="245">
        <f t="shared" si="164"/>
        <v>0</v>
      </c>
      <c r="I122" s="245">
        <f t="shared" si="164"/>
        <v>0</v>
      </c>
      <c r="J122" s="245">
        <f t="shared" si="164"/>
        <v>0</v>
      </c>
      <c r="K122" s="245">
        <f t="shared" si="164"/>
        <v>0</v>
      </c>
      <c r="M122" s="245">
        <f t="shared" si="164"/>
        <v>539.17700000000002</v>
      </c>
      <c r="N122" s="245">
        <f t="shared" si="164"/>
        <v>0</v>
      </c>
      <c r="O122" s="245">
        <f t="shared" si="164"/>
        <v>0</v>
      </c>
      <c r="P122" s="245">
        <f t="shared" si="164"/>
        <v>0.2</v>
      </c>
      <c r="Q122" s="245">
        <f t="shared" si="164"/>
        <v>224.6</v>
      </c>
      <c r="R122" s="245">
        <f t="shared" si="164"/>
        <v>190.4</v>
      </c>
      <c r="S122" s="245">
        <f t="shared" si="164"/>
        <v>2738.9</v>
      </c>
      <c r="T122" s="245">
        <f t="shared" si="164"/>
        <v>129.80000000000001</v>
      </c>
      <c r="U122" s="245">
        <f t="shared" si="164"/>
        <v>1578.3999999999999</v>
      </c>
      <c r="V122" s="245">
        <f t="shared" si="164"/>
        <v>0</v>
      </c>
      <c r="W122" s="245">
        <f t="shared" si="164"/>
        <v>0</v>
      </c>
      <c r="X122" s="245">
        <f t="shared" si="164"/>
        <v>0</v>
      </c>
      <c r="Y122" s="245">
        <f t="shared" si="164"/>
        <v>0</v>
      </c>
      <c r="Z122" s="245">
        <f>SUM(Z123:Z129)</f>
        <v>0</v>
      </c>
      <c r="AA122" s="245">
        <f>SUM(AA123:AA129)</f>
        <v>0</v>
      </c>
      <c r="AB122" s="245">
        <f>SUM(AB123:AB129)</f>
        <v>0</v>
      </c>
      <c r="AC122" s="245">
        <f t="shared" si="164"/>
        <v>0</v>
      </c>
      <c r="AD122" s="245">
        <f t="shared" si="164"/>
        <v>0</v>
      </c>
      <c r="AF122" s="580">
        <f t="shared" ref="AF122:BK122" si="165">SUM(AF123:AF129)</f>
        <v>0</v>
      </c>
      <c r="AG122" s="580">
        <f t="shared" si="165"/>
        <v>0</v>
      </c>
      <c r="AH122" s="580">
        <f t="shared" si="165"/>
        <v>0</v>
      </c>
      <c r="AI122" s="580">
        <f t="shared" si="165"/>
        <v>0</v>
      </c>
      <c r="AJ122" s="580">
        <f t="shared" si="165"/>
        <v>0</v>
      </c>
      <c r="AK122" s="580">
        <f t="shared" si="165"/>
        <v>0</v>
      </c>
      <c r="AL122" s="580">
        <f t="shared" si="165"/>
        <v>0</v>
      </c>
      <c r="AM122" s="580">
        <f t="shared" si="165"/>
        <v>0</v>
      </c>
      <c r="AN122" s="580">
        <f t="shared" si="165"/>
        <v>0</v>
      </c>
      <c r="AO122" s="580">
        <f t="shared" si="165"/>
        <v>0</v>
      </c>
      <c r="AP122" s="580">
        <f t="shared" si="165"/>
        <v>0</v>
      </c>
      <c r="AQ122" s="580">
        <f t="shared" si="165"/>
        <v>0</v>
      </c>
      <c r="AR122" s="580">
        <f t="shared" si="165"/>
        <v>0</v>
      </c>
      <c r="AS122" s="580">
        <f t="shared" si="165"/>
        <v>0</v>
      </c>
      <c r="AT122" s="580">
        <f t="shared" si="165"/>
        <v>0</v>
      </c>
      <c r="AU122" s="580">
        <f t="shared" si="165"/>
        <v>0</v>
      </c>
      <c r="AV122" s="580">
        <f t="shared" si="165"/>
        <v>0</v>
      </c>
      <c r="AW122" s="580">
        <f t="shared" si="165"/>
        <v>0</v>
      </c>
      <c r="AX122" s="580">
        <f t="shared" si="165"/>
        <v>0</v>
      </c>
      <c r="AY122" s="580">
        <f t="shared" si="165"/>
        <v>0</v>
      </c>
      <c r="AZ122" s="580">
        <f t="shared" si="165"/>
        <v>0</v>
      </c>
      <c r="BA122" s="580">
        <f t="shared" si="165"/>
        <v>0</v>
      </c>
      <c r="BB122" s="580">
        <f t="shared" si="165"/>
        <v>0</v>
      </c>
      <c r="BC122" s="580">
        <f t="shared" si="165"/>
        <v>0</v>
      </c>
      <c r="BD122" s="580">
        <f t="shared" si="165"/>
        <v>0</v>
      </c>
      <c r="BE122" s="580">
        <f t="shared" si="165"/>
        <v>0</v>
      </c>
      <c r="BF122" s="580">
        <f t="shared" si="165"/>
        <v>0</v>
      </c>
      <c r="BG122" s="580">
        <f t="shared" si="165"/>
        <v>0</v>
      </c>
      <c r="BH122" s="580">
        <f t="shared" si="165"/>
        <v>0</v>
      </c>
      <c r="BI122" s="580">
        <f t="shared" si="165"/>
        <v>0</v>
      </c>
      <c r="BJ122" s="580">
        <f t="shared" si="165"/>
        <v>0</v>
      </c>
      <c r="BK122" s="580">
        <f t="shared" si="165"/>
        <v>0</v>
      </c>
    </row>
    <row r="123" spans="1:63" s="240" customFormat="1">
      <c r="A123" s="209"/>
      <c r="B123" s="220" t="s">
        <v>1085</v>
      </c>
      <c r="C123" s="220" t="s">
        <v>84</v>
      </c>
      <c r="D123" s="209"/>
      <c r="F123" s="251"/>
      <c r="G123" s="251"/>
      <c r="H123" s="251"/>
      <c r="I123" s="251"/>
      <c r="J123" s="251"/>
      <c r="K123" s="251"/>
      <c r="L123" s="251"/>
      <c r="M123" s="251">
        <f>+'Bal Sheet'!C26</f>
        <v>539.17700000000002</v>
      </c>
      <c r="N123" s="251">
        <f>+'Bal Sheet'!D26</f>
        <v>0</v>
      </c>
      <c r="O123" s="251">
        <f>+'Bal Sheet'!E26</f>
        <v>0</v>
      </c>
      <c r="P123" s="251">
        <f>+'Bal Sheet'!F26</f>
        <v>0.2</v>
      </c>
      <c r="Q123" s="251">
        <f>+'Bal Sheet'!G26</f>
        <v>224.6</v>
      </c>
      <c r="R123" s="251">
        <f>+'Bal Sheet'!H26</f>
        <v>190.4</v>
      </c>
      <c r="S123" s="251">
        <f>+'Bal Sheet'!I26</f>
        <v>2738.9</v>
      </c>
      <c r="T123" s="251">
        <f>+'Bal Sheet'!J26</f>
        <v>129.80000000000001</v>
      </c>
      <c r="U123" s="251">
        <f>+'Bal Sheet'!K26</f>
        <v>1578.3999999999999</v>
      </c>
      <c r="V123" s="251">
        <f>+'Bal Sheet'!L26</f>
        <v>0</v>
      </c>
      <c r="W123" s="251">
        <f>+'Bal Sheet'!M26</f>
        <v>0</v>
      </c>
      <c r="X123" s="251">
        <f>+'Bal Sheet'!N26</f>
        <v>0</v>
      </c>
      <c r="Y123" s="251">
        <f>+'Bal Sheet'!O26</f>
        <v>0</v>
      </c>
      <c r="Z123" s="251">
        <f>+'Bal Sheet'!P26</f>
        <v>0</v>
      </c>
      <c r="AA123" s="251">
        <f>+'Bal Sheet'!Q26</f>
        <v>0</v>
      </c>
      <c r="AB123" s="251">
        <f>+'Bal Sheet'!R26</f>
        <v>0</v>
      </c>
      <c r="AC123" s="251">
        <f>+'Bal Sheet'!S26</f>
        <v>0</v>
      </c>
      <c r="AD123" s="251">
        <f>+'Bal Sheet'!T26</f>
        <v>0</v>
      </c>
      <c r="AF123" s="579"/>
      <c r="AG123" s="579"/>
      <c r="AH123" s="579"/>
      <c r="AI123" s="579"/>
      <c r="AJ123" s="579"/>
      <c r="AK123" s="579"/>
      <c r="AL123" s="579"/>
      <c r="AM123" s="579"/>
      <c r="AN123" s="579"/>
      <c r="AO123" s="579"/>
      <c r="AP123" s="579"/>
      <c r="AQ123" s="579"/>
      <c r="AR123" s="579"/>
      <c r="AS123" s="579"/>
      <c r="AT123" s="579"/>
      <c r="AU123" s="579"/>
      <c r="AV123" s="579"/>
      <c r="AW123" s="579"/>
      <c r="AX123" s="579"/>
      <c r="AY123" s="579"/>
      <c r="AZ123" s="579"/>
      <c r="BA123" s="579"/>
      <c r="BB123" s="579"/>
      <c r="BC123" s="579"/>
      <c r="BD123" s="579"/>
      <c r="BE123" s="579"/>
      <c r="BF123" s="579"/>
      <c r="BG123" s="579"/>
      <c r="BH123" s="579"/>
      <c r="BI123" s="579"/>
      <c r="BJ123" s="579"/>
      <c r="BK123" s="579"/>
    </row>
    <row r="124" spans="1:63" s="240" customFormat="1">
      <c r="A124" s="209"/>
      <c r="B124" s="220" t="s">
        <v>1086</v>
      </c>
      <c r="C124" s="220" t="s">
        <v>1087</v>
      </c>
      <c r="D124" s="209"/>
      <c r="F124" s="251"/>
      <c r="G124" s="251"/>
      <c r="H124" s="251"/>
      <c r="I124" s="251"/>
      <c r="J124" s="251"/>
      <c r="K124" s="251"/>
      <c r="L124" s="251"/>
      <c r="M124" s="251"/>
      <c r="N124" s="251"/>
      <c r="O124" s="251"/>
      <c r="P124" s="251"/>
      <c r="Q124" s="251"/>
      <c r="R124" s="251"/>
      <c r="S124" s="251"/>
      <c r="T124" s="251"/>
      <c r="U124" s="251"/>
      <c r="V124" s="251"/>
      <c r="W124" s="251"/>
      <c r="X124" s="251"/>
      <c r="Y124" s="251"/>
      <c r="Z124" s="251"/>
      <c r="AA124" s="251"/>
      <c r="AB124" s="251"/>
      <c r="AC124" s="251"/>
      <c r="AD124" s="251"/>
      <c r="AF124" s="579"/>
      <c r="AG124" s="579"/>
      <c r="AH124" s="579"/>
      <c r="AI124" s="579"/>
      <c r="AJ124" s="579"/>
      <c r="AK124" s="579"/>
      <c r="AL124" s="579"/>
      <c r="AM124" s="579"/>
      <c r="AN124" s="579"/>
      <c r="AO124" s="579"/>
      <c r="AP124" s="579"/>
      <c r="AQ124" s="579"/>
      <c r="AR124" s="579"/>
      <c r="AS124" s="579"/>
      <c r="AT124" s="579"/>
      <c r="AU124" s="579"/>
      <c r="AV124" s="579"/>
      <c r="AW124" s="579"/>
      <c r="AX124" s="579"/>
      <c r="AY124" s="579"/>
      <c r="AZ124" s="579"/>
      <c r="BA124" s="579"/>
      <c r="BB124" s="579"/>
      <c r="BC124" s="579"/>
      <c r="BD124" s="579"/>
      <c r="BE124" s="579"/>
      <c r="BF124" s="579"/>
      <c r="BG124" s="579"/>
      <c r="BH124" s="579"/>
      <c r="BI124" s="579"/>
      <c r="BJ124" s="579"/>
      <c r="BK124" s="579"/>
    </row>
    <row r="125" spans="1:63" s="240" customFormat="1">
      <c r="A125" s="209"/>
      <c r="B125" s="220" t="s">
        <v>1088</v>
      </c>
      <c r="C125" s="220" t="s">
        <v>1089</v>
      </c>
      <c r="D125" s="209"/>
      <c r="F125" s="251"/>
      <c r="G125" s="251"/>
      <c r="H125" s="251"/>
      <c r="I125" s="251"/>
      <c r="J125" s="251"/>
      <c r="K125" s="251"/>
      <c r="L125" s="251"/>
      <c r="M125" s="251"/>
      <c r="N125" s="251"/>
      <c r="O125" s="251"/>
      <c r="P125" s="251"/>
      <c r="Q125" s="251"/>
      <c r="R125" s="251"/>
      <c r="S125" s="251"/>
      <c r="T125" s="251"/>
      <c r="U125" s="251"/>
      <c r="V125" s="251"/>
      <c r="W125" s="251"/>
      <c r="X125" s="251"/>
      <c r="Y125" s="251"/>
      <c r="Z125" s="251"/>
      <c r="AA125" s="251"/>
      <c r="AB125" s="251"/>
      <c r="AC125" s="251"/>
      <c r="AD125" s="251"/>
      <c r="AF125" s="579"/>
      <c r="AG125" s="579"/>
      <c r="AH125" s="579"/>
      <c r="AI125" s="579"/>
      <c r="AJ125" s="579"/>
      <c r="AK125" s="579"/>
      <c r="AL125" s="579"/>
      <c r="AM125" s="579"/>
      <c r="AN125" s="579"/>
      <c r="AO125" s="579"/>
      <c r="AP125" s="579"/>
      <c r="AQ125" s="579"/>
      <c r="AR125" s="579"/>
      <c r="AS125" s="579"/>
      <c r="AT125" s="579"/>
      <c r="AU125" s="579"/>
      <c r="AV125" s="579"/>
      <c r="AW125" s="579"/>
      <c r="AX125" s="579"/>
      <c r="AY125" s="579"/>
      <c r="AZ125" s="579"/>
      <c r="BA125" s="579"/>
      <c r="BB125" s="579"/>
      <c r="BC125" s="579"/>
      <c r="BD125" s="579"/>
      <c r="BE125" s="579"/>
      <c r="BF125" s="579"/>
      <c r="BG125" s="579"/>
      <c r="BH125" s="579"/>
      <c r="BI125" s="579"/>
      <c r="BJ125" s="579"/>
      <c r="BK125" s="579"/>
    </row>
    <row r="126" spans="1:63" s="240" customFormat="1">
      <c r="A126" s="209"/>
      <c r="B126" s="220" t="s">
        <v>1090</v>
      </c>
      <c r="C126" s="220" t="s">
        <v>1091</v>
      </c>
      <c r="D126" s="209"/>
      <c r="F126" s="251"/>
      <c r="G126" s="251"/>
      <c r="H126" s="251"/>
      <c r="I126" s="251"/>
      <c r="J126" s="251"/>
      <c r="K126" s="251"/>
      <c r="L126" s="251"/>
      <c r="M126" s="251"/>
      <c r="N126" s="251"/>
      <c r="O126" s="251"/>
      <c r="P126" s="251"/>
      <c r="Q126" s="251"/>
      <c r="R126" s="251"/>
      <c r="S126" s="251"/>
      <c r="T126" s="251"/>
      <c r="U126" s="251"/>
      <c r="V126" s="251"/>
      <c r="W126" s="251"/>
      <c r="X126" s="251"/>
      <c r="Y126" s="251"/>
      <c r="Z126" s="251"/>
      <c r="AA126" s="251"/>
      <c r="AB126" s="251"/>
      <c r="AC126" s="251"/>
      <c r="AD126" s="251"/>
      <c r="AF126" s="579"/>
      <c r="AG126" s="579"/>
      <c r="AH126" s="579"/>
      <c r="AI126" s="579"/>
      <c r="AJ126" s="579"/>
      <c r="AK126" s="579"/>
      <c r="AL126" s="579"/>
      <c r="AM126" s="579"/>
      <c r="AN126" s="579"/>
      <c r="AO126" s="579"/>
      <c r="AP126" s="579"/>
      <c r="AQ126" s="579"/>
      <c r="AR126" s="579"/>
      <c r="AS126" s="579"/>
      <c r="AT126" s="579"/>
      <c r="AU126" s="579"/>
      <c r="AV126" s="579"/>
      <c r="AW126" s="579"/>
      <c r="AX126" s="579"/>
      <c r="AY126" s="579"/>
      <c r="AZ126" s="579"/>
      <c r="BA126" s="579"/>
      <c r="BB126" s="579"/>
      <c r="BC126" s="579"/>
      <c r="BD126" s="579"/>
      <c r="BE126" s="579"/>
      <c r="BF126" s="579"/>
      <c r="BG126" s="579"/>
      <c r="BH126" s="579"/>
      <c r="BI126" s="579"/>
      <c r="BJ126" s="579"/>
      <c r="BK126" s="579"/>
    </row>
    <row r="127" spans="1:63" s="240" customFormat="1">
      <c r="A127" s="209"/>
      <c r="B127" s="220" t="s">
        <v>1092</v>
      </c>
      <c r="C127" s="220" t="s">
        <v>1093</v>
      </c>
      <c r="D127" s="209"/>
      <c r="F127" s="251"/>
      <c r="G127" s="251"/>
      <c r="H127" s="251"/>
      <c r="I127" s="251"/>
      <c r="J127" s="251"/>
      <c r="K127" s="251"/>
      <c r="L127" s="251"/>
      <c r="M127" s="251"/>
      <c r="N127" s="251"/>
      <c r="O127" s="251"/>
      <c r="P127" s="251"/>
      <c r="Q127" s="251"/>
      <c r="R127" s="251"/>
      <c r="S127" s="251"/>
      <c r="T127" s="251"/>
      <c r="U127" s="251"/>
      <c r="V127" s="251"/>
      <c r="W127" s="251"/>
      <c r="X127" s="251"/>
      <c r="Y127" s="251"/>
      <c r="Z127" s="251"/>
      <c r="AA127" s="251"/>
      <c r="AB127" s="251"/>
      <c r="AC127" s="251"/>
      <c r="AD127" s="251"/>
      <c r="AF127" s="579"/>
      <c r="AG127" s="579"/>
      <c r="AH127" s="579"/>
      <c r="AI127" s="579"/>
      <c r="AJ127" s="579"/>
      <c r="AK127" s="579"/>
      <c r="AL127" s="579"/>
      <c r="AM127" s="579"/>
      <c r="AN127" s="579"/>
      <c r="AO127" s="579"/>
      <c r="AP127" s="579"/>
      <c r="AQ127" s="579"/>
      <c r="AR127" s="579"/>
      <c r="AS127" s="579"/>
      <c r="AT127" s="579"/>
      <c r="AU127" s="579"/>
      <c r="AV127" s="579"/>
      <c r="AW127" s="579"/>
      <c r="AX127" s="579"/>
      <c r="AY127" s="579"/>
      <c r="AZ127" s="579"/>
      <c r="BA127" s="579"/>
      <c r="BB127" s="579"/>
      <c r="BC127" s="579"/>
      <c r="BD127" s="579"/>
      <c r="BE127" s="579"/>
      <c r="BF127" s="579"/>
      <c r="BG127" s="579"/>
      <c r="BH127" s="579"/>
      <c r="BI127" s="579"/>
      <c r="BJ127" s="579"/>
      <c r="BK127" s="579"/>
    </row>
    <row r="128" spans="1:63" s="240" customFormat="1">
      <c r="A128" s="209"/>
      <c r="B128" s="220" t="s">
        <v>1094</v>
      </c>
      <c r="C128" s="220" t="s">
        <v>1095</v>
      </c>
      <c r="D128" s="209"/>
      <c r="F128" s="251"/>
      <c r="G128" s="251"/>
      <c r="H128" s="251"/>
      <c r="I128" s="251"/>
      <c r="J128" s="251"/>
      <c r="K128" s="251"/>
      <c r="L128" s="251"/>
      <c r="M128" s="251"/>
      <c r="N128" s="251"/>
      <c r="O128" s="251"/>
      <c r="P128" s="251"/>
      <c r="Q128" s="251"/>
      <c r="R128" s="251"/>
      <c r="S128" s="251"/>
      <c r="T128" s="251"/>
      <c r="U128" s="251"/>
      <c r="V128" s="251"/>
      <c r="W128" s="251"/>
      <c r="X128" s="251"/>
      <c r="Y128" s="251"/>
      <c r="Z128" s="251"/>
      <c r="AA128" s="251"/>
      <c r="AB128" s="251"/>
      <c r="AC128" s="251"/>
      <c r="AD128" s="251"/>
      <c r="AF128" s="579"/>
      <c r="AG128" s="579"/>
      <c r="AH128" s="579"/>
      <c r="AI128" s="579"/>
      <c r="AJ128" s="579"/>
      <c r="AK128" s="579"/>
      <c r="AL128" s="579"/>
      <c r="AM128" s="579"/>
      <c r="AN128" s="579"/>
      <c r="AO128" s="579"/>
      <c r="AP128" s="579"/>
      <c r="AQ128" s="579"/>
      <c r="AR128" s="579"/>
      <c r="AS128" s="579"/>
      <c r="AT128" s="579"/>
      <c r="AU128" s="579"/>
      <c r="AV128" s="579"/>
      <c r="AW128" s="579"/>
      <c r="AX128" s="579"/>
      <c r="AY128" s="579"/>
      <c r="AZ128" s="579"/>
      <c r="BA128" s="579"/>
      <c r="BB128" s="579"/>
      <c r="BC128" s="579"/>
      <c r="BD128" s="579"/>
      <c r="BE128" s="579"/>
      <c r="BF128" s="579"/>
      <c r="BG128" s="579"/>
      <c r="BH128" s="579"/>
      <c r="BI128" s="579"/>
      <c r="BJ128" s="579"/>
      <c r="BK128" s="579"/>
    </row>
    <row r="129" spans="1:63" s="240" customFormat="1">
      <c r="A129" s="209"/>
      <c r="B129" s="220" t="s">
        <v>1096</v>
      </c>
      <c r="C129" s="220" t="s">
        <v>741</v>
      </c>
      <c r="D129" s="209"/>
      <c r="F129" s="251"/>
      <c r="G129" s="251"/>
      <c r="H129" s="251"/>
      <c r="I129" s="251"/>
      <c r="J129" s="251"/>
      <c r="K129" s="251"/>
      <c r="L129" s="251"/>
      <c r="M129" s="251"/>
      <c r="N129" s="251"/>
      <c r="O129" s="251"/>
      <c r="P129" s="251"/>
      <c r="Q129" s="251"/>
      <c r="R129" s="251"/>
      <c r="S129" s="251"/>
      <c r="T129" s="251"/>
      <c r="U129" s="251"/>
      <c r="V129" s="251"/>
      <c r="W129" s="251"/>
      <c r="X129" s="251"/>
      <c r="Y129" s="251"/>
      <c r="Z129" s="251"/>
      <c r="AA129" s="251"/>
      <c r="AB129" s="251"/>
      <c r="AC129" s="251"/>
      <c r="AD129" s="251"/>
      <c r="AF129" s="579"/>
      <c r="AG129" s="579"/>
      <c r="AH129" s="579"/>
      <c r="AI129" s="579"/>
      <c r="AJ129" s="579"/>
      <c r="AK129" s="579"/>
      <c r="AL129" s="579"/>
      <c r="AM129" s="579"/>
      <c r="AN129" s="579"/>
      <c r="AO129" s="579"/>
      <c r="AP129" s="579"/>
      <c r="AQ129" s="579"/>
      <c r="AR129" s="579"/>
      <c r="AS129" s="579"/>
      <c r="AT129" s="579"/>
      <c r="AU129" s="579"/>
      <c r="AV129" s="579"/>
      <c r="AW129" s="579"/>
      <c r="AX129" s="579"/>
      <c r="AY129" s="579"/>
      <c r="AZ129" s="579"/>
      <c r="BA129" s="579"/>
      <c r="BB129" s="579"/>
      <c r="BC129" s="579"/>
      <c r="BD129" s="579"/>
      <c r="BE129" s="579"/>
      <c r="BF129" s="579"/>
      <c r="BG129" s="579"/>
      <c r="BH129" s="579"/>
      <c r="BI129" s="579"/>
      <c r="BJ129" s="579"/>
      <c r="BK129" s="579"/>
    </row>
    <row r="130" spans="1:63" s="245" customFormat="1">
      <c r="A130" s="243"/>
      <c r="B130" s="246" t="s">
        <v>1097</v>
      </c>
      <c r="C130" s="246" t="s">
        <v>1098</v>
      </c>
      <c r="D130" s="243"/>
      <c r="F130" s="245">
        <f t="shared" ref="F130:AD130" si="166">SUM(F131:F136)</f>
        <v>0</v>
      </c>
      <c r="G130" s="245">
        <f t="shared" si="166"/>
        <v>0</v>
      </c>
      <c r="H130" s="245">
        <f t="shared" si="166"/>
        <v>0</v>
      </c>
      <c r="I130" s="245">
        <f t="shared" si="166"/>
        <v>0</v>
      </c>
      <c r="J130" s="245">
        <f t="shared" si="166"/>
        <v>0</v>
      </c>
      <c r="K130" s="245">
        <f t="shared" si="166"/>
        <v>0</v>
      </c>
      <c r="M130" s="245">
        <f t="shared" si="166"/>
        <v>7863.1460000000006</v>
      </c>
      <c r="N130" s="245">
        <f t="shared" si="166"/>
        <v>10057.24</v>
      </c>
      <c r="O130" s="245">
        <f t="shared" si="166"/>
        <v>12269.925000000001</v>
      </c>
      <c r="P130" s="245">
        <f t="shared" si="166"/>
        <v>14671.300000000001</v>
      </c>
      <c r="Q130" s="245">
        <f t="shared" si="166"/>
        <v>16029.699999999999</v>
      </c>
      <c r="R130" s="245">
        <f t="shared" si="166"/>
        <v>13273.4</v>
      </c>
      <c r="S130" s="245">
        <f t="shared" si="166"/>
        <v>13214.7</v>
      </c>
      <c r="T130" s="245">
        <f t="shared" si="166"/>
        <v>13255.8</v>
      </c>
      <c r="U130" s="245">
        <f t="shared" si="166"/>
        <v>1673.1</v>
      </c>
      <c r="V130" s="245">
        <f t="shared" si="166"/>
        <v>974.8</v>
      </c>
      <c r="W130" s="245">
        <f t="shared" si="166"/>
        <v>712.7</v>
      </c>
      <c r="X130" s="245">
        <f t="shared" si="166"/>
        <v>577.4</v>
      </c>
      <c r="Y130" s="245">
        <f t="shared" si="166"/>
        <v>1118.28</v>
      </c>
      <c r="Z130" s="245">
        <f>SUM(Z131:Z136)</f>
        <v>1624.8</v>
      </c>
      <c r="AA130" s="245">
        <f>SUM(AA131:AA136)</f>
        <v>1624.8</v>
      </c>
      <c r="AB130" s="245">
        <f>SUM(AB131:AB136)</f>
        <v>1624.8</v>
      </c>
      <c r="AC130" s="245">
        <f t="shared" si="166"/>
        <v>1624.8</v>
      </c>
      <c r="AD130" s="245">
        <f t="shared" si="166"/>
        <v>1624.8</v>
      </c>
      <c r="AF130" s="580">
        <f t="shared" ref="AF130:BK130" si="167">SUM(AF131:AF136)</f>
        <v>0</v>
      </c>
      <c r="AG130" s="580">
        <f t="shared" si="167"/>
        <v>0</v>
      </c>
      <c r="AH130" s="580">
        <f t="shared" si="167"/>
        <v>0</v>
      </c>
      <c r="AI130" s="580">
        <f t="shared" si="167"/>
        <v>0</v>
      </c>
      <c r="AJ130" s="580">
        <f t="shared" si="167"/>
        <v>0</v>
      </c>
      <c r="AK130" s="580">
        <f t="shared" si="167"/>
        <v>0</v>
      </c>
      <c r="AL130" s="580">
        <f t="shared" si="167"/>
        <v>0</v>
      </c>
      <c r="AM130" s="580">
        <f t="shared" si="167"/>
        <v>0</v>
      </c>
      <c r="AN130" s="580">
        <f t="shared" si="167"/>
        <v>0</v>
      </c>
      <c r="AO130" s="580">
        <f t="shared" si="167"/>
        <v>0</v>
      </c>
      <c r="AP130" s="580">
        <f t="shared" si="167"/>
        <v>0</v>
      </c>
      <c r="AQ130" s="580">
        <f t="shared" si="167"/>
        <v>0</v>
      </c>
      <c r="AR130" s="580">
        <f t="shared" si="167"/>
        <v>0</v>
      </c>
      <c r="AS130" s="580">
        <f t="shared" si="167"/>
        <v>0</v>
      </c>
      <c r="AT130" s="580">
        <f t="shared" si="167"/>
        <v>0</v>
      </c>
      <c r="AU130" s="580">
        <f t="shared" si="167"/>
        <v>0</v>
      </c>
      <c r="AV130" s="580">
        <f t="shared" si="167"/>
        <v>0</v>
      </c>
      <c r="AW130" s="580">
        <f t="shared" si="167"/>
        <v>0</v>
      </c>
      <c r="AX130" s="580">
        <f t="shared" si="167"/>
        <v>0</v>
      </c>
      <c r="AY130" s="580">
        <f t="shared" si="167"/>
        <v>0</v>
      </c>
      <c r="AZ130" s="580">
        <f t="shared" si="167"/>
        <v>0</v>
      </c>
      <c r="BA130" s="580">
        <f t="shared" si="167"/>
        <v>0</v>
      </c>
      <c r="BB130" s="580">
        <f t="shared" si="167"/>
        <v>0</v>
      </c>
      <c r="BC130" s="580">
        <f t="shared" si="167"/>
        <v>0</v>
      </c>
      <c r="BD130" s="580">
        <f t="shared" si="167"/>
        <v>0</v>
      </c>
      <c r="BE130" s="580">
        <f t="shared" si="167"/>
        <v>0</v>
      </c>
      <c r="BF130" s="580">
        <f t="shared" si="167"/>
        <v>0</v>
      </c>
      <c r="BG130" s="580">
        <f t="shared" si="167"/>
        <v>0</v>
      </c>
      <c r="BH130" s="580">
        <f t="shared" si="167"/>
        <v>0</v>
      </c>
      <c r="BI130" s="580">
        <f t="shared" si="167"/>
        <v>0</v>
      </c>
      <c r="BJ130" s="580">
        <f t="shared" si="167"/>
        <v>0</v>
      </c>
      <c r="BK130" s="580">
        <f t="shared" si="167"/>
        <v>0</v>
      </c>
    </row>
    <row r="131" spans="1:63" s="240" customFormat="1">
      <c r="A131" s="209"/>
      <c r="B131" s="220" t="s">
        <v>1099</v>
      </c>
      <c r="C131" s="220" t="s">
        <v>1100</v>
      </c>
      <c r="D131" s="209"/>
      <c r="F131" s="251"/>
      <c r="G131" s="251"/>
      <c r="H131" s="251"/>
      <c r="I131" s="251"/>
      <c r="J131" s="251"/>
      <c r="K131" s="251"/>
      <c r="L131" s="251"/>
      <c r="M131" s="251">
        <f>+'Bal Sheet'!C25</f>
        <v>7863.1460000000006</v>
      </c>
      <c r="N131" s="251">
        <f>+'Bal Sheet'!D25</f>
        <v>10057.24</v>
      </c>
      <c r="O131" s="251">
        <f>+'Bal Sheet'!E25</f>
        <v>12269.925000000001</v>
      </c>
      <c r="P131" s="251">
        <f>+'Bal Sheet'!F25</f>
        <v>14671.300000000001</v>
      </c>
      <c r="Q131" s="251">
        <f>+'Bal Sheet'!G25</f>
        <v>16029.699999999999</v>
      </c>
      <c r="R131" s="251">
        <f>+'Bal Sheet'!H25</f>
        <v>13273.4</v>
      </c>
      <c r="S131" s="251">
        <f>+'Bal Sheet'!I25</f>
        <v>13214.7</v>
      </c>
      <c r="T131" s="251">
        <f>+'Bal Sheet'!J25</f>
        <v>13255.8</v>
      </c>
      <c r="U131" s="251">
        <f>+'Bal Sheet'!K25</f>
        <v>1673.1</v>
      </c>
      <c r="V131" s="251">
        <f>+'Bal Sheet'!L25</f>
        <v>974.8</v>
      </c>
      <c r="W131" s="251">
        <f>+'Bal Sheet'!M25</f>
        <v>712.7</v>
      </c>
      <c r="X131" s="251">
        <f>+'Bal Sheet'!N25</f>
        <v>577.4</v>
      </c>
      <c r="Y131" s="251">
        <f>+'Bal Sheet'!O25</f>
        <v>1118.28</v>
      </c>
      <c r="Z131" s="251">
        <f>+'Bal Sheet'!P25</f>
        <v>1624.8</v>
      </c>
      <c r="AA131" s="251">
        <f>+'Bal Sheet'!Q25</f>
        <v>1624.8</v>
      </c>
      <c r="AB131" s="251">
        <f>+'Bal Sheet'!R25</f>
        <v>1624.8</v>
      </c>
      <c r="AC131" s="251">
        <f>+'Bal Sheet'!S25</f>
        <v>1624.8</v>
      </c>
      <c r="AD131" s="251">
        <f>+'Bal Sheet'!T25</f>
        <v>1624.8</v>
      </c>
      <c r="AF131" s="579"/>
      <c r="AG131" s="579"/>
      <c r="AH131" s="579"/>
      <c r="AI131" s="579"/>
      <c r="AJ131" s="579"/>
      <c r="AK131" s="579"/>
      <c r="AL131" s="579"/>
      <c r="AM131" s="579"/>
      <c r="AN131" s="579"/>
      <c r="AO131" s="579"/>
      <c r="AP131" s="579"/>
      <c r="AQ131" s="579"/>
      <c r="AR131" s="579"/>
      <c r="AS131" s="579"/>
      <c r="AT131" s="579"/>
      <c r="AU131" s="579"/>
      <c r="AV131" s="579"/>
      <c r="AW131" s="579"/>
      <c r="AX131" s="579"/>
      <c r="AY131" s="579"/>
      <c r="AZ131" s="579"/>
      <c r="BA131" s="579"/>
      <c r="BB131" s="579"/>
      <c r="BC131" s="579"/>
      <c r="BD131" s="579"/>
      <c r="BE131" s="579"/>
      <c r="BF131" s="579"/>
      <c r="BG131" s="579"/>
      <c r="BH131" s="579"/>
      <c r="BI131" s="579"/>
      <c r="BJ131" s="579"/>
      <c r="BK131" s="579"/>
    </row>
    <row r="132" spans="1:63" s="240" customFormat="1">
      <c r="A132" s="209"/>
      <c r="B132" s="220" t="s">
        <v>1101</v>
      </c>
      <c r="C132" s="220" t="s">
        <v>1087</v>
      </c>
      <c r="D132" s="209"/>
      <c r="F132" s="251"/>
      <c r="G132" s="251"/>
      <c r="H132" s="251"/>
      <c r="I132" s="251"/>
      <c r="J132" s="251"/>
      <c r="K132" s="251"/>
      <c r="L132" s="251"/>
      <c r="M132" s="251"/>
      <c r="N132" s="251"/>
      <c r="O132" s="251"/>
      <c r="P132" s="251"/>
      <c r="Q132" s="251"/>
      <c r="R132" s="251"/>
      <c r="S132" s="251"/>
      <c r="T132" s="251"/>
      <c r="U132" s="251"/>
      <c r="V132" s="251"/>
      <c r="W132" s="251"/>
      <c r="X132" s="251"/>
      <c r="Y132" s="251"/>
      <c r="Z132" s="251"/>
      <c r="AA132" s="251"/>
      <c r="AB132" s="251"/>
      <c r="AC132" s="251"/>
      <c r="AD132" s="251"/>
      <c r="AF132" s="579"/>
      <c r="AG132" s="579"/>
      <c r="AH132" s="579"/>
      <c r="AI132" s="579"/>
      <c r="AJ132" s="579"/>
      <c r="AK132" s="579"/>
      <c r="AL132" s="579"/>
      <c r="AM132" s="579"/>
      <c r="AN132" s="579"/>
      <c r="AO132" s="579"/>
      <c r="AP132" s="579"/>
      <c r="AQ132" s="579"/>
      <c r="AR132" s="579"/>
      <c r="AS132" s="579"/>
      <c r="AT132" s="579"/>
      <c r="AU132" s="579"/>
      <c r="AV132" s="579"/>
      <c r="AW132" s="579"/>
      <c r="AX132" s="579"/>
      <c r="AY132" s="579"/>
      <c r="AZ132" s="579"/>
      <c r="BA132" s="579"/>
      <c r="BB132" s="579"/>
      <c r="BC132" s="579"/>
      <c r="BD132" s="579"/>
      <c r="BE132" s="579"/>
      <c r="BF132" s="579"/>
      <c r="BG132" s="579"/>
      <c r="BH132" s="579"/>
      <c r="BI132" s="579"/>
      <c r="BJ132" s="579"/>
      <c r="BK132" s="579"/>
    </row>
    <row r="133" spans="1:63" s="240" customFormat="1">
      <c r="A133" s="209"/>
      <c r="B133" s="220" t="s">
        <v>1102</v>
      </c>
      <c r="C133" s="220" t="s">
        <v>1089</v>
      </c>
      <c r="D133" s="209"/>
      <c r="F133" s="251"/>
      <c r="G133" s="251"/>
      <c r="H133" s="251"/>
      <c r="I133" s="251"/>
      <c r="J133" s="251"/>
      <c r="K133" s="251"/>
      <c r="L133" s="251"/>
      <c r="M133" s="251"/>
      <c r="N133" s="251"/>
      <c r="O133" s="251"/>
      <c r="P133" s="251"/>
      <c r="Q133" s="251"/>
      <c r="R133" s="251"/>
      <c r="S133" s="251"/>
      <c r="T133" s="251"/>
      <c r="U133" s="251"/>
      <c r="V133" s="251"/>
      <c r="W133" s="251"/>
      <c r="X133" s="251"/>
      <c r="Y133" s="251"/>
      <c r="Z133" s="251"/>
      <c r="AA133" s="251"/>
      <c r="AB133" s="251"/>
      <c r="AC133" s="251"/>
      <c r="AD133" s="251"/>
      <c r="AF133" s="579"/>
      <c r="AG133" s="579"/>
      <c r="AH133" s="579"/>
      <c r="AI133" s="579"/>
      <c r="AJ133" s="579"/>
      <c r="AK133" s="579"/>
      <c r="AL133" s="579"/>
      <c r="AM133" s="579"/>
      <c r="AN133" s="579"/>
      <c r="AO133" s="579"/>
      <c r="AP133" s="579"/>
      <c r="AQ133" s="579"/>
      <c r="AR133" s="579"/>
      <c r="AS133" s="579"/>
      <c r="AT133" s="579"/>
      <c r="AU133" s="579"/>
      <c r="AV133" s="579"/>
      <c r="AW133" s="579"/>
      <c r="AX133" s="579"/>
      <c r="AY133" s="579"/>
      <c r="AZ133" s="579"/>
      <c r="BA133" s="579"/>
      <c r="BB133" s="579"/>
      <c r="BC133" s="579"/>
      <c r="BD133" s="579"/>
      <c r="BE133" s="579"/>
      <c r="BF133" s="579"/>
      <c r="BG133" s="579"/>
      <c r="BH133" s="579"/>
      <c r="BI133" s="579"/>
      <c r="BJ133" s="579"/>
      <c r="BK133" s="579"/>
    </row>
    <row r="134" spans="1:63" s="240" customFormat="1">
      <c r="A134" s="209"/>
      <c r="B134" s="220" t="s">
        <v>1103</v>
      </c>
      <c r="C134" s="220" t="s">
        <v>1091</v>
      </c>
      <c r="D134" s="209"/>
      <c r="F134" s="251"/>
      <c r="G134" s="251"/>
      <c r="H134" s="251"/>
      <c r="I134" s="251"/>
      <c r="J134" s="251"/>
      <c r="K134" s="251"/>
      <c r="L134" s="251"/>
      <c r="M134" s="251"/>
      <c r="N134" s="251"/>
      <c r="O134" s="251"/>
      <c r="P134" s="251"/>
      <c r="Q134" s="251"/>
      <c r="R134" s="251"/>
      <c r="S134" s="251"/>
      <c r="T134" s="251"/>
      <c r="U134" s="251"/>
      <c r="V134" s="251"/>
      <c r="W134" s="251"/>
      <c r="X134" s="251"/>
      <c r="Y134" s="251"/>
      <c r="Z134" s="251"/>
      <c r="AA134" s="251"/>
      <c r="AB134" s="251"/>
      <c r="AC134" s="251"/>
      <c r="AD134" s="251"/>
      <c r="AF134" s="579"/>
      <c r="AG134" s="579"/>
      <c r="AH134" s="579"/>
      <c r="AI134" s="579"/>
      <c r="AJ134" s="579"/>
      <c r="AK134" s="579"/>
      <c r="AL134" s="579"/>
      <c r="AM134" s="579"/>
      <c r="AN134" s="579"/>
      <c r="AO134" s="579"/>
      <c r="AP134" s="579"/>
      <c r="AQ134" s="579"/>
      <c r="AR134" s="579"/>
      <c r="AS134" s="579"/>
      <c r="AT134" s="579"/>
      <c r="AU134" s="579"/>
      <c r="AV134" s="579"/>
      <c r="AW134" s="579"/>
      <c r="AX134" s="579"/>
      <c r="AY134" s="579"/>
      <c r="AZ134" s="579"/>
      <c r="BA134" s="579"/>
      <c r="BB134" s="579"/>
      <c r="BC134" s="579"/>
      <c r="BD134" s="579"/>
      <c r="BE134" s="579"/>
      <c r="BF134" s="579"/>
      <c r="BG134" s="579"/>
      <c r="BH134" s="579"/>
      <c r="BI134" s="579"/>
      <c r="BJ134" s="579"/>
      <c r="BK134" s="579"/>
    </row>
    <row r="135" spans="1:63" s="240" customFormat="1">
      <c r="A135" s="209"/>
      <c r="B135" s="220" t="s">
        <v>1104</v>
      </c>
      <c r="C135" s="220" t="s">
        <v>1095</v>
      </c>
      <c r="D135" s="209"/>
      <c r="F135" s="251"/>
      <c r="G135" s="251"/>
      <c r="H135" s="251"/>
      <c r="I135" s="251"/>
      <c r="J135" s="251"/>
      <c r="K135" s="251"/>
      <c r="L135" s="251"/>
      <c r="M135" s="251"/>
      <c r="N135" s="251"/>
      <c r="O135" s="251"/>
      <c r="P135" s="251"/>
      <c r="Q135" s="251"/>
      <c r="R135" s="251"/>
      <c r="S135" s="251"/>
      <c r="T135" s="251"/>
      <c r="U135" s="251"/>
      <c r="V135" s="251"/>
      <c r="W135" s="251"/>
      <c r="X135" s="251"/>
      <c r="Y135" s="251"/>
      <c r="Z135" s="251"/>
      <c r="AA135" s="251"/>
      <c r="AB135" s="251"/>
      <c r="AC135" s="251"/>
      <c r="AD135" s="251"/>
      <c r="AF135" s="579"/>
      <c r="AG135" s="579"/>
      <c r="AH135" s="579"/>
      <c r="AI135" s="579"/>
      <c r="AJ135" s="579"/>
      <c r="AK135" s="579"/>
      <c r="AL135" s="579"/>
      <c r="AM135" s="579"/>
      <c r="AN135" s="579"/>
      <c r="AO135" s="579"/>
      <c r="AP135" s="579"/>
      <c r="AQ135" s="579"/>
      <c r="AR135" s="579"/>
      <c r="AS135" s="579"/>
      <c r="AT135" s="579"/>
      <c r="AU135" s="579"/>
      <c r="AV135" s="579"/>
      <c r="AW135" s="579"/>
      <c r="AX135" s="579"/>
      <c r="AY135" s="579"/>
      <c r="AZ135" s="579"/>
      <c r="BA135" s="579"/>
      <c r="BB135" s="579"/>
      <c r="BC135" s="579"/>
      <c r="BD135" s="579"/>
      <c r="BE135" s="579"/>
      <c r="BF135" s="579"/>
      <c r="BG135" s="579"/>
      <c r="BH135" s="579"/>
      <c r="BI135" s="579"/>
      <c r="BJ135" s="579"/>
      <c r="BK135" s="579"/>
    </row>
    <row r="136" spans="1:63" s="240" customFormat="1">
      <c r="A136" s="209"/>
      <c r="B136" s="220" t="s">
        <v>1105</v>
      </c>
      <c r="C136" s="220" t="s">
        <v>741</v>
      </c>
      <c r="D136" s="209"/>
      <c r="F136" s="251"/>
      <c r="G136" s="251"/>
      <c r="H136" s="251"/>
      <c r="I136" s="251"/>
      <c r="J136" s="251"/>
      <c r="K136" s="251"/>
      <c r="L136" s="251"/>
      <c r="M136" s="251"/>
      <c r="N136" s="251"/>
      <c r="O136" s="251"/>
      <c r="P136" s="251"/>
      <c r="Q136" s="251"/>
      <c r="R136" s="251"/>
      <c r="S136" s="251"/>
      <c r="T136" s="251"/>
      <c r="U136" s="251"/>
      <c r="V136" s="251"/>
      <c r="W136" s="251"/>
      <c r="X136" s="251"/>
      <c r="Y136" s="251"/>
      <c r="Z136" s="251"/>
      <c r="AA136" s="251"/>
      <c r="AB136" s="251"/>
      <c r="AC136" s="251"/>
      <c r="AD136" s="251"/>
      <c r="AF136" s="579"/>
      <c r="AG136" s="579"/>
      <c r="AH136" s="579"/>
      <c r="AI136" s="579"/>
      <c r="AJ136" s="579"/>
      <c r="AK136" s="579"/>
      <c r="AL136" s="579"/>
      <c r="AM136" s="579"/>
      <c r="AN136" s="579"/>
      <c r="AO136" s="579"/>
      <c r="AP136" s="579"/>
      <c r="AQ136" s="579"/>
      <c r="AR136" s="579"/>
      <c r="AS136" s="579"/>
      <c r="AT136" s="579"/>
      <c r="AU136" s="579"/>
      <c r="AV136" s="579"/>
      <c r="AW136" s="579"/>
      <c r="AX136" s="579"/>
      <c r="AY136" s="579"/>
      <c r="AZ136" s="579"/>
      <c r="BA136" s="579"/>
      <c r="BB136" s="579"/>
      <c r="BC136" s="579"/>
      <c r="BD136" s="579"/>
      <c r="BE136" s="579"/>
      <c r="BF136" s="579"/>
      <c r="BG136" s="579"/>
      <c r="BH136" s="579"/>
      <c r="BI136" s="579"/>
      <c r="BJ136" s="579"/>
      <c r="BK136" s="579"/>
    </row>
    <row r="137" spans="1:63" s="245" customFormat="1">
      <c r="A137" s="243"/>
      <c r="B137" s="246" t="s">
        <v>1106</v>
      </c>
      <c r="C137" s="246" t="s">
        <v>1107</v>
      </c>
      <c r="D137" s="243"/>
      <c r="F137" s="245">
        <f t="shared" ref="F137:AD137" si="168">F130+F122</f>
        <v>0</v>
      </c>
      <c r="G137" s="245">
        <f t="shared" si="168"/>
        <v>0</v>
      </c>
      <c r="H137" s="245">
        <f t="shared" si="168"/>
        <v>0</v>
      </c>
      <c r="I137" s="245">
        <f t="shared" si="168"/>
        <v>0</v>
      </c>
      <c r="J137" s="245">
        <f t="shared" si="168"/>
        <v>0</v>
      </c>
      <c r="K137" s="245">
        <f t="shared" si="168"/>
        <v>0</v>
      </c>
      <c r="M137" s="245">
        <f t="shared" si="168"/>
        <v>8402.3230000000003</v>
      </c>
      <c r="N137" s="245">
        <f t="shared" si="168"/>
        <v>10057.24</v>
      </c>
      <c r="O137" s="245">
        <f t="shared" si="168"/>
        <v>12269.925000000001</v>
      </c>
      <c r="P137" s="245">
        <f t="shared" si="168"/>
        <v>14671.500000000002</v>
      </c>
      <c r="Q137" s="245">
        <f t="shared" si="168"/>
        <v>16254.3</v>
      </c>
      <c r="R137" s="245">
        <f t="shared" si="168"/>
        <v>13463.8</v>
      </c>
      <c r="S137" s="245">
        <f t="shared" si="168"/>
        <v>15953.6</v>
      </c>
      <c r="T137" s="245">
        <f t="shared" si="168"/>
        <v>13385.599999999999</v>
      </c>
      <c r="U137" s="245">
        <f t="shared" si="168"/>
        <v>3251.5</v>
      </c>
      <c r="V137" s="245">
        <f t="shared" si="168"/>
        <v>974.8</v>
      </c>
      <c r="W137" s="245">
        <f t="shared" si="168"/>
        <v>712.7</v>
      </c>
      <c r="X137" s="245">
        <f t="shared" si="168"/>
        <v>577.4</v>
      </c>
      <c r="Y137" s="245">
        <f t="shared" si="168"/>
        <v>1118.28</v>
      </c>
      <c r="Z137" s="245">
        <f>Z130+Z122</f>
        <v>1624.8</v>
      </c>
      <c r="AA137" s="245">
        <f>AA130+AA122</f>
        <v>1624.8</v>
      </c>
      <c r="AB137" s="245">
        <f>AB130+AB122</f>
        <v>1624.8</v>
      </c>
      <c r="AC137" s="245">
        <f t="shared" si="168"/>
        <v>1624.8</v>
      </c>
      <c r="AD137" s="245">
        <f t="shared" si="168"/>
        <v>1624.8</v>
      </c>
      <c r="AF137" s="580">
        <f t="shared" ref="AF137:BK137" si="169">AF130+AF122</f>
        <v>0</v>
      </c>
      <c r="AG137" s="580">
        <f t="shared" si="169"/>
        <v>0</v>
      </c>
      <c r="AH137" s="580">
        <f t="shared" si="169"/>
        <v>0</v>
      </c>
      <c r="AI137" s="580">
        <f t="shared" si="169"/>
        <v>0</v>
      </c>
      <c r="AJ137" s="580">
        <f t="shared" si="169"/>
        <v>0</v>
      </c>
      <c r="AK137" s="580">
        <f t="shared" si="169"/>
        <v>0</v>
      </c>
      <c r="AL137" s="580">
        <f t="shared" si="169"/>
        <v>0</v>
      </c>
      <c r="AM137" s="580">
        <f t="shared" si="169"/>
        <v>0</v>
      </c>
      <c r="AN137" s="580">
        <f t="shared" si="169"/>
        <v>0</v>
      </c>
      <c r="AO137" s="580">
        <f t="shared" si="169"/>
        <v>0</v>
      </c>
      <c r="AP137" s="580">
        <f t="shared" si="169"/>
        <v>0</v>
      </c>
      <c r="AQ137" s="580">
        <f t="shared" si="169"/>
        <v>0</v>
      </c>
      <c r="AR137" s="580">
        <f t="shared" si="169"/>
        <v>0</v>
      </c>
      <c r="AS137" s="580">
        <f t="shared" si="169"/>
        <v>0</v>
      </c>
      <c r="AT137" s="580">
        <f t="shared" si="169"/>
        <v>0</v>
      </c>
      <c r="AU137" s="580">
        <f t="shared" si="169"/>
        <v>0</v>
      </c>
      <c r="AV137" s="580">
        <f t="shared" si="169"/>
        <v>0</v>
      </c>
      <c r="AW137" s="580">
        <f t="shared" si="169"/>
        <v>0</v>
      </c>
      <c r="AX137" s="580">
        <f t="shared" si="169"/>
        <v>0</v>
      </c>
      <c r="AY137" s="580">
        <f t="shared" si="169"/>
        <v>0</v>
      </c>
      <c r="AZ137" s="580">
        <f t="shared" si="169"/>
        <v>0</v>
      </c>
      <c r="BA137" s="580">
        <f t="shared" si="169"/>
        <v>0</v>
      </c>
      <c r="BB137" s="580">
        <f t="shared" si="169"/>
        <v>0</v>
      </c>
      <c r="BC137" s="580">
        <f t="shared" si="169"/>
        <v>0</v>
      </c>
      <c r="BD137" s="580">
        <f t="shared" si="169"/>
        <v>0</v>
      </c>
      <c r="BE137" s="580">
        <f t="shared" si="169"/>
        <v>0</v>
      </c>
      <c r="BF137" s="580">
        <f t="shared" si="169"/>
        <v>0</v>
      </c>
      <c r="BG137" s="580">
        <f t="shared" si="169"/>
        <v>0</v>
      </c>
      <c r="BH137" s="580">
        <f t="shared" si="169"/>
        <v>0</v>
      </c>
      <c r="BI137" s="580">
        <f t="shared" si="169"/>
        <v>0</v>
      </c>
      <c r="BJ137" s="580">
        <f t="shared" si="169"/>
        <v>0</v>
      </c>
      <c r="BK137" s="580">
        <f t="shared" si="169"/>
        <v>0</v>
      </c>
    </row>
    <row r="138" spans="1:63" s="245" customFormat="1">
      <c r="A138" s="243"/>
      <c r="B138" s="246" t="s">
        <v>1108</v>
      </c>
      <c r="C138" s="246" t="s">
        <v>1109</v>
      </c>
      <c r="D138" s="243"/>
      <c r="F138" s="245">
        <f t="shared" ref="F138:AD138" si="170">F139-F140</f>
        <v>0</v>
      </c>
      <c r="G138" s="245">
        <f t="shared" si="170"/>
        <v>0</v>
      </c>
      <c r="H138" s="245">
        <f t="shared" si="170"/>
        <v>0</v>
      </c>
      <c r="I138" s="245">
        <f t="shared" si="170"/>
        <v>0</v>
      </c>
      <c r="J138" s="245">
        <f t="shared" si="170"/>
        <v>0</v>
      </c>
      <c r="K138" s="245">
        <f t="shared" si="170"/>
        <v>0</v>
      </c>
      <c r="M138" s="245">
        <f t="shared" si="170"/>
        <v>1724.1079999999997</v>
      </c>
      <c r="N138" s="245">
        <f t="shared" si="170"/>
        <v>1228.2359999999999</v>
      </c>
      <c r="O138" s="245">
        <f t="shared" si="170"/>
        <v>1398.9650000000001</v>
      </c>
      <c r="P138" s="245">
        <f t="shared" si="170"/>
        <v>875.8</v>
      </c>
      <c r="Q138" s="245">
        <f t="shared" si="170"/>
        <v>741.7</v>
      </c>
      <c r="R138" s="245">
        <f t="shared" si="170"/>
        <v>109.80000000000018</v>
      </c>
      <c r="S138" s="245">
        <f t="shared" si="170"/>
        <v>-221.69999999999982</v>
      </c>
      <c r="T138" s="245">
        <f t="shared" si="170"/>
        <v>16.899999999999864</v>
      </c>
      <c r="U138" s="245">
        <f t="shared" si="170"/>
        <v>297.09999999999991</v>
      </c>
      <c r="V138" s="245">
        <f t="shared" si="170"/>
        <v>484.40000000000009</v>
      </c>
      <c r="W138" s="245">
        <f t="shared" si="170"/>
        <v>1151</v>
      </c>
      <c r="X138" s="245">
        <f t="shared" si="170"/>
        <v>1431.8</v>
      </c>
      <c r="Y138" s="245">
        <f t="shared" si="170"/>
        <v>1415.8</v>
      </c>
      <c r="Z138" s="245">
        <f>Z139-Z140</f>
        <v>1882.5</v>
      </c>
      <c r="AA138" s="245">
        <f>AA139-AA140</f>
        <v>1882.5</v>
      </c>
      <c r="AB138" s="245">
        <f>AB139-AB140</f>
        <v>1882.5</v>
      </c>
      <c r="AC138" s="245">
        <f t="shared" si="170"/>
        <v>1882.5</v>
      </c>
      <c r="AD138" s="245">
        <f t="shared" si="170"/>
        <v>1882.5</v>
      </c>
      <c r="AF138" s="580">
        <f t="shared" ref="AF138:BK138" si="171">AF139-AF140</f>
        <v>0</v>
      </c>
      <c r="AG138" s="580">
        <f t="shared" si="171"/>
        <v>0</v>
      </c>
      <c r="AH138" s="580">
        <f t="shared" si="171"/>
        <v>0</v>
      </c>
      <c r="AI138" s="580">
        <f t="shared" si="171"/>
        <v>0</v>
      </c>
      <c r="AJ138" s="580">
        <f t="shared" si="171"/>
        <v>0</v>
      </c>
      <c r="AK138" s="580">
        <f t="shared" si="171"/>
        <v>0</v>
      </c>
      <c r="AL138" s="580">
        <f t="shared" si="171"/>
        <v>0</v>
      </c>
      <c r="AM138" s="580">
        <f t="shared" si="171"/>
        <v>0</v>
      </c>
      <c r="AN138" s="580">
        <f t="shared" si="171"/>
        <v>0</v>
      </c>
      <c r="AO138" s="580">
        <f t="shared" si="171"/>
        <v>0</v>
      </c>
      <c r="AP138" s="580">
        <f t="shared" si="171"/>
        <v>0</v>
      </c>
      <c r="AQ138" s="580">
        <f t="shared" si="171"/>
        <v>0</v>
      </c>
      <c r="AR138" s="580">
        <f t="shared" si="171"/>
        <v>0</v>
      </c>
      <c r="AS138" s="580">
        <f t="shared" si="171"/>
        <v>0</v>
      </c>
      <c r="AT138" s="580">
        <f t="shared" si="171"/>
        <v>0</v>
      </c>
      <c r="AU138" s="580">
        <f t="shared" si="171"/>
        <v>0</v>
      </c>
      <c r="AV138" s="580">
        <f t="shared" si="171"/>
        <v>0</v>
      </c>
      <c r="AW138" s="580">
        <f t="shared" si="171"/>
        <v>0</v>
      </c>
      <c r="AX138" s="580">
        <f t="shared" si="171"/>
        <v>0</v>
      </c>
      <c r="AY138" s="580">
        <f t="shared" si="171"/>
        <v>0</v>
      </c>
      <c r="AZ138" s="580">
        <f t="shared" si="171"/>
        <v>0</v>
      </c>
      <c r="BA138" s="580">
        <f t="shared" si="171"/>
        <v>0</v>
      </c>
      <c r="BB138" s="580">
        <f t="shared" si="171"/>
        <v>0</v>
      </c>
      <c r="BC138" s="580">
        <f t="shared" si="171"/>
        <v>0</v>
      </c>
      <c r="BD138" s="580">
        <f t="shared" si="171"/>
        <v>0</v>
      </c>
      <c r="BE138" s="580">
        <f t="shared" si="171"/>
        <v>0</v>
      </c>
      <c r="BF138" s="580">
        <f t="shared" si="171"/>
        <v>0</v>
      </c>
      <c r="BG138" s="580">
        <f t="shared" si="171"/>
        <v>0</v>
      </c>
      <c r="BH138" s="580">
        <f t="shared" si="171"/>
        <v>0</v>
      </c>
      <c r="BI138" s="580">
        <f t="shared" si="171"/>
        <v>0</v>
      </c>
      <c r="BJ138" s="580">
        <f t="shared" si="171"/>
        <v>0</v>
      </c>
      <c r="BK138" s="580">
        <f t="shared" si="171"/>
        <v>0</v>
      </c>
    </row>
    <row r="139" spans="1:63" s="240" customFormat="1">
      <c r="A139" s="209"/>
      <c r="B139" s="220" t="s">
        <v>1110</v>
      </c>
      <c r="C139" s="220" t="s">
        <v>1117</v>
      </c>
      <c r="D139" s="209"/>
      <c r="F139" s="251"/>
      <c r="G139" s="251"/>
      <c r="H139" s="251"/>
      <c r="I139" s="251"/>
      <c r="J139" s="251"/>
      <c r="K139" s="251"/>
      <c r="L139" s="251"/>
      <c r="M139" s="251">
        <f>-'Bal Sheet'!C18</f>
        <v>1724.1079999999997</v>
      </c>
      <c r="N139" s="251">
        <f>-'Bal Sheet'!D18</f>
        <v>1228.2359999999999</v>
      </c>
      <c r="O139" s="251">
        <f>-'Bal Sheet'!E18</f>
        <v>1398.9650000000001</v>
      </c>
      <c r="P139" s="251">
        <f>-'Bal Sheet'!F18</f>
        <v>875.8</v>
      </c>
      <c r="Q139" s="251">
        <f>-'Bal Sheet'!G18</f>
        <v>741.7</v>
      </c>
      <c r="R139" s="251">
        <f>-'Bal Sheet'!H18</f>
        <v>109.80000000000018</v>
      </c>
      <c r="S139" s="251">
        <f>-'Bal Sheet'!I18</f>
        <v>-221.69999999999982</v>
      </c>
      <c r="T139" s="251">
        <f>-'Bal Sheet'!J18</f>
        <v>16.899999999999864</v>
      </c>
      <c r="U139" s="251">
        <f>-'Bal Sheet'!K18</f>
        <v>297.09999999999991</v>
      </c>
      <c r="V139" s="251">
        <f>-'Bal Sheet'!L18</f>
        <v>484.40000000000009</v>
      </c>
      <c r="W139" s="251">
        <f>-'Bal Sheet'!M18</f>
        <v>1151</v>
      </c>
      <c r="X139" s="251">
        <f>-'Bal Sheet'!N18</f>
        <v>1431.8</v>
      </c>
      <c r="Y139" s="251">
        <f>-'Bal Sheet'!O18</f>
        <v>1415.8</v>
      </c>
      <c r="Z139" s="251">
        <f>-'Bal Sheet'!P18</f>
        <v>1882.5</v>
      </c>
      <c r="AA139" s="251">
        <f>-'Bal Sheet'!Q18</f>
        <v>1882.5</v>
      </c>
      <c r="AB139" s="251">
        <f>-'Bal Sheet'!R18</f>
        <v>1882.5</v>
      </c>
      <c r="AC139" s="251">
        <f>-'Bal Sheet'!S18</f>
        <v>1882.5</v>
      </c>
      <c r="AD139" s="251">
        <f>-'Bal Sheet'!T18</f>
        <v>1882.5</v>
      </c>
      <c r="AF139" s="579"/>
      <c r="AG139" s="579"/>
      <c r="AH139" s="579"/>
      <c r="AI139" s="579"/>
      <c r="AJ139" s="579"/>
      <c r="AK139" s="579"/>
      <c r="AL139" s="579"/>
      <c r="AM139" s="579"/>
      <c r="AN139" s="579"/>
      <c r="AO139" s="579"/>
      <c r="AP139" s="579"/>
      <c r="AQ139" s="579"/>
      <c r="AR139" s="579"/>
      <c r="AS139" s="579"/>
      <c r="AT139" s="579"/>
      <c r="AU139" s="579"/>
      <c r="AV139" s="579"/>
      <c r="AW139" s="579"/>
      <c r="AX139" s="579"/>
      <c r="AY139" s="579"/>
      <c r="AZ139" s="579"/>
      <c r="BA139" s="579"/>
      <c r="BB139" s="579"/>
      <c r="BC139" s="579"/>
      <c r="BD139" s="579"/>
      <c r="BE139" s="579"/>
      <c r="BF139" s="579"/>
      <c r="BG139" s="579"/>
      <c r="BH139" s="579"/>
      <c r="BI139" s="579"/>
      <c r="BJ139" s="579"/>
      <c r="BK139" s="579"/>
    </row>
    <row r="140" spans="1:63" s="240" customFormat="1">
      <c r="A140" s="209"/>
      <c r="B140" s="209" t="s">
        <v>1118</v>
      </c>
      <c r="C140" s="209" t="s">
        <v>1119</v>
      </c>
      <c r="D140" s="209"/>
      <c r="F140" s="251"/>
      <c r="G140" s="251"/>
      <c r="H140" s="251"/>
      <c r="I140" s="251"/>
      <c r="J140" s="251"/>
      <c r="K140" s="251"/>
      <c r="L140" s="251"/>
      <c r="M140" s="251"/>
      <c r="N140" s="251"/>
      <c r="O140" s="251"/>
      <c r="P140" s="251"/>
      <c r="Q140" s="251"/>
      <c r="R140" s="251"/>
      <c r="S140" s="251"/>
      <c r="T140" s="251"/>
      <c r="U140" s="251"/>
      <c r="V140" s="251"/>
      <c r="W140" s="251"/>
      <c r="X140" s="251"/>
      <c r="Y140" s="251"/>
      <c r="Z140" s="251"/>
      <c r="AA140" s="251"/>
      <c r="AB140" s="251"/>
      <c r="AC140" s="251"/>
      <c r="AD140" s="251"/>
      <c r="AF140" s="579"/>
      <c r="AG140" s="579"/>
      <c r="AH140" s="579"/>
      <c r="AI140" s="579"/>
      <c r="AJ140" s="579"/>
      <c r="AK140" s="579"/>
      <c r="AL140" s="579"/>
      <c r="AM140" s="579"/>
      <c r="AN140" s="579"/>
      <c r="AO140" s="579"/>
      <c r="AP140" s="579"/>
      <c r="AQ140" s="579"/>
      <c r="AR140" s="579"/>
      <c r="AS140" s="579"/>
      <c r="AT140" s="579"/>
      <c r="AU140" s="579"/>
      <c r="AV140" s="579"/>
      <c r="AW140" s="579"/>
      <c r="AX140" s="579"/>
      <c r="AY140" s="579"/>
      <c r="AZ140" s="579"/>
      <c r="BA140" s="579"/>
      <c r="BB140" s="579"/>
      <c r="BC140" s="579"/>
      <c r="BD140" s="579"/>
      <c r="BE140" s="579"/>
      <c r="BF140" s="579"/>
      <c r="BG140" s="579"/>
      <c r="BH140" s="579"/>
      <c r="BI140" s="579"/>
      <c r="BJ140" s="579"/>
      <c r="BK140" s="579"/>
    </row>
    <row r="141" spans="1:63" s="245" customFormat="1">
      <c r="A141" s="243"/>
      <c r="B141" s="246" t="s">
        <v>1121</v>
      </c>
      <c r="C141" s="244" t="s">
        <v>1122</v>
      </c>
      <c r="D141" s="243"/>
      <c r="F141" s="245">
        <f t="shared" ref="F141:AD141" si="172">F119+F121+F137+F138</f>
        <v>0</v>
      </c>
      <c r="G141" s="245">
        <f t="shared" si="172"/>
        <v>0</v>
      </c>
      <c r="H141" s="245">
        <f t="shared" si="172"/>
        <v>0</v>
      </c>
      <c r="I141" s="245">
        <f t="shared" si="172"/>
        <v>0</v>
      </c>
      <c r="J141" s="245">
        <f t="shared" si="172"/>
        <v>0</v>
      </c>
      <c r="K141" s="245">
        <f t="shared" si="172"/>
        <v>0</v>
      </c>
      <c r="M141" s="245">
        <f t="shared" si="172"/>
        <v>42532.487463999998</v>
      </c>
      <c r="N141" s="245">
        <f t="shared" si="172"/>
        <v>48221.73109999999</v>
      </c>
      <c r="O141" s="245">
        <f t="shared" si="172"/>
        <v>55012.3851</v>
      </c>
      <c r="P141" s="245">
        <f t="shared" si="172"/>
        <v>63254.6351</v>
      </c>
      <c r="Q141" s="245">
        <f t="shared" si="172"/>
        <v>72339.235099999991</v>
      </c>
      <c r="R141" s="245">
        <f t="shared" si="172"/>
        <v>29809.3351</v>
      </c>
      <c r="S141" s="245">
        <f t="shared" si="172"/>
        <v>33859.835100000004</v>
      </c>
      <c r="T141" s="245">
        <f t="shared" si="172"/>
        <v>42686.035100000001</v>
      </c>
      <c r="U141" s="245">
        <f t="shared" si="172"/>
        <v>52650.770199999999</v>
      </c>
      <c r="V141" s="245">
        <f t="shared" si="172"/>
        <v>61869.870200000005</v>
      </c>
      <c r="W141" s="245">
        <f t="shared" si="172"/>
        <v>80883.170200000008</v>
      </c>
      <c r="X141" s="245">
        <f t="shared" si="172"/>
        <v>98089.37019999999</v>
      </c>
      <c r="Y141" s="245">
        <f t="shared" si="172"/>
        <v>109455.58000000002</v>
      </c>
      <c r="Z141" s="245">
        <f>Z119+Z121+Z137+Z138</f>
        <v>126423.87019999999</v>
      </c>
      <c r="AA141" s="245">
        <f>AA119+AA121+AA137+AA138</f>
        <v>142693.10832899995</v>
      </c>
      <c r="AB141" s="245">
        <f>AB119+AB121+AB137+AB138</f>
        <v>161287.53231316627</v>
      </c>
      <c r="AC141" s="245">
        <f t="shared" si="172"/>
        <v>186842.54252160637</v>
      </c>
      <c r="AD141" s="245">
        <f t="shared" si="172"/>
        <v>241468.2995964193</v>
      </c>
      <c r="AF141" s="580">
        <f t="shared" ref="AF141:BK141" si="173">AF119+AF121+AF137+AF138</f>
        <v>0</v>
      </c>
      <c r="AG141" s="580">
        <f t="shared" si="173"/>
        <v>0</v>
      </c>
      <c r="AH141" s="580">
        <f t="shared" si="173"/>
        <v>0</v>
      </c>
      <c r="AI141" s="580">
        <f t="shared" si="173"/>
        <v>0</v>
      </c>
      <c r="AJ141" s="580">
        <f t="shared" si="173"/>
        <v>0</v>
      </c>
      <c r="AK141" s="580">
        <f t="shared" si="173"/>
        <v>0</v>
      </c>
      <c r="AL141" s="580">
        <f t="shared" si="173"/>
        <v>0</v>
      </c>
      <c r="AM141" s="580">
        <f t="shared" si="173"/>
        <v>0</v>
      </c>
      <c r="AN141" s="580">
        <f t="shared" si="173"/>
        <v>0</v>
      </c>
      <c r="AO141" s="580">
        <f t="shared" si="173"/>
        <v>0</v>
      </c>
      <c r="AP141" s="580">
        <f t="shared" si="173"/>
        <v>0</v>
      </c>
      <c r="AQ141" s="580">
        <f t="shared" si="173"/>
        <v>0</v>
      </c>
      <c r="AR141" s="580">
        <f t="shared" si="173"/>
        <v>0</v>
      </c>
      <c r="AS141" s="580">
        <f t="shared" si="173"/>
        <v>0</v>
      </c>
      <c r="AT141" s="580">
        <f t="shared" si="173"/>
        <v>0</v>
      </c>
      <c r="AU141" s="580">
        <f t="shared" si="173"/>
        <v>0</v>
      </c>
      <c r="AV141" s="580">
        <f t="shared" si="173"/>
        <v>0</v>
      </c>
      <c r="AW141" s="580">
        <f t="shared" si="173"/>
        <v>0</v>
      </c>
      <c r="AX141" s="580">
        <f t="shared" si="173"/>
        <v>0</v>
      </c>
      <c r="AY141" s="580">
        <f t="shared" si="173"/>
        <v>0</v>
      </c>
      <c r="AZ141" s="580">
        <f t="shared" si="173"/>
        <v>0</v>
      </c>
      <c r="BA141" s="580">
        <f t="shared" si="173"/>
        <v>0</v>
      </c>
      <c r="BB141" s="580">
        <f t="shared" si="173"/>
        <v>0</v>
      </c>
      <c r="BC141" s="580">
        <f t="shared" si="173"/>
        <v>0</v>
      </c>
      <c r="BD141" s="580">
        <f t="shared" si="173"/>
        <v>0</v>
      </c>
      <c r="BE141" s="580">
        <f t="shared" si="173"/>
        <v>0</v>
      </c>
      <c r="BF141" s="580">
        <f t="shared" si="173"/>
        <v>0</v>
      </c>
      <c r="BG141" s="580">
        <f t="shared" si="173"/>
        <v>0</v>
      </c>
      <c r="BH141" s="580">
        <f t="shared" si="173"/>
        <v>0</v>
      </c>
      <c r="BI141" s="580">
        <f t="shared" si="173"/>
        <v>0</v>
      </c>
      <c r="BJ141" s="580">
        <f t="shared" si="173"/>
        <v>0</v>
      </c>
      <c r="BK141" s="580">
        <f t="shared" si="173"/>
        <v>0</v>
      </c>
    </row>
    <row r="142" spans="1:63" s="240" customFormat="1">
      <c r="A142" s="209"/>
      <c r="B142" s="220"/>
      <c r="C142" s="259"/>
      <c r="D142" s="209"/>
      <c r="AF142" s="579"/>
      <c r="AG142" s="579"/>
      <c r="AH142" s="579"/>
      <c r="AI142" s="579"/>
      <c r="AJ142" s="579"/>
      <c r="AK142" s="579"/>
      <c r="AL142" s="579"/>
      <c r="AM142" s="579"/>
      <c r="AN142" s="579"/>
      <c r="AO142" s="579"/>
      <c r="AP142" s="579"/>
      <c r="AQ142" s="579"/>
      <c r="AR142" s="579"/>
      <c r="AS142" s="579"/>
      <c r="AT142" s="579"/>
      <c r="AU142" s="579"/>
      <c r="AV142" s="579"/>
      <c r="AW142" s="579"/>
      <c r="AX142" s="579"/>
      <c r="AY142" s="579"/>
      <c r="AZ142" s="579"/>
      <c r="BA142" s="579"/>
      <c r="BB142" s="579"/>
      <c r="BC142" s="579"/>
      <c r="BD142" s="579"/>
      <c r="BE142" s="579"/>
      <c r="BF142" s="579"/>
      <c r="BG142" s="579"/>
      <c r="BH142" s="579"/>
      <c r="BI142" s="579"/>
      <c r="BJ142" s="579"/>
      <c r="BK142" s="579"/>
    </row>
    <row r="143" spans="1:63" s="245" customFormat="1">
      <c r="A143" s="243"/>
      <c r="B143" s="246" t="s">
        <v>1123</v>
      </c>
      <c r="C143" s="246" t="s">
        <v>1124</v>
      </c>
      <c r="D143" s="243"/>
      <c r="F143" s="245">
        <f t="shared" ref="F143:AD143" si="174">F147+F151</f>
        <v>0</v>
      </c>
      <c r="G143" s="245">
        <f t="shared" si="174"/>
        <v>0</v>
      </c>
      <c r="H143" s="245">
        <f t="shared" si="174"/>
        <v>0</v>
      </c>
      <c r="I143" s="245">
        <f t="shared" si="174"/>
        <v>0</v>
      </c>
      <c r="J143" s="245">
        <f t="shared" si="174"/>
        <v>0</v>
      </c>
      <c r="K143" s="245">
        <f t="shared" si="174"/>
        <v>0</v>
      </c>
      <c r="M143" s="245">
        <f t="shared" si="174"/>
        <v>26328.698</v>
      </c>
      <c r="N143" s="245">
        <f t="shared" si="174"/>
        <v>27106.602000000003</v>
      </c>
      <c r="O143" s="245">
        <f t="shared" si="174"/>
        <v>27476.674999999999</v>
      </c>
      <c r="P143" s="245">
        <f t="shared" si="174"/>
        <v>28942.2</v>
      </c>
      <c r="Q143" s="245">
        <f t="shared" si="174"/>
        <v>31785.399999999998</v>
      </c>
      <c r="R143" s="245">
        <f t="shared" si="174"/>
        <v>30000.799999999999</v>
      </c>
      <c r="S143" s="245">
        <f t="shared" si="174"/>
        <v>33557.699999999997</v>
      </c>
      <c r="T143" s="245">
        <f t="shared" si="174"/>
        <v>33792.5</v>
      </c>
      <c r="U143" s="245">
        <f t="shared" si="174"/>
        <v>33951.600000000006</v>
      </c>
      <c r="V143" s="245">
        <f t="shared" si="174"/>
        <v>33960.6</v>
      </c>
      <c r="W143" s="245">
        <f t="shared" si="174"/>
        <v>38288.5</v>
      </c>
      <c r="X143" s="245">
        <f t="shared" si="174"/>
        <v>40770.400000000001</v>
      </c>
      <c r="Y143" s="245">
        <f t="shared" si="174"/>
        <v>41009.1</v>
      </c>
      <c r="Z143" s="245">
        <f>Z147+Z151</f>
        <v>43902.5</v>
      </c>
      <c r="AA143" s="245">
        <f>AA147+AA151</f>
        <v>46902.5</v>
      </c>
      <c r="AB143" s="245">
        <f>AB147+AB151</f>
        <v>50902.5</v>
      </c>
      <c r="AC143" s="245">
        <f t="shared" si="174"/>
        <v>54902.5</v>
      </c>
      <c r="AD143" s="245">
        <f t="shared" si="174"/>
        <v>58902.5</v>
      </c>
      <c r="AF143" s="580">
        <f t="shared" ref="AF143:BK143" si="175">AF147+AF151</f>
        <v>0</v>
      </c>
      <c r="AG143" s="580">
        <f t="shared" si="175"/>
        <v>0</v>
      </c>
      <c r="AH143" s="580">
        <f t="shared" si="175"/>
        <v>0</v>
      </c>
      <c r="AI143" s="580">
        <f t="shared" si="175"/>
        <v>0</v>
      </c>
      <c r="AJ143" s="580">
        <f t="shared" si="175"/>
        <v>0</v>
      </c>
      <c r="AK143" s="580">
        <f t="shared" si="175"/>
        <v>0</v>
      </c>
      <c r="AL143" s="580">
        <f t="shared" si="175"/>
        <v>0</v>
      </c>
      <c r="AM143" s="580">
        <f t="shared" si="175"/>
        <v>0</v>
      </c>
      <c r="AN143" s="580">
        <f t="shared" si="175"/>
        <v>0</v>
      </c>
      <c r="AO143" s="580">
        <f t="shared" si="175"/>
        <v>0</v>
      </c>
      <c r="AP143" s="580">
        <f t="shared" si="175"/>
        <v>0</v>
      </c>
      <c r="AQ143" s="580">
        <f t="shared" si="175"/>
        <v>0</v>
      </c>
      <c r="AR143" s="580">
        <f t="shared" si="175"/>
        <v>0</v>
      </c>
      <c r="AS143" s="580">
        <f t="shared" si="175"/>
        <v>0</v>
      </c>
      <c r="AT143" s="580">
        <f t="shared" si="175"/>
        <v>0</v>
      </c>
      <c r="AU143" s="580">
        <f t="shared" si="175"/>
        <v>0</v>
      </c>
      <c r="AV143" s="580">
        <f t="shared" si="175"/>
        <v>0</v>
      </c>
      <c r="AW143" s="580">
        <f t="shared" si="175"/>
        <v>0</v>
      </c>
      <c r="AX143" s="580">
        <f t="shared" si="175"/>
        <v>0</v>
      </c>
      <c r="AY143" s="580">
        <f t="shared" si="175"/>
        <v>0</v>
      </c>
      <c r="AZ143" s="580">
        <f t="shared" si="175"/>
        <v>0</v>
      </c>
      <c r="BA143" s="580">
        <f t="shared" si="175"/>
        <v>0</v>
      </c>
      <c r="BB143" s="580">
        <f t="shared" si="175"/>
        <v>0</v>
      </c>
      <c r="BC143" s="580">
        <f t="shared" si="175"/>
        <v>0</v>
      </c>
      <c r="BD143" s="580">
        <f t="shared" si="175"/>
        <v>0</v>
      </c>
      <c r="BE143" s="580">
        <f t="shared" si="175"/>
        <v>0</v>
      </c>
      <c r="BF143" s="580">
        <f t="shared" si="175"/>
        <v>0</v>
      </c>
      <c r="BG143" s="580">
        <f t="shared" si="175"/>
        <v>0</v>
      </c>
      <c r="BH143" s="580">
        <f t="shared" si="175"/>
        <v>0</v>
      </c>
      <c r="BI143" s="580">
        <f t="shared" si="175"/>
        <v>0</v>
      </c>
      <c r="BJ143" s="580">
        <f t="shared" si="175"/>
        <v>0</v>
      </c>
      <c r="BK143" s="580">
        <f t="shared" si="175"/>
        <v>0</v>
      </c>
    </row>
    <row r="144" spans="1:63" s="240" customFormat="1">
      <c r="A144" s="209"/>
      <c r="B144" s="220" t="s">
        <v>1125</v>
      </c>
      <c r="C144" s="220" t="s">
        <v>1126</v>
      </c>
      <c r="D144" s="209"/>
      <c r="F144" s="251"/>
      <c r="G144" s="251"/>
      <c r="H144" s="251"/>
      <c r="I144" s="251"/>
      <c r="J144" s="251"/>
      <c r="K144" s="251"/>
      <c r="L144" s="251"/>
      <c r="M144" s="251"/>
      <c r="N144" s="251"/>
      <c r="O144" s="251"/>
      <c r="P144" s="251"/>
      <c r="Q144" s="251"/>
      <c r="R144" s="251"/>
      <c r="S144" s="251"/>
      <c r="T144" s="251"/>
      <c r="U144" s="251"/>
      <c r="V144" s="251"/>
      <c r="W144" s="251"/>
      <c r="X144" s="251"/>
      <c r="Y144" s="251"/>
      <c r="Z144" s="251"/>
      <c r="AA144" s="251"/>
      <c r="AB144" s="251"/>
      <c r="AC144" s="251"/>
      <c r="AD144" s="251"/>
      <c r="AF144" s="579"/>
      <c r="AG144" s="579"/>
      <c r="AH144" s="579"/>
      <c r="AI144" s="579"/>
      <c r="AJ144" s="579"/>
      <c r="AK144" s="579"/>
      <c r="AL144" s="579"/>
      <c r="AM144" s="579"/>
      <c r="AN144" s="579"/>
      <c r="AO144" s="579"/>
      <c r="AP144" s="579"/>
      <c r="AQ144" s="579"/>
      <c r="AR144" s="579"/>
      <c r="AS144" s="579"/>
      <c r="AT144" s="579"/>
      <c r="AU144" s="579"/>
      <c r="AV144" s="579"/>
      <c r="AW144" s="579"/>
      <c r="AX144" s="579"/>
      <c r="AY144" s="579"/>
      <c r="AZ144" s="579"/>
      <c r="BA144" s="579"/>
      <c r="BB144" s="579"/>
      <c r="BC144" s="579"/>
      <c r="BD144" s="579"/>
      <c r="BE144" s="579"/>
      <c r="BF144" s="579"/>
      <c r="BG144" s="579"/>
      <c r="BH144" s="579"/>
      <c r="BI144" s="579"/>
      <c r="BJ144" s="579"/>
      <c r="BK144" s="579"/>
    </row>
    <row r="145" spans="1:63" s="240" customFormat="1">
      <c r="A145" s="209"/>
      <c r="B145" s="220" t="s">
        <v>1127</v>
      </c>
      <c r="C145" s="220" t="s">
        <v>1128</v>
      </c>
      <c r="D145" s="209"/>
      <c r="F145" s="251"/>
      <c r="G145" s="251"/>
      <c r="H145" s="251"/>
      <c r="I145" s="251"/>
      <c r="J145" s="251"/>
      <c r="K145" s="251"/>
      <c r="L145" s="251"/>
      <c r="M145" s="251"/>
      <c r="N145" s="251"/>
      <c r="O145" s="251"/>
      <c r="P145" s="251"/>
      <c r="Q145" s="251"/>
      <c r="R145" s="251"/>
      <c r="S145" s="251"/>
      <c r="T145" s="251"/>
      <c r="U145" s="251"/>
      <c r="V145" s="251"/>
      <c r="W145" s="251"/>
      <c r="X145" s="251"/>
      <c r="Y145" s="251"/>
      <c r="Z145" s="251"/>
      <c r="AA145" s="251"/>
      <c r="AB145" s="251"/>
      <c r="AC145" s="251"/>
      <c r="AD145" s="251"/>
      <c r="AF145" s="579"/>
      <c r="AG145" s="579"/>
      <c r="AH145" s="579"/>
      <c r="AI145" s="579"/>
      <c r="AJ145" s="579"/>
      <c r="AK145" s="579"/>
      <c r="AL145" s="579"/>
      <c r="AM145" s="579"/>
      <c r="AN145" s="579"/>
      <c r="AO145" s="579"/>
      <c r="AP145" s="579"/>
      <c r="AQ145" s="579"/>
      <c r="AR145" s="579"/>
      <c r="AS145" s="579"/>
      <c r="AT145" s="579"/>
      <c r="AU145" s="579"/>
      <c r="AV145" s="579"/>
      <c r="AW145" s="579"/>
      <c r="AX145" s="579"/>
      <c r="AY145" s="579"/>
      <c r="AZ145" s="579"/>
      <c r="BA145" s="579"/>
      <c r="BB145" s="579"/>
      <c r="BC145" s="579"/>
      <c r="BD145" s="579"/>
      <c r="BE145" s="579"/>
      <c r="BF145" s="579"/>
      <c r="BG145" s="579"/>
      <c r="BH145" s="579"/>
      <c r="BI145" s="579"/>
      <c r="BJ145" s="579"/>
      <c r="BK145" s="579"/>
    </row>
    <row r="146" spans="1:63" s="240" customFormat="1">
      <c r="A146" s="209"/>
      <c r="B146" s="220" t="s">
        <v>1129</v>
      </c>
      <c r="C146" s="220" t="s">
        <v>1130</v>
      </c>
      <c r="D146" s="209"/>
      <c r="F146" s="251"/>
      <c r="G146" s="251"/>
      <c r="H146" s="251"/>
      <c r="I146" s="251"/>
      <c r="J146" s="251"/>
      <c r="K146" s="251"/>
      <c r="L146" s="251"/>
      <c r="M146" s="251">
        <f>+'Bal Sheet'!C86</f>
        <v>26221.88</v>
      </c>
      <c r="N146" s="251">
        <f>+'Bal Sheet'!D86</f>
        <v>27029.869000000002</v>
      </c>
      <c r="O146" s="251">
        <f>+'Bal Sheet'!E86</f>
        <v>27436.12</v>
      </c>
      <c r="P146" s="251">
        <f>+'Bal Sheet'!F86</f>
        <v>28928.799999999999</v>
      </c>
      <c r="Q146" s="251">
        <f>+'Bal Sheet'!G86</f>
        <v>31744.1</v>
      </c>
      <c r="R146" s="251">
        <f>+'Bal Sheet'!H86</f>
        <v>29895.5</v>
      </c>
      <c r="S146" s="251">
        <f>+'Bal Sheet'!I86</f>
        <v>33395.1</v>
      </c>
      <c r="T146" s="251">
        <f>+'Bal Sheet'!J86</f>
        <v>33792.5</v>
      </c>
      <c r="U146" s="251">
        <f>+'Bal Sheet'!K86</f>
        <v>33908.800000000003</v>
      </c>
      <c r="V146" s="251">
        <f>+'Bal Sheet'!L86</f>
        <v>33939.199999999997</v>
      </c>
      <c r="W146" s="251">
        <f>+'Bal Sheet'!M86</f>
        <v>38288.5</v>
      </c>
      <c r="X146" s="251">
        <f>+'Bal Sheet'!N86</f>
        <v>40770.400000000001</v>
      </c>
      <c r="Y146" s="251">
        <f>+'Bal Sheet'!O86</f>
        <v>41009.1</v>
      </c>
      <c r="Z146" s="251">
        <f>+'Bal Sheet'!P86</f>
        <v>43902.5</v>
      </c>
      <c r="AA146" s="251">
        <f>+'Bal Sheet'!Q86</f>
        <v>46902.5</v>
      </c>
      <c r="AB146" s="251">
        <f>+'Bal Sheet'!R86</f>
        <v>50902.5</v>
      </c>
      <c r="AC146" s="251">
        <f>+'Bal Sheet'!S86</f>
        <v>54902.5</v>
      </c>
      <c r="AD146" s="251">
        <f>+'Bal Sheet'!T86</f>
        <v>58902.5</v>
      </c>
      <c r="AF146" s="579"/>
      <c r="AG146" s="579"/>
      <c r="AH146" s="579"/>
      <c r="AI146" s="579"/>
      <c r="AJ146" s="579"/>
      <c r="AK146" s="579"/>
      <c r="AL146" s="579"/>
      <c r="AM146" s="579"/>
      <c r="AN146" s="579"/>
      <c r="AO146" s="579"/>
      <c r="AP146" s="579"/>
      <c r="AQ146" s="579"/>
      <c r="AR146" s="579"/>
      <c r="AS146" s="579"/>
      <c r="AT146" s="579"/>
      <c r="AU146" s="579"/>
      <c r="AV146" s="579"/>
      <c r="AW146" s="579"/>
      <c r="AX146" s="579"/>
      <c r="AY146" s="579"/>
      <c r="AZ146" s="579"/>
      <c r="BA146" s="579"/>
      <c r="BB146" s="579"/>
      <c r="BC146" s="579"/>
      <c r="BD146" s="579"/>
      <c r="BE146" s="579"/>
      <c r="BF146" s="579"/>
      <c r="BG146" s="579"/>
      <c r="BH146" s="579"/>
      <c r="BI146" s="579"/>
      <c r="BJ146" s="579"/>
      <c r="BK146" s="579"/>
    </row>
    <row r="147" spans="1:63" s="245" customFormat="1">
      <c r="A147" s="243"/>
      <c r="B147" s="246" t="s">
        <v>1132</v>
      </c>
      <c r="C147" s="244" t="s">
        <v>1133</v>
      </c>
      <c r="D147" s="243"/>
      <c r="F147" s="245">
        <f t="shared" ref="F147:AD147" si="176">SUM(F144:F146)</f>
        <v>0</v>
      </c>
      <c r="G147" s="245">
        <f t="shared" si="176"/>
        <v>0</v>
      </c>
      <c r="H147" s="245">
        <f t="shared" si="176"/>
        <v>0</v>
      </c>
      <c r="I147" s="245">
        <f t="shared" si="176"/>
        <v>0</v>
      </c>
      <c r="J147" s="245">
        <f t="shared" si="176"/>
        <v>0</v>
      </c>
      <c r="K147" s="245">
        <f t="shared" si="176"/>
        <v>0</v>
      </c>
      <c r="M147" s="245">
        <f t="shared" si="176"/>
        <v>26221.88</v>
      </c>
      <c r="N147" s="245">
        <f t="shared" si="176"/>
        <v>27029.869000000002</v>
      </c>
      <c r="O147" s="245">
        <f t="shared" si="176"/>
        <v>27436.12</v>
      </c>
      <c r="P147" s="245">
        <f t="shared" si="176"/>
        <v>28928.799999999999</v>
      </c>
      <c r="Q147" s="245">
        <f t="shared" si="176"/>
        <v>31744.1</v>
      </c>
      <c r="R147" s="245">
        <f t="shared" si="176"/>
        <v>29895.5</v>
      </c>
      <c r="S147" s="245">
        <f t="shared" si="176"/>
        <v>33395.1</v>
      </c>
      <c r="T147" s="245">
        <f t="shared" si="176"/>
        <v>33792.5</v>
      </c>
      <c r="U147" s="245">
        <f t="shared" si="176"/>
        <v>33908.800000000003</v>
      </c>
      <c r="V147" s="245">
        <f t="shared" si="176"/>
        <v>33939.199999999997</v>
      </c>
      <c r="W147" s="245">
        <f t="shared" si="176"/>
        <v>38288.5</v>
      </c>
      <c r="X147" s="245">
        <f t="shared" si="176"/>
        <v>40770.400000000001</v>
      </c>
      <c r="Y147" s="245">
        <f t="shared" si="176"/>
        <v>41009.1</v>
      </c>
      <c r="Z147" s="245">
        <f>SUM(Z144:Z146)</f>
        <v>43902.5</v>
      </c>
      <c r="AA147" s="245">
        <f>SUM(AA144:AA146)</f>
        <v>46902.5</v>
      </c>
      <c r="AB147" s="245">
        <f>SUM(AB144:AB146)</f>
        <v>50902.5</v>
      </c>
      <c r="AC147" s="245">
        <f t="shared" si="176"/>
        <v>54902.5</v>
      </c>
      <c r="AD147" s="245">
        <f t="shared" si="176"/>
        <v>58902.5</v>
      </c>
      <c r="AF147" s="580">
        <f t="shared" ref="AF147:BK147" si="177">SUM(AF144:AF146)</f>
        <v>0</v>
      </c>
      <c r="AG147" s="580">
        <f t="shared" si="177"/>
        <v>0</v>
      </c>
      <c r="AH147" s="580">
        <f t="shared" si="177"/>
        <v>0</v>
      </c>
      <c r="AI147" s="580">
        <f t="shared" si="177"/>
        <v>0</v>
      </c>
      <c r="AJ147" s="580">
        <f t="shared" si="177"/>
        <v>0</v>
      </c>
      <c r="AK147" s="580">
        <f t="shared" si="177"/>
        <v>0</v>
      </c>
      <c r="AL147" s="580">
        <f t="shared" si="177"/>
        <v>0</v>
      </c>
      <c r="AM147" s="580">
        <f t="shared" si="177"/>
        <v>0</v>
      </c>
      <c r="AN147" s="580">
        <f t="shared" si="177"/>
        <v>0</v>
      </c>
      <c r="AO147" s="580">
        <f t="shared" si="177"/>
        <v>0</v>
      </c>
      <c r="AP147" s="580">
        <f t="shared" si="177"/>
        <v>0</v>
      </c>
      <c r="AQ147" s="580">
        <f t="shared" si="177"/>
        <v>0</v>
      </c>
      <c r="AR147" s="580">
        <f t="shared" si="177"/>
        <v>0</v>
      </c>
      <c r="AS147" s="580">
        <f t="shared" si="177"/>
        <v>0</v>
      </c>
      <c r="AT147" s="580">
        <f t="shared" si="177"/>
        <v>0</v>
      </c>
      <c r="AU147" s="580">
        <f t="shared" si="177"/>
        <v>0</v>
      </c>
      <c r="AV147" s="580">
        <f t="shared" si="177"/>
        <v>0</v>
      </c>
      <c r="AW147" s="580">
        <f t="shared" si="177"/>
        <v>0</v>
      </c>
      <c r="AX147" s="580">
        <f t="shared" si="177"/>
        <v>0</v>
      </c>
      <c r="AY147" s="580">
        <f t="shared" si="177"/>
        <v>0</v>
      </c>
      <c r="AZ147" s="580">
        <f t="shared" si="177"/>
        <v>0</v>
      </c>
      <c r="BA147" s="580">
        <f t="shared" si="177"/>
        <v>0</v>
      </c>
      <c r="BB147" s="580">
        <f t="shared" si="177"/>
        <v>0</v>
      </c>
      <c r="BC147" s="580">
        <f t="shared" si="177"/>
        <v>0</v>
      </c>
      <c r="BD147" s="580">
        <f t="shared" si="177"/>
        <v>0</v>
      </c>
      <c r="BE147" s="580">
        <f t="shared" si="177"/>
        <v>0</v>
      </c>
      <c r="BF147" s="580">
        <f t="shared" si="177"/>
        <v>0</v>
      </c>
      <c r="BG147" s="580">
        <f t="shared" si="177"/>
        <v>0</v>
      </c>
      <c r="BH147" s="580">
        <f t="shared" si="177"/>
        <v>0</v>
      </c>
      <c r="BI147" s="580">
        <f t="shared" si="177"/>
        <v>0</v>
      </c>
      <c r="BJ147" s="580">
        <f t="shared" si="177"/>
        <v>0</v>
      </c>
      <c r="BK147" s="580">
        <f t="shared" si="177"/>
        <v>0</v>
      </c>
    </row>
    <row r="148" spans="1:63" s="240" customFormat="1">
      <c r="A148" s="209"/>
      <c r="B148" s="220" t="s">
        <v>1134</v>
      </c>
      <c r="C148" s="220" t="s">
        <v>55</v>
      </c>
      <c r="D148" s="209"/>
      <c r="F148" s="251"/>
      <c r="G148" s="251"/>
      <c r="H148" s="251"/>
      <c r="I148" s="251"/>
      <c r="J148" s="251"/>
      <c r="K148" s="251"/>
      <c r="L148" s="251"/>
      <c r="M148" s="251"/>
      <c r="N148" s="251"/>
      <c r="O148" s="251"/>
      <c r="P148" s="251"/>
      <c r="Q148" s="251"/>
      <c r="R148" s="251"/>
      <c r="S148" s="251"/>
      <c r="T148" s="251"/>
      <c r="U148" s="251"/>
      <c r="V148" s="251"/>
      <c r="W148" s="251"/>
      <c r="X148" s="251"/>
      <c r="Y148" s="251"/>
      <c r="Z148" s="251"/>
      <c r="AA148" s="251"/>
      <c r="AB148" s="251"/>
      <c r="AC148" s="251"/>
      <c r="AD148" s="251"/>
      <c r="AF148" s="579"/>
      <c r="AG148" s="579"/>
      <c r="AH148" s="579"/>
      <c r="AI148" s="579"/>
      <c r="AJ148" s="579"/>
      <c r="AK148" s="579"/>
      <c r="AL148" s="579"/>
      <c r="AM148" s="579"/>
      <c r="AN148" s="579"/>
      <c r="AO148" s="579"/>
      <c r="AP148" s="579"/>
      <c r="AQ148" s="579"/>
      <c r="AR148" s="579"/>
      <c r="AS148" s="579"/>
      <c r="AT148" s="579"/>
      <c r="AU148" s="579"/>
      <c r="AV148" s="579"/>
      <c r="AW148" s="579"/>
      <c r="AX148" s="579"/>
      <c r="AY148" s="579"/>
      <c r="AZ148" s="579"/>
      <c r="BA148" s="579"/>
      <c r="BB148" s="579"/>
      <c r="BC148" s="579"/>
      <c r="BD148" s="579"/>
      <c r="BE148" s="579"/>
      <c r="BF148" s="579"/>
      <c r="BG148" s="579"/>
      <c r="BH148" s="579"/>
      <c r="BI148" s="579"/>
      <c r="BJ148" s="579"/>
      <c r="BK148" s="579"/>
    </row>
    <row r="149" spans="1:63" s="240" customFormat="1">
      <c r="A149" s="209"/>
      <c r="B149" s="220" t="s">
        <v>1135</v>
      </c>
      <c r="C149" s="220" t="s">
        <v>1136</v>
      </c>
      <c r="D149" s="209"/>
      <c r="F149" s="251"/>
      <c r="G149" s="251"/>
      <c r="H149" s="251"/>
      <c r="I149" s="251"/>
      <c r="J149" s="251"/>
      <c r="K149" s="251"/>
      <c r="L149" s="251"/>
      <c r="M149" s="251"/>
      <c r="N149" s="251"/>
      <c r="O149" s="251"/>
      <c r="P149" s="251"/>
      <c r="Q149" s="251"/>
      <c r="R149" s="251"/>
      <c r="S149" s="251"/>
      <c r="T149" s="251"/>
      <c r="U149" s="251"/>
      <c r="V149" s="251"/>
      <c r="W149" s="251"/>
      <c r="X149" s="251"/>
      <c r="Y149" s="251"/>
      <c r="Z149" s="251"/>
      <c r="AA149" s="251"/>
      <c r="AB149" s="251"/>
      <c r="AC149" s="251"/>
      <c r="AD149" s="251"/>
      <c r="AF149" s="579"/>
      <c r="AG149" s="579"/>
      <c r="AH149" s="579"/>
      <c r="AI149" s="579"/>
      <c r="AJ149" s="579"/>
      <c r="AK149" s="579"/>
      <c r="AL149" s="579"/>
      <c r="AM149" s="579"/>
      <c r="AN149" s="579"/>
      <c r="AO149" s="579"/>
      <c r="AP149" s="579"/>
      <c r="AQ149" s="579"/>
      <c r="AR149" s="579"/>
      <c r="AS149" s="579"/>
      <c r="AT149" s="579"/>
      <c r="AU149" s="579"/>
      <c r="AV149" s="579"/>
      <c r="AW149" s="579"/>
      <c r="AX149" s="579"/>
      <c r="AY149" s="579"/>
      <c r="AZ149" s="579"/>
      <c r="BA149" s="579"/>
      <c r="BB149" s="579"/>
      <c r="BC149" s="579"/>
      <c r="BD149" s="579"/>
      <c r="BE149" s="579"/>
      <c r="BF149" s="579"/>
      <c r="BG149" s="579"/>
      <c r="BH149" s="579"/>
      <c r="BI149" s="579"/>
      <c r="BJ149" s="579"/>
      <c r="BK149" s="579"/>
    </row>
    <row r="150" spans="1:63" s="240" customFormat="1">
      <c r="A150" s="209"/>
      <c r="B150" s="220" t="s">
        <v>1137</v>
      </c>
      <c r="C150" s="220" t="s">
        <v>57</v>
      </c>
      <c r="D150" s="209"/>
      <c r="F150" s="251"/>
      <c r="G150" s="251"/>
      <c r="H150" s="251"/>
      <c r="I150" s="251"/>
      <c r="J150" s="251"/>
      <c r="K150" s="251"/>
      <c r="L150" s="251"/>
      <c r="M150" s="251">
        <f>+'Bal Sheet'!C100</f>
        <v>106.818</v>
      </c>
      <c r="N150" s="251">
        <f>+'Bal Sheet'!D100</f>
        <v>76.733000000000004</v>
      </c>
      <c r="O150" s="251">
        <f>+'Bal Sheet'!E100</f>
        <v>40.555</v>
      </c>
      <c r="P150" s="251">
        <f>+'Bal Sheet'!F100</f>
        <v>13.400000000000002</v>
      </c>
      <c r="Q150" s="251">
        <f>+'Bal Sheet'!G100</f>
        <v>41.3</v>
      </c>
      <c r="R150" s="251">
        <f>+'Bal Sheet'!H100</f>
        <v>105.29999999999998</v>
      </c>
      <c r="S150" s="251">
        <f>+'Bal Sheet'!I100</f>
        <v>162.6</v>
      </c>
      <c r="T150" s="251">
        <f>+'Bal Sheet'!J100</f>
        <v>0</v>
      </c>
      <c r="U150" s="251">
        <f>+'Bal Sheet'!K100</f>
        <v>42.800000000000004</v>
      </c>
      <c r="V150" s="251">
        <f>+'Bal Sheet'!L100</f>
        <v>21.4</v>
      </c>
      <c r="W150" s="251">
        <f>+'Bal Sheet'!M100</f>
        <v>0</v>
      </c>
      <c r="X150" s="251">
        <f>+'Bal Sheet'!N100</f>
        <v>0</v>
      </c>
      <c r="Y150" s="251">
        <f>+'Bal Sheet'!O100</f>
        <v>0</v>
      </c>
      <c r="Z150" s="251">
        <f>+'Bal Sheet'!P100</f>
        <v>0</v>
      </c>
      <c r="AA150" s="251">
        <f>+'Bal Sheet'!Q100</f>
        <v>0</v>
      </c>
      <c r="AB150" s="251">
        <f>+'Bal Sheet'!R100</f>
        <v>0</v>
      </c>
      <c r="AC150" s="251">
        <f>+'Bal Sheet'!S100</f>
        <v>0</v>
      </c>
      <c r="AD150" s="251">
        <f>+'Bal Sheet'!T100</f>
        <v>0</v>
      </c>
      <c r="AF150" s="579"/>
      <c r="AG150" s="579"/>
      <c r="AH150" s="579"/>
      <c r="AI150" s="579"/>
      <c r="AJ150" s="579"/>
      <c r="AK150" s="579"/>
      <c r="AL150" s="579"/>
      <c r="AM150" s="579"/>
      <c r="AN150" s="579"/>
      <c r="AO150" s="579"/>
      <c r="AP150" s="579"/>
      <c r="AQ150" s="579"/>
      <c r="AR150" s="579"/>
      <c r="AS150" s="579"/>
      <c r="AT150" s="579"/>
      <c r="AU150" s="579"/>
      <c r="AV150" s="579"/>
      <c r="AW150" s="579"/>
      <c r="AX150" s="579"/>
      <c r="AY150" s="579"/>
      <c r="AZ150" s="579"/>
      <c r="BA150" s="579"/>
      <c r="BB150" s="579"/>
      <c r="BC150" s="579"/>
      <c r="BD150" s="579"/>
      <c r="BE150" s="579"/>
      <c r="BF150" s="579"/>
      <c r="BG150" s="579"/>
      <c r="BH150" s="579"/>
      <c r="BI150" s="579"/>
      <c r="BJ150" s="579"/>
      <c r="BK150" s="579"/>
    </row>
    <row r="151" spans="1:63" s="245" customFormat="1">
      <c r="A151" s="243"/>
      <c r="B151" s="246" t="s">
        <v>1138</v>
      </c>
      <c r="C151" s="244" t="s">
        <v>1139</v>
      </c>
      <c r="D151" s="243"/>
      <c r="F151" s="245">
        <f t="shared" ref="F151:AD151" si="178">SUM(F148:F150)</f>
        <v>0</v>
      </c>
      <c r="G151" s="245">
        <f t="shared" si="178"/>
        <v>0</v>
      </c>
      <c r="H151" s="245">
        <f t="shared" si="178"/>
        <v>0</v>
      </c>
      <c r="I151" s="245">
        <f t="shared" si="178"/>
        <v>0</v>
      </c>
      <c r="J151" s="245">
        <f t="shared" si="178"/>
        <v>0</v>
      </c>
      <c r="K151" s="245">
        <f t="shared" si="178"/>
        <v>0</v>
      </c>
      <c r="M151" s="245">
        <f t="shared" si="178"/>
        <v>106.818</v>
      </c>
      <c r="N151" s="245">
        <f t="shared" si="178"/>
        <v>76.733000000000004</v>
      </c>
      <c r="O151" s="245">
        <f t="shared" si="178"/>
        <v>40.555</v>
      </c>
      <c r="P151" s="245">
        <f t="shared" si="178"/>
        <v>13.400000000000002</v>
      </c>
      <c r="Q151" s="245">
        <f t="shared" si="178"/>
        <v>41.3</v>
      </c>
      <c r="R151" s="245">
        <f t="shared" si="178"/>
        <v>105.29999999999998</v>
      </c>
      <c r="S151" s="245">
        <f t="shared" si="178"/>
        <v>162.6</v>
      </c>
      <c r="T151" s="245">
        <f t="shared" si="178"/>
        <v>0</v>
      </c>
      <c r="U151" s="245">
        <f t="shared" si="178"/>
        <v>42.800000000000004</v>
      </c>
      <c r="V151" s="245">
        <f t="shared" si="178"/>
        <v>21.4</v>
      </c>
      <c r="W151" s="245">
        <f t="shared" si="178"/>
        <v>0</v>
      </c>
      <c r="X151" s="245">
        <f t="shared" si="178"/>
        <v>0</v>
      </c>
      <c r="Y151" s="245">
        <f t="shared" si="178"/>
        <v>0</v>
      </c>
      <c r="Z151" s="245">
        <f>SUM(Z148:Z150)</f>
        <v>0</v>
      </c>
      <c r="AA151" s="245">
        <f>SUM(AA148:AA150)</f>
        <v>0</v>
      </c>
      <c r="AB151" s="245">
        <f>SUM(AB148:AB150)</f>
        <v>0</v>
      </c>
      <c r="AC151" s="245">
        <f t="shared" si="178"/>
        <v>0</v>
      </c>
      <c r="AD151" s="245">
        <f t="shared" si="178"/>
        <v>0</v>
      </c>
      <c r="AF151" s="580">
        <f t="shared" ref="AF151:BK151" si="179">SUM(AF148:AF150)</f>
        <v>0</v>
      </c>
      <c r="AG151" s="580">
        <f t="shared" si="179"/>
        <v>0</v>
      </c>
      <c r="AH151" s="580">
        <f t="shared" si="179"/>
        <v>0</v>
      </c>
      <c r="AI151" s="580">
        <f t="shared" si="179"/>
        <v>0</v>
      </c>
      <c r="AJ151" s="580">
        <f t="shared" si="179"/>
        <v>0</v>
      </c>
      <c r="AK151" s="580">
        <f t="shared" si="179"/>
        <v>0</v>
      </c>
      <c r="AL151" s="580">
        <f t="shared" si="179"/>
        <v>0</v>
      </c>
      <c r="AM151" s="580">
        <f t="shared" si="179"/>
        <v>0</v>
      </c>
      <c r="AN151" s="580">
        <f t="shared" si="179"/>
        <v>0</v>
      </c>
      <c r="AO151" s="580">
        <f t="shared" si="179"/>
        <v>0</v>
      </c>
      <c r="AP151" s="580">
        <f t="shared" si="179"/>
        <v>0</v>
      </c>
      <c r="AQ151" s="580">
        <f t="shared" si="179"/>
        <v>0</v>
      </c>
      <c r="AR151" s="580">
        <f t="shared" si="179"/>
        <v>0</v>
      </c>
      <c r="AS151" s="580">
        <f t="shared" si="179"/>
        <v>0</v>
      </c>
      <c r="AT151" s="580">
        <f t="shared" si="179"/>
        <v>0</v>
      </c>
      <c r="AU151" s="580">
        <f t="shared" si="179"/>
        <v>0</v>
      </c>
      <c r="AV151" s="580">
        <f t="shared" si="179"/>
        <v>0</v>
      </c>
      <c r="AW151" s="580">
        <f t="shared" si="179"/>
        <v>0</v>
      </c>
      <c r="AX151" s="580">
        <f t="shared" si="179"/>
        <v>0</v>
      </c>
      <c r="AY151" s="580">
        <f t="shared" si="179"/>
        <v>0</v>
      </c>
      <c r="AZ151" s="580">
        <f t="shared" si="179"/>
        <v>0</v>
      </c>
      <c r="BA151" s="580">
        <f t="shared" si="179"/>
        <v>0</v>
      </c>
      <c r="BB151" s="580">
        <f t="shared" si="179"/>
        <v>0</v>
      </c>
      <c r="BC151" s="580">
        <f t="shared" si="179"/>
        <v>0</v>
      </c>
      <c r="BD151" s="580">
        <f t="shared" si="179"/>
        <v>0</v>
      </c>
      <c r="BE151" s="580">
        <f t="shared" si="179"/>
        <v>0</v>
      </c>
      <c r="BF151" s="580">
        <f t="shared" si="179"/>
        <v>0</v>
      </c>
      <c r="BG151" s="580">
        <f t="shared" si="179"/>
        <v>0</v>
      </c>
      <c r="BH151" s="580">
        <f t="shared" si="179"/>
        <v>0</v>
      </c>
      <c r="BI151" s="580">
        <f t="shared" si="179"/>
        <v>0</v>
      </c>
      <c r="BJ151" s="580">
        <f t="shared" si="179"/>
        <v>0</v>
      </c>
      <c r="BK151" s="580">
        <f t="shared" si="179"/>
        <v>0</v>
      </c>
    </row>
    <row r="152" spans="1:63" s="240" customFormat="1">
      <c r="A152" s="209"/>
      <c r="B152" s="220" t="s">
        <v>1140</v>
      </c>
      <c r="C152" s="220" t="s">
        <v>1141</v>
      </c>
      <c r="D152" s="209"/>
      <c r="F152" s="251"/>
      <c r="G152" s="251"/>
      <c r="H152" s="251"/>
      <c r="I152" s="251"/>
      <c r="J152" s="251"/>
      <c r="K152" s="251"/>
      <c r="L152" s="251"/>
      <c r="M152" s="251">
        <f>+'Bal Sheet'!C87</f>
        <v>13454.636399999998</v>
      </c>
      <c r="N152" s="251">
        <f>+'Bal Sheet'!D87</f>
        <v>14966.813999999998</v>
      </c>
      <c r="O152" s="251">
        <f>+'Bal Sheet'!E87</f>
        <v>16286.413</v>
      </c>
      <c r="P152" s="251">
        <f>+'Bal Sheet'!F87</f>
        <v>17787.199999999997</v>
      </c>
      <c r="Q152" s="251">
        <f>+'Bal Sheet'!G87</f>
        <v>19224.300000000003</v>
      </c>
      <c r="R152" s="251">
        <f>+'Bal Sheet'!H87</f>
        <v>17267.899999999998</v>
      </c>
      <c r="S152" s="251">
        <f>+'Bal Sheet'!I87</f>
        <v>18093.900000000001</v>
      </c>
      <c r="T152" s="251">
        <f>+'Bal Sheet'!J87</f>
        <v>18996.599999999999</v>
      </c>
      <c r="U152" s="251">
        <f>+'Bal Sheet'!K87</f>
        <v>19124.5</v>
      </c>
      <c r="V152" s="251">
        <f>+'Bal Sheet'!L87</f>
        <v>19143.3</v>
      </c>
      <c r="W152" s="251">
        <f>+'Bal Sheet'!M87</f>
        <v>20244.2</v>
      </c>
      <c r="X152" s="251">
        <f>+'Bal Sheet'!N87</f>
        <v>20710</v>
      </c>
      <c r="Y152" s="251">
        <f>+'Bal Sheet'!O87</f>
        <v>21836.7</v>
      </c>
      <c r="Z152" s="251">
        <f>+'Bal Sheet'!P87</f>
        <v>23645.8</v>
      </c>
      <c r="AA152" s="251">
        <f>+'Bal Sheet'!Q87</f>
        <v>26718.7</v>
      </c>
      <c r="AB152" s="251">
        <f>+'Bal Sheet'!R87</f>
        <v>30092.9725</v>
      </c>
      <c r="AC152" s="251">
        <f>+'Bal Sheet'!S87</f>
        <v>33743.245000000003</v>
      </c>
      <c r="AD152" s="251">
        <f>+'Bal Sheet'!T87</f>
        <v>37726.420000000006</v>
      </c>
      <c r="AF152" s="579"/>
      <c r="AG152" s="579"/>
      <c r="AH152" s="579"/>
      <c r="AI152" s="579"/>
      <c r="AJ152" s="579"/>
      <c r="AK152" s="579"/>
      <c r="AL152" s="579"/>
      <c r="AM152" s="579"/>
      <c r="AN152" s="579"/>
      <c r="AO152" s="579"/>
      <c r="AP152" s="579"/>
      <c r="AQ152" s="579"/>
      <c r="AR152" s="579"/>
      <c r="AS152" s="579"/>
      <c r="AT152" s="579"/>
      <c r="AU152" s="579"/>
      <c r="AV152" s="579"/>
      <c r="AW152" s="579"/>
      <c r="AX152" s="579"/>
      <c r="AY152" s="579"/>
      <c r="AZ152" s="579"/>
      <c r="BA152" s="579"/>
      <c r="BB152" s="579"/>
      <c r="BC152" s="579"/>
      <c r="BD152" s="579"/>
      <c r="BE152" s="579"/>
      <c r="BF152" s="579"/>
      <c r="BG152" s="579"/>
      <c r="BH152" s="579"/>
      <c r="BI152" s="579"/>
      <c r="BJ152" s="579"/>
      <c r="BK152" s="579"/>
    </row>
    <row r="153" spans="1:63" s="245" customFormat="1">
      <c r="A153" s="243"/>
      <c r="B153" s="246" t="s">
        <v>1142</v>
      </c>
      <c r="C153" s="246" t="s">
        <v>301</v>
      </c>
      <c r="D153" s="243"/>
      <c r="F153" s="245">
        <f t="shared" ref="F153:AD153" si="180">F143-F152</f>
        <v>0</v>
      </c>
      <c r="G153" s="245">
        <f t="shared" si="180"/>
        <v>0</v>
      </c>
      <c r="H153" s="245">
        <f t="shared" si="180"/>
        <v>0</v>
      </c>
      <c r="I153" s="245">
        <f t="shared" si="180"/>
        <v>0</v>
      </c>
      <c r="J153" s="245">
        <f t="shared" si="180"/>
        <v>0</v>
      </c>
      <c r="K153" s="245">
        <f t="shared" si="180"/>
        <v>0</v>
      </c>
      <c r="M153" s="245">
        <f t="shared" si="180"/>
        <v>12874.061600000003</v>
      </c>
      <c r="N153" s="245">
        <f t="shared" si="180"/>
        <v>12139.788000000004</v>
      </c>
      <c r="O153" s="245">
        <f t="shared" si="180"/>
        <v>11190.261999999999</v>
      </c>
      <c r="P153" s="245">
        <f t="shared" si="180"/>
        <v>11155.000000000004</v>
      </c>
      <c r="Q153" s="245">
        <f t="shared" si="180"/>
        <v>12561.099999999995</v>
      </c>
      <c r="R153" s="245">
        <f t="shared" si="180"/>
        <v>12732.900000000001</v>
      </c>
      <c r="S153" s="245">
        <f t="shared" si="180"/>
        <v>15463.799999999996</v>
      </c>
      <c r="T153" s="245">
        <f t="shared" si="180"/>
        <v>14795.900000000001</v>
      </c>
      <c r="U153" s="245">
        <f t="shared" si="180"/>
        <v>14827.100000000006</v>
      </c>
      <c r="V153" s="245">
        <f t="shared" si="180"/>
        <v>14817.3</v>
      </c>
      <c r="W153" s="245">
        <f t="shared" si="180"/>
        <v>18044.3</v>
      </c>
      <c r="X153" s="245">
        <f t="shared" si="180"/>
        <v>20060.400000000001</v>
      </c>
      <c r="Y153" s="245">
        <f t="shared" si="180"/>
        <v>19172.399999999998</v>
      </c>
      <c r="Z153" s="245">
        <f>Z143-Z152</f>
        <v>20256.7</v>
      </c>
      <c r="AA153" s="245">
        <f>AA143-AA152</f>
        <v>20183.8</v>
      </c>
      <c r="AB153" s="245">
        <f>AB143-AB152</f>
        <v>20809.5275</v>
      </c>
      <c r="AC153" s="245">
        <f t="shared" si="180"/>
        <v>21159.254999999997</v>
      </c>
      <c r="AD153" s="245">
        <f t="shared" si="180"/>
        <v>21176.079999999994</v>
      </c>
      <c r="AF153" s="580">
        <f t="shared" ref="AF153:BK153" si="181">AF143-AF152</f>
        <v>0</v>
      </c>
      <c r="AG153" s="580">
        <f t="shared" si="181"/>
        <v>0</v>
      </c>
      <c r="AH153" s="580">
        <f t="shared" si="181"/>
        <v>0</v>
      </c>
      <c r="AI153" s="580">
        <f t="shared" si="181"/>
        <v>0</v>
      </c>
      <c r="AJ153" s="580">
        <f t="shared" si="181"/>
        <v>0</v>
      </c>
      <c r="AK153" s="580">
        <f t="shared" si="181"/>
        <v>0</v>
      </c>
      <c r="AL153" s="580">
        <f t="shared" si="181"/>
        <v>0</v>
      </c>
      <c r="AM153" s="580">
        <f t="shared" si="181"/>
        <v>0</v>
      </c>
      <c r="AN153" s="580">
        <f t="shared" si="181"/>
        <v>0</v>
      </c>
      <c r="AO153" s="580">
        <f t="shared" si="181"/>
        <v>0</v>
      </c>
      <c r="AP153" s="580">
        <f t="shared" si="181"/>
        <v>0</v>
      </c>
      <c r="AQ153" s="580">
        <f t="shared" si="181"/>
        <v>0</v>
      </c>
      <c r="AR153" s="580">
        <f t="shared" si="181"/>
        <v>0</v>
      </c>
      <c r="AS153" s="580">
        <f t="shared" si="181"/>
        <v>0</v>
      </c>
      <c r="AT153" s="580">
        <f t="shared" si="181"/>
        <v>0</v>
      </c>
      <c r="AU153" s="580">
        <f t="shared" si="181"/>
        <v>0</v>
      </c>
      <c r="AV153" s="580">
        <f t="shared" si="181"/>
        <v>0</v>
      </c>
      <c r="AW153" s="580">
        <f t="shared" si="181"/>
        <v>0</v>
      </c>
      <c r="AX153" s="580">
        <f t="shared" si="181"/>
        <v>0</v>
      </c>
      <c r="AY153" s="580">
        <f t="shared" si="181"/>
        <v>0</v>
      </c>
      <c r="AZ153" s="580">
        <f t="shared" si="181"/>
        <v>0</v>
      </c>
      <c r="BA153" s="580">
        <f t="shared" si="181"/>
        <v>0</v>
      </c>
      <c r="BB153" s="580">
        <f t="shared" si="181"/>
        <v>0</v>
      </c>
      <c r="BC153" s="580">
        <f t="shared" si="181"/>
        <v>0</v>
      </c>
      <c r="BD153" s="580">
        <f t="shared" si="181"/>
        <v>0</v>
      </c>
      <c r="BE153" s="580">
        <f t="shared" si="181"/>
        <v>0</v>
      </c>
      <c r="BF153" s="580">
        <f t="shared" si="181"/>
        <v>0</v>
      </c>
      <c r="BG153" s="580">
        <f t="shared" si="181"/>
        <v>0</v>
      </c>
      <c r="BH153" s="580">
        <f t="shared" si="181"/>
        <v>0</v>
      </c>
      <c r="BI153" s="580">
        <f t="shared" si="181"/>
        <v>0</v>
      </c>
      <c r="BJ153" s="580">
        <f t="shared" si="181"/>
        <v>0</v>
      </c>
      <c r="BK153" s="580">
        <f t="shared" si="181"/>
        <v>0</v>
      </c>
    </row>
    <row r="154" spans="1:63" s="240" customFormat="1">
      <c r="A154" s="209"/>
      <c r="B154" s="220" t="s">
        <v>1143</v>
      </c>
      <c r="C154" s="220" t="s">
        <v>1144</v>
      </c>
      <c r="D154" s="209"/>
      <c r="F154" s="251"/>
      <c r="G154" s="251"/>
      <c r="H154" s="251"/>
      <c r="I154" s="251"/>
      <c r="J154" s="251"/>
      <c r="K154" s="251"/>
      <c r="L154" s="251"/>
      <c r="M154" s="251">
        <f>+'Bal Sheet'!C89</f>
        <v>40.061</v>
      </c>
      <c r="N154" s="251">
        <f>+'Bal Sheet'!D89</f>
        <v>82.715000000000003</v>
      </c>
      <c r="O154" s="251">
        <f>+'Bal Sheet'!E89</f>
        <v>83.566000000000003</v>
      </c>
      <c r="P154" s="251">
        <f>+'Bal Sheet'!F89</f>
        <v>241.8</v>
      </c>
      <c r="Q154" s="251">
        <f>+'Bal Sheet'!G89</f>
        <v>269.2</v>
      </c>
      <c r="R154" s="251">
        <f>+'Bal Sheet'!H89</f>
        <v>347.4</v>
      </c>
      <c r="S154" s="251">
        <f>+'Bal Sheet'!I89</f>
        <v>220.6</v>
      </c>
      <c r="T154" s="251">
        <f>+'Bal Sheet'!J89</f>
        <v>415.2</v>
      </c>
      <c r="U154" s="251">
        <f>+'Bal Sheet'!K89</f>
        <v>698.6</v>
      </c>
      <c r="V154" s="251">
        <f>+'Bal Sheet'!L89</f>
        <v>416.5</v>
      </c>
      <c r="W154" s="251">
        <f>+'Bal Sheet'!M89</f>
        <v>2935.5</v>
      </c>
      <c r="X154" s="251">
        <f>+'Bal Sheet'!N89</f>
        <v>1440.6</v>
      </c>
      <c r="Y154" s="251">
        <f>+'Bal Sheet'!O89</f>
        <v>2549.4</v>
      </c>
      <c r="Z154" s="251">
        <f>+'Bal Sheet'!P89</f>
        <v>522.4</v>
      </c>
      <c r="AA154" s="251">
        <f>+'Bal Sheet'!Q89</f>
        <v>522.4</v>
      </c>
      <c r="AB154" s="251">
        <f>+'Bal Sheet'!R89</f>
        <v>522.4</v>
      </c>
      <c r="AC154" s="251">
        <f>+'Bal Sheet'!S89</f>
        <v>522.4</v>
      </c>
      <c r="AD154" s="251">
        <f>+'Bal Sheet'!T89</f>
        <v>522.4</v>
      </c>
      <c r="AF154" s="579"/>
      <c r="AG154" s="579"/>
      <c r="AH154" s="579"/>
      <c r="AI154" s="579"/>
      <c r="AJ154" s="579"/>
      <c r="AK154" s="579"/>
      <c r="AL154" s="579"/>
      <c r="AM154" s="579"/>
      <c r="AN154" s="579"/>
      <c r="AO154" s="579"/>
      <c r="AP154" s="579"/>
      <c r="AQ154" s="579"/>
      <c r="AR154" s="579"/>
      <c r="AS154" s="579"/>
      <c r="AT154" s="579"/>
      <c r="AU154" s="579"/>
      <c r="AV154" s="579"/>
      <c r="AW154" s="579"/>
      <c r="AX154" s="579"/>
      <c r="AY154" s="579"/>
      <c r="AZ154" s="579"/>
      <c r="BA154" s="579"/>
      <c r="BB154" s="579"/>
      <c r="BC154" s="579"/>
      <c r="BD154" s="579"/>
      <c r="BE154" s="579"/>
      <c r="BF154" s="579"/>
      <c r="BG154" s="579"/>
      <c r="BH154" s="579"/>
      <c r="BI154" s="579"/>
      <c r="BJ154" s="579"/>
      <c r="BK154" s="579"/>
    </row>
    <row r="155" spans="1:63" s="245" customFormat="1">
      <c r="A155" s="243"/>
      <c r="B155" s="246" t="s">
        <v>1145</v>
      </c>
      <c r="C155" s="246" t="s">
        <v>60</v>
      </c>
      <c r="D155" s="243"/>
      <c r="F155" s="245">
        <f t="shared" ref="F155:AD155" si="182">SUM(F156:F157)</f>
        <v>0</v>
      </c>
      <c r="G155" s="245">
        <f t="shared" si="182"/>
        <v>0</v>
      </c>
      <c r="H155" s="245">
        <f t="shared" si="182"/>
        <v>0</v>
      </c>
      <c r="I155" s="245">
        <f t="shared" si="182"/>
        <v>0</v>
      </c>
      <c r="J155" s="245">
        <f t="shared" si="182"/>
        <v>0</v>
      </c>
      <c r="K155" s="245">
        <f t="shared" si="182"/>
        <v>0</v>
      </c>
      <c r="M155" s="245">
        <f t="shared" si="182"/>
        <v>27298.938000000002</v>
      </c>
      <c r="N155" s="245">
        <f t="shared" si="182"/>
        <v>38554.399999999994</v>
      </c>
      <c r="O155" s="245">
        <f t="shared" si="182"/>
        <v>45605.754000000001</v>
      </c>
      <c r="P155" s="245">
        <f t="shared" si="182"/>
        <v>58570.100000000006</v>
      </c>
      <c r="Q155" s="245">
        <f t="shared" si="182"/>
        <v>64474.9</v>
      </c>
      <c r="R155" s="245">
        <f t="shared" si="182"/>
        <v>15632.6</v>
      </c>
      <c r="S155" s="245">
        <f t="shared" si="182"/>
        <v>14231.9</v>
      </c>
      <c r="T155" s="245">
        <f t="shared" si="182"/>
        <v>40215.199999999997</v>
      </c>
      <c r="U155" s="245">
        <f t="shared" si="182"/>
        <v>47952</v>
      </c>
      <c r="V155" s="245">
        <f t="shared" si="182"/>
        <v>48828.399999999994</v>
      </c>
      <c r="W155" s="245">
        <f t="shared" si="182"/>
        <v>64304.899999999994</v>
      </c>
      <c r="X155" s="245">
        <f t="shared" si="182"/>
        <v>85588.3</v>
      </c>
      <c r="Y155" s="245">
        <f t="shared" si="182"/>
        <v>91644</v>
      </c>
      <c r="Z155" s="245">
        <f>SUM(Z156:Z157)</f>
        <v>95126.6</v>
      </c>
      <c r="AA155" s="245">
        <f>SUM(AA156:AA157)</f>
        <v>135126.59999999998</v>
      </c>
      <c r="AB155" s="245">
        <f>SUM(AB156:AB157)</f>
        <v>155126.59999999998</v>
      </c>
      <c r="AC155" s="245">
        <f t="shared" si="182"/>
        <v>170126.59999999998</v>
      </c>
      <c r="AD155" s="245">
        <f t="shared" si="182"/>
        <v>170126.59999999998</v>
      </c>
      <c r="AF155" s="580">
        <f t="shared" ref="AF155:BK155" si="183">SUM(AF156:AF157)</f>
        <v>0</v>
      </c>
      <c r="AG155" s="580">
        <f t="shared" si="183"/>
        <v>0</v>
      </c>
      <c r="AH155" s="580">
        <f t="shared" si="183"/>
        <v>0</v>
      </c>
      <c r="AI155" s="580">
        <f t="shared" si="183"/>
        <v>0</v>
      </c>
      <c r="AJ155" s="580">
        <f t="shared" si="183"/>
        <v>0</v>
      </c>
      <c r="AK155" s="580">
        <f t="shared" si="183"/>
        <v>0</v>
      </c>
      <c r="AL155" s="580">
        <f t="shared" si="183"/>
        <v>0</v>
      </c>
      <c r="AM155" s="580">
        <f t="shared" si="183"/>
        <v>0</v>
      </c>
      <c r="AN155" s="580">
        <f t="shared" si="183"/>
        <v>0</v>
      </c>
      <c r="AO155" s="580">
        <f t="shared" si="183"/>
        <v>0</v>
      </c>
      <c r="AP155" s="580">
        <f t="shared" si="183"/>
        <v>0</v>
      </c>
      <c r="AQ155" s="580">
        <f t="shared" si="183"/>
        <v>0</v>
      </c>
      <c r="AR155" s="580">
        <f t="shared" si="183"/>
        <v>0</v>
      </c>
      <c r="AS155" s="580">
        <f t="shared" si="183"/>
        <v>0</v>
      </c>
      <c r="AT155" s="580">
        <f t="shared" si="183"/>
        <v>0</v>
      </c>
      <c r="AU155" s="580">
        <f t="shared" si="183"/>
        <v>0</v>
      </c>
      <c r="AV155" s="580">
        <f t="shared" si="183"/>
        <v>0</v>
      </c>
      <c r="AW155" s="580">
        <f t="shared" si="183"/>
        <v>0</v>
      </c>
      <c r="AX155" s="580">
        <f t="shared" si="183"/>
        <v>0</v>
      </c>
      <c r="AY155" s="580">
        <f t="shared" si="183"/>
        <v>0</v>
      </c>
      <c r="AZ155" s="580">
        <f t="shared" si="183"/>
        <v>0</v>
      </c>
      <c r="BA155" s="580">
        <f t="shared" si="183"/>
        <v>0</v>
      </c>
      <c r="BB155" s="580">
        <f t="shared" si="183"/>
        <v>0</v>
      </c>
      <c r="BC155" s="580">
        <f t="shared" si="183"/>
        <v>0</v>
      </c>
      <c r="BD155" s="580">
        <f t="shared" si="183"/>
        <v>0</v>
      </c>
      <c r="BE155" s="580">
        <f t="shared" si="183"/>
        <v>0</v>
      </c>
      <c r="BF155" s="580">
        <f t="shared" si="183"/>
        <v>0</v>
      </c>
      <c r="BG155" s="580">
        <f t="shared" si="183"/>
        <v>0</v>
      </c>
      <c r="BH155" s="580">
        <f t="shared" si="183"/>
        <v>0</v>
      </c>
      <c r="BI155" s="580">
        <f t="shared" si="183"/>
        <v>0</v>
      </c>
      <c r="BJ155" s="580">
        <f t="shared" si="183"/>
        <v>0</v>
      </c>
      <c r="BK155" s="580">
        <f t="shared" si="183"/>
        <v>0</v>
      </c>
    </row>
    <row r="156" spans="1:63" s="248" customFormat="1">
      <c r="A156" s="247"/>
      <c r="B156" s="220" t="s">
        <v>1146</v>
      </c>
      <c r="C156" s="220" t="s">
        <v>1147</v>
      </c>
      <c r="D156" s="247"/>
      <c r="F156" s="249"/>
      <c r="G156" s="249"/>
      <c r="H156" s="249"/>
      <c r="I156" s="249"/>
      <c r="J156" s="249"/>
      <c r="K156" s="249"/>
      <c r="L156" s="260"/>
      <c r="M156" s="249">
        <f>+'Bal Sheet'!C17</f>
        <v>27298.938000000002</v>
      </c>
      <c r="N156" s="249">
        <f>+'Bal Sheet'!D17</f>
        <v>38554.399999999994</v>
      </c>
      <c r="O156" s="249">
        <f>+'Bal Sheet'!E17</f>
        <v>45605.754000000001</v>
      </c>
      <c r="P156" s="249">
        <f>+'Bal Sheet'!F17</f>
        <v>58570.100000000006</v>
      </c>
      <c r="Q156" s="249">
        <f>+'Bal Sheet'!G17</f>
        <v>64474.9</v>
      </c>
      <c r="R156" s="249">
        <f>+'Bal Sheet'!H17</f>
        <v>15632.6</v>
      </c>
      <c r="S156" s="249">
        <f>+'Bal Sheet'!I17</f>
        <v>14231.9</v>
      </c>
      <c r="T156" s="249">
        <f>+'Bal Sheet'!J17</f>
        <v>40215.199999999997</v>
      </c>
      <c r="U156" s="249">
        <f>+'Bal Sheet'!K17</f>
        <v>47952</v>
      </c>
      <c r="V156" s="249">
        <f>+'Bal Sheet'!L17</f>
        <v>48828.399999999994</v>
      </c>
      <c r="W156" s="249">
        <f>+'Bal Sheet'!M17</f>
        <v>64304.899999999994</v>
      </c>
      <c r="X156" s="249">
        <f>+'Bal Sheet'!N17</f>
        <v>85588.3</v>
      </c>
      <c r="Y156" s="249">
        <f>+'Bal Sheet'!O17</f>
        <v>91644</v>
      </c>
      <c r="Z156" s="249">
        <f>+'Bal Sheet'!P17</f>
        <v>95126.6</v>
      </c>
      <c r="AA156" s="249">
        <f>+'Bal Sheet'!Q17</f>
        <v>135126.59999999998</v>
      </c>
      <c r="AB156" s="249">
        <f>+'Bal Sheet'!R17</f>
        <v>155126.59999999998</v>
      </c>
      <c r="AC156" s="249">
        <f>+'Bal Sheet'!S17</f>
        <v>170126.59999999998</v>
      </c>
      <c r="AD156" s="249">
        <f>+'Bal Sheet'!T17</f>
        <v>170126.59999999998</v>
      </c>
      <c r="AF156" s="581"/>
      <c r="AG156" s="581"/>
      <c r="AH156" s="581"/>
      <c r="AI156" s="581"/>
      <c r="AJ156" s="581"/>
      <c r="AK156" s="581"/>
      <c r="AL156" s="581"/>
      <c r="AM156" s="581"/>
      <c r="AN156" s="581"/>
      <c r="AO156" s="581"/>
      <c r="AP156" s="581"/>
      <c r="AQ156" s="581"/>
      <c r="AR156" s="581"/>
      <c r="AS156" s="581"/>
      <c r="AT156" s="581"/>
      <c r="AU156" s="581"/>
      <c r="AV156" s="581"/>
      <c r="AW156" s="581"/>
      <c r="AX156" s="581"/>
      <c r="AY156" s="581"/>
      <c r="AZ156" s="581"/>
      <c r="BA156" s="581"/>
      <c r="BB156" s="581"/>
      <c r="BC156" s="581"/>
      <c r="BD156" s="581"/>
      <c r="BE156" s="581"/>
      <c r="BF156" s="581"/>
      <c r="BG156" s="581"/>
      <c r="BH156" s="581"/>
      <c r="BI156" s="581"/>
      <c r="BJ156" s="581"/>
      <c r="BK156" s="581"/>
    </row>
    <row r="157" spans="1:63" s="248" customFormat="1">
      <c r="A157" s="247"/>
      <c r="B157" s="220" t="s">
        <v>1148</v>
      </c>
      <c r="C157" s="220" t="s">
        <v>1149</v>
      </c>
      <c r="D157" s="247"/>
      <c r="F157" s="249"/>
      <c r="G157" s="249"/>
      <c r="H157" s="249"/>
      <c r="I157" s="249"/>
      <c r="J157" s="249"/>
      <c r="K157" s="249"/>
      <c r="L157" s="249"/>
      <c r="M157" s="249"/>
      <c r="N157" s="249"/>
      <c r="O157" s="249"/>
      <c r="P157" s="249"/>
      <c r="Q157" s="249"/>
      <c r="R157" s="249"/>
      <c r="S157" s="249"/>
      <c r="T157" s="249"/>
      <c r="U157" s="249"/>
      <c r="V157" s="249"/>
      <c r="W157" s="249"/>
      <c r="X157" s="249"/>
      <c r="Y157" s="249"/>
      <c r="Z157" s="249"/>
      <c r="AA157" s="249"/>
      <c r="AB157" s="249"/>
      <c r="AC157" s="249"/>
      <c r="AD157" s="249"/>
      <c r="AF157" s="581"/>
      <c r="AG157" s="581"/>
      <c r="AH157" s="581"/>
      <c r="AI157" s="581"/>
      <c r="AJ157" s="581"/>
      <c r="AK157" s="581"/>
      <c r="AL157" s="581"/>
      <c r="AM157" s="581"/>
      <c r="AN157" s="581"/>
      <c r="AO157" s="581"/>
      <c r="AP157" s="581"/>
      <c r="AQ157" s="581"/>
      <c r="AR157" s="581"/>
      <c r="AS157" s="581"/>
      <c r="AT157" s="581"/>
      <c r="AU157" s="581"/>
      <c r="AV157" s="581"/>
      <c r="AW157" s="581"/>
      <c r="AX157" s="581"/>
      <c r="AY157" s="581"/>
      <c r="AZ157" s="581"/>
      <c r="BA157" s="581"/>
      <c r="BB157" s="581"/>
      <c r="BC157" s="581"/>
      <c r="BD157" s="581"/>
      <c r="BE157" s="581"/>
      <c r="BF157" s="581"/>
      <c r="BG157" s="581"/>
      <c r="BH157" s="581"/>
      <c r="BI157" s="581"/>
      <c r="BJ157" s="581"/>
      <c r="BK157" s="581"/>
    </row>
    <row r="158" spans="1:63" s="245" customFormat="1">
      <c r="A158" s="243"/>
      <c r="B158" s="246" t="s">
        <v>1150</v>
      </c>
      <c r="C158" s="244" t="s">
        <v>699</v>
      </c>
      <c r="D158" s="243"/>
      <c r="F158" s="245">
        <f t="shared" ref="F158:AD158" si="184">F159+F160+F161+F162+F165</f>
        <v>0</v>
      </c>
      <c r="G158" s="245">
        <f t="shared" si="184"/>
        <v>0</v>
      </c>
      <c r="H158" s="245">
        <f t="shared" si="184"/>
        <v>0</v>
      </c>
      <c r="I158" s="245">
        <f t="shared" si="184"/>
        <v>0</v>
      </c>
      <c r="J158" s="245">
        <f t="shared" si="184"/>
        <v>0</v>
      </c>
      <c r="K158" s="245">
        <f t="shared" si="184"/>
        <v>0</v>
      </c>
      <c r="M158" s="245">
        <f t="shared" si="184"/>
        <v>21551.292000000001</v>
      </c>
      <c r="N158" s="245">
        <f t="shared" si="184"/>
        <v>20530.441000000003</v>
      </c>
      <c r="O158" s="245">
        <f t="shared" si="184"/>
        <v>25897.393000000004</v>
      </c>
      <c r="P158" s="245">
        <f t="shared" si="184"/>
        <v>28560.000000000004</v>
      </c>
      <c r="Q158" s="245">
        <f t="shared" si="184"/>
        <v>38186.199999999997</v>
      </c>
      <c r="R158" s="245">
        <f t="shared" si="184"/>
        <v>16680.5</v>
      </c>
      <c r="S158" s="245">
        <f t="shared" si="184"/>
        <v>23019.200000000001</v>
      </c>
      <c r="T158" s="245">
        <f t="shared" si="184"/>
        <v>30009.500000000004</v>
      </c>
      <c r="U158" s="245">
        <f t="shared" si="184"/>
        <v>28725.899999999998</v>
      </c>
      <c r="V158" s="245">
        <f t="shared" si="184"/>
        <v>46748.799999999996</v>
      </c>
      <c r="W158" s="245">
        <f t="shared" si="184"/>
        <v>39501.899999999994</v>
      </c>
      <c r="X158" s="245">
        <f t="shared" si="184"/>
        <v>40386.700000000004</v>
      </c>
      <c r="Y158" s="245">
        <f t="shared" si="184"/>
        <v>42257</v>
      </c>
      <c r="Z158" s="245">
        <f>Z159+Z160+Z161+Z162+Z165</f>
        <v>40821.699999999997</v>
      </c>
      <c r="AA158" s="245">
        <f>AA159+AA160+AA161+AA162+AA165</f>
        <v>35638.469837290162</v>
      </c>
      <c r="AB158" s="245">
        <f>AB159+AB160+AB161+AB162+AB165</f>
        <v>38405.944531066838</v>
      </c>
      <c r="AC158" s="245">
        <f t="shared" si="184"/>
        <v>48738.753026366197</v>
      </c>
      <c r="AD158" s="245">
        <f t="shared" si="184"/>
        <v>77981.416666085832</v>
      </c>
      <c r="AF158" s="580">
        <f t="shared" ref="AF158:BK158" si="185">AF159+AF160+AF161+AF162+AF165</f>
        <v>0</v>
      </c>
      <c r="AG158" s="580">
        <f t="shared" si="185"/>
        <v>0</v>
      </c>
      <c r="AH158" s="580">
        <f t="shared" si="185"/>
        <v>0</v>
      </c>
      <c r="AI158" s="580">
        <f t="shared" si="185"/>
        <v>0</v>
      </c>
      <c r="AJ158" s="580">
        <f t="shared" si="185"/>
        <v>0</v>
      </c>
      <c r="AK158" s="580">
        <f t="shared" si="185"/>
        <v>0</v>
      </c>
      <c r="AL158" s="580">
        <f t="shared" si="185"/>
        <v>0</v>
      </c>
      <c r="AM158" s="580">
        <f t="shared" si="185"/>
        <v>0</v>
      </c>
      <c r="AN158" s="580">
        <f t="shared" si="185"/>
        <v>0</v>
      </c>
      <c r="AO158" s="580">
        <f t="shared" si="185"/>
        <v>0</v>
      </c>
      <c r="AP158" s="580">
        <f t="shared" si="185"/>
        <v>0</v>
      </c>
      <c r="AQ158" s="580">
        <f t="shared" si="185"/>
        <v>0</v>
      </c>
      <c r="AR158" s="580">
        <f t="shared" si="185"/>
        <v>0</v>
      </c>
      <c r="AS158" s="580">
        <f t="shared" si="185"/>
        <v>0</v>
      </c>
      <c r="AT158" s="580">
        <f t="shared" si="185"/>
        <v>0</v>
      </c>
      <c r="AU158" s="580">
        <f t="shared" si="185"/>
        <v>0</v>
      </c>
      <c r="AV158" s="580">
        <f t="shared" si="185"/>
        <v>0</v>
      </c>
      <c r="AW158" s="580">
        <f t="shared" si="185"/>
        <v>0</v>
      </c>
      <c r="AX158" s="580">
        <f t="shared" si="185"/>
        <v>0</v>
      </c>
      <c r="AY158" s="580">
        <f t="shared" si="185"/>
        <v>0</v>
      </c>
      <c r="AZ158" s="580">
        <f t="shared" si="185"/>
        <v>0</v>
      </c>
      <c r="BA158" s="580">
        <f t="shared" si="185"/>
        <v>0</v>
      </c>
      <c r="BB158" s="580">
        <f t="shared" si="185"/>
        <v>0</v>
      </c>
      <c r="BC158" s="580">
        <f t="shared" si="185"/>
        <v>0</v>
      </c>
      <c r="BD158" s="580">
        <f t="shared" si="185"/>
        <v>0</v>
      </c>
      <c r="BE158" s="580">
        <f t="shared" si="185"/>
        <v>0</v>
      </c>
      <c r="BF158" s="580">
        <f t="shared" si="185"/>
        <v>0</v>
      </c>
      <c r="BG158" s="580">
        <f t="shared" si="185"/>
        <v>0</v>
      </c>
      <c r="BH158" s="580">
        <f t="shared" si="185"/>
        <v>0</v>
      </c>
      <c r="BI158" s="580">
        <f t="shared" si="185"/>
        <v>0</v>
      </c>
      <c r="BJ158" s="580">
        <f t="shared" si="185"/>
        <v>0</v>
      </c>
      <c r="BK158" s="580">
        <f t="shared" si="185"/>
        <v>0</v>
      </c>
    </row>
    <row r="159" spans="1:63" s="240" customFormat="1">
      <c r="A159" s="209"/>
      <c r="B159" s="220" t="s">
        <v>1151</v>
      </c>
      <c r="C159" s="220" t="s">
        <v>695</v>
      </c>
      <c r="D159" s="209"/>
      <c r="F159" s="251"/>
      <c r="G159" s="251"/>
      <c r="H159" s="251"/>
      <c r="I159" s="251"/>
      <c r="J159" s="251"/>
      <c r="K159" s="251"/>
      <c r="L159" s="251"/>
      <c r="M159" s="251">
        <f>+'Bal Sheet'!C9</f>
        <v>2079.81</v>
      </c>
      <c r="N159" s="251">
        <f>+'Bal Sheet'!D9</f>
        <v>2025.605</v>
      </c>
      <c r="O159" s="251">
        <f>+'Bal Sheet'!E9</f>
        <v>2241.7299999999996</v>
      </c>
      <c r="P159" s="251">
        <f>+'Bal Sheet'!F9</f>
        <v>2729.2999999999997</v>
      </c>
      <c r="Q159" s="251">
        <f>+'Bal Sheet'!G9</f>
        <v>3097</v>
      </c>
      <c r="R159" s="251">
        <f>+'Bal Sheet'!H9</f>
        <v>3661.3</v>
      </c>
      <c r="S159" s="251">
        <f>+'Bal Sheet'!I9</f>
        <v>3717.6</v>
      </c>
      <c r="T159" s="251">
        <f>+'Bal Sheet'!J9</f>
        <v>4462.1000000000004</v>
      </c>
      <c r="U159" s="251">
        <f>+'Bal Sheet'!K9</f>
        <v>5472.7999999999993</v>
      </c>
      <c r="V159" s="251">
        <f>+'Bal Sheet'!L9</f>
        <v>6785.3</v>
      </c>
      <c r="W159" s="251">
        <f>+'Bal Sheet'!M9</f>
        <v>6362.8</v>
      </c>
      <c r="X159" s="251">
        <f>+'Bal Sheet'!N9</f>
        <v>6397.2</v>
      </c>
      <c r="Y159" s="251">
        <f>+'Bal Sheet'!O9</f>
        <v>8141.5</v>
      </c>
      <c r="Z159" s="251">
        <f>+'Bal Sheet'!P9</f>
        <v>7190.7</v>
      </c>
      <c r="AA159" s="251">
        <f>+'Bal Sheet'!Q9</f>
        <v>6811.2479452054804</v>
      </c>
      <c r="AB159" s="251">
        <f>+'Bal Sheet'!R9</f>
        <v>7832.0934263895824</v>
      </c>
      <c r="AC159" s="251">
        <f>+'Bal Sheet'!S9</f>
        <v>9096.2050781350608</v>
      </c>
      <c r="AD159" s="251">
        <f>+'Bal Sheet'!T9</f>
        <v>10669.87793359743</v>
      </c>
      <c r="AF159" s="579"/>
      <c r="AG159" s="579"/>
      <c r="AH159" s="579"/>
      <c r="AI159" s="579"/>
      <c r="AJ159" s="579"/>
      <c r="AK159" s="579"/>
      <c r="AL159" s="579"/>
      <c r="AM159" s="579"/>
      <c r="AN159" s="579"/>
      <c r="AO159" s="579"/>
      <c r="AP159" s="579"/>
      <c r="AQ159" s="579"/>
      <c r="AR159" s="579"/>
      <c r="AS159" s="579"/>
      <c r="AT159" s="579"/>
      <c r="AU159" s="579"/>
      <c r="AV159" s="579"/>
      <c r="AW159" s="579"/>
      <c r="AX159" s="579"/>
      <c r="AY159" s="579"/>
      <c r="AZ159" s="579"/>
      <c r="BA159" s="579"/>
      <c r="BB159" s="579"/>
      <c r="BC159" s="579"/>
      <c r="BD159" s="579"/>
      <c r="BE159" s="579"/>
      <c r="BF159" s="579"/>
      <c r="BG159" s="579"/>
      <c r="BH159" s="579"/>
      <c r="BI159" s="579"/>
      <c r="BJ159" s="579"/>
      <c r="BK159" s="579"/>
    </row>
    <row r="160" spans="1:63" s="240" customFormat="1">
      <c r="A160" s="209"/>
      <c r="B160" s="220" t="s">
        <v>1152</v>
      </c>
      <c r="C160" s="220" t="s">
        <v>704</v>
      </c>
      <c r="D160" s="209"/>
      <c r="F160" s="251"/>
      <c r="G160" s="251"/>
      <c r="H160" s="251"/>
      <c r="I160" s="251"/>
      <c r="J160" s="251"/>
      <c r="K160" s="251"/>
      <c r="L160" s="251"/>
      <c r="M160" s="251">
        <f>+'Bal Sheet'!C10</f>
        <v>1670.3989999999999</v>
      </c>
      <c r="N160" s="251">
        <f>+'Bal Sheet'!D10</f>
        <v>1339.4799999999998</v>
      </c>
      <c r="O160" s="251">
        <f>+'Bal Sheet'!E10</f>
        <v>1763.451</v>
      </c>
      <c r="P160" s="251">
        <f>+'Bal Sheet'!F10</f>
        <v>3015.5</v>
      </c>
      <c r="Q160" s="251">
        <f>+'Bal Sheet'!G10</f>
        <v>5298.2999999999993</v>
      </c>
      <c r="R160" s="251">
        <f>+'Bal Sheet'!H10</f>
        <v>2528.5</v>
      </c>
      <c r="S160" s="251">
        <f>+'Bal Sheet'!I10</f>
        <v>2809.4</v>
      </c>
      <c r="T160" s="251">
        <f>+'Bal Sheet'!J10</f>
        <v>2728.4</v>
      </c>
      <c r="U160" s="251">
        <f>+'Bal Sheet'!K10</f>
        <v>3627.6</v>
      </c>
      <c r="V160" s="251">
        <f>+'Bal Sheet'!L10</f>
        <v>4227.8999999999996</v>
      </c>
      <c r="W160" s="251">
        <f>+'Bal Sheet'!M10</f>
        <v>7675.8</v>
      </c>
      <c r="X160" s="251">
        <f>+'Bal Sheet'!N10</f>
        <v>7962.1</v>
      </c>
      <c r="Y160" s="251">
        <f>+'Bal Sheet'!O10</f>
        <v>7169.6</v>
      </c>
      <c r="Z160" s="251">
        <f>+'Bal Sheet'!P10</f>
        <v>7179.3</v>
      </c>
      <c r="AA160" s="251">
        <f>+'Bal Sheet'!Q10</f>
        <v>6559.8213698630143</v>
      </c>
      <c r="AB160" s="251">
        <f>+'Bal Sheet'!R10</f>
        <v>7188.0446277437441</v>
      </c>
      <c r="AC160" s="251">
        <f>+'Bal Sheet'!S10</f>
        <v>8323.7601373856705</v>
      </c>
      <c r="AD160" s="251">
        <f>+'Bal Sheet'!T10</f>
        <v>9650.7578994188043</v>
      </c>
      <c r="AF160" s="579"/>
      <c r="AG160" s="579"/>
      <c r="AH160" s="579"/>
      <c r="AI160" s="579"/>
      <c r="AJ160" s="579"/>
      <c r="AK160" s="579"/>
      <c r="AL160" s="579"/>
      <c r="AM160" s="579"/>
      <c r="AN160" s="579"/>
      <c r="AO160" s="579"/>
      <c r="AP160" s="579"/>
      <c r="AQ160" s="579"/>
      <c r="AR160" s="579"/>
      <c r="AS160" s="579"/>
      <c r="AT160" s="579"/>
      <c r="AU160" s="579"/>
      <c r="AV160" s="579"/>
      <c r="AW160" s="579"/>
      <c r="AX160" s="579"/>
      <c r="AY160" s="579"/>
      <c r="AZ160" s="579"/>
      <c r="BA160" s="579"/>
      <c r="BB160" s="579"/>
      <c r="BC160" s="579"/>
      <c r="BD160" s="579"/>
      <c r="BE160" s="579"/>
      <c r="BF160" s="579"/>
      <c r="BG160" s="579"/>
      <c r="BH160" s="579"/>
      <c r="BI160" s="579"/>
      <c r="BJ160" s="579"/>
      <c r="BK160" s="579"/>
    </row>
    <row r="161" spans="1:63" s="248" customFormat="1">
      <c r="A161" s="247"/>
      <c r="B161" s="220" t="s">
        <v>1153</v>
      </c>
      <c r="C161" s="220" t="s">
        <v>1154</v>
      </c>
      <c r="D161" s="247"/>
      <c r="F161" s="249"/>
      <c r="G161" s="249"/>
      <c r="H161" s="249"/>
      <c r="I161" s="249"/>
      <c r="J161" s="249"/>
      <c r="K161" s="249"/>
      <c r="L161" s="251"/>
      <c r="M161" s="251">
        <f>+'Bal Sheet'!C13</f>
        <v>300.25200000000001</v>
      </c>
      <c r="N161" s="251">
        <f>+'Bal Sheet'!D13</f>
        <v>793.70399999999995</v>
      </c>
      <c r="O161" s="251">
        <f>+'Bal Sheet'!E13</f>
        <v>1086.8060000000003</v>
      </c>
      <c r="P161" s="251">
        <f>+'Bal Sheet'!F13</f>
        <v>819.9</v>
      </c>
      <c r="Q161" s="251">
        <f>+'Bal Sheet'!G13</f>
        <v>834.7</v>
      </c>
      <c r="R161" s="251">
        <f>+'Bal Sheet'!H13</f>
        <v>712.4000000000002</v>
      </c>
      <c r="S161" s="251">
        <f>+'Bal Sheet'!I13</f>
        <v>1426.4</v>
      </c>
      <c r="T161" s="251">
        <f>+'Bal Sheet'!J13</f>
        <v>1014.1</v>
      </c>
      <c r="U161" s="251">
        <f>+'Bal Sheet'!K13</f>
        <v>5564.9</v>
      </c>
      <c r="V161" s="251">
        <f>+'Bal Sheet'!L13</f>
        <v>16538.3</v>
      </c>
      <c r="W161" s="251">
        <f>+'Bal Sheet'!M13</f>
        <v>5588.5</v>
      </c>
      <c r="X161" s="251">
        <f>+'Bal Sheet'!N13</f>
        <v>4862.8</v>
      </c>
      <c r="Y161" s="251">
        <f>+'Bal Sheet'!O13</f>
        <v>5750.7</v>
      </c>
      <c r="Z161" s="251">
        <f>+'Bal Sheet'!P13</f>
        <v>8595.2000000000007</v>
      </c>
      <c r="AA161" s="251">
        <f>+'Bal Sheet'!Q13</f>
        <v>5567.4985222216674</v>
      </c>
      <c r="AB161" s="251">
        <f>+'Bal Sheet'!R13</f>
        <v>5362</v>
      </c>
      <c r="AC161" s="251">
        <f>+'Bal Sheet'!S13</f>
        <v>10610</v>
      </c>
      <c r="AD161" s="251">
        <f>+'Bal Sheet'!T13</f>
        <v>33834</v>
      </c>
      <c r="AF161" s="581"/>
      <c r="AG161" s="581"/>
      <c r="AH161" s="581"/>
      <c r="AI161" s="581"/>
      <c r="AJ161" s="581"/>
      <c r="AK161" s="581"/>
      <c r="AL161" s="581"/>
      <c r="AM161" s="581"/>
      <c r="AN161" s="581"/>
      <c r="AO161" s="581"/>
      <c r="AP161" s="581"/>
      <c r="AQ161" s="581"/>
      <c r="AR161" s="581"/>
      <c r="AS161" s="581"/>
      <c r="AT161" s="581"/>
      <c r="AU161" s="581"/>
      <c r="AV161" s="581"/>
      <c r="AW161" s="581"/>
      <c r="AX161" s="581"/>
      <c r="AY161" s="581"/>
      <c r="AZ161" s="581"/>
      <c r="BA161" s="581"/>
      <c r="BB161" s="581"/>
      <c r="BC161" s="581"/>
      <c r="BD161" s="581"/>
      <c r="BE161" s="581"/>
      <c r="BF161" s="581"/>
      <c r="BG161" s="581"/>
      <c r="BH161" s="581"/>
      <c r="BI161" s="581"/>
      <c r="BJ161" s="581"/>
      <c r="BK161" s="581"/>
    </row>
    <row r="162" spans="1:63" s="245" customFormat="1">
      <c r="A162" s="243"/>
      <c r="B162" s="246" t="s">
        <v>1155</v>
      </c>
      <c r="C162" s="246" t="s">
        <v>1156</v>
      </c>
      <c r="D162" s="243"/>
      <c r="F162" s="245">
        <f t="shared" ref="F162:K162" si="186">F163+F164</f>
        <v>0</v>
      </c>
      <c r="G162" s="245">
        <f t="shared" si="186"/>
        <v>0</v>
      </c>
      <c r="H162" s="245">
        <f t="shared" si="186"/>
        <v>0</v>
      </c>
      <c r="I162" s="245">
        <f t="shared" si="186"/>
        <v>0</v>
      </c>
      <c r="J162" s="245">
        <f t="shared" si="186"/>
        <v>0</v>
      </c>
      <c r="K162" s="245">
        <f t="shared" si="186"/>
        <v>0</v>
      </c>
      <c r="M162" s="245">
        <f t="shared" ref="M162:X162" si="187">M163+M164</f>
        <v>16906.384000000002</v>
      </c>
      <c r="N162" s="245">
        <f t="shared" si="187"/>
        <v>15916.822</v>
      </c>
      <c r="O162" s="245">
        <f t="shared" si="187"/>
        <v>20120.097000000002</v>
      </c>
      <c r="P162" s="245">
        <f t="shared" si="187"/>
        <v>21274.000000000004</v>
      </c>
      <c r="Q162" s="245">
        <f t="shared" si="187"/>
        <v>28594</v>
      </c>
      <c r="R162" s="245">
        <f t="shared" si="187"/>
        <v>8978.7999999999993</v>
      </c>
      <c r="S162" s="245">
        <f t="shared" si="187"/>
        <v>13809</v>
      </c>
      <c r="T162" s="245">
        <f t="shared" si="187"/>
        <v>20745.2</v>
      </c>
      <c r="U162" s="245">
        <f t="shared" si="187"/>
        <v>11896.4</v>
      </c>
      <c r="V162" s="245">
        <f t="shared" si="187"/>
        <v>16227.1</v>
      </c>
      <c r="W162" s="245">
        <f t="shared" si="187"/>
        <v>17741.099999999999</v>
      </c>
      <c r="X162" s="245">
        <f t="shared" si="187"/>
        <v>16983.7</v>
      </c>
      <c r="Y162" s="245">
        <f t="shared" ref="Y162:AD162" si="188">Y163+Y164</f>
        <v>17726.8</v>
      </c>
      <c r="Z162" s="245">
        <f t="shared" si="188"/>
        <v>15536.9</v>
      </c>
      <c r="AA162" s="245">
        <f>AA163+AA164</f>
        <v>14148.342000000002</v>
      </c>
      <c r="AB162" s="245">
        <f>AB163+AB164</f>
        <v>15217.090476933507</v>
      </c>
      <c r="AC162" s="245">
        <f t="shared" si="188"/>
        <v>17621.400210845466</v>
      </c>
      <c r="AD162" s="245">
        <f t="shared" si="188"/>
        <v>20430.654473069611</v>
      </c>
      <c r="AF162" s="580">
        <f t="shared" ref="AF162:BK162" si="189">AF163+AF164</f>
        <v>0</v>
      </c>
      <c r="AG162" s="580">
        <f t="shared" si="189"/>
        <v>0</v>
      </c>
      <c r="AH162" s="580">
        <f t="shared" si="189"/>
        <v>0</v>
      </c>
      <c r="AI162" s="580">
        <f t="shared" si="189"/>
        <v>0</v>
      </c>
      <c r="AJ162" s="580">
        <f t="shared" si="189"/>
        <v>0</v>
      </c>
      <c r="AK162" s="580">
        <f t="shared" si="189"/>
        <v>0</v>
      </c>
      <c r="AL162" s="580">
        <f t="shared" si="189"/>
        <v>0</v>
      </c>
      <c r="AM162" s="580">
        <f t="shared" si="189"/>
        <v>0</v>
      </c>
      <c r="AN162" s="580">
        <f t="shared" si="189"/>
        <v>0</v>
      </c>
      <c r="AO162" s="580">
        <f t="shared" si="189"/>
        <v>0</v>
      </c>
      <c r="AP162" s="580">
        <f t="shared" si="189"/>
        <v>0</v>
      </c>
      <c r="AQ162" s="580">
        <f t="shared" si="189"/>
        <v>0</v>
      </c>
      <c r="AR162" s="580">
        <f t="shared" si="189"/>
        <v>0</v>
      </c>
      <c r="AS162" s="580">
        <f t="shared" si="189"/>
        <v>0</v>
      </c>
      <c r="AT162" s="580">
        <f t="shared" si="189"/>
        <v>0</v>
      </c>
      <c r="AU162" s="580">
        <f t="shared" si="189"/>
        <v>0</v>
      </c>
      <c r="AV162" s="580">
        <f t="shared" si="189"/>
        <v>0</v>
      </c>
      <c r="AW162" s="580">
        <f t="shared" si="189"/>
        <v>0</v>
      </c>
      <c r="AX162" s="580">
        <f t="shared" si="189"/>
        <v>0</v>
      </c>
      <c r="AY162" s="580">
        <f t="shared" si="189"/>
        <v>0</v>
      </c>
      <c r="AZ162" s="580">
        <f t="shared" si="189"/>
        <v>0</v>
      </c>
      <c r="BA162" s="580">
        <f t="shared" si="189"/>
        <v>0</v>
      </c>
      <c r="BB162" s="580">
        <f t="shared" si="189"/>
        <v>0</v>
      </c>
      <c r="BC162" s="580">
        <f t="shared" si="189"/>
        <v>0</v>
      </c>
      <c r="BD162" s="580">
        <f t="shared" si="189"/>
        <v>0</v>
      </c>
      <c r="BE162" s="580">
        <f t="shared" si="189"/>
        <v>0</v>
      </c>
      <c r="BF162" s="580">
        <f t="shared" si="189"/>
        <v>0</v>
      </c>
      <c r="BG162" s="580">
        <f t="shared" si="189"/>
        <v>0</v>
      </c>
      <c r="BH162" s="580">
        <f t="shared" si="189"/>
        <v>0</v>
      </c>
      <c r="BI162" s="580">
        <f t="shared" si="189"/>
        <v>0</v>
      </c>
      <c r="BJ162" s="580">
        <f t="shared" si="189"/>
        <v>0</v>
      </c>
      <c r="BK162" s="580">
        <f t="shared" si="189"/>
        <v>0</v>
      </c>
    </row>
    <row r="163" spans="1:63" s="240" customFormat="1">
      <c r="A163" s="209"/>
      <c r="B163" s="220" t="s">
        <v>1157</v>
      </c>
      <c r="C163" s="261" t="s">
        <v>1158</v>
      </c>
      <c r="D163" s="209"/>
      <c r="F163" s="251"/>
      <c r="G163" s="251"/>
      <c r="H163" s="251"/>
      <c r="I163" s="251"/>
      <c r="J163" s="251"/>
      <c r="K163" s="251"/>
      <c r="L163" s="251"/>
      <c r="M163" s="251"/>
      <c r="N163" s="251"/>
      <c r="O163" s="251"/>
      <c r="P163" s="251"/>
      <c r="Q163" s="251"/>
      <c r="R163" s="251"/>
      <c r="S163" s="251"/>
      <c r="T163" s="251"/>
      <c r="U163" s="251"/>
      <c r="V163" s="251"/>
      <c r="W163" s="251"/>
      <c r="X163" s="251"/>
      <c r="Y163" s="251"/>
      <c r="Z163" s="251"/>
      <c r="AA163" s="251"/>
      <c r="AB163" s="251"/>
      <c r="AC163" s="251"/>
      <c r="AD163" s="251"/>
      <c r="AF163" s="579"/>
      <c r="AG163" s="579"/>
      <c r="AH163" s="579"/>
      <c r="AI163" s="579"/>
      <c r="AJ163" s="579"/>
      <c r="AK163" s="579"/>
      <c r="AL163" s="579"/>
      <c r="AM163" s="579"/>
      <c r="AN163" s="579"/>
      <c r="AO163" s="579"/>
      <c r="AP163" s="579"/>
      <c r="AQ163" s="579"/>
      <c r="AR163" s="579"/>
      <c r="AS163" s="579"/>
      <c r="AT163" s="579"/>
      <c r="AU163" s="579"/>
      <c r="AV163" s="579"/>
      <c r="AW163" s="579"/>
      <c r="AX163" s="579"/>
      <c r="AY163" s="579"/>
      <c r="AZ163" s="579"/>
      <c r="BA163" s="579"/>
      <c r="BB163" s="579"/>
      <c r="BC163" s="579"/>
      <c r="BD163" s="579"/>
      <c r="BE163" s="579"/>
      <c r="BF163" s="579"/>
      <c r="BG163" s="579"/>
      <c r="BH163" s="579"/>
      <c r="BI163" s="579"/>
      <c r="BJ163" s="579"/>
      <c r="BK163" s="579"/>
    </row>
    <row r="164" spans="1:63" s="240" customFormat="1">
      <c r="A164" s="209"/>
      <c r="B164" s="220" t="s">
        <v>1159</v>
      </c>
      <c r="C164" s="261" t="s">
        <v>741</v>
      </c>
      <c r="D164" s="209"/>
      <c r="F164" s="251"/>
      <c r="G164" s="251"/>
      <c r="H164" s="251"/>
      <c r="I164" s="251"/>
      <c r="J164" s="251"/>
      <c r="K164" s="251"/>
      <c r="L164" s="251"/>
      <c r="M164" s="251">
        <f>+'Bal Sheet'!C11</f>
        <v>16906.384000000002</v>
      </c>
      <c r="N164" s="251">
        <f>+'Bal Sheet'!D11</f>
        <v>15916.822</v>
      </c>
      <c r="O164" s="251">
        <f>+'Bal Sheet'!E11</f>
        <v>20120.097000000002</v>
      </c>
      <c r="P164" s="251">
        <f>+'Bal Sheet'!F11</f>
        <v>21274.000000000004</v>
      </c>
      <c r="Q164" s="251">
        <f>+'Bal Sheet'!G11</f>
        <v>28594</v>
      </c>
      <c r="R164" s="251">
        <f>+'Bal Sheet'!H11</f>
        <v>8978.7999999999993</v>
      </c>
      <c r="S164" s="251">
        <f>+'Bal Sheet'!I11</f>
        <v>13809</v>
      </c>
      <c r="T164" s="251">
        <f>+'Bal Sheet'!J11</f>
        <v>20745.2</v>
      </c>
      <c r="U164" s="251">
        <f>+'Bal Sheet'!K11</f>
        <v>11896.4</v>
      </c>
      <c r="V164" s="251">
        <f>+'Bal Sheet'!L11</f>
        <v>16227.1</v>
      </c>
      <c r="W164" s="251">
        <f>+'Bal Sheet'!M11</f>
        <v>17741.099999999999</v>
      </c>
      <c r="X164" s="251">
        <f>+'Bal Sheet'!N11</f>
        <v>16983.7</v>
      </c>
      <c r="Y164" s="251">
        <f>+'Bal Sheet'!O11</f>
        <v>17726.8</v>
      </c>
      <c r="Z164" s="251">
        <f>+'Bal Sheet'!P11</f>
        <v>15536.9</v>
      </c>
      <c r="AA164" s="251">
        <f>+'Bal Sheet'!Q11</f>
        <v>14148.342000000002</v>
      </c>
      <c r="AB164" s="251">
        <f>+'Bal Sheet'!R11</f>
        <v>15217.090476933507</v>
      </c>
      <c r="AC164" s="251">
        <f>+'Bal Sheet'!S11</f>
        <v>17621.400210845466</v>
      </c>
      <c r="AD164" s="251">
        <f>+'Bal Sheet'!T11</f>
        <v>20430.654473069611</v>
      </c>
      <c r="AF164" s="579"/>
      <c r="AG164" s="579"/>
      <c r="AH164" s="579"/>
      <c r="AI164" s="579"/>
      <c r="AJ164" s="579"/>
      <c r="AK164" s="579"/>
      <c r="AL164" s="579"/>
      <c r="AM164" s="579"/>
      <c r="AN164" s="579"/>
      <c r="AO164" s="579"/>
      <c r="AP164" s="579"/>
      <c r="AQ164" s="579"/>
      <c r="AR164" s="579"/>
      <c r="AS164" s="579"/>
      <c r="AT164" s="579"/>
      <c r="AU164" s="579"/>
      <c r="AV164" s="579"/>
      <c r="AW164" s="579"/>
      <c r="AX164" s="579"/>
      <c r="AY164" s="579"/>
      <c r="AZ164" s="579"/>
      <c r="BA164" s="579"/>
      <c r="BB164" s="579"/>
      <c r="BC164" s="579"/>
      <c r="BD164" s="579"/>
      <c r="BE164" s="579"/>
      <c r="BF164" s="579"/>
      <c r="BG164" s="579"/>
      <c r="BH164" s="579"/>
      <c r="BI164" s="579"/>
      <c r="BJ164" s="579"/>
      <c r="BK164" s="579"/>
    </row>
    <row r="165" spans="1:63" s="240" customFormat="1">
      <c r="A165" s="209"/>
      <c r="B165" s="220" t="s">
        <v>1160</v>
      </c>
      <c r="C165" s="220" t="s">
        <v>1161</v>
      </c>
      <c r="D165" s="209"/>
      <c r="F165" s="251"/>
      <c r="G165" s="251"/>
      <c r="H165" s="251"/>
      <c r="I165" s="251"/>
      <c r="J165" s="251"/>
      <c r="K165" s="251"/>
      <c r="L165" s="251"/>
      <c r="M165" s="251">
        <f>+'Bal Sheet'!C12</f>
        <v>594.44700000000012</v>
      </c>
      <c r="N165" s="251">
        <f>+'Bal Sheet'!D12</f>
        <v>454.83</v>
      </c>
      <c r="O165" s="251">
        <f>+'Bal Sheet'!E12</f>
        <v>685.30899999999997</v>
      </c>
      <c r="P165" s="251">
        <f>+'Bal Sheet'!F12</f>
        <v>721.3</v>
      </c>
      <c r="Q165" s="251">
        <f>+'Bal Sheet'!G12</f>
        <v>362.20000000000005</v>
      </c>
      <c r="R165" s="251">
        <f>+'Bal Sheet'!H12</f>
        <v>799.5</v>
      </c>
      <c r="S165" s="251">
        <f>+'Bal Sheet'!I12</f>
        <v>1256.8</v>
      </c>
      <c r="T165" s="251">
        <f>+'Bal Sheet'!J12</f>
        <v>1059.7</v>
      </c>
      <c r="U165" s="251">
        <f>+'Bal Sheet'!K12</f>
        <v>2164.1999999999998</v>
      </c>
      <c r="V165" s="251">
        <f>+'Bal Sheet'!L12</f>
        <v>2970.2</v>
      </c>
      <c r="W165" s="251">
        <f>+'Bal Sheet'!M12</f>
        <v>2133.6999999999998</v>
      </c>
      <c r="X165" s="251">
        <f>+'Bal Sheet'!N12</f>
        <v>4180.8999999999996</v>
      </c>
      <c r="Y165" s="251">
        <f>+'Bal Sheet'!O12</f>
        <v>3468.4</v>
      </c>
      <c r="Z165" s="251">
        <f>+'Bal Sheet'!P12</f>
        <v>2319.6</v>
      </c>
      <c r="AA165" s="251">
        <f>+'Bal Sheet'!Q12</f>
        <v>2551.56</v>
      </c>
      <c r="AB165" s="251">
        <f>+'Bal Sheet'!R12</f>
        <v>2806.7160000000003</v>
      </c>
      <c r="AC165" s="251">
        <f>+'Bal Sheet'!S12</f>
        <v>3087.3876000000005</v>
      </c>
      <c r="AD165" s="251">
        <f>+'Bal Sheet'!T12</f>
        <v>3396.1263600000007</v>
      </c>
      <c r="AF165" s="579"/>
      <c r="AG165" s="579"/>
      <c r="AH165" s="579"/>
      <c r="AI165" s="579"/>
      <c r="AJ165" s="579"/>
      <c r="AK165" s="579"/>
      <c r="AL165" s="579"/>
      <c r="AM165" s="579"/>
      <c r="AN165" s="579"/>
      <c r="AO165" s="579"/>
      <c r="AP165" s="579"/>
      <c r="AQ165" s="579"/>
      <c r="AR165" s="579"/>
      <c r="AS165" s="579"/>
      <c r="AT165" s="579"/>
      <c r="AU165" s="579"/>
      <c r="AV165" s="579"/>
      <c r="AW165" s="579"/>
      <c r="AX165" s="579"/>
      <c r="AY165" s="579"/>
      <c r="AZ165" s="579"/>
      <c r="BA165" s="579"/>
      <c r="BB165" s="579"/>
      <c r="BC165" s="579"/>
      <c r="BD165" s="579"/>
      <c r="BE165" s="579"/>
      <c r="BF165" s="579"/>
      <c r="BG165" s="579"/>
      <c r="BH165" s="579"/>
      <c r="BI165" s="579"/>
      <c r="BJ165" s="579"/>
      <c r="BK165" s="579"/>
    </row>
    <row r="166" spans="1:63" s="245" customFormat="1">
      <c r="A166" s="243"/>
      <c r="B166" s="246" t="s">
        <v>1162</v>
      </c>
      <c r="C166" s="244" t="s">
        <v>1163</v>
      </c>
      <c r="D166" s="243"/>
      <c r="F166" s="245">
        <f t="shared" ref="F166:AD166" si="190">F167+F170</f>
        <v>0</v>
      </c>
      <c r="G166" s="245">
        <f t="shared" si="190"/>
        <v>0</v>
      </c>
      <c r="H166" s="245">
        <f t="shared" si="190"/>
        <v>0</v>
      </c>
      <c r="I166" s="245">
        <f t="shared" si="190"/>
        <v>0</v>
      </c>
      <c r="J166" s="245">
        <f t="shared" si="190"/>
        <v>0</v>
      </c>
      <c r="K166" s="245">
        <f t="shared" si="190"/>
        <v>0</v>
      </c>
      <c r="M166" s="245">
        <f t="shared" si="190"/>
        <v>19406.8727</v>
      </c>
      <c r="N166" s="245">
        <f t="shared" si="190"/>
        <v>23260.651999999998</v>
      </c>
      <c r="O166" s="245">
        <f t="shared" si="190"/>
        <v>27939.662799999998</v>
      </c>
      <c r="P166" s="245">
        <f t="shared" si="190"/>
        <v>35447.600000000006</v>
      </c>
      <c r="Q166" s="245">
        <f t="shared" si="190"/>
        <v>43327.600000000006</v>
      </c>
      <c r="R166" s="245">
        <f t="shared" si="190"/>
        <v>18838.299999999996</v>
      </c>
      <c r="S166" s="245">
        <f t="shared" si="190"/>
        <v>24581</v>
      </c>
      <c r="T166" s="245">
        <f t="shared" si="190"/>
        <v>42749.7</v>
      </c>
      <c r="U166" s="245">
        <f t="shared" si="190"/>
        <v>39552.800000000003</v>
      </c>
      <c r="V166" s="245">
        <f t="shared" si="190"/>
        <v>48940.800000000003</v>
      </c>
      <c r="W166" s="245">
        <f t="shared" si="190"/>
        <v>43903</v>
      </c>
      <c r="X166" s="245">
        <f t="shared" si="190"/>
        <v>49386.600000000006</v>
      </c>
      <c r="Y166" s="245">
        <f t="shared" si="190"/>
        <v>46167.62000000001</v>
      </c>
      <c r="Z166" s="245">
        <f>Z167+Z170</f>
        <v>30303.7</v>
      </c>
      <c r="AA166" s="245">
        <f>AA167+AA170</f>
        <v>48778.331708290149</v>
      </c>
      <c r="AB166" s="245">
        <f>AB167+AB170</f>
        <v>46681.983547303316</v>
      </c>
      <c r="AC166" s="245">
        <f t="shared" si="190"/>
        <v>47046.106750924591</v>
      </c>
      <c r="AD166" s="245">
        <f t="shared" si="190"/>
        <v>47330.857584155587</v>
      </c>
      <c r="AF166" s="580">
        <f t="shared" ref="AF166:BK166" si="191">AF167+AF170</f>
        <v>0</v>
      </c>
      <c r="AG166" s="580">
        <f t="shared" si="191"/>
        <v>0</v>
      </c>
      <c r="AH166" s="580">
        <f t="shared" si="191"/>
        <v>0</v>
      </c>
      <c r="AI166" s="580">
        <f t="shared" si="191"/>
        <v>0</v>
      </c>
      <c r="AJ166" s="580">
        <f t="shared" si="191"/>
        <v>0</v>
      </c>
      <c r="AK166" s="580">
        <f t="shared" si="191"/>
        <v>0</v>
      </c>
      <c r="AL166" s="580">
        <f t="shared" si="191"/>
        <v>0</v>
      </c>
      <c r="AM166" s="580">
        <f t="shared" si="191"/>
        <v>0</v>
      </c>
      <c r="AN166" s="580">
        <f t="shared" si="191"/>
        <v>0</v>
      </c>
      <c r="AO166" s="580">
        <f t="shared" si="191"/>
        <v>0</v>
      </c>
      <c r="AP166" s="580">
        <f t="shared" si="191"/>
        <v>0</v>
      </c>
      <c r="AQ166" s="580">
        <f t="shared" si="191"/>
        <v>0</v>
      </c>
      <c r="AR166" s="580">
        <f t="shared" si="191"/>
        <v>0</v>
      </c>
      <c r="AS166" s="580">
        <f t="shared" si="191"/>
        <v>0</v>
      </c>
      <c r="AT166" s="580">
        <f t="shared" si="191"/>
        <v>0</v>
      </c>
      <c r="AU166" s="580">
        <f t="shared" si="191"/>
        <v>0</v>
      </c>
      <c r="AV166" s="580">
        <f t="shared" si="191"/>
        <v>0</v>
      </c>
      <c r="AW166" s="580">
        <f t="shared" si="191"/>
        <v>0</v>
      </c>
      <c r="AX166" s="580">
        <f t="shared" si="191"/>
        <v>0</v>
      </c>
      <c r="AY166" s="580">
        <f t="shared" si="191"/>
        <v>0</v>
      </c>
      <c r="AZ166" s="580">
        <f t="shared" si="191"/>
        <v>0</v>
      </c>
      <c r="BA166" s="580">
        <f t="shared" si="191"/>
        <v>0</v>
      </c>
      <c r="BB166" s="580">
        <f t="shared" si="191"/>
        <v>0</v>
      </c>
      <c r="BC166" s="580">
        <f t="shared" si="191"/>
        <v>0</v>
      </c>
      <c r="BD166" s="580">
        <f t="shared" si="191"/>
        <v>0</v>
      </c>
      <c r="BE166" s="580">
        <f t="shared" si="191"/>
        <v>0</v>
      </c>
      <c r="BF166" s="580">
        <f t="shared" si="191"/>
        <v>0</v>
      </c>
      <c r="BG166" s="580">
        <f t="shared" si="191"/>
        <v>0</v>
      </c>
      <c r="BH166" s="580">
        <f t="shared" si="191"/>
        <v>0</v>
      </c>
      <c r="BI166" s="580">
        <f t="shared" si="191"/>
        <v>0</v>
      </c>
      <c r="BJ166" s="580">
        <f t="shared" si="191"/>
        <v>0</v>
      </c>
      <c r="BK166" s="580">
        <f t="shared" si="191"/>
        <v>0</v>
      </c>
    </row>
    <row r="167" spans="1:63" s="245" customFormat="1">
      <c r="A167" s="243"/>
      <c r="B167" s="246" t="s">
        <v>1164</v>
      </c>
      <c r="C167" s="244" t="s">
        <v>73</v>
      </c>
      <c r="D167" s="243"/>
      <c r="F167" s="245">
        <f t="shared" ref="F167:AD167" si="192">F168+F169</f>
        <v>0</v>
      </c>
      <c r="G167" s="245">
        <f t="shared" si="192"/>
        <v>0</v>
      </c>
      <c r="H167" s="245">
        <f t="shared" si="192"/>
        <v>0</v>
      </c>
      <c r="I167" s="245">
        <f t="shared" si="192"/>
        <v>0</v>
      </c>
      <c r="J167" s="245">
        <f t="shared" si="192"/>
        <v>0</v>
      </c>
      <c r="K167" s="245">
        <f t="shared" si="192"/>
        <v>0</v>
      </c>
      <c r="M167" s="245">
        <f t="shared" si="192"/>
        <v>4549.0340000000006</v>
      </c>
      <c r="N167" s="245">
        <f t="shared" si="192"/>
        <v>6725.9619999999995</v>
      </c>
      <c r="O167" s="245">
        <f t="shared" si="192"/>
        <v>7850.7017999999998</v>
      </c>
      <c r="P167" s="245">
        <f t="shared" si="192"/>
        <v>12288.7</v>
      </c>
      <c r="Q167" s="245">
        <f t="shared" si="192"/>
        <v>14989.7</v>
      </c>
      <c r="R167" s="245">
        <f t="shared" si="192"/>
        <v>10496.999999999998</v>
      </c>
      <c r="S167" s="245">
        <f t="shared" si="192"/>
        <v>12339.5</v>
      </c>
      <c r="T167" s="245">
        <f t="shared" si="192"/>
        <v>20262.5</v>
      </c>
      <c r="U167" s="245">
        <f t="shared" si="192"/>
        <v>24266.5</v>
      </c>
      <c r="V167" s="245">
        <f t="shared" si="192"/>
        <v>27191.9</v>
      </c>
      <c r="W167" s="245">
        <f t="shared" si="192"/>
        <v>26478.299999999996</v>
      </c>
      <c r="X167" s="245">
        <f t="shared" si="192"/>
        <v>29649.7</v>
      </c>
      <c r="Y167" s="245">
        <f t="shared" si="192"/>
        <v>26247.520000000004</v>
      </c>
      <c r="Z167" s="245">
        <f>Z168+Z169</f>
        <v>26613.5</v>
      </c>
      <c r="AA167" s="245">
        <f>AA168+AA169</f>
        <v>24823.069837290142</v>
      </c>
      <c r="AB167" s="245">
        <f>AB168+AB169</f>
        <v>19341.127542303315</v>
      </c>
      <c r="AC167" s="245">
        <f t="shared" si="192"/>
        <v>19705.25074592459</v>
      </c>
      <c r="AD167" s="245">
        <f t="shared" si="192"/>
        <v>19990.001579155585</v>
      </c>
      <c r="AF167" s="580">
        <f t="shared" ref="AF167:BK167" si="193">AF168+AF169</f>
        <v>0</v>
      </c>
      <c r="AG167" s="580">
        <f t="shared" si="193"/>
        <v>0</v>
      </c>
      <c r="AH167" s="580">
        <f t="shared" si="193"/>
        <v>0</v>
      </c>
      <c r="AI167" s="580">
        <f t="shared" si="193"/>
        <v>0</v>
      </c>
      <c r="AJ167" s="580">
        <f t="shared" si="193"/>
        <v>0</v>
      </c>
      <c r="AK167" s="580">
        <f t="shared" si="193"/>
        <v>0</v>
      </c>
      <c r="AL167" s="580">
        <f t="shared" si="193"/>
        <v>0</v>
      </c>
      <c r="AM167" s="580">
        <f t="shared" si="193"/>
        <v>0</v>
      </c>
      <c r="AN167" s="580">
        <f t="shared" si="193"/>
        <v>0</v>
      </c>
      <c r="AO167" s="580">
        <f t="shared" si="193"/>
        <v>0</v>
      </c>
      <c r="AP167" s="580">
        <f t="shared" si="193"/>
        <v>0</v>
      </c>
      <c r="AQ167" s="580">
        <f t="shared" si="193"/>
        <v>0</v>
      </c>
      <c r="AR167" s="580">
        <f t="shared" si="193"/>
        <v>0</v>
      </c>
      <c r="AS167" s="580">
        <f t="shared" si="193"/>
        <v>0</v>
      </c>
      <c r="AT167" s="580">
        <f t="shared" si="193"/>
        <v>0</v>
      </c>
      <c r="AU167" s="580">
        <f t="shared" si="193"/>
        <v>0</v>
      </c>
      <c r="AV167" s="580">
        <f t="shared" si="193"/>
        <v>0</v>
      </c>
      <c r="AW167" s="580">
        <f t="shared" si="193"/>
        <v>0</v>
      </c>
      <c r="AX167" s="580">
        <f t="shared" si="193"/>
        <v>0</v>
      </c>
      <c r="AY167" s="580">
        <f t="shared" si="193"/>
        <v>0</v>
      </c>
      <c r="AZ167" s="580">
        <f t="shared" si="193"/>
        <v>0</v>
      </c>
      <c r="BA167" s="580">
        <f t="shared" si="193"/>
        <v>0</v>
      </c>
      <c r="BB167" s="580">
        <f t="shared" si="193"/>
        <v>0</v>
      </c>
      <c r="BC167" s="580">
        <f t="shared" si="193"/>
        <v>0</v>
      </c>
      <c r="BD167" s="580">
        <f t="shared" si="193"/>
        <v>0</v>
      </c>
      <c r="BE167" s="580">
        <f t="shared" si="193"/>
        <v>0</v>
      </c>
      <c r="BF167" s="580">
        <f t="shared" si="193"/>
        <v>0</v>
      </c>
      <c r="BG167" s="580">
        <f t="shared" si="193"/>
        <v>0</v>
      </c>
      <c r="BH167" s="580">
        <f t="shared" si="193"/>
        <v>0</v>
      </c>
      <c r="BI167" s="580">
        <f t="shared" si="193"/>
        <v>0</v>
      </c>
      <c r="BJ167" s="580">
        <f t="shared" si="193"/>
        <v>0</v>
      </c>
      <c r="BK167" s="580">
        <f t="shared" si="193"/>
        <v>0</v>
      </c>
    </row>
    <row r="168" spans="1:63" s="240" customFormat="1">
      <c r="A168" s="209"/>
      <c r="B168" s="220" t="s">
        <v>1165</v>
      </c>
      <c r="C168" s="220" t="s">
        <v>557</v>
      </c>
      <c r="D168" s="209"/>
      <c r="F168" s="251"/>
      <c r="G168" s="251"/>
      <c r="H168" s="251"/>
      <c r="I168" s="251"/>
      <c r="J168" s="251"/>
      <c r="K168" s="251"/>
      <c r="L168" s="251"/>
      <c r="M168" s="251">
        <f>+'Bal Sheet'!C23</f>
        <v>4549.0340000000006</v>
      </c>
      <c r="N168" s="251">
        <f>+'Bal Sheet'!D23</f>
        <v>6725.9619999999995</v>
      </c>
      <c r="O168" s="251">
        <f>+'Bal Sheet'!E23</f>
        <v>7850.7017999999998</v>
      </c>
      <c r="P168" s="251">
        <f>+'Bal Sheet'!F23</f>
        <v>12288.7</v>
      </c>
      <c r="Q168" s="251">
        <f>+'Bal Sheet'!G23</f>
        <v>14989.7</v>
      </c>
      <c r="R168" s="251">
        <f>+'Bal Sheet'!H23</f>
        <v>10496.999999999998</v>
      </c>
      <c r="S168" s="251">
        <f>+'Bal Sheet'!I23</f>
        <v>12339.5</v>
      </c>
      <c r="T168" s="251">
        <f>+'Bal Sheet'!J23</f>
        <v>20262.5</v>
      </c>
      <c r="U168" s="251">
        <f>+'Bal Sheet'!K23</f>
        <v>24266.5</v>
      </c>
      <c r="V168" s="251">
        <f>+'Bal Sheet'!L23</f>
        <v>27191.9</v>
      </c>
      <c r="W168" s="251">
        <f>+'Bal Sheet'!M23</f>
        <v>26478.299999999996</v>
      </c>
      <c r="X168" s="251">
        <f>+'Bal Sheet'!N23</f>
        <v>29649.7</v>
      </c>
      <c r="Y168" s="251">
        <f>+'Bal Sheet'!O23</f>
        <v>26247.520000000004</v>
      </c>
      <c r="Z168" s="251">
        <f>+'Bal Sheet'!P23</f>
        <v>26613.5</v>
      </c>
      <c r="AA168" s="251">
        <f>+'Bal Sheet'!Q23</f>
        <v>24823.069837290142</v>
      </c>
      <c r="AB168" s="251">
        <f>+'Bal Sheet'!R23</f>
        <v>19341.127542303315</v>
      </c>
      <c r="AC168" s="251">
        <f>+'Bal Sheet'!S23</f>
        <v>19705.25074592459</v>
      </c>
      <c r="AD168" s="251">
        <f>+'Bal Sheet'!T23</f>
        <v>19990.001579155585</v>
      </c>
      <c r="AF168" s="579"/>
      <c r="AG168" s="579"/>
      <c r="AH168" s="579"/>
      <c r="AI168" s="579"/>
      <c r="AJ168" s="579"/>
      <c r="AK168" s="579"/>
      <c r="AL168" s="579"/>
      <c r="AM168" s="579"/>
      <c r="AN168" s="579"/>
      <c r="AO168" s="579"/>
      <c r="AP168" s="579"/>
      <c r="AQ168" s="579"/>
      <c r="AR168" s="579"/>
      <c r="AS168" s="579"/>
      <c r="AT168" s="579"/>
      <c r="AU168" s="579"/>
      <c r="AV168" s="579"/>
      <c r="AW168" s="579"/>
      <c r="AX168" s="579"/>
      <c r="AY168" s="579"/>
      <c r="AZ168" s="579"/>
      <c r="BA168" s="579"/>
      <c r="BB168" s="579"/>
      <c r="BC168" s="579"/>
      <c r="BD168" s="579"/>
      <c r="BE168" s="579"/>
      <c r="BF168" s="579"/>
      <c r="BG168" s="579"/>
      <c r="BH168" s="579"/>
      <c r="BI168" s="579"/>
      <c r="BJ168" s="579"/>
      <c r="BK168" s="579"/>
    </row>
    <row r="169" spans="1:63" s="240" customFormat="1">
      <c r="A169" s="209"/>
      <c r="B169" s="220" t="s">
        <v>1166</v>
      </c>
      <c r="C169" s="220" t="s">
        <v>1167</v>
      </c>
      <c r="D169" s="209"/>
      <c r="F169" s="251"/>
      <c r="G169" s="251"/>
      <c r="H169" s="251"/>
      <c r="I169" s="251"/>
      <c r="J169" s="251"/>
      <c r="K169" s="251"/>
      <c r="L169" s="251"/>
      <c r="M169" s="251"/>
      <c r="N169" s="251"/>
      <c r="O169" s="251"/>
      <c r="P169" s="251"/>
      <c r="Q169" s="251"/>
      <c r="R169" s="251"/>
      <c r="S169" s="251"/>
      <c r="T169" s="251"/>
      <c r="U169" s="251"/>
      <c r="V169" s="251"/>
      <c r="W169" s="251"/>
      <c r="X169" s="251"/>
      <c r="Y169" s="251"/>
      <c r="Z169" s="251"/>
      <c r="AA169" s="251"/>
      <c r="AB169" s="251"/>
      <c r="AC169" s="251"/>
      <c r="AD169" s="251"/>
      <c r="AF169" s="579"/>
      <c r="AG169" s="579"/>
      <c r="AH169" s="579"/>
      <c r="AI169" s="579"/>
      <c r="AJ169" s="579"/>
      <c r="AK169" s="579"/>
      <c r="AL169" s="579"/>
      <c r="AM169" s="579"/>
      <c r="AN169" s="579"/>
      <c r="AO169" s="579"/>
      <c r="AP169" s="579"/>
      <c r="AQ169" s="579"/>
      <c r="AR169" s="579"/>
      <c r="AS169" s="579"/>
      <c r="AT169" s="579"/>
      <c r="AU169" s="579"/>
      <c r="AV169" s="579"/>
      <c r="AW169" s="579"/>
      <c r="AX169" s="579"/>
      <c r="AY169" s="579"/>
      <c r="AZ169" s="579"/>
      <c r="BA169" s="579"/>
      <c r="BB169" s="579"/>
      <c r="BC169" s="579"/>
      <c r="BD169" s="579"/>
      <c r="BE169" s="579"/>
      <c r="BF169" s="579"/>
      <c r="BG169" s="579"/>
      <c r="BH169" s="579"/>
      <c r="BI169" s="579"/>
      <c r="BJ169" s="579"/>
      <c r="BK169" s="579"/>
    </row>
    <row r="170" spans="1:63" s="245" customFormat="1">
      <c r="A170" s="243"/>
      <c r="B170" s="246" t="s">
        <v>1168</v>
      </c>
      <c r="C170" s="246" t="s">
        <v>70</v>
      </c>
      <c r="D170" s="243"/>
      <c r="F170" s="245">
        <f t="shared" ref="F170:AD170" si="194">F171+F172</f>
        <v>0</v>
      </c>
      <c r="G170" s="245">
        <f t="shared" si="194"/>
        <v>0</v>
      </c>
      <c r="H170" s="245">
        <f t="shared" si="194"/>
        <v>0</v>
      </c>
      <c r="I170" s="245">
        <f t="shared" si="194"/>
        <v>0</v>
      </c>
      <c r="J170" s="245">
        <f t="shared" si="194"/>
        <v>0</v>
      </c>
      <c r="K170" s="245">
        <f t="shared" si="194"/>
        <v>0</v>
      </c>
      <c r="M170" s="245">
        <f t="shared" si="194"/>
        <v>14857.838699999998</v>
      </c>
      <c r="N170" s="245">
        <f t="shared" si="194"/>
        <v>16534.689999999999</v>
      </c>
      <c r="O170" s="245">
        <f t="shared" si="194"/>
        <v>20088.960999999999</v>
      </c>
      <c r="P170" s="245">
        <f t="shared" si="194"/>
        <v>23158.9</v>
      </c>
      <c r="Q170" s="245">
        <f t="shared" si="194"/>
        <v>28337.9</v>
      </c>
      <c r="R170" s="245">
        <f t="shared" si="194"/>
        <v>8341.2999999999993</v>
      </c>
      <c r="S170" s="245">
        <f t="shared" si="194"/>
        <v>12241.5</v>
      </c>
      <c r="T170" s="245">
        <f t="shared" si="194"/>
        <v>22487.200000000001</v>
      </c>
      <c r="U170" s="245">
        <f t="shared" si="194"/>
        <v>15286.3</v>
      </c>
      <c r="V170" s="245">
        <f t="shared" si="194"/>
        <v>21748.9</v>
      </c>
      <c r="W170" s="245">
        <f t="shared" si="194"/>
        <v>17424.7</v>
      </c>
      <c r="X170" s="245">
        <f t="shared" si="194"/>
        <v>19736.900000000001</v>
      </c>
      <c r="Y170" s="245">
        <f t="shared" si="194"/>
        <v>19920.100000000002</v>
      </c>
      <c r="Z170" s="245">
        <f>Z171+Z172</f>
        <v>3690.2</v>
      </c>
      <c r="AA170" s="245">
        <f>AA171+AA172</f>
        <v>23955.261871000006</v>
      </c>
      <c r="AB170" s="245">
        <f>AB171+AB172</f>
        <v>27340.856005000005</v>
      </c>
      <c r="AC170" s="245">
        <f t="shared" si="194"/>
        <v>27340.856005000005</v>
      </c>
      <c r="AD170" s="245">
        <f t="shared" si="194"/>
        <v>27340.856005000005</v>
      </c>
      <c r="AF170" s="580">
        <f t="shared" ref="AF170:BK170" si="195">AF171+AF172</f>
        <v>0</v>
      </c>
      <c r="AG170" s="580">
        <f t="shared" si="195"/>
        <v>0</v>
      </c>
      <c r="AH170" s="580">
        <f t="shared" si="195"/>
        <v>0</v>
      </c>
      <c r="AI170" s="580">
        <f t="shared" si="195"/>
        <v>0</v>
      </c>
      <c r="AJ170" s="580">
        <f t="shared" si="195"/>
        <v>0</v>
      </c>
      <c r="AK170" s="580">
        <f t="shared" si="195"/>
        <v>0</v>
      </c>
      <c r="AL170" s="580">
        <f t="shared" si="195"/>
        <v>0</v>
      </c>
      <c r="AM170" s="580">
        <f t="shared" si="195"/>
        <v>0</v>
      </c>
      <c r="AN170" s="580">
        <f t="shared" si="195"/>
        <v>0</v>
      </c>
      <c r="AO170" s="580">
        <f t="shared" si="195"/>
        <v>0</v>
      </c>
      <c r="AP170" s="580">
        <f t="shared" si="195"/>
        <v>0</v>
      </c>
      <c r="AQ170" s="580">
        <f t="shared" si="195"/>
        <v>0</v>
      </c>
      <c r="AR170" s="580">
        <f t="shared" si="195"/>
        <v>0</v>
      </c>
      <c r="AS170" s="580">
        <f t="shared" si="195"/>
        <v>0</v>
      </c>
      <c r="AT170" s="580">
        <f t="shared" si="195"/>
        <v>0</v>
      </c>
      <c r="AU170" s="580">
        <f t="shared" si="195"/>
        <v>0</v>
      </c>
      <c r="AV170" s="580">
        <f t="shared" si="195"/>
        <v>0</v>
      </c>
      <c r="AW170" s="580">
        <f t="shared" si="195"/>
        <v>0</v>
      </c>
      <c r="AX170" s="580">
        <f t="shared" si="195"/>
        <v>0</v>
      </c>
      <c r="AY170" s="580">
        <f t="shared" si="195"/>
        <v>0</v>
      </c>
      <c r="AZ170" s="580">
        <f t="shared" si="195"/>
        <v>0</v>
      </c>
      <c r="BA170" s="580">
        <f t="shared" si="195"/>
        <v>0</v>
      </c>
      <c r="BB170" s="580">
        <f t="shared" si="195"/>
        <v>0</v>
      </c>
      <c r="BC170" s="580">
        <f t="shared" si="195"/>
        <v>0</v>
      </c>
      <c r="BD170" s="580">
        <f t="shared" si="195"/>
        <v>0</v>
      </c>
      <c r="BE170" s="580">
        <f t="shared" si="195"/>
        <v>0</v>
      </c>
      <c r="BF170" s="580">
        <f t="shared" si="195"/>
        <v>0</v>
      </c>
      <c r="BG170" s="580">
        <f t="shared" si="195"/>
        <v>0</v>
      </c>
      <c r="BH170" s="580">
        <f t="shared" si="195"/>
        <v>0</v>
      </c>
      <c r="BI170" s="580">
        <f t="shared" si="195"/>
        <v>0</v>
      </c>
      <c r="BJ170" s="580">
        <f t="shared" si="195"/>
        <v>0</v>
      </c>
      <c r="BK170" s="580">
        <f t="shared" si="195"/>
        <v>0</v>
      </c>
    </row>
    <row r="171" spans="1:63" s="240" customFormat="1">
      <c r="A171" s="209"/>
      <c r="B171" s="220" t="s">
        <v>1169</v>
      </c>
      <c r="C171" s="220" t="s">
        <v>1170</v>
      </c>
      <c r="D171" s="209"/>
      <c r="F171" s="251"/>
      <c r="G171" s="251"/>
      <c r="H171" s="251"/>
      <c r="I171" s="251"/>
      <c r="J171" s="251"/>
      <c r="K171" s="251"/>
      <c r="L171" s="251"/>
      <c r="M171" s="251">
        <f>+'Bal Sheet'!C24</f>
        <v>14857.838699999998</v>
      </c>
      <c r="N171" s="251">
        <f>+'Bal Sheet'!D24</f>
        <v>16534.689999999999</v>
      </c>
      <c r="O171" s="251">
        <f>+'Bal Sheet'!E24</f>
        <v>20088.960999999999</v>
      </c>
      <c r="P171" s="251">
        <f>+'Bal Sheet'!F24</f>
        <v>23158.9</v>
      </c>
      <c r="Q171" s="251">
        <f>+'Bal Sheet'!G24</f>
        <v>28337.9</v>
      </c>
      <c r="R171" s="251">
        <f>+'Bal Sheet'!H24</f>
        <v>8341.2999999999993</v>
      </c>
      <c r="S171" s="251">
        <f>+'Bal Sheet'!I24</f>
        <v>12241.5</v>
      </c>
      <c r="T171" s="251">
        <f>+'Bal Sheet'!J24</f>
        <v>22487.200000000001</v>
      </c>
      <c r="U171" s="251">
        <f>+'Bal Sheet'!K24</f>
        <v>15286.3</v>
      </c>
      <c r="V171" s="251">
        <f>+'Bal Sheet'!L24</f>
        <v>21748.9</v>
      </c>
      <c r="W171" s="251">
        <f>+'Bal Sheet'!M24</f>
        <v>17424.7</v>
      </c>
      <c r="X171" s="251">
        <f>+'Bal Sheet'!N24</f>
        <v>19736.900000000001</v>
      </c>
      <c r="Y171" s="251">
        <f>+'Bal Sheet'!O24</f>
        <v>19920.100000000002</v>
      </c>
      <c r="Z171" s="251">
        <f>+'Bal Sheet'!P24</f>
        <v>3690.2</v>
      </c>
      <c r="AA171" s="251">
        <f>+'Bal Sheet'!Q24</f>
        <v>23955.261871000006</v>
      </c>
      <c r="AB171" s="251">
        <f>+'Bal Sheet'!R24</f>
        <v>27340.856005000005</v>
      </c>
      <c r="AC171" s="251">
        <f>+'Bal Sheet'!S24</f>
        <v>27340.856005000005</v>
      </c>
      <c r="AD171" s="251">
        <f>+'Bal Sheet'!T24</f>
        <v>27340.856005000005</v>
      </c>
      <c r="AF171" s="579"/>
      <c r="AG171" s="579"/>
      <c r="AH171" s="579"/>
      <c r="AI171" s="579"/>
      <c r="AJ171" s="579"/>
      <c r="AK171" s="579"/>
      <c r="AL171" s="579"/>
      <c r="AM171" s="579"/>
      <c r="AN171" s="579"/>
      <c r="AO171" s="579"/>
      <c r="AP171" s="579"/>
      <c r="AQ171" s="579"/>
      <c r="AR171" s="579"/>
      <c r="AS171" s="579"/>
      <c r="AT171" s="579"/>
      <c r="AU171" s="579"/>
      <c r="AV171" s="579"/>
      <c r="AW171" s="579"/>
      <c r="AX171" s="579"/>
      <c r="AY171" s="579"/>
      <c r="AZ171" s="579"/>
      <c r="BA171" s="579"/>
      <c r="BB171" s="579"/>
      <c r="BC171" s="579"/>
      <c r="BD171" s="579"/>
      <c r="BE171" s="579"/>
      <c r="BF171" s="579"/>
      <c r="BG171" s="579"/>
      <c r="BH171" s="579"/>
      <c r="BI171" s="579"/>
      <c r="BJ171" s="579"/>
      <c r="BK171" s="579"/>
    </row>
    <row r="172" spans="1:63" s="240" customFormat="1">
      <c r="A172" s="209"/>
      <c r="B172" s="220" t="s">
        <v>1171</v>
      </c>
      <c r="C172" s="220" t="s">
        <v>82</v>
      </c>
      <c r="D172" s="209"/>
      <c r="F172" s="251"/>
      <c r="G172" s="251"/>
      <c r="H172" s="251"/>
      <c r="I172" s="251"/>
      <c r="J172" s="251"/>
      <c r="K172" s="251"/>
      <c r="L172" s="251"/>
      <c r="M172" s="251"/>
      <c r="N172" s="251"/>
      <c r="O172" s="251"/>
      <c r="P172" s="251"/>
      <c r="Q172" s="251"/>
      <c r="R172" s="251"/>
      <c r="S172" s="251"/>
      <c r="T172" s="251"/>
      <c r="U172" s="251"/>
      <c r="V172" s="251"/>
      <c r="W172" s="251"/>
      <c r="X172" s="251"/>
      <c r="Y172" s="251"/>
      <c r="Z172" s="251"/>
      <c r="AA172" s="251"/>
      <c r="AB172" s="251"/>
      <c r="AC172" s="251"/>
      <c r="AD172" s="251"/>
      <c r="AF172" s="579"/>
      <c r="AG172" s="579"/>
      <c r="AH172" s="579"/>
      <c r="AI172" s="579"/>
      <c r="AJ172" s="579"/>
      <c r="AK172" s="579"/>
      <c r="AL172" s="579"/>
      <c r="AM172" s="579"/>
      <c r="AN172" s="579"/>
      <c r="AO172" s="579"/>
      <c r="AP172" s="579"/>
      <c r="AQ172" s="579"/>
      <c r="AR172" s="579"/>
      <c r="AS172" s="579"/>
      <c r="AT172" s="579"/>
      <c r="AU172" s="579"/>
      <c r="AV172" s="579"/>
      <c r="AW172" s="579"/>
      <c r="AX172" s="579"/>
      <c r="AY172" s="579"/>
      <c r="AZ172" s="579"/>
      <c r="BA172" s="579"/>
      <c r="BB172" s="579"/>
      <c r="BC172" s="579"/>
      <c r="BD172" s="579"/>
      <c r="BE172" s="579"/>
      <c r="BF172" s="579"/>
      <c r="BG172" s="579"/>
      <c r="BH172" s="579"/>
      <c r="BI172" s="579"/>
      <c r="BJ172" s="579"/>
      <c r="BK172" s="579"/>
    </row>
    <row r="173" spans="1:63" s="245" customFormat="1">
      <c r="A173" s="243"/>
      <c r="B173" s="246" t="s">
        <v>1172</v>
      </c>
      <c r="C173" s="244" t="s">
        <v>1173</v>
      </c>
      <c r="D173" s="243"/>
      <c r="F173" s="245">
        <f t="shared" ref="F173:AD173" si="196">F158-F166</f>
        <v>0</v>
      </c>
      <c r="G173" s="245">
        <f t="shared" si="196"/>
        <v>0</v>
      </c>
      <c r="H173" s="245">
        <f t="shared" si="196"/>
        <v>0</v>
      </c>
      <c r="I173" s="245">
        <f t="shared" si="196"/>
        <v>0</v>
      </c>
      <c r="J173" s="245">
        <f t="shared" si="196"/>
        <v>0</v>
      </c>
      <c r="K173" s="245">
        <f t="shared" si="196"/>
        <v>0</v>
      </c>
      <c r="M173" s="245">
        <f t="shared" si="196"/>
        <v>2144.4193000000014</v>
      </c>
      <c r="N173" s="245">
        <f t="shared" si="196"/>
        <v>-2730.2109999999957</v>
      </c>
      <c r="O173" s="245">
        <f t="shared" si="196"/>
        <v>-2042.2697999999946</v>
      </c>
      <c r="P173" s="245">
        <f t="shared" si="196"/>
        <v>-6887.6000000000022</v>
      </c>
      <c r="Q173" s="245">
        <f t="shared" si="196"/>
        <v>-5141.4000000000087</v>
      </c>
      <c r="R173" s="245">
        <f t="shared" si="196"/>
        <v>-2157.7999999999956</v>
      </c>
      <c r="S173" s="245">
        <f t="shared" si="196"/>
        <v>-1561.7999999999993</v>
      </c>
      <c r="T173" s="245">
        <f t="shared" si="196"/>
        <v>-12740.199999999993</v>
      </c>
      <c r="U173" s="245">
        <f t="shared" si="196"/>
        <v>-10826.900000000005</v>
      </c>
      <c r="V173" s="245">
        <f t="shared" si="196"/>
        <v>-2192.0000000000073</v>
      </c>
      <c r="W173" s="245">
        <f t="shared" si="196"/>
        <v>-4401.1000000000058</v>
      </c>
      <c r="X173" s="245">
        <f t="shared" si="196"/>
        <v>-8999.9000000000015</v>
      </c>
      <c r="Y173" s="245">
        <f t="shared" si="196"/>
        <v>-3910.6200000000099</v>
      </c>
      <c r="Z173" s="245">
        <f>Z158-Z166</f>
        <v>10517.999999999996</v>
      </c>
      <c r="AA173" s="245">
        <f>AA158-AA166</f>
        <v>-13139.861870999986</v>
      </c>
      <c r="AB173" s="245">
        <f>AB158-AB166</f>
        <v>-8276.0390162364783</v>
      </c>
      <c r="AC173" s="245">
        <f t="shared" si="196"/>
        <v>1692.6462754416061</v>
      </c>
      <c r="AD173" s="245">
        <f t="shared" si="196"/>
        <v>30650.559081930245</v>
      </c>
      <c r="AF173" s="580">
        <f t="shared" ref="AF173:BK173" si="197">AF158-AF166</f>
        <v>0</v>
      </c>
      <c r="AG173" s="580">
        <f t="shared" si="197"/>
        <v>0</v>
      </c>
      <c r="AH173" s="580">
        <f t="shared" si="197"/>
        <v>0</v>
      </c>
      <c r="AI173" s="580">
        <f t="shared" si="197"/>
        <v>0</v>
      </c>
      <c r="AJ173" s="580">
        <f t="shared" si="197"/>
        <v>0</v>
      </c>
      <c r="AK173" s="580">
        <f t="shared" si="197"/>
        <v>0</v>
      </c>
      <c r="AL173" s="580">
        <f t="shared" si="197"/>
        <v>0</v>
      </c>
      <c r="AM173" s="580">
        <f t="shared" si="197"/>
        <v>0</v>
      </c>
      <c r="AN173" s="580">
        <f t="shared" si="197"/>
        <v>0</v>
      </c>
      <c r="AO173" s="580">
        <f t="shared" si="197"/>
        <v>0</v>
      </c>
      <c r="AP173" s="580">
        <f t="shared" si="197"/>
        <v>0</v>
      </c>
      <c r="AQ173" s="580">
        <f t="shared" si="197"/>
        <v>0</v>
      </c>
      <c r="AR173" s="580">
        <f t="shared" si="197"/>
        <v>0</v>
      </c>
      <c r="AS173" s="580">
        <f t="shared" si="197"/>
        <v>0</v>
      </c>
      <c r="AT173" s="580">
        <f t="shared" si="197"/>
        <v>0</v>
      </c>
      <c r="AU173" s="580">
        <f t="shared" si="197"/>
        <v>0</v>
      </c>
      <c r="AV173" s="580">
        <f t="shared" si="197"/>
        <v>0</v>
      </c>
      <c r="AW173" s="580">
        <f t="shared" si="197"/>
        <v>0</v>
      </c>
      <c r="AX173" s="580">
        <f t="shared" si="197"/>
        <v>0</v>
      </c>
      <c r="AY173" s="580">
        <f t="shared" si="197"/>
        <v>0</v>
      </c>
      <c r="AZ173" s="580">
        <f t="shared" si="197"/>
        <v>0</v>
      </c>
      <c r="BA173" s="580">
        <f t="shared" si="197"/>
        <v>0</v>
      </c>
      <c r="BB173" s="580">
        <f t="shared" si="197"/>
        <v>0</v>
      </c>
      <c r="BC173" s="580">
        <f t="shared" si="197"/>
        <v>0</v>
      </c>
      <c r="BD173" s="580">
        <f t="shared" si="197"/>
        <v>0</v>
      </c>
      <c r="BE173" s="580">
        <f t="shared" si="197"/>
        <v>0</v>
      </c>
      <c r="BF173" s="580">
        <f t="shared" si="197"/>
        <v>0</v>
      </c>
      <c r="BG173" s="580">
        <f t="shared" si="197"/>
        <v>0</v>
      </c>
      <c r="BH173" s="580">
        <f t="shared" si="197"/>
        <v>0</v>
      </c>
      <c r="BI173" s="580">
        <f t="shared" si="197"/>
        <v>0</v>
      </c>
      <c r="BJ173" s="580">
        <f t="shared" si="197"/>
        <v>0</v>
      </c>
      <c r="BK173" s="580">
        <f t="shared" si="197"/>
        <v>0</v>
      </c>
    </row>
    <row r="174" spans="1:63" s="240" customFormat="1">
      <c r="A174" s="209"/>
      <c r="B174" s="220" t="s">
        <v>1174</v>
      </c>
      <c r="C174" s="220" t="s">
        <v>1175</v>
      </c>
      <c r="D174" s="209"/>
      <c r="F174" s="251"/>
      <c r="G174" s="251"/>
      <c r="H174" s="251"/>
      <c r="I174" s="251"/>
      <c r="J174" s="251"/>
      <c r="K174" s="251"/>
      <c r="L174" s="251"/>
      <c r="M174" s="251">
        <f>+'Bal Sheet'!C19+'Bal Sheet'!C20</f>
        <v>175</v>
      </c>
      <c r="N174" s="251">
        <f>+'Bal Sheet'!D19+'Bal Sheet'!D20</f>
        <v>175</v>
      </c>
      <c r="O174" s="251">
        <f>+'Bal Sheet'!E19+'Bal Sheet'!E20</f>
        <v>175</v>
      </c>
      <c r="P174" s="251">
        <f>+'Bal Sheet'!F19+'Bal Sheet'!F20</f>
        <v>175</v>
      </c>
      <c r="Q174" s="251">
        <f>+'Bal Sheet'!G19+'Bal Sheet'!G20</f>
        <v>175</v>
      </c>
      <c r="R174" s="251">
        <f>+'Bal Sheet'!H19+'Bal Sheet'!H20</f>
        <v>3258.1</v>
      </c>
      <c r="S174" s="251">
        <f>+'Bal Sheet'!I19+'Bal Sheet'!I20</f>
        <v>5505.3</v>
      </c>
      <c r="T174" s="251">
        <f>+'Bal Sheet'!J19+'Bal Sheet'!J20</f>
        <v>0</v>
      </c>
      <c r="U174" s="251">
        <f>+'Bal Sheet'!K19+'Bal Sheet'!K20</f>
        <v>0</v>
      </c>
      <c r="V174" s="251">
        <f>+'Bal Sheet'!L19+'Bal Sheet'!L20</f>
        <v>0</v>
      </c>
      <c r="W174" s="251">
        <f>+'Bal Sheet'!M19+'Bal Sheet'!M20</f>
        <v>0</v>
      </c>
      <c r="X174" s="251">
        <f>+'Bal Sheet'!N19+'Bal Sheet'!N20</f>
        <v>0</v>
      </c>
      <c r="Y174" s="251">
        <f>+'Bal Sheet'!O19+'Bal Sheet'!O20</f>
        <v>0.4</v>
      </c>
      <c r="Z174" s="251">
        <f>+'Bal Sheet'!P19+'Bal Sheet'!P20</f>
        <v>0</v>
      </c>
      <c r="AA174" s="251">
        <f>+'Bal Sheet'!Q19+'Bal Sheet'!Q20</f>
        <v>0</v>
      </c>
      <c r="AB174" s="251">
        <f>+'Bal Sheet'!R19+'Bal Sheet'!R20</f>
        <v>0</v>
      </c>
      <c r="AC174" s="251">
        <f>+'Bal Sheet'!S19+'Bal Sheet'!S20</f>
        <v>0</v>
      </c>
      <c r="AD174" s="251">
        <f>+'Bal Sheet'!T19+'Bal Sheet'!T20</f>
        <v>0</v>
      </c>
      <c r="AF174" s="579"/>
      <c r="AG174" s="579"/>
      <c r="AH174" s="579"/>
      <c r="AI174" s="579"/>
      <c r="AJ174" s="579"/>
      <c r="AK174" s="579"/>
      <c r="AL174" s="579"/>
      <c r="AM174" s="579"/>
      <c r="AN174" s="579"/>
      <c r="AO174" s="579"/>
      <c r="AP174" s="579"/>
      <c r="AQ174" s="579"/>
      <c r="AR174" s="579"/>
      <c r="AS174" s="579"/>
      <c r="AT174" s="579"/>
      <c r="AU174" s="579"/>
      <c r="AV174" s="579"/>
      <c r="AW174" s="579"/>
      <c r="AX174" s="579"/>
      <c r="AY174" s="579"/>
      <c r="AZ174" s="579"/>
      <c r="BA174" s="579"/>
      <c r="BB174" s="579"/>
      <c r="BC174" s="579"/>
      <c r="BD174" s="579"/>
      <c r="BE174" s="579"/>
      <c r="BF174" s="579"/>
      <c r="BG174" s="579"/>
      <c r="BH174" s="579"/>
      <c r="BI174" s="579"/>
      <c r="BJ174" s="579"/>
      <c r="BK174" s="579"/>
    </row>
    <row r="175" spans="1:63" s="245" customFormat="1">
      <c r="A175" s="243"/>
      <c r="B175" s="246" t="s">
        <v>1176</v>
      </c>
      <c r="C175" s="244" t="s">
        <v>1177</v>
      </c>
      <c r="D175" s="243"/>
      <c r="F175" s="245">
        <f t="shared" ref="F175:AD175" si="198">F153+F154+F155+F173+F174</f>
        <v>0</v>
      </c>
      <c r="G175" s="245">
        <f t="shared" si="198"/>
        <v>0</v>
      </c>
      <c r="H175" s="245">
        <f t="shared" si="198"/>
        <v>0</v>
      </c>
      <c r="I175" s="245">
        <f t="shared" si="198"/>
        <v>0</v>
      </c>
      <c r="J175" s="245">
        <f t="shared" si="198"/>
        <v>0</v>
      </c>
      <c r="K175" s="245">
        <f t="shared" si="198"/>
        <v>0</v>
      </c>
      <c r="M175" s="245">
        <f t="shared" si="198"/>
        <v>42532.479900000006</v>
      </c>
      <c r="N175" s="245">
        <f t="shared" si="198"/>
        <v>48221.692000000003</v>
      </c>
      <c r="O175" s="245">
        <f t="shared" si="198"/>
        <v>55012.312200000008</v>
      </c>
      <c r="P175" s="245">
        <f t="shared" si="198"/>
        <v>63254.3</v>
      </c>
      <c r="Q175" s="245">
        <f t="shared" si="198"/>
        <v>72338.799999999988</v>
      </c>
      <c r="R175" s="245">
        <f t="shared" si="198"/>
        <v>29813.200000000004</v>
      </c>
      <c r="S175" s="245">
        <f t="shared" si="198"/>
        <v>33859.799999999996</v>
      </c>
      <c r="T175" s="245">
        <f t="shared" si="198"/>
        <v>42686.100000000006</v>
      </c>
      <c r="U175" s="245">
        <f t="shared" si="198"/>
        <v>52650.8</v>
      </c>
      <c r="V175" s="245">
        <f t="shared" si="198"/>
        <v>61870.19999999999</v>
      </c>
      <c r="W175" s="245">
        <f t="shared" si="198"/>
        <v>80883.599999999991</v>
      </c>
      <c r="X175" s="245">
        <f t="shared" si="198"/>
        <v>98089.4</v>
      </c>
      <c r="Y175" s="245">
        <f t="shared" si="198"/>
        <v>109455.57999999999</v>
      </c>
      <c r="Z175" s="245">
        <f>Z153+Z154+Z155+Z173+Z174</f>
        <v>126423.70000000001</v>
      </c>
      <c r="AA175" s="245">
        <f>AA153+AA154+AA155+AA173+AA174</f>
        <v>142692.93812900002</v>
      </c>
      <c r="AB175" s="245">
        <f>AB153+AB154+AB155+AB173+AB174</f>
        <v>168182.48848376347</v>
      </c>
      <c r="AC175" s="245">
        <f t="shared" si="198"/>
        <v>193500.90127544157</v>
      </c>
      <c r="AD175" s="245">
        <f t="shared" si="198"/>
        <v>222475.63908193022</v>
      </c>
      <c r="AF175" s="580">
        <f t="shared" ref="AF175:BK175" si="199">AF153+AF154+AF155+AF173+AF174</f>
        <v>0</v>
      </c>
      <c r="AG175" s="580">
        <f t="shared" si="199"/>
        <v>0</v>
      </c>
      <c r="AH175" s="580">
        <f t="shared" si="199"/>
        <v>0</v>
      </c>
      <c r="AI175" s="580">
        <f t="shared" si="199"/>
        <v>0</v>
      </c>
      <c r="AJ175" s="580">
        <f t="shared" si="199"/>
        <v>0</v>
      </c>
      <c r="AK175" s="580">
        <f t="shared" si="199"/>
        <v>0</v>
      </c>
      <c r="AL175" s="580">
        <f t="shared" si="199"/>
        <v>0</v>
      </c>
      <c r="AM175" s="580">
        <f t="shared" si="199"/>
        <v>0</v>
      </c>
      <c r="AN175" s="580">
        <f t="shared" si="199"/>
        <v>0</v>
      </c>
      <c r="AO175" s="580">
        <f t="shared" si="199"/>
        <v>0</v>
      </c>
      <c r="AP175" s="580">
        <f t="shared" si="199"/>
        <v>0</v>
      </c>
      <c r="AQ175" s="580">
        <f t="shared" si="199"/>
        <v>0</v>
      </c>
      <c r="AR175" s="580">
        <f t="shared" si="199"/>
        <v>0</v>
      </c>
      <c r="AS175" s="580">
        <f t="shared" si="199"/>
        <v>0</v>
      </c>
      <c r="AT175" s="580">
        <f t="shared" si="199"/>
        <v>0</v>
      </c>
      <c r="AU175" s="580">
        <f t="shared" si="199"/>
        <v>0</v>
      </c>
      <c r="AV175" s="580">
        <f t="shared" si="199"/>
        <v>0</v>
      </c>
      <c r="AW175" s="580">
        <f t="shared" si="199"/>
        <v>0</v>
      </c>
      <c r="AX175" s="580">
        <f t="shared" si="199"/>
        <v>0</v>
      </c>
      <c r="AY175" s="580">
        <f t="shared" si="199"/>
        <v>0</v>
      </c>
      <c r="AZ175" s="580">
        <f t="shared" si="199"/>
        <v>0</v>
      </c>
      <c r="BA175" s="580">
        <f t="shared" si="199"/>
        <v>0</v>
      </c>
      <c r="BB175" s="580">
        <f t="shared" si="199"/>
        <v>0</v>
      </c>
      <c r="BC175" s="580">
        <f t="shared" si="199"/>
        <v>0</v>
      </c>
      <c r="BD175" s="580">
        <f t="shared" si="199"/>
        <v>0</v>
      </c>
      <c r="BE175" s="580">
        <f t="shared" si="199"/>
        <v>0</v>
      </c>
      <c r="BF175" s="580">
        <f t="shared" si="199"/>
        <v>0</v>
      </c>
      <c r="BG175" s="580">
        <f t="shared" si="199"/>
        <v>0</v>
      </c>
      <c r="BH175" s="580">
        <f t="shared" si="199"/>
        <v>0</v>
      </c>
      <c r="BI175" s="580">
        <f t="shared" si="199"/>
        <v>0</v>
      </c>
      <c r="BJ175" s="580">
        <f t="shared" si="199"/>
        <v>0</v>
      </c>
      <c r="BK175" s="580">
        <f t="shared" si="199"/>
        <v>0</v>
      </c>
    </row>
    <row r="176" spans="1:63" s="245" customFormat="1">
      <c r="A176" s="243"/>
      <c r="B176" s="246" t="s">
        <v>1178</v>
      </c>
      <c r="C176" s="244" t="s">
        <v>1179</v>
      </c>
      <c r="D176" s="243"/>
      <c r="F176" s="245">
        <f t="shared" ref="F176:AD176" si="200">F175-F141</f>
        <v>0</v>
      </c>
      <c r="G176" s="245">
        <f t="shared" si="200"/>
        <v>0</v>
      </c>
      <c r="H176" s="245">
        <f t="shared" si="200"/>
        <v>0</v>
      </c>
      <c r="I176" s="245">
        <f t="shared" si="200"/>
        <v>0</v>
      </c>
      <c r="J176" s="245">
        <f t="shared" si="200"/>
        <v>0</v>
      </c>
      <c r="K176" s="245">
        <f t="shared" si="200"/>
        <v>0</v>
      </c>
      <c r="M176" s="245">
        <f t="shared" si="200"/>
        <v>-7.5639999922714196E-3</v>
      </c>
      <c r="N176" s="245">
        <f t="shared" si="200"/>
        <v>-3.9099999987229239E-2</v>
      </c>
      <c r="O176" s="245">
        <f t="shared" si="200"/>
        <v>-7.2899999991932418E-2</v>
      </c>
      <c r="P176" s="245">
        <f t="shared" si="200"/>
        <v>-0.33509999999660067</v>
      </c>
      <c r="Q176" s="245">
        <f t="shared" si="200"/>
        <v>-0.43510000000242144</v>
      </c>
      <c r="R176" s="245">
        <f t="shared" si="200"/>
        <v>3.8649000000041269</v>
      </c>
      <c r="S176" s="245">
        <f t="shared" si="200"/>
        <v>-3.5100000008242205E-2</v>
      </c>
      <c r="T176" s="245">
        <f t="shared" si="200"/>
        <v>6.4900000004854519E-2</v>
      </c>
      <c r="U176" s="245">
        <f t="shared" si="200"/>
        <v>2.9800000003888272E-2</v>
      </c>
      <c r="V176" s="245">
        <f t="shared" si="200"/>
        <v>0.32979999998497078</v>
      </c>
      <c r="W176" s="245">
        <f t="shared" si="200"/>
        <v>0.42979999998351559</v>
      </c>
      <c r="X176" s="245">
        <f t="shared" si="200"/>
        <v>2.9800000003888272E-2</v>
      </c>
      <c r="Y176" s="245">
        <f t="shared" si="200"/>
        <v>0</v>
      </c>
      <c r="Z176" s="987">
        <f>Z175-Z141</f>
        <v>-0.17019999997864943</v>
      </c>
      <c r="AA176" s="987">
        <f>AA175-AA141</f>
        <v>-0.17019999993499368</v>
      </c>
      <c r="AB176" s="987">
        <f>AB175-AB141</f>
        <v>6894.956170597201</v>
      </c>
      <c r="AC176" s="987">
        <f t="shared" si="200"/>
        <v>6658.3587538352003</v>
      </c>
      <c r="AD176" s="987">
        <f t="shared" si="200"/>
        <v>-18992.660514489078</v>
      </c>
      <c r="AF176" s="580">
        <f t="shared" ref="AF176:BK176" si="201">AF175-AF141</f>
        <v>0</v>
      </c>
      <c r="AG176" s="580">
        <f t="shared" si="201"/>
        <v>0</v>
      </c>
      <c r="AH176" s="580">
        <f t="shared" si="201"/>
        <v>0</v>
      </c>
      <c r="AI176" s="580">
        <f t="shared" si="201"/>
        <v>0</v>
      </c>
      <c r="AJ176" s="580">
        <f t="shared" si="201"/>
        <v>0</v>
      </c>
      <c r="AK176" s="580">
        <f t="shared" si="201"/>
        <v>0</v>
      </c>
      <c r="AL176" s="580">
        <f t="shared" si="201"/>
        <v>0</v>
      </c>
      <c r="AM176" s="580">
        <f t="shared" si="201"/>
        <v>0</v>
      </c>
      <c r="AN176" s="580">
        <f t="shared" si="201"/>
        <v>0</v>
      </c>
      <c r="AO176" s="580">
        <f t="shared" si="201"/>
        <v>0</v>
      </c>
      <c r="AP176" s="580">
        <f t="shared" si="201"/>
        <v>0</v>
      </c>
      <c r="AQ176" s="580">
        <f t="shared" si="201"/>
        <v>0</v>
      </c>
      <c r="AR176" s="580">
        <f t="shared" si="201"/>
        <v>0</v>
      </c>
      <c r="AS176" s="580">
        <f t="shared" si="201"/>
        <v>0</v>
      </c>
      <c r="AT176" s="580">
        <f t="shared" si="201"/>
        <v>0</v>
      </c>
      <c r="AU176" s="580">
        <f t="shared" si="201"/>
        <v>0</v>
      </c>
      <c r="AV176" s="580">
        <f t="shared" si="201"/>
        <v>0</v>
      </c>
      <c r="AW176" s="580">
        <f t="shared" si="201"/>
        <v>0</v>
      </c>
      <c r="AX176" s="580">
        <f t="shared" si="201"/>
        <v>0</v>
      </c>
      <c r="AY176" s="580">
        <f t="shared" si="201"/>
        <v>0</v>
      </c>
      <c r="AZ176" s="580">
        <f t="shared" si="201"/>
        <v>0</v>
      </c>
      <c r="BA176" s="580">
        <f t="shared" si="201"/>
        <v>0</v>
      </c>
      <c r="BB176" s="580">
        <f t="shared" si="201"/>
        <v>0</v>
      </c>
      <c r="BC176" s="580">
        <f t="shared" si="201"/>
        <v>0</v>
      </c>
      <c r="BD176" s="580">
        <f t="shared" si="201"/>
        <v>0</v>
      </c>
      <c r="BE176" s="580">
        <f t="shared" si="201"/>
        <v>0</v>
      </c>
      <c r="BF176" s="580">
        <f t="shared" si="201"/>
        <v>0</v>
      </c>
      <c r="BG176" s="580">
        <f t="shared" si="201"/>
        <v>0</v>
      </c>
      <c r="BH176" s="580">
        <f t="shared" si="201"/>
        <v>0</v>
      </c>
      <c r="BI176" s="580">
        <f t="shared" si="201"/>
        <v>0</v>
      </c>
      <c r="BJ176" s="580">
        <f t="shared" si="201"/>
        <v>0</v>
      </c>
      <c r="BK176" s="580">
        <f t="shared" si="201"/>
        <v>0</v>
      </c>
    </row>
    <row r="177" spans="1:63" s="248" customFormat="1">
      <c r="A177" s="247"/>
      <c r="B177" s="220"/>
      <c r="C177" s="259"/>
      <c r="D177" s="247"/>
      <c r="W177" s="240">
        <f>+Cashflow!M41</f>
        <v>-17503</v>
      </c>
      <c r="X177" s="240">
        <f>+Cashflow!N41</f>
        <v>-21414.6</v>
      </c>
      <c r="Y177" s="240">
        <f>+Cashflow!O41</f>
        <v>-4143.1999999999953</v>
      </c>
      <c r="Z177" s="240">
        <f>+Cashflow!P41</f>
        <v>-188.49999999999989</v>
      </c>
      <c r="AA177" s="240">
        <f>+Cashflow!Q41</f>
        <v>-32773.255199999971</v>
      </c>
      <c r="AB177" s="240">
        <f>+Cashflow!R41</f>
        <v>-12608.048000000003</v>
      </c>
      <c r="AC177" s="240">
        <f>+Cashflow!S41</f>
        <v>-6208.0480000000025</v>
      </c>
      <c r="AD177" s="240">
        <f>+Cashflow!T41</f>
        <v>7812.9579999999987</v>
      </c>
      <c r="AF177" s="581"/>
      <c r="AG177" s="581"/>
      <c r="AH177" s="581"/>
      <c r="AI177" s="581"/>
      <c r="AJ177" s="581"/>
      <c r="AK177" s="581"/>
      <c r="AL177" s="581"/>
      <c r="AM177" s="581"/>
      <c r="AN177" s="581"/>
      <c r="AO177" s="581"/>
      <c r="AP177" s="581"/>
      <c r="AQ177" s="581"/>
      <c r="AR177" s="581"/>
      <c r="AS177" s="581"/>
      <c r="AT177" s="581"/>
      <c r="AU177" s="581"/>
      <c r="AV177" s="581"/>
      <c r="AW177" s="581"/>
      <c r="AX177" s="581"/>
      <c r="AY177" s="581"/>
      <c r="AZ177" s="581"/>
      <c r="BA177" s="581"/>
      <c r="BB177" s="581"/>
      <c r="BC177" s="581"/>
      <c r="BD177" s="581"/>
      <c r="BE177" s="581"/>
      <c r="BF177" s="581"/>
      <c r="BG177" s="581"/>
      <c r="BH177" s="581"/>
      <c r="BI177" s="581"/>
      <c r="BJ177" s="581"/>
      <c r="BK177" s="581"/>
    </row>
    <row r="178" spans="1:63" s="240" customFormat="1">
      <c r="A178" s="209"/>
      <c r="B178" s="209"/>
      <c r="C178" s="247"/>
      <c r="D178" s="209"/>
      <c r="W178" s="240">
        <f>W197+W198+W195</f>
        <v>-17418.2</v>
      </c>
      <c r="X178" s="240">
        <f t="shared" ref="X178:AB178" si="202">X197+X198+X195</f>
        <v>-17482.500000000011</v>
      </c>
      <c r="Y178" s="240">
        <f t="shared" si="202"/>
        <v>-3222.6999999999957</v>
      </c>
      <c r="Z178" s="240">
        <f t="shared" si="202"/>
        <v>5124.3999999999924</v>
      </c>
      <c r="AA178" s="240">
        <f t="shared" si="202"/>
        <v>-30780.299999999967</v>
      </c>
      <c r="AB178" s="240">
        <f t="shared" si="202"/>
        <v>-10640.430700000003</v>
      </c>
      <c r="AC178" s="240">
        <f t="shared" ref="AC178:AD178" si="203">AC197+AC198+AC195</f>
        <v>-4043.6689699999988</v>
      </c>
      <c r="AD178" s="240">
        <f t="shared" si="203"/>
        <v>10193.774933000004</v>
      </c>
      <c r="AF178" s="579"/>
      <c r="AG178" s="579"/>
      <c r="AH178" s="579"/>
      <c r="AI178" s="579"/>
      <c r="AJ178" s="579"/>
      <c r="AK178" s="579"/>
      <c r="AL178" s="579"/>
      <c r="AM178" s="579"/>
      <c r="AN178" s="579"/>
      <c r="AO178" s="579"/>
      <c r="AP178" s="579"/>
      <c r="AQ178" s="579"/>
      <c r="AR178" s="579"/>
      <c r="AS178" s="579"/>
      <c r="AT178" s="579"/>
      <c r="AU178" s="579"/>
      <c r="AV178" s="579"/>
      <c r="AW178" s="579"/>
      <c r="AX178" s="579"/>
      <c r="AY178" s="579"/>
      <c r="AZ178" s="579"/>
      <c r="BA178" s="579"/>
      <c r="BB178" s="579"/>
      <c r="BC178" s="579"/>
      <c r="BD178" s="579"/>
      <c r="BE178" s="579"/>
      <c r="BF178" s="579"/>
      <c r="BG178" s="579"/>
      <c r="BH178" s="579"/>
      <c r="BI178" s="579"/>
      <c r="BJ178" s="579"/>
      <c r="BK178" s="579"/>
    </row>
    <row r="179" spans="1:63" s="240" customFormat="1">
      <c r="A179" s="209"/>
      <c r="B179" s="209"/>
      <c r="C179" s="262" t="s">
        <v>1180</v>
      </c>
      <c r="D179" s="209"/>
      <c r="W179" s="240">
        <f t="shared" ref="W179:AB179" si="204">+W177-W178</f>
        <v>-84.799999999999272</v>
      </c>
      <c r="X179" s="240">
        <f t="shared" si="204"/>
        <v>-3932.0999999999876</v>
      </c>
      <c r="Y179" s="240">
        <f t="shared" si="204"/>
        <v>-920.49999999999955</v>
      </c>
      <c r="Z179" s="240">
        <f t="shared" si="204"/>
        <v>-5312.8999999999924</v>
      </c>
      <c r="AA179" s="240">
        <f t="shared" si="204"/>
        <v>-1992.955200000004</v>
      </c>
      <c r="AB179" s="240">
        <f t="shared" si="204"/>
        <v>-1967.6172999999999</v>
      </c>
      <c r="AC179" s="240">
        <f t="shared" ref="AC179:AD179" si="205">+AC177-AC178</f>
        <v>-2164.3790300000037</v>
      </c>
      <c r="AD179" s="240">
        <f t="shared" si="205"/>
        <v>-2380.8169330000055</v>
      </c>
      <c r="AF179" s="579"/>
      <c r="AG179" s="579"/>
      <c r="AH179" s="579"/>
      <c r="AI179" s="579"/>
      <c r="AJ179" s="579"/>
      <c r="AK179" s="579"/>
      <c r="AL179" s="579"/>
      <c r="AM179" s="579"/>
      <c r="AN179" s="579"/>
      <c r="AO179" s="579"/>
      <c r="AP179" s="579"/>
      <c r="AQ179" s="579"/>
      <c r="AR179" s="579"/>
      <c r="AS179" s="579"/>
      <c r="AT179" s="579"/>
      <c r="AU179" s="579"/>
      <c r="AV179" s="579"/>
      <c r="AW179" s="579"/>
      <c r="AX179" s="579"/>
      <c r="AY179" s="579"/>
      <c r="AZ179" s="579"/>
      <c r="BA179" s="579"/>
      <c r="BB179" s="579"/>
      <c r="BC179" s="579"/>
      <c r="BD179" s="579"/>
      <c r="BE179" s="579"/>
      <c r="BF179" s="579"/>
      <c r="BG179" s="579"/>
      <c r="BH179" s="579"/>
      <c r="BI179" s="579"/>
      <c r="BJ179" s="579"/>
      <c r="BK179" s="579"/>
    </row>
    <row r="180" spans="1:63" s="245" customFormat="1">
      <c r="A180" s="243"/>
      <c r="B180" s="243" t="s">
        <v>1181</v>
      </c>
      <c r="C180" s="263" t="s">
        <v>1182</v>
      </c>
      <c r="D180" s="243"/>
      <c r="F180" s="245">
        <f t="shared" ref="F180:X180" si="206">F87-F82</f>
        <v>0</v>
      </c>
      <c r="G180" s="245">
        <f t="shared" si="206"/>
        <v>0</v>
      </c>
      <c r="H180" s="245">
        <f t="shared" si="206"/>
        <v>0</v>
      </c>
      <c r="I180" s="245">
        <f t="shared" si="206"/>
        <v>0</v>
      </c>
      <c r="J180" s="245">
        <f t="shared" si="206"/>
        <v>0</v>
      </c>
      <c r="K180" s="245">
        <f t="shared" si="206"/>
        <v>0</v>
      </c>
      <c r="M180" s="245">
        <f t="shared" si="206"/>
        <v>6242.3469999999998</v>
      </c>
      <c r="N180" s="245">
        <f t="shared" si="206"/>
        <v>7428.7749999999996</v>
      </c>
      <c r="O180" s="245">
        <f t="shared" si="206"/>
        <v>7488.143</v>
      </c>
      <c r="P180" s="245">
        <f t="shared" si="206"/>
        <v>12379.900000000001</v>
      </c>
      <c r="Q180" s="245">
        <f t="shared" si="206"/>
        <v>12937.800000000001</v>
      </c>
      <c r="R180" s="245">
        <f t="shared" si="206"/>
        <v>10496.900000000005</v>
      </c>
      <c r="S180" s="245">
        <f t="shared" si="206"/>
        <v>9718.0000000000055</v>
      </c>
      <c r="T180" s="245">
        <f t="shared" si="206"/>
        <v>24156.199999999986</v>
      </c>
      <c r="U180" s="245">
        <f t="shared" si="206"/>
        <v>30496.89999999998</v>
      </c>
      <c r="V180" s="245">
        <f t="shared" si="206"/>
        <v>35521.299999999996</v>
      </c>
      <c r="W180" s="245">
        <f t="shared" si="206"/>
        <v>34707.400000000031</v>
      </c>
      <c r="X180" s="245">
        <f t="shared" si="206"/>
        <v>40661.799999999988</v>
      </c>
      <c r="Y180" s="245">
        <f>Y87-Y82</f>
        <v>38928.800000000017</v>
      </c>
      <c r="Z180" s="245">
        <f>Z87-Z82</f>
        <v>44737.299999999996</v>
      </c>
      <c r="AA180" s="245">
        <f>AA87-AA82</f>
        <v>41136.600000000006</v>
      </c>
      <c r="AB180" s="245">
        <f>AB87-AB82</f>
        <v>48593.078572065213</v>
      </c>
      <c r="AC180" s="245">
        <f t="shared" ref="AC180:AD180" si="207">AC87-AC82</f>
        <v>56799.959411464937</v>
      </c>
      <c r="AD180" s="245">
        <f t="shared" si="207"/>
        <v>62743.9110878633</v>
      </c>
      <c r="AF180" s="580">
        <f t="shared" ref="AF180:BK180" si="208">AF87-AF82</f>
        <v>3118.3999999999978</v>
      </c>
      <c r="AG180" s="580">
        <f t="shared" si="208"/>
        <v>3140.199999999998</v>
      </c>
      <c r="AH180" s="580">
        <f t="shared" si="208"/>
        <v>3161.9000000000005</v>
      </c>
      <c r="AI180" s="580">
        <f t="shared" si="208"/>
        <v>2781.3999999999978</v>
      </c>
      <c r="AJ180" s="580">
        <f t="shared" si="208"/>
        <v>2258.2000000000003</v>
      </c>
      <c r="AK180" s="580">
        <f t="shared" si="208"/>
        <v>3279.7</v>
      </c>
      <c r="AL180" s="580">
        <f t="shared" si="208"/>
        <v>3232.1999999999989</v>
      </c>
      <c r="AM180" s="580">
        <f t="shared" si="208"/>
        <v>2183.7000000000007</v>
      </c>
      <c r="AN180" s="580">
        <f t="shared" si="208"/>
        <v>2323.4000000000015</v>
      </c>
      <c r="AO180" s="580">
        <f t="shared" si="208"/>
        <v>3048.7000000000007</v>
      </c>
      <c r="AP180" s="580">
        <f t="shared" si="208"/>
        <v>2649.2999999999979</v>
      </c>
      <c r="AQ180" s="580">
        <f t="shared" si="208"/>
        <v>2663.5000000000014</v>
      </c>
      <c r="AR180" s="580">
        <f t="shared" si="208"/>
        <v>4163.6999999999971</v>
      </c>
      <c r="AS180" s="580">
        <f t="shared" si="208"/>
        <v>6029.2999999999984</v>
      </c>
      <c r="AT180" s="580">
        <f t="shared" si="208"/>
        <v>6878.4800000000023</v>
      </c>
      <c r="AU180" s="580">
        <f t="shared" si="208"/>
        <v>7430</v>
      </c>
      <c r="AV180" s="580">
        <f t="shared" si="208"/>
        <v>7444.7999999999965</v>
      </c>
      <c r="AW180" s="580">
        <f t="shared" si="208"/>
        <v>8665.6999999999971</v>
      </c>
      <c r="AX180" s="580">
        <f t="shared" si="208"/>
        <v>8179.4000000000033</v>
      </c>
      <c r="AY180" s="580">
        <f t="shared" si="208"/>
        <v>7733.0999999999985</v>
      </c>
      <c r="AZ180" s="580">
        <f t="shared" si="208"/>
        <v>8089.7000000000098</v>
      </c>
      <c r="BA180" s="580">
        <f t="shared" si="208"/>
        <v>9977.2999999999956</v>
      </c>
      <c r="BB180" s="580">
        <f t="shared" si="208"/>
        <v>9519.6999999999953</v>
      </c>
      <c r="BC180" s="580">
        <f t="shared" si="208"/>
        <v>8893.9999999999927</v>
      </c>
      <c r="BD180" s="580">
        <f t="shared" si="208"/>
        <v>8364.1999999999935</v>
      </c>
      <c r="BE180" s="580">
        <f t="shared" si="208"/>
        <v>8739.4999999999982</v>
      </c>
      <c r="BF180" s="580">
        <f t="shared" si="208"/>
        <v>9705.6999999999935</v>
      </c>
      <c r="BG180" s="580">
        <f t="shared" si="208"/>
        <v>7898.0000000000018</v>
      </c>
      <c r="BH180" s="580">
        <f t="shared" si="208"/>
        <v>9582.3000000000065</v>
      </c>
      <c r="BI180" s="580">
        <f t="shared" si="208"/>
        <v>11269.899999999998</v>
      </c>
      <c r="BJ180" s="580">
        <f t="shared" si="208"/>
        <v>9935.1999999999989</v>
      </c>
      <c r="BK180" s="580">
        <f t="shared" si="208"/>
        <v>9237.0999999999985</v>
      </c>
    </row>
    <row r="181" spans="1:63" s="245" customFormat="1">
      <c r="A181" s="243"/>
      <c r="B181" s="243" t="s">
        <v>1183</v>
      </c>
      <c r="C181" s="252" t="s">
        <v>660</v>
      </c>
      <c r="D181" s="243"/>
      <c r="F181" s="245">
        <f t="shared" ref="F181:W181" si="209">F78</f>
        <v>0</v>
      </c>
      <c r="G181" s="245">
        <f t="shared" si="209"/>
        <v>0</v>
      </c>
      <c r="H181" s="245">
        <f t="shared" si="209"/>
        <v>0</v>
      </c>
      <c r="I181" s="245">
        <f t="shared" si="209"/>
        <v>0</v>
      </c>
      <c r="J181" s="245">
        <f t="shared" si="209"/>
        <v>0</v>
      </c>
      <c r="K181" s="245">
        <f t="shared" si="209"/>
        <v>0</v>
      </c>
      <c r="M181" s="245">
        <f t="shared" si="209"/>
        <v>1711.5650000000001</v>
      </c>
      <c r="N181" s="245">
        <f t="shared" si="209"/>
        <v>1798.9459999999999</v>
      </c>
      <c r="O181" s="245">
        <f t="shared" si="209"/>
        <v>1853.663</v>
      </c>
      <c r="P181" s="245">
        <f t="shared" si="209"/>
        <v>1910</v>
      </c>
      <c r="Q181" s="245">
        <f t="shared" si="209"/>
        <v>1902.6</v>
      </c>
      <c r="R181" s="245">
        <f t="shared" si="209"/>
        <v>1746.1</v>
      </c>
      <c r="S181" s="245">
        <f t="shared" si="209"/>
        <v>1306.2</v>
      </c>
      <c r="T181" s="245">
        <f t="shared" si="209"/>
        <v>1364.5</v>
      </c>
      <c r="U181" s="245">
        <f t="shared" si="209"/>
        <v>1228.4000000000001</v>
      </c>
      <c r="V181" s="245">
        <f t="shared" si="209"/>
        <v>1456.2</v>
      </c>
      <c r="W181" s="245">
        <f t="shared" si="209"/>
        <v>1667.7</v>
      </c>
      <c r="X181" s="245">
        <f>X78</f>
        <v>1796.1</v>
      </c>
      <c r="Y181" s="245">
        <f>Y78</f>
        <v>2674</v>
      </c>
      <c r="Z181" s="245">
        <f>Z78</f>
        <v>3071.6</v>
      </c>
      <c r="AA181" s="245">
        <f>AA78</f>
        <v>3072.9</v>
      </c>
      <c r="AB181" s="245">
        <f>AB78</f>
        <v>3374.2725000000005</v>
      </c>
      <c r="AC181" s="245">
        <f t="shared" ref="AC181:AD181" si="210">AC78</f>
        <v>3650.2725000000005</v>
      </c>
      <c r="AD181" s="245">
        <f t="shared" si="210"/>
        <v>3983.1750000000002</v>
      </c>
      <c r="AF181" s="580">
        <f t="shared" ref="AF181:BK181" si="211">AF78</f>
        <v>481.2</v>
      </c>
      <c r="AG181" s="580">
        <f t="shared" si="211"/>
        <v>491.7</v>
      </c>
      <c r="AH181" s="580">
        <f t="shared" si="211"/>
        <v>472.1</v>
      </c>
      <c r="AI181" s="580">
        <f t="shared" si="211"/>
        <v>457.6</v>
      </c>
      <c r="AJ181" s="580">
        <f t="shared" si="211"/>
        <v>490.2</v>
      </c>
      <c r="AK181" s="580">
        <f t="shared" si="211"/>
        <v>487.2</v>
      </c>
      <c r="AL181" s="580">
        <f t="shared" si="211"/>
        <v>418.3</v>
      </c>
      <c r="AM181" s="580">
        <f t="shared" si="211"/>
        <v>413.9</v>
      </c>
      <c r="AN181" s="580">
        <f t="shared" si="211"/>
        <v>335.3</v>
      </c>
      <c r="AO181" s="580">
        <f t="shared" si="211"/>
        <v>330.8</v>
      </c>
      <c r="AP181" s="580">
        <f t="shared" si="211"/>
        <v>318.89999999999998</v>
      </c>
      <c r="AQ181" s="580">
        <f t="shared" si="211"/>
        <v>312.89999999999998</v>
      </c>
      <c r="AR181" s="580">
        <f t="shared" si="211"/>
        <v>330.8</v>
      </c>
      <c r="AS181" s="580">
        <f t="shared" si="211"/>
        <v>335.8</v>
      </c>
      <c r="AT181" s="580">
        <f t="shared" si="211"/>
        <v>356.8</v>
      </c>
      <c r="AU181" s="580">
        <f t="shared" si="211"/>
        <v>341.1</v>
      </c>
      <c r="AV181" s="580">
        <f t="shared" si="211"/>
        <v>318.2</v>
      </c>
      <c r="AW181" s="580">
        <f t="shared" si="211"/>
        <v>299.5</v>
      </c>
      <c r="AX181" s="580">
        <f t="shared" si="211"/>
        <v>310.2</v>
      </c>
      <c r="AY181" s="580">
        <f t="shared" si="211"/>
        <v>300.5</v>
      </c>
      <c r="AZ181" s="580">
        <f t="shared" si="211"/>
        <v>306.39999999999998</v>
      </c>
      <c r="BA181" s="580">
        <f t="shared" si="211"/>
        <v>394.2</v>
      </c>
      <c r="BB181" s="580">
        <f t="shared" si="211"/>
        <v>321.39999999999998</v>
      </c>
      <c r="BC181" s="580">
        <f t="shared" si="211"/>
        <v>294.2</v>
      </c>
      <c r="BD181" s="580">
        <f t="shared" si="211"/>
        <v>352.4</v>
      </c>
      <c r="BE181" s="580">
        <f t="shared" si="211"/>
        <v>410.4</v>
      </c>
      <c r="BF181" s="580">
        <f t="shared" si="211"/>
        <v>410.8</v>
      </c>
      <c r="BG181" s="580">
        <f t="shared" si="211"/>
        <v>466.1</v>
      </c>
      <c r="BH181" s="580">
        <f t="shared" si="211"/>
        <v>443.9</v>
      </c>
      <c r="BI181" s="580">
        <f t="shared" si="211"/>
        <v>442.9</v>
      </c>
      <c r="BJ181" s="580">
        <f t="shared" si="211"/>
        <v>459.5</v>
      </c>
      <c r="BK181" s="580">
        <f t="shared" si="211"/>
        <v>444.8</v>
      </c>
    </row>
    <row r="182" spans="1:63" s="245" customFormat="1">
      <c r="A182" s="243"/>
      <c r="B182" s="243" t="s">
        <v>1184</v>
      </c>
      <c r="C182" s="252" t="s">
        <v>1185</v>
      </c>
      <c r="D182" s="243"/>
      <c r="F182" s="245">
        <f t="shared" ref="F182:X182" si="212">F84</f>
        <v>0</v>
      </c>
      <c r="G182" s="245">
        <f t="shared" si="212"/>
        <v>0</v>
      </c>
      <c r="H182" s="245">
        <f t="shared" si="212"/>
        <v>0</v>
      </c>
      <c r="I182" s="245">
        <f t="shared" si="212"/>
        <v>0</v>
      </c>
      <c r="J182" s="245">
        <f t="shared" si="212"/>
        <v>0</v>
      </c>
      <c r="K182" s="245">
        <f t="shared" si="212"/>
        <v>0</v>
      </c>
      <c r="M182" s="245">
        <f t="shared" si="212"/>
        <v>11.177</v>
      </c>
      <c r="N182" s="245">
        <f t="shared" si="212"/>
        <v>9.3509999999999991</v>
      </c>
      <c r="O182" s="245">
        <f t="shared" si="212"/>
        <v>6.681</v>
      </c>
      <c r="P182" s="245">
        <f t="shared" si="212"/>
        <v>3.4000000000000004</v>
      </c>
      <c r="Q182" s="245">
        <f t="shared" si="212"/>
        <v>53.400000000000006</v>
      </c>
      <c r="R182" s="245">
        <f t="shared" si="212"/>
        <v>51.6</v>
      </c>
      <c r="S182" s="245">
        <f t="shared" si="212"/>
        <v>218.9</v>
      </c>
      <c r="T182" s="245">
        <f t="shared" si="212"/>
        <v>59.8</v>
      </c>
      <c r="U182" s="245">
        <f t="shared" si="212"/>
        <v>16.899999999999999</v>
      </c>
      <c r="V182" s="245">
        <f t="shared" si="212"/>
        <v>222.4</v>
      </c>
      <c r="W182" s="245">
        <f t="shared" si="212"/>
        <v>5.4</v>
      </c>
      <c r="X182" s="245">
        <f t="shared" si="212"/>
        <v>5.4</v>
      </c>
      <c r="Y182" s="245">
        <f>Y84</f>
        <v>64.900000000000006</v>
      </c>
      <c r="Z182" s="245">
        <f>Z84</f>
        <v>10.5</v>
      </c>
      <c r="AA182" s="245">
        <f>AA84</f>
        <v>14</v>
      </c>
      <c r="AB182" s="245">
        <f>AB84</f>
        <v>10</v>
      </c>
      <c r="AC182" s="245">
        <f t="shared" ref="AC182:AD182" si="213">AC84</f>
        <v>10</v>
      </c>
      <c r="AD182" s="245">
        <f t="shared" si="213"/>
        <v>10</v>
      </c>
      <c r="AF182" s="580">
        <f t="shared" ref="AF182:BK182" si="214">AF84</f>
        <v>7.3</v>
      </c>
      <c r="AG182" s="580">
        <f t="shared" si="214"/>
        <v>20</v>
      </c>
      <c r="AH182" s="580">
        <f t="shared" si="214"/>
        <v>2.2000000000000002</v>
      </c>
      <c r="AI182" s="580">
        <f t="shared" si="214"/>
        <v>23.9</v>
      </c>
      <c r="AJ182" s="580">
        <f t="shared" si="214"/>
        <v>0.6</v>
      </c>
      <c r="AK182" s="580">
        <f t="shared" si="214"/>
        <v>13.6</v>
      </c>
      <c r="AL182" s="580">
        <f t="shared" si="214"/>
        <v>19.3</v>
      </c>
      <c r="AM182" s="580">
        <f t="shared" si="214"/>
        <v>18.100000000000001</v>
      </c>
      <c r="AN182" s="580">
        <f t="shared" si="214"/>
        <v>9.1999999999999993</v>
      </c>
      <c r="AO182" s="580">
        <f t="shared" si="214"/>
        <v>58.7</v>
      </c>
      <c r="AP182" s="580">
        <f t="shared" si="214"/>
        <v>90.2</v>
      </c>
      <c r="AQ182" s="580">
        <f t="shared" si="214"/>
        <v>52</v>
      </c>
      <c r="AR182" s="580">
        <f t="shared" si="214"/>
        <v>59.7</v>
      </c>
      <c r="AS182" s="580">
        <f t="shared" si="214"/>
        <v>0</v>
      </c>
      <c r="AT182" s="580">
        <f t="shared" si="214"/>
        <v>0.02</v>
      </c>
      <c r="AU182" s="580">
        <f t="shared" si="214"/>
        <v>-0.1</v>
      </c>
      <c r="AV182" s="580">
        <f t="shared" si="214"/>
        <v>6.3</v>
      </c>
      <c r="AW182" s="580">
        <f t="shared" si="214"/>
        <v>6.5</v>
      </c>
      <c r="AX182" s="580">
        <f t="shared" si="214"/>
        <v>3.6</v>
      </c>
      <c r="AY182" s="580">
        <f t="shared" si="214"/>
        <v>0.5</v>
      </c>
      <c r="AZ182" s="580">
        <f t="shared" si="214"/>
        <v>2.2999999999999998</v>
      </c>
      <c r="BA182" s="580">
        <f t="shared" si="214"/>
        <v>202.2</v>
      </c>
      <c r="BB182" s="580">
        <f t="shared" si="214"/>
        <v>0.2</v>
      </c>
      <c r="BC182" s="580">
        <f t="shared" si="214"/>
        <v>17.7</v>
      </c>
      <c r="BD182" s="580">
        <f t="shared" si="214"/>
        <v>0.4</v>
      </c>
      <c r="BE182" s="580">
        <f t="shared" si="214"/>
        <v>2.2000000000000002</v>
      </c>
      <c r="BF182" s="580">
        <f t="shared" si="214"/>
        <v>1</v>
      </c>
      <c r="BG182" s="580">
        <f t="shared" si="214"/>
        <v>1.8</v>
      </c>
      <c r="BH182" s="580">
        <f t="shared" si="214"/>
        <v>0.9</v>
      </c>
      <c r="BI182" s="580">
        <f t="shared" si="214"/>
        <v>0.4</v>
      </c>
      <c r="BJ182" s="580">
        <f t="shared" si="214"/>
        <v>1.9</v>
      </c>
      <c r="BK182" s="580">
        <f t="shared" si="214"/>
        <v>1.7</v>
      </c>
    </row>
    <row r="183" spans="1:63" s="240" customFormat="1">
      <c r="A183" s="209"/>
      <c r="B183" s="209" t="s">
        <v>1186</v>
      </c>
      <c r="C183" s="264" t="s">
        <v>1187</v>
      </c>
      <c r="D183" s="209"/>
      <c r="F183" s="251"/>
      <c r="G183" s="251"/>
      <c r="H183" s="251"/>
      <c r="I183" s="251"/>
      <c r="J183" s="251"/>
      <c r="K183" s="251"/>
      <c r="L183" s="251"/>
      <c r="M183" s="251"/>
      <c r="N183" s="251"/>
      <c r="O183" s="251"/>
      <c r="P183" s="251"/>
      <c r="Q183" s="251"/>
      <c r="R183" s="251"/>
      <c r="S183" s="251"/>
      <c r="T183" s="251"/>
      <c r="U183" s="251"/>
      <c r="V183" s="251"/>
      <c r="W183" s="251"/>
      <c r="X183" s="251"/>
      <c r="Y183" s="251"/>
      <c r="Z183" s="251"/>
      <c r="AA183" s="251"/>
      <c r="AB183" s="251"/>
      <c r="AC183" s="251"/>
      <c r="AD183" s="251"/>
      <c r="AF183" s="579"/>
      <c r="AG183" s="579"/>
      <c r="AH183" s="579"/>
      <c r="AI183" s="579"/>
      <c r="AJ183" s="579"/>
      <c r="AK183" s="579"/>
      <c r="AL183" s="579"/>
      <c r="AM183" s="579"/>
      <c r="AN183" s="579"/>
      <c r="AO183" s="579"/>
      <c r="AP183" s="579"/>
      <c r="AQ183" s="579"/>
      <c r="AR183" s="579"/>
      <c r="AS183" s="579"/>
      <c r="AT183" s="579"/>
      <c r="AU183" s="579"/>
      <c r="AV183" s="579"/>
      <c r="AW183" s="579"/>
      <c r="AX183" s="579"/>
      <c r="AY183" s="579"/>
      <c r="AZ183" s="579"/>
      <c r="BA183" s="579"/>
      <c r="BB183" s="579"/>
      <c r="BC183" s="579"/>
      <c r="BD183" s="579"/>
      <c r="BE183" s="579"/>
      <c r="BF183" s="579"/>
      <c r="BG183" s="579"/>
      <c r="BH183" s="579"/>
      <c r="BI183" s="579"/>
      <c r="BJ183" s="579"/>
      <c r="BK183" s="579"/>
    </row>
    <row r="184" spans="1:63" s="245" customFormat="1">
      <c r="A184" s="243"/>
      <c r="B184" s="243" t="s">
        <v>1188</v>
      </c>
      <c r="C184" s="252" t="s">
        <v>1189</v>
      </c>
      <c r="D184" s="243"/>
      <c r="F184" s="245">
        <f t="shared" ref="F184:X184" si="215">SUM(F185:F191)</f>
        <v>0</v>
      </c>
      <c r="G184" s="245">
        <f t="shared" si="215"/>
        <v>0</v>
      </c>
      <c r="H184" s="245">
        <f t="shared" si="215"/>
        <v>0</v>
      </c>
      <c r="I184" s="245">
        <f t="shared" si="215"/>
        <v>0</v>
      </c>
      <c r="J184" s="245">
        <f t="shared" si="215"/>
        <v>0</v>
      </c>
      <c r="K184" s="245">
        <f t="shared" si="215"/>
        <v>0</v>
      </c>
      <c r="M184" s="245">
        <f t="shared" si="215"/>
        <v>-120.05930000000262</v>
      </c>
      <c r="N184" s="245">
        <f t="shared" si="215"/>
        <v>4872.2103000000016</v>
      </c>
      <c r="O184" s="245">
        <f t="shared" si="215"/>
        <v>-224.11020000000008</v>
      </c>
      <c r="P184" s="245">
        <f t="shared" si="215"/>
        <v>4055.2592000000004</v>
      </c>
      <c r="Q184" s="245">
        <f t="shared" si="215"/>
        <v>-1865.4999999999964</v>
      </c>
      <c r="R184" s="245">
        <f t="shared" si="215"/>
        <v>-3737.8000000000047</v>
      </c>
      <c r="S184" s="245">
        <f t="shared" si="215"/>
        <v>-213.49999999999818</v>
      </c>
      <c r="T184" s="245">
        <f t="shared" si="215"/>
        <v>11004.7</v>
      </c>
      <c r="U184" s="245">
        <f t="shared" si="215"/>
        <v>2917.7000000000007</v>
      </c>
      <c r="V184" s="245">
        <f t="shared" si="215"/>
        <v>2525.800000000002</v>
      </c>
      <c r="W184" s="245">
        <f t="shared" si="215"/>
        <v>-8074.1000000000058</v>
      </c>
      <c r="X184" s="245">
        <f t="shared" si="215"/>
        <v>4153.9000000000042</v>
      </c>
      <c r="Y184" s="245">
        <f>SUM(Y185:Y191)</f>
        <v>-4217.3799999999956</v>
      </c>
      <c r="Z184" s="245">
        <f>SUM(Z185:Z191)</f>
        <v>-11117.420000000006</v>
      </c>
      <c r="AA184" s="245">
        <f>SUM(AA185:AA191)</f>
        <v>20630.160393221649</v>
      </c>
      <c r="AB184" s="245">
        <f>SUM(AB185:AB191)</f>
        <v>-5069.3213769851645</v>
      </c>
      <c r="AC184" s="245">
        <f t="shared" ref="AC184:AD184" si="216">SUM(AC185:AC191)</f>
        <v>-4720.6852916780899</v>
      </c>
      <c r="AD184" s="245">
        <f t="shared" si="216"/>
        <v>-5733.9128064886536</v>
      </c>
      <c r="AF184" s="580">
        <f t="shared" ref="AF184:BK184" si="217">SUM(AF185:AF191)</f>
        <v>0</v>
      </c>
      <c r="AG184" s="580">
        <f t="shared" si="217"/>
        <v>0</v>
      </c>
      <c r="AH184" s="580">
        <f t="shared" si="217"/>
        <v>0</v>
      </c>
      <c r="AI184" s="580">
        <f t="shared" si="217"/>
        <v>0</v>
      </c>
      <c r="AJ184" s="580">
        <f t="shared" si="217"/>
        <v>0</v>
      </c>
      <c r="AK184" s="580">
        <f t="shared" si="217"/>
        <v>0</v>
      </c>
      <c r="AL184" s="580">
        <f t="shared" si="217"/>
        <v>0</v>
      </c>
      <c r="AM184" s="580">
        <f t="shared" si="217"/>
        <v>0</v>
      </c>
      <c r="AN184" s="580">
        <f t="shared" si="217"/>
        <v>0</v>
      </c>
      <c r="AO184" s="580">
        <f t="shared" si="217"/>
        <v>0</v>
      </c>
      <c r="AP184" s="580">
        <f t="shared" si="217"/>
        <v>0</v>
      </c>
      <c r="AQ184" s="580">
        <f t="shared" si="217"/>
        <v>0</v>
      </c>
      <c r="AR184" s="580">
        <f t="shared" si="217"/>
        <v>0</v>
      </c>
      <c r="AS184" s="580">
        <f t="shared" si="217"/>
        <v>0</v>
      </c>
      <c r="AT184" s="580">
        <f t="shared" si="217"/>
        <v>0</v>
      </c>
      <c r="AU184" s="580">
        <f t="shared" si="217"/>
        <v>0</v>
      </c>
      <c r="AV184" s="580">
        <f t="shared" si="217"/>
        <v>0</v>
      </c>
      <c r="AW184" s="580">
        <f t="shared" si="217"/>
        <v>0</v>
      </c>
      <c r="AX184" s="580">
        <f t="shared" si="217"/>
        <v>0</v>
      </c>
      <c r="AY184" s="580">
        <f t="shared" si="217"/>
        <v>0</v>
      </c>
      <c r="AZ184" s="580">
        <f t="shared" si="217"/>
        <v>0</v>
      </c>
      <c r="BA184" s="580">
        <f t="shared" si="217"/>
        <v>0</v>
      </c>
      <c r="BB184" s="580">
        <f t="shared" si="217"/>
        <v>0</v>
      </c>
      <c r="BC184" s="580">
        <f t="shared" si="217"/>
        <v>0</v>
      </c>
      <c r="BD184" s="580">
        <f t="shared" si="217"/>
        <v>0</v>
      </c>
      <c r="BE184" s="580">
        <f t="shared" si="217"/>
        <v>0</v>
      </c>
      <c r="BF184" s="580">
        <f t="shared" si="217"/>
        <v>0</v>
      </c>
      <c r="BG184" s="580">
        <f t="shared" si="217"/>
        <v>0</v>
      </c>
      <c r="BH184" s="580">
        <f t="shared" si="217"/>
        <v>0</v>
      </c>
      <c r="BI184" s="580">
        <f t="shared" si="217"/>
        <v>0</v>
      </c>
      <c r="BJ184" s="580">
        <f t="shared" si="217"/>
        <v>0</v>
      </c>
      <c r="BK184" s="580">
        <f t="shared" si="217"/>
        <v>0</v>
      </c>
    </row>
    <row r="185" spans="1:63" s="245" customFormat="1">
      <c r="A185" s="243"/>
      <c r="B185" s="243" t="s">
        <v>1190</v>
      </c>
      <c r="C185" s="265" t="s">
        <v>1191</v>
      </c>
      <c r="D185" s="243"/>
      <c r="F185" s="245">
        <f t="shared" ref="F185:Y185" si="218">-F160+E160</f>
        <v>0</v>
      </c>
      <c r="G185" s="245">
        <f t="shared" si="218"/>
        <v>0</v>
      </c>
      <c r="H185" s="245">
        <f t="shared" si="218"/>
        <v>0</v>
      </c>
      <c r="I185" s="245">
        <f t="shared" si="218"/>
        <v>0</v>
      </c>
      <c r="J185" s="245">
        <f t="shared" si="218"/>
        <v>0</v>
      </c>
      <c r="K185" s="245">
        <f t="shared" si="218"/>
        <v>0</v>
      </c>
      <c r="M185" s="245">
        <f t="shared" si="218"/>
        <v>-1670.3989999999999</v>
      </c>
      <c r="N185" s="245">
        <f t="shared" si="218"/>
        <v>330.9190000000001</v>
      </c>
      <c r="O185" s="245">
        <f t="shared" si="218"/>
        <v>-423.97100000000023</v>
      </c>
      <c r="P185" s="245">
        <f t="shared" si="218"/>
        <v>-1252.049</v>
      </c>
      <c r="Q185" s="245">
        <f t="shared" si="218"/>
        <v>-2282.7999999999993</v>
      </c>
      <c r="R185" s="245">
        <f t="shared" si="218"/>
        <v>2769.7999999999993</v>
      </c>
      <c r="S185" s="245">
        <f t="shared" si="218"/>
        <v>-280.90000000000009</v>
      </c>
      <c r="T185" s="245">
        <f t="shared" si="218"/>
        <v>81</v>
      </c>
      <c r="U185" s="245">
        <f t="shared" si="218"/>
        <v>-899.19999999999982</v>
      </c>
      <c r="V185" s="245">
        <f t="shared" si="218"/>
        <v>-600.29999999999973</v>
      </c>
      <c r="W185" s="245">
        <f t="shared" si="218"/>
        <v>-3447.9000000000005</v>
      </c>
      <c r="X185" s="245">
        <f t="shared" si="218"/>
        <v>-286.30000000000018</v>
      </c>
      <c r="Y185" s="245">
        <f t="shared" si="218"/>
        <v>792.5</v>
      </c>
      <c r="Z185" s="245">
        <f>-Z160+Y160</f>
        <v>-9.6999999999998181</v>
      </c>
      <c r="AA185" s="245">
        <f>-AA160+Z160</f>
        <v>619.47863013698588</v>
      </c>
      <c r="AB185" s="245">
        <f>-AB160+AA160</f>
        <v>-628.22325788072976</v>
      </c>
      <c r="AC185" s="245">
        <f t="shared" ref="AC185:AD185" si="219">-AC160+AB160</f>
        <v>-1135.7155096419265</v>
      </c>
      <c r="AD185" s="245">
        <f t="shared" si="219"/>
        <v>-1326.9977620331338</v>
      </c>
      <c r="AF185" s="580">
        <f t="shared" ref="AF185:BK185" si="220">-AF160+AE160</f>
        <v>0</v>
      </c>
      <c r="AG185" s="580">
        <f t="shared" si="220"/>
        <v>0</v>
      </c>
      <c r="AH185" s="580">
        <f t="shared" si="220"/>
        <v>0</v>
      </c>
      <c r="AI185" s="580">
        <f t="shared" si="220"/>
        <v>0</v>
      </c>
      <c r="AJ185" s="580">
        <f t="shared" si="220"/>
        <v>0</v>
      </c>
      <c r="AK185" s="580">
        <f t="shared" si="220"/>
        <v>0</v>
      </c>
      <c r="AL185" s="580">
        <f t="shared" si="220"/>
        <v>0</v>
      </c>
      <c r="AM185" s="580">
        <f t="shared" si="220"/>
        <v>0</v>
      </c>
      <c r="AN185" s="580">
        <f t="shared" si="220"/>
        <v>0</v>
      </c>
      <c r="AO185" s="580">
        <f t="shared" si="220"/>
        <v>0</v>
      </c>
      <c r="AP185" s="580">
        <f t="shared" si="220"/>
        <v>0</v>
      </c>
      <c r="AQ185" s="580">
        <f t="shared" si="220"/>
        <v>0</v>
      </c>
      <c r="AR185" s="580">
        <f t="shared" si="220"/>
        <v>0</v>
      </c>
      <c r="AS185" s="580">
        <f t="shared" si="220"/>
        <v>0</v>
      </c>
      <c r="AT185" s="580">
        <f t="shared" si="220"/>
        <v>0</v>
      </c>
      <c r="AU185" s="580">
        <f t="shared" si="220"/>
        <v>0</v>
      </c>
      <c r="AV185" s="580">
        <f t="shared" si="220"/>
        <v>0</v>
      </c>
      <c r="AW185" s="580">
        <f t="shared" si="220"/>
        <v>0</v>
      </c>
      <c r="AX185" s="580">
        <f t="shared" si="220"/>
        <v>0</v>
      </c>
      <c r="AY185" s="580">
        <f t="shared" si="220"/>
        <v>0</v>
      </c>
      <c r="AZ185" s="580">
        <f t="shared" si="220"/>
        <v>0</v>
      </c>
      <c r="BA185" s="580">
        <f t="shared" si="220"/>
        <v>0</v>
      </c>
      <c r="BB185" s="580">
        <f t="shared" si="220"/>
        <v>0</v>
      </c>
      <c r="BC185" s="580">
        <f t="shared" si="220"/>
        <v>0</v>
      </c>
      <c r="BD185" s="580">
        <f t="shared" si="220"/>
        <v>0</v>
      </c>
      <c r="BE185" s="580">
        <f t="shared" si="220"/>
        <v>0</v>
      </c>
      <c r="BF185" s="580">
        <f t="shared" si="220"/>
        <v>0</v>
      </c>
      <c r="BG185" s="580">
        <f t="shared" si="220"/>
        <v>0</v>
      </c>
      <c r="BH185" s="580">
        <f t="shared" si="220"/>
        <v>0</v>
      </c>
      <c r="BI185" s="580">
        <f t="shared" si="220"/>
        <v>0</v>
      </c>
      <c r="BJ185" s="580">
        <f t="shared" si="220"/>
        <v>0</v>
      </c>
      <c r="BK185" s="580">
        <f t="shared" si="220"/>
        <v>0</v>
      </c>
    </row>
    <row r="186" spans="1:63" s="245" customFormat="1">
      <c r="A186" s="243"/>
      <c r="B186" s="243" t="s">
        <v>1192</v>
      </c>
      <c r="C186" s="265" t="s">
        <v>1193</v>
      </c>
      <c r="D186" s="243"/>
      <c r="F186" s="245">
        <f t="shared" ref="F186:Y186" si="221">-F159+E159</f>
        <v>0</v>
      </c>
      <c r="G186" s="245">
        <f t="shared" si="221"/>
        <v>0</v>
      </c>
      <c r="H186" s="245">
        <f t="shared" si="221"/>
        <v>0</v>
      </c>
      <c r="I186" s="245">
        <f t="shared" si="221"/>
        <v>0</v>
      </c>
      <c r="J186" s="245">
        <f t="shared" si="221"/>
        <v>0</v>
      </c>
      <c r="K186" s="245">
        <f t="shared" si="221"/>
        <v>0</v>
      </c>
      <c r="M186" s="245">
        <f t="shared" si="221"/>
        <v>-2079.81</v>
      </c>
      <c r="N186" s="245">
        <f t="shared" si="221"/>
        <v>54.204999999999927</v>
      </c>
      <c r="O186" s="245">
        <f t="shared" si="221"/>
        <v>-216.12499999999955</v>
      </c>
      <c r="P186" s="245">
        <f t="shared" si="221"/>
        <v>-487.57000000000016</v>
      </c>
      <c r="Q186" s="245">
        <f t="shared" si="221"/>
        <v>-367.70000000000027</v>
      </c>
      <c r="R186" s="245">
        <f t="shared" si="221"/>
        <v>-564.30000000000018</v>
      </c>
      <c r="S186" s="245">
        <f t="shared" si="221"/>
        <v>-56.299999999999727</v>
      </c>
      <c r="T186" s="245">
        <f t="shared" si="221"/>
        <v>-744.50000000000045</v>
      </c>
      <c r="U186" s="245">
        <f t="shared" si="221"/>
        <v>-1010.6999999999989</v>
      </c>
      <c r="V186" s="245">
        <f t="shared" si="221"/>
        <v>-1312.5000000000009</v>
      </c>
      <c r="W186" s="245">
        <f t="shared" si="221"/>
        <v>422.5</v>
      </c>
      <c r="X186" s="245">
        <f t="shared" si="221"/>
        <v>-34.399999999999636</v>
      </c>
      <c r="Y186" s="245">
        <f t="shared" si="221"/>
        <v>-1744.3000000000002</v>
      </c>
      <c r="Z186" s="245">
        <f>-Z159+Y159</f>
        <v>950.80000000000018</v>
      </c>
      <c r="AA186" s="245">
        <f>-AA159+Z159</f>
        <v>379.45205479451943</v>
      </c>
      <c r="AB186" s="245">
        <f>-AB159+AA159</f>
        <v>-1020.845481184102</v>
      </c>
      <c r="AC186" s="245">
        <f t="shared" ref="AC186:AD186" si="222">-AC159+AB159</f>
        <v>-1264.1116517454784</v>
      </c>
      <c r="AD186" s="245">
        <f t="shared" si="222"/>
        <v>-1573.6728554623696</v>
      </c>
      <c r="AF186" s="580">
        <f t="shared" ref="AF186:BK186" si="223">-AF159+AE159</f>
        <v>0</v>
      </c>
      <c r="AG186" s="580">
        <f t="shared" si="223"/>
        <v>0</v>
      </c>
      <c r="AH186" s="580">
        <f t="shared" si="223"/>
        <v>0</v>
      </c>
      <c r="AI186" s="580">
        <f t="shared" si="223"/>
        <v>0</v>
      </c>
      <c r="AJ186" s="580">
        <f t="shared" si="223"/>
        <v>0</v>
      </c>
      <c r="AK186" s="580">
        <f t="shared" si="223"/>
        <v>0</v>
      </c>
      <c r="AL186" s="580">
        <f t="shared" si="223"/>
        <v>0</v>
      </c>
      <c r="AM186" s="580">
        <f t="shared" si="223"/>
        <v>0</v>
      </c>
      <c r="AN186" s="580">
        <f t="shared" si="223"/>
        <v>0</v>
      </c>
      <c r="AO186" s="580">
        <f t="shared" si="223"/>
        <v>0</v>
      </c>
      <c r="AP186" s="580">
        <f t="shared" si="223"/>
        <v>0</v>
      </c>
      <c r="AQ186" s="580">
        <f t="shared" si="223"/>
        <v>0</v>
      </c>
      <c r="AR186" s="580">
        <f t="shared" si="223"/>
        <v>0</v>
      </c>
      <c r="AS186" s="580">
        <f t="shared" si="223"/>
        <v>0</v>
      </c>
      <c r="AT186" s="580">
        <f t="shared" si="223"/>
        <v>0</v>
      </c>
      <c r="AU186" s="580">
        <f t="shared" si="223"/>
        <v>0</v>
      </c>
      <c r="AV186" s="580">
        <f t="shared" si="223"/>
        <v>0</v>
      </c>
      <c r="AW186" s="580">
        <f t="shared" si="223"/>
        <v>0</v>
      </c>
      <c r="AX186" s="580">
        <f t="shared" si="223"/>
        <v>0</v>
      </c>
      <c r="AY186" s="580">
        <f t="shared" si="223"/>
        <v>0</v>
      </c>
      <c r="AZ186" s="580">
        <f t="shared" si="223"/>
        <v>0</v>
      </c>
      <c r="BA186" s="580">
        <f t="shared" si="223"/>
        <v>0</v>
      </c>
      <c r="BB186" s="580">
        <f t="shared" si="223"/>
        <v>0</v>
      </c>
      <c r="BC186" s="580">
        <f t="shared" si="223"/>
        <v>0</v>
      </c>
      <c r="BD186" s="580">
        <f t="shared" si="223"/>
        <v>0</v>
      </c>
      <c r="BE186" s="580">
        <f t="shared" si="223"/>
        <v>0</v>
      </c>
      <c r="BF186" s="580">
        <f t="shared" si="223"/>
        <v>0</v>
      </c>
      <c r="BG186" s="580">
        <f t="shared" si="223"/>
        <v>0</v>
      </c>
      <c r="BH186" s="580">
        <f t="shared" si="223"/>
        <v>0</v>
      </c>
      <c r="BI186" s="580">
        <f t="shared" si="223"/>
        <v>0</v>
      </c>
      <c r="BJ186" s="580">
        <f t="shared" si="223"/>
        <v>0</v>
      </c>
      <c r="BK186" s="580">
        <f t="shared" si="223"/>
        <v>0</v>
      </c>
    </row>
    <row r="187" spans="1:63" s="245" customFormat="1">
      <c r="A187" s="243"/>
      <c r="B187" s="243" t="s">
        <v>1273</v>
      </c>
      <c r="C187" s="265" t="s">
        <v>1274</v>
      </c>
      <c r="D187" s="243"/>
      <c r="F187" s="245">
        <f t="shared" ref="F187:Y187" si="224">-F162+E162</f>
        <v>0</v>
      </c>
      <c r="G187" s="245">
        <f t="shared" si="224"/>
        <v>0</v>
      </c>
      <c r="H187" s="245">
        <f t="shared" si="224"/>
        <v>0</v>
      </c>
      <c r="I187" s="245">
        <f t="shared" si="224"/>
        <v>0</v>
      </c>
      <c r="J187" s="245">
        <f t="shared" si="224"/>
        <v>0</v>
      </c>
      <c r="K187" s="245">
        <f t="shared" si="224"/>
        <v>0</v>
      </c>
      <c r="M187" s="245">
        <f t="shared" si="224"/>
        <v>-16906.384000000002</v>
      </c>
      <c r="N187" s="245">
        <f t="shared" si="224"/>
        <v>989.56200000000172</v>
      </c>
      <c r="O187" s="245">
        <f t="shared" si="224"/>
        <v>-4203.2750000000015</v>
      </c>
      <c r="P187" s="245">
        <f t="shared" si="224"/>
        <v>-1153.9030000000021</v>
      </c>
      <c r="Q187" s="245">
        <f t="shared" si="224"/>
        <v>-7319.9999999999964</v>
      </c>
      <c r="R187" s="245">
        <f t="shared" si="224"/>
        <v>19615.2</v>
      </c>
      <c r="S187" s="245">
        <f t="shared" si="224"/>
        <v>-4830.2000000000007</v>
      </c>
      <c r="T187" s="245">
        <f t="shared" si="224"/>
        <v>-6936.2000000000007</v>
      </c>
      <c r="U187" s="245">
        <f t="shared" si="224"/>
        <v>8848.8000000000011</v>
      </c>
      <c r="V187" s="245">
        <f t="shared" si="224"/>
        <v>-4330.7000000000007</v>
      </c>
      <c r="W187" s="245">
        <f t="shared" si="224"/>
        <v>-1513.9999999999982</v>
      </c>
      <c r="X187" s="245">
        <f t="shared" si="224"/>
        <v>757.39999999999782</v>
      </c>
      <c r="Y187" s="245">
        <f t="shared" si="224"/>
        <v>-743.09999999999854</v>
      </c>
      <c r="Z187" s="245">
        <f>-Z162+Y162</f>
        <v>2189.8999999999996</v>
      </c>
      <c r="AA187" s="245">
        <f>-AA162+Z162</f>
        <v>1388.5579999999973</v>
      </c>
      <c r="AB187" s="245">
        <f>-AB162+AA162</f>
        <v>-1068.7484769335042</v>
      </c>
      <c r="AC187" s="245">
        <f t="shared" ref="AC187:AD187" si="225">-AC162+AB162</f>
        <v>-2404.3097339119595</v>
      </c>
      <c r="AD187" s="245">
        <f t="shared" si="225"/>
        <v>-2809.2542622241454</v>
      </c>
      <c r="AF187" s="580">
        <f t="shared" ref="AF187:BK187" si="226">-AF162+AE162</f>
        <v>0</v>
      </c>
      <c r="AG187" s="580">
        <f t="shared" si="226"/>
        <v>0</v>
      </c>
      <c r="AH187" s="580">
        <f t="shared" si="226"/>
        <v>0</v>
      </c>
      <c r="AI187" s="580">
        <f t="shared" si="226"/>
        <v>0</v>
      </c>
      <c r="AJ187" s="580">
        <f t="shared" si="226"/>
        <v>0</v>
      </c>
      <c r="AK187" s="580">
        <f t="shared" si="226"/>
        <v>0</v>
      </c>
      <c r="AL187" s="580">
        <f t="shared" si="226"/>
        <v>0</v>
      </c>
      <c r="AM187" s="580">
        <f t="shared" si="226"/>
        <v>0</v>
      </c>
      <c r="AN187" s="580">
        <f t="shared" si="226"/>
        <v>0</v>
      </c>
      <c r="AO187" s="580">
        <f t="shared" si="226"/>
        <v>0</v>
      </c>
      <c r="AP187" s="580">
        <f t="shared" si="226"/>
        <v>0</v>
      </c>
      <c r="AQ187" s="580">
        <f t="shared" si="226"/>
        <v>0</v>
      </c>
      <c r="AR187" s="580">
        <f t="shared" si="226"/>
        <v>0</v>
      </c>
      <c r="AS187" s="580">
        <f t="shared" si="226"/>
        <v>0</v>
      </c>
      <c r="AT187" s="580">
        <f t="shared" si="226"/>
        <v>0</v>
      </c>
      <c r="AU187" s="580">
        <f t="shared" si="226"/>
        <v>0</v>
      </c>
      <c r="AV187" s="580">
        <f t="shared" si="226"/>
        <v>0</v>
      </c>
      <c r="AW187" s="580">
        <f t="shared" si="226"/>
        <v>0</v>
      </c>
      <c r="AX187" s="580">
        <f t="shared" si="226"/>
        <v>0</v>
      </c>
      <c r="AY187" s="580">
        <f t="shared" si="226"/>
        <v>0</v>
      </c>
      <c r="AZ187" s="580">
        <f t="shared" si="226"/>
        <v>0</v>
      </c>
      <c r="BA187" s="580">
        <f t="shared" si="226"/>
        <v>0</v>
      </c>
      <c r="BB187" s="580">
        <f t="shared" si="226"/>
        <v>0</v>
      </c>
      <c r="BC187" s="580">
        <f t="shared" si="226"/>
        <v>0</v>
      </c>
      <c r="BD187" s="580">
        <f t="shared" si="226"/>
        <v>0</v>
      </c>
      <c r="BE187" s="580">
        <f t="shared" si="226"/>
        <v>0</v>
      </c>
      <c r="BF187" s="580">
        <f t="shared" si="226"/>
        <v>0</v>
      </c>
      <c r="BG187" s="580">
        <f t="shared" si="226"/>
        <v>0</v>
      </c>
      <c r="BH187" s="580">
        <f t="shared" si="226"/>
        <v>0</v>
      </c>
      <c r="BI187" s="580">
        <f t="shared" si="226"/>
        <v>0</v>
      </c>
      <c r="BJ187" s="580">
        <f t="shared" si="226"/>
        <v>0</v>
      </c>
      <c r="BK187" s="580">
        <f t="shared" si="226"/>
        <v>0</v>
      </c>
    </row>
    <row r="188" spans="1:63" s="245" customFormat="1">
      <c r="A188" s="243"/>
      <c r="B188" s="243" t="s">
        <v>1275</v>
      </c>
      <c r="C188" s="265" t="s">
        <v>1276</v>
      </c>
      <c r="D188" s="243"/>
      <c r="F188" s="245">
        <f t="shared" ref="F188:Y188" si="227">-F165+E165</f>
        <v>0</v>
      </c>
      <c r="G188" s="245">
        <f t="shared" si="227"/>
        <v>0</v>
      </c>
      <c r="H188" s="245">
        <f t="shared" si="227"/>
        <v>0</v>
      </c>
      <c r="I188" s="245">
        <f t="shared" si="227"/>
        <v>0</v>
      </c>
      <c r="J188" s="245">
        <f t="shared" si="227"/>
        <v>0</v>
      </c>
      <c r="K188" s="245">
        <f t="shared" si="227"/>
        <v>0</v>
      </c>
      <c r="M188" s="245">
        <f t="shared" si="227"/>
        <v>-594.44700000000012</v>
      </c>
      <c r="N188" s="245">
        <f t="shared" si="227"/>
        <v>139.61700000000013</v>
      </c>
      <c r="O188" s="245">
        <f t="shared" si="227"/>
        <v>-230.47899999999998</v>
      </c>
      <c r="P188" s="245">
        <f t="shared" si="227"/>
        <v>-35.990999999999985</v>
      </c>
      <c r="Q188" s="245">
        <f t="shared" si="227"/>
        <v>359.09999999999991</v>
      </c>
      <c r="R188" s="245">
        <f t="shared" si="227"/>
        <v>-437.29999999999995</v>
      </c>
      <c r="S188" s="245">
        <f t="shared" si="227"/>
        <v>-457.29999999999995</v>
      </c>
      <c r="T188" s="245">
        <f t="shared" si="227"/>
        <v>197.09999999999991</v>
      </c>
      <c r="U188" s="245">
        <f t="shared" si="227"/>
        <v>-1104.4999999999998</v>
      </c>
      <c r="V188" s="245">
        <f t="shared" si="227"/>
        <v>-806</v>
      </c>
      <c r="W188" s="245">
        <f t="shared" si="227"/>
        <v>836.5</v>
      </c>
      <c r="X188" s="245">
        <f t="shared" si="227"/>
        <v>-2047.1999999999998</v>
      </c>
      <c r="Y188" s="245">
        <f t="shared" si="227"/>
        <v>712.49999999999955</v>
      </c>
      <c r="Z188" s="245">
        <f>-Z165+Y165</f>
        <v>1148.8000000000002</v>
      </c>
      <c r="AA188" s="245">
        <f>-AA165+Z165</f>
        <v>-231.96000000000004</v>
      </c>
      <c r="AB188" s="245">
        <f>-AB165+AA165</f>
        <v>-255.1560000000004</v>
      </c>
      <c r="AC188" s="245">
        <f t="shared" ref="AC188:AD188" si="228">-AC165+AB165</f>
        <v>-280.67160000000013</v>
      </c>
      <c r="AD188" s="245">
        <f t="shared" si="228"/>
        <v>-308.73876000000018</v>
      </c>
      <c r="AF188" s="580">
        <f t="shared" ref="AF188:BK188" si="229">-AF165+AE165</f>
        <v>0</v>
      </c>
      <c r="AG188" s="580">
        <f t="shared" si="229"/>
        <v>0</v>
      </c>
      <c r="AH188" s="580">
        <f t="shared" si="229"/>
        <v>0</v>
      </c>
      <c r="AI188" s="580">
        <f t="shared" si="229"/>
        <v>0</v>
      </c>
      <c r="AJ188" s="580">
        <f t="shared" si="229"/>
        <v>0</v>
      </c>
      <c r="AK188" s="580">
        <f t="shared" si="229"/>
        <v>0</v>
      </c>
      <c r="AL188" s="580">
        <f t="shared" si="229"/>
        <v>0</v>
      </c>
      <c r="AM188" s="580">
        <f t="shared" si="229"/>
        <v>0</v>
      </c>
      <c r="AN188" s="580">
        <f t="shared" si="229"/>
        <v>0</v>
      </c>
      <c r="AO188" s="580">
        <f t="shared" si="229"/>
        <v>0</v>
      </c>
      <c r="AP188" s="580">
        <f t="shared" si="229"/>
        <v>0</v>
      </c>
      <c r="AQ188" s="580">
        <f t="shared" si="229"/>
        <v>0</v>
      </c>
      <c r="AR188" s="580">
        <f t="shared" si="229"/>
        <v>0</v>
      </c>
      <c r="AS188" s="580">
        <f t="shared" si="229"/>
        <v>0</v>
      </c>
      <c r="AT188" s="580">
        <f t="shared" si="229"/>
        <v>0</v>
      </c>
      <c r="AU188" s="580">
        <f t="shared" si="229"/>
        <v>0</v>
      </c>
      <c r="AV188" s="580">
        <f t="shared" si="229"/>
        <v>0</v>
      </c>
      <c r="AW188" s="580">
        <f t="shared" si="229"/>
        <v>0</v>
      </c>
      <c r="AX188" s="580">
        <f t="shared" si="229"/>
        <v>0</v>
      </c>
      <c r="AY188" s="580">
        <f t="shared" si="229"/>
        <v>0</v>
      </c>
      <c r="AZ188" s="580">
        <f t="shared" si="229"/>
        <v>0</v>
      </c>
      <c r="BA188" s="580">
        <f t="shared" si="229"/>
        <v>0</v>
      </c>
      <c r="BB188" s="580">
        <f t="shared" si="229"/>
        <v>0</v>
      </c>
      <c r="BC188" s="580">
        <f t="shared" si="229"/>
        <v>0</v>
      </c>
      <c r="BD188" s="580">
        <f t="shared" si="229"/>
        <v>0</v>
      </c>
      <c r="BE188" s="580">
        <f t="shared" si="229"/>
        <v>0</v>
      </c>
      <c r="BF188" s="580">
        <f t="shared" si="229"/>
        <v>0</v>
      </c>
      <c r="BG188" s="580">
        <f t="shared" si="229"/>
        <v>0</v>
      </c>
      <c r="BH188" s="580">
        <f t="shared" si="229"/>
        <v>0</v>
      </c>
      <c r="BI188" s="580">
        <f t="shared" si="229"/>
        <v>0</v>
      </c>
      <c r="BJ188" s="580">
        <f t="shared" si="229"/>
        <v>0</v>
      </c>
      <c r="BK188" s="580">
        <f t="shared" si="229"/>
        <v>0</v>
      </c>
    </row>
    <row r="189" spans="1:63" s="245" customFormat="1">
      <c r="A189" s="243"/>
      <c r="B189" s="243" t="s">
        <v>1277</v>
      </c>
      <c r="C189" s="265" t="s">
        <v>1278</v>
      </c>
      <c r="D189" s="243"/>
      <c r="F189" s="245">
        <f t="shared" ref="F189:Y189" si="230">F138-E138</f>
        <v>0</v>
      </c>
      <c r="G189" s="245">
        <f t="shared" si="230"/>
        <v>0</v>
      </c>
      <c r="H189" s="245">
        <f t="shared" si="230"/>
        <v>0</v>
      </c>
      <c r="I189" s="245">
        <f t="shared" si="230"/>
        <v>0</v>
      </c>
      <c r="J189" s="245">
        <f t="shared" si="230"/>
        <v>0</v>
      </c>
      <c r="K189" s="245">
        <f t="shared" si="230"/>
        <v>0</v>
      </c>
      <c r="M189" s="245">
        <f t="shared" si="230"/>
        <v>1724.1079999999997</v>
      </c>
      <c r="N189" s="245">
        <f t="shared" si="230"/>
        <v>-495.87199999999984</v>
      </c>
      <c r="O189" s="245">
        <f t="shared" si="230"/>
        <v>170.72900000000027</v>
      </c>
      <c r="P189" s="245">
        <f t="shared" si="230"/>
        <v>-523.16500000000019</v>
      </c>
      <c r="Q189" s="245">
        <f t="shared" si="230"/>
        <v>-134.09999999999991</v>
      </c>
      <c r="R189" s="245">
        <f t="shared" si="230"/>
        <v>-631.89999999999986</v>
      </c>
      <c r="S189" s="245">
        <f t="shared" si="230"/>
        <v>-331.5</v>
      </c>
      <c r="T189" s="245">
        <f t="shared" si="230"/>
        <v>238.59999999999968</v>
      </c>
      <c r="U189" s="245">
        <f t="shared" si="230"/>
        <v>280.20000000000005</v>
      </c>
      <c r="V189" s="245">
        <f t="shared" si="230"/>
        <v>187.30000000000018</v>
      </c>
      <c r="W189" s="245">
        <f t="shared" si="230"/>
        <v>666.59999999999991</v>
      </c>
      <c r="X189" s="245">
        <f t="shared" si="230"/>
        <v>280.79999999999995</v>
      </c>
      <c r="Y189" s="245">
        <f t="shared" si="230"/>
        <v>-16</v>
      </c>
      <c r="Z189" s="245">
        <f>Z138-Y138</f>
        <v>466.70000000000005</v>
      </c>
      <c r="AA189" s="245">
        <f>AA138-Z138</f>
        <v>0</v>
      </c>
      <c r="AB189" s="245">
        <f>AB138-AA138</f>
        <v>0</v>
      </c>
      <c r="AC189" s="245">
        <f t="shared" ref="AC189:AD189" si="231">AC138-AB138</f>
        <v>0</v>
      </c>
      <c r="AD189" s="245">
        <f t="shared" si="231"/>
        <v>0</v>
      </c>
      <c r="AF189" s="580">
        <f t="shared" ref="AF189:BK189" si="232">AF138-AE138</f>
        <v>0</v>
      </c>
      <c r="AG189" s="580">
        <f t="shared" si="232"/>
        <v>0</v>
      </c>
      <c r="AH189" s="580">
        <f t="shared" si="232"/>
        <v>0</v>
      </c>
      <c r="AI189" s="580">
        <f t="shared" si="232"/>
        <v>0</v>
      </c>
      <c r="AJ189" s="580">
        <f t="shared" si="232"/>
        <v>0</v>
      </c>
      <c r="AK189" s="580">
        <f t="shared" si="232"/>
        <v>0</v>
      </c>
      <c r="AL189" s="580">
        <f t="shared" si="232"/>
        <v>0</v>
      </c>
      <c r="AM189" s="580">
        <f t="shared" si="232"/>
        <v>0</v>
      </c>
      <c r="AN189" s="580">
        <f t="shared" si="232"/>
        <v>0</v>
      </c>
      <c r="AO189" s="580">
        <f t="shared" si="232"/>
        <v>0</v>
      </c>
      <c r="AP189" s="580">
        <f t="shared" si="232"/>
        <v>0</v>
      </c>
      <c r="AQ189" s="580">
        <f t="shared" si="232"/>
        <v>0</v>
      </c>
      <c r="AR189" s="580">
        <f t="shared" si="232"/>
        <v>0</v>
      </c>
      <c r="AS189" s="580">
        <f t="shared" si="232"/>
        <v>0</v>
      </c>
      <c r="AT189" s="580">
        <f t="shared" si="232"/>
        <v>0</v>
      </c>
      <c r="AU189" s="580">
        <f t="shared" si="232"/>
        <v>0</v>
      </c>
      <c r="AV189" s="580">
        <f t="shared" si="232"/>
        <v>0</v>
      </c>
      <c r="AW189" s="580">
        <f t="shared" si="232"/>
        <v>0</v>
      </c>
      <c r="AX189" s="580">
        <f t="shared" si="232"/>
        <v>0</v>
      </c>
      <c r="AY189" s="580">
        <f t="shared" si="232"/>
        <v>0</v>
      </c>
      <c r="AZ189" s="580">
        <f t="shared" si="232"/>
        <v>0</v>
      </c>
      <c r="BA189" s="580">
        <f t="shared" si="232"/>
        <v>0</v>
      </c>
      <c r="BB189" s="580">
        <f t="shared" si="232"/>
        <v>0</v>
      </c>
      <c r="BC189" s="580">
        <f t="shared" si="232"/>
        <v>0</v>
      </c>
      <c r="BD189" s="580">
        <f t="shared" si="232"/>
        <v>0</v>
      </c>
      <c r="BE189" s="580">
        <f t="shared" si="232"/>
        <v>0</v>
      </c>
      <c r="BF189" s="580">
        <f t="shared" si="232"/>
        <v>0</v>
      </c>
      <c r="BG189" s="580">
        <f t="shared" si="232"/>
        <v>0</v>
      </c>
      <c r="BH189" s="580">
        <f t="shared" si="232"/>
        <v>0</v>
      </c>
      <c r="BI189" s="580">
        <f t="shared" si="232"/>
        <v>0</v>
      </c>
      <c r="BJ189" s="580">
        <f t="shared" si="232"/>
        <v>0</v>
      </c>
      <c r="BK189" s="580">
        <f t="shared" si="232"/>
        <v>0</v>
      </c>
    </row>
    <row r="190" spans="1:63" s="245" customFormat="1">
      <c r="A190" s="243"/>
      <c r="B190" s="243" t="s">
        <v>1279</v>
      </c>
      <c r="C190" s="265" t="s">
        <v>1280</v>
      </c>
      <c r="D190" s="243"/>
      <c r="F190" s="245">
        <f t="shared" ref="F190:Y190" si="233">F167-E167</f>
        <v>0</v>
      </c>
      <c r="G190" s="245">
        <f t="shared" si="233"/>
        <v>0</v>
      </c>
      <c r="H190" s="245">
        <f t="shared" si="233"/>
        <v>0</v>
      </c>
      <c r="I190" s="245">
        <f t="shared" si="233"/>
        <v>0</v>
      </c>
      <c r="J190" s="245">
        <f t="shared" si="233"/>
        <v>0</v>
      </c>
      <c r="K190" s="245">
        <f t="shared" si="233"/>
        <v>0</v>
      </c>
      <c r="M190" s="245">
        <f t="shared" si="233"/>
        <v>4549.0340000000006</v>
      </c>
      <c r="N190" s="245">
        <f t="shared" si="233"/>
        <v>2176.927999999999</v>
      </c>
      <c r="O190" s="245">
        <f t="shared" si="233"/>
        <v>1124.7398000000003</v>
      </c>
      <c r="P190" s="245">
        <f t="shared" si="233"/>
        <v>4437.9982000000009</v>
      </c>
      <c r="Q190" s="245">
        <f t="shared" si="233"/>
        <v>2701</v>
      </c>
      <c r="R190" s="245">
        <f t="shared" si="233"/>
        <v>-4492.7000000000025</v>
      </c>
      <c r="S190" s="245">
        <f t="shared" si="233"/>
        <v>1842.5000000000018</v>
      </c>
      <c r="T190" s="245">
        <f t="shared" si="233"/>
        <v>7923</v>
      </c>
      <c r="U190" s="245">
        <f t="shared" si="233"/>
        <v>4004</v>
      </c>
      <c r="V190" s="245">
        <f t="shared" si="233"/>
        <v>2925.4000000000015</v>
      </c>
      <c r="W190" s="245">
        <f t="shared" si="233"/>
        <v>-713.60000000000582</v>
      </c>
      <c r="X190" s="245">
        <f t="shared" si="233"/>
        <v>3171.4000000000051</v>
      </c>
      <c r="Y190" s="245">
        <f t="shared" si="233"/>
        <v>-3402.1799999999967</v>
      </c>
      <c r="Z190" s="245">
        <f>Z167-Y167</f>
        <v>365.97999999999593</v>
      </c>
      <c r="AA190" s="245">
        <f>AA167-Z167</f>
        <v>-1790.4301627098575</v>
      </c>
      <c r="AB190" s="245">
        <f>AB167-AA167</f>
        <v>-5481.9422949868276</v>
      </c>
      <c r="AC190" s="245">
        <f t="shared" ref="AC190:AD190" si="234">AC167-AB167</f>
        <v>364.12320362127502</v>
      </c>
      <c r="AD190" s="245">
        <f t="shared" si="234"/>
        <v>284.75083323099534</v>
      </c>
      <c r="AF190" s="580">
        <f t="shared" ref="AF190:BK190" si="235">AF167-AE167</f>
        <v>0</v>
      </c>
      <c r="AG190" s="580">
        <f t="shared" si="235"/>
        <v>0</v>
      </c>
      <c r="AH190" s="580">
        <f t="shared" si="235"/>
        <v>0</v>
      </c>
      <c r="AI190" s="580">
        <f t="shared" si="235"/>
        <v>0</v>
      </c>
      <c r="AJ190" s="580">
        <f t="shared" si="235"/>
        <v>0</v>
      </c>
      <c r="AK190" s="580">
        <f t="shared" si="235"/>
        <v>0</v>
      </c>
      <c r="AL190" s="580">
        <f t="shared" si="235"/>
        <v>0</v>
      </c>
      <c r="AM190" s="580">
        <f t="shared" si="235"/>
        <v>0</v>
      </c>
      <c r="AN190" s="580">
        <f t="shared" si="235"/>
        <v>0</v>
      </c>
      <c r="AO190" s="580">
        <f t="shared" si="235"/>
        <v>0</v>
      </c>
      <c r="AP190" s="580">
        <f t="shared" si="235"/>
        <v>0</v>
      </c>
      <c r="AQ190" s="580">
        <f t="shared" si="235"/>
        <v>0</v>
      </c>
      <c r="AR190" s="580">
        <f t="shared" si="235"/>
        <v>0</v>
      </c>
      <c r="AS190" s="580">
        <f t="shared" si="235"/>
        <v>0</v>
      </c>
      <c r="AT190" s="580">
        <f t="shared" si="235"/>
        <v>0</v>
      </c>
      <c r="AU190" s="580">
        <f t="shared" si="235"/>
        <v>0</v>
      </c>
      <c r="AV190" s="580">
        <f t="shared" si="235"/>
        <v>0</v>
      </c>
      <c r="AW190" s="580">
        <f t="shared" si="235"/>
        <v>0</v>
      </c>
      <c r="AX190" s="580">
        <f t="shared" si="235"/>
        <v>0</v>
      </c>
      <c r="AY190" s="580">
        <f t="shared" si="235"/>
        <v>0</v>
      </c>
      <c r="AZ190" s="580">
        <f t="shared" si="235"/>
        <v>0</v>
      </c>
      <c r="BA190" s="580">
        <f t="shared" si="235"/>
        <v>0</v>
      </c>
      <c r="BB190" s="580">
        <f t="shared" si="235"/>
        <v>0</v>
      </c>
      <c r="BC190" s="580">
        <f t="shared" si="235"/>
        <v>0</v>
      </c>
      <c r="BD190" s="580">
        <f t="shared" si="235"/>
        <v>0</v>
      </c>
      <c r="BE190" s="580">
        <f t="shared" si="235"/>
        <v>0</v>
      </c>
      <c r="BF190" s="580">
        <f t="shared" si="235"/>
        <v>0</v>
      </c>
      <c r="BG190" s="580">
        <f t="shared" si="235"/>
        <v>0</v>
      </c>
      <c r="BH190" s="580">
        <f t="shared" si="235"/>
        <v>0</v>
      </c>
      <c r="BI190" s="580">
        <f t="shared" si="235"/>
        <v>0</v>
      </c>
      <c r="BJ190" s="580">
        <f t="shared" si="235"/>
        <v>0</v>
      </c>
      <c r="BK190" s="580">
        <f t="shared" si="235"/>
        <v>0</v>
      </c>
    </row>
    <row r="191" spans="1:63" s="245" customFormat="1">
      <c r="A191" s="243"/>
      <c r="B191" s="243" t="s">
        <v>1281</v>
      </c>
      <c r="C191" s="265" t="s">
        <v>1282</v>
      </c>
      <c r="D191" s="243"/>
      <c r="F191" s="245">
        <f t="shared" ref="F191:Y191" si="236">F170-E170</f>
        <v>0</v>
      </c>
      <c r="G191" s="245">
        <f t="shared" si="236"/>
        <v>0</v>
      </c>
      <c r="H191" s="245">
        <f t="shared" si="236"/>
        <v>0</v>
      </c>
      <c r="I191" s="245">
        <f t="shared" si="236"/>
        <v>0</v>
      </c>
      <c r="J191" s="245">
        <f t="shared" si="236"/>
        <v>0</v>
      </c>
      <c r="K191" s="245">
        <f t="shared" si="236"/>
        <v>0</v>
      </c>
      <c r="M191" s="245">
        <f t="shared" si="236"/>
        <v>14857.838699999998</v>
      </c>
      <c r="N191" s="245">
        <f t="shared" si="236"/>
        <v>1676.8513000000003</v>
      </c>
      <c r="O191" s="245">
        <f t="shared" si="236"/>
        <v>3554.2710000000006</v>
      </c>
      <c r="P191" s="245">
        <f t="shared" si="236"/>
        <v>3069.9390000000021</v>
      </c>
      <c r="Q191" s="245">
        <f t="shared" si="236"/>
        <v>5179</v>
      </c>
      <c r="R191" s="245">
        <f t="shared" si="236"/>
        <v>-19996.600000000002</v>
      </c>
      <c r="S191" s="245">
        <f t="shared" si="236"/>
        <v>3900.2000000000007</v>
      </c>
      <c r="T191" s="245">
        <f t="shared" si="236"/>
        <v>10245.700000000001</v>
      </c>
      <c r="U191" s="245">
        <f t="shared" si="236"/>
        <v>-7200.9000000000015</v>
      </c>
      <c r="V191" s="245">
        <f t="shared" si="236"/>
        <v>6462.6000000000022</v>
      </c>
      <c r="W191" s="245">
        <f t="shared" si="236"/>
        <v>-4324.2000000000007</v>
      </c>
      <c r="X191" s="245">
        <f t="shared" si="236"/>
        <v>2312.2000000000007</v>
      </c>
      <c r="Y191" s="245">
        <f t="shared" si="236"/>
        <v>183.20000000000073</v>
      </c>
      <c r="Z191" s="245">
        <f>Z170-Y170</f>
        <v>-16229.900000000001</v>
      </c>
      <c r="AA191" s="245">
        <f>AA170-Z170</f>
        <v>20265.061871000005</v>
      </c>
      <c r="AB191" s="245">
        <f>AB170-AA170</f>
        <v>3385.594133999999</v>
      </c>
      <c r="AC191" s="245">
        <f t="shared" ref="AC191:AD191" si="237">AC170-AB170</f>
        <v>0</v>
      </c>
      <c r="AD191" s="245">
        <f t="shared" si="237"/>
        <v>0</v>
      </c>
      <c r="AF191" s="580">
        <f t="shared" ref="AF191:BK191" si="238">AF170-AE170</f>
        <v>0</v>
      </c>
      <c r="AG191" s="580">
        <f t="shared" si="238"/>
        <v>0</v>
      </c>
      <c r="AH191" s="580">
        <f t="shared" si="238"/>
        <v>0</v>
      </c>
      <c r="AI191" s="580">
        <f t="shared" si="238"/>
        <v>0</v>
      </c>
      <c r="AJ191" s="580">
        <f t="shared" si="238"/>
        <v>0</v>
      </c>
      <c r="AK191" s="580">
        <f t="shared" si="238"/>
        <v>0</v>
      </c>
      <c r="AL191" s="580">
        <f t="shared" si="238"/>
        <v>0</v>
      </c>
      <c r="AM191" s="580">
        <f t="shared" si="238"/>
        <v>0</v>
      </c>
      <c r="AN191" s="580">
        <f t="shared" si="238"/>
        <v>0</v>
      </c>
      <c r="AO191" s="580">
        <f t="shared" si="238"/>
        <v>0</v>
      </c>
      <c r="AP191" s="580">
        <f t="shared" si="238"/>
        <v>0</v>
      </c>
      <c r="AQ191" s="580">
        <f t="shared" si="238"/>
        <v>0</v>
      </c>
      <c r="AR191" s="580">
        <f t="shared" si="238"/>
        <v>0</v>
      </c>
      <c r="AS191" s="580">
        <f t="shared" si="238"/>
        <v>0</v>
      </c>
      <c r="AT191" s="580">
        <f t="shared" si="238"/>
        <v>0</v>
      </c>
      <c r="AU191" s="580">
        <f t="shared" si="238"/>
        <v>0</v>
      </c>
      <c r="AV191" s="580">
        <f t="shared" si="238"/>
        <v>0</v>
      </c>
      <c r="AW191" s="580">
        <f t="shared" si="238"/>
        <v>0</v>
      </c>
      <c r="AX191" s="580">
        <f t="shared" si="238"/>
        <v>0</v>
      </c>
      <c r="AY191" s="580">
        <f t="shared" si="238"/>
        <v>0</v>
      </c>
      <c r="AZ191" s="580">
        <f t="shared" si="238"/>
        <v>0</v>
      </c>
      <c r="BA191" s="580">
        <f t="shared" si="238"/>
        <v>0</v>
      </c>
      <c r="BB191" s="580">
        <f t="shared" si="238"/>
        <v>0</v>
      </c>
      <c r="BC191" s="580">
        <f t="shared" si="238"/>
        <v>0</v>
      </c>
      <c r="BD191" s="580">
        <f t="shared" si="238"/>
        <v>0</v>
      </c>
      <c r="BE191" s="580">
        <f t="shared" si="238"/>
        <v>0</v>
      </c>
      <c r="BF191" s="580">
        <f t="shared" si="238"/>
        <v>0</v>
      </c>
      <c r="BG191" s="580">
        <f t="shared" si="238"/>
        <v>0</v>
      </c>
      <c r="BH191" s="580">
        <f t="shared" si="238"/>
        <v>0</v>
      </c>
      <c r="BI191" s="580">
        <f t="shared" si="238"/>
        <v>0</v>
      </c>
      <c r="BJ191" s="580">
        <f t="shared" si="238"/>
        <v>0</v>
      </c>
      <c r="BK191" s="580">
        <f t="shared" si="238"/>
        <v>0</v>
      </c>
    </row>
    <row r="192" spans="1:63" s="240" customFormat="1">
      <c r="A192" s="209"/>
      <c r="B192" s="209" t="s">
        <v>1283</v>
      </c>
      <c r="C192" s="266" t="s">
        <v>1284</v>
      </c>
      <c r="D192" s="209"/>
      <c r="F192" s="251"/>
      <c r="G192" s="251"/>
      <c r="H192" s="251"/>
      <c r="I192" s="251"/>
      <c r="J192" s="251"/>
      <c r="K192" s="251"/>
      <c r="L192" s="251"/>
      <c r="M192" s="251">
        <f t="shared" ref="M192:X192" si="239">-M104</f>
        <v>-2501.9749999999999</v>
      </c>
      <c r="N192" s="251">
        <f t="shared" si="239"/>
        <v>-2289.1289999999999</v>
      </c>
      <c r="O192" s="251">
        <f t="shared" si="239"/>
        <v>-3196.3009999999999</v>
      </c>
      <c r="P192" s="251">
        <f t="shared" si="239"/>
        <v>-4791.1000000000004</v>
      </c>
      <c r="Q192" s="251">
        <f t="shared" si="239"/>
        <v>-4900.8999999999996</v>
      </c>
      <c r="R192" s="251">
        <f t="shared" si="239"/>
        <v>-3684.2</v>
      </c>
      <c r="S192" s="251">
        <f t="shared" si="239"/>
        <v>-2888.8</v>
      </c>
      <c r="T192" s="251">
        <f t="shared" si="239"/>
        <v>-7075</v>
      </c>
      <c r="U192" s="251">
        <f t="shared" si="239"/>
        <v>-10110.200000000001</v>
      </c>
      <c r="V192" s="251">
        <f t="shared" si="239"/>
        <v>-10221.199999999999</v>
      </c>
      <c r="W192" s="251">
        <f t="shared" si="239"/>
        <v>-12226.6</v>
      </c>
      <c r="X192" s="251">
        <f t="shared" si="239"/>
        <v>-13901</v>
      </c>
      <c r="Y192" s="251">
        <f>-Y104</f>
        <v>-12710.5</v>
      </c>
      <c r="Z192" s="251">
        <f>-Z104</f>
        <v>-16176.5</v>
      </c>
      <c r="AA192" s="251">
        <f>-AA104</f>
        <v>-15080.7</v>
      </c>
      <c r="AB192" s="251">
        <f>-AB104</f>
        <v>-17966.267882898912</v>
      </c>
      <c r="AC192" s="251">
        <f t="shared" ref="AC192:AD192" si="240">-AC104</f>
        <v>-20809.324228024834</v>
      </c>
      <c r="AD192" s="251">
        <f t="shared" si="240"/>
        <v>-22311.928946050346</v>
      </c>
      <c r="AF192" s="579"/>
      <c r="AG192" s="579"/>
      <c r="AH192" s="579"/>
      <c r="AI192" s="579"/>
      <c r="AJ192" s="579"/>
      <c r="AK192" s="579"/>
      <c r="AL192" s="579"/>
      <c r="AM192" s="579"/>
      <c r="AN192" s="579"/>
      <c r="AO192" s="579"/>
      <c r="AP192" s="579"/>
      <c r="AQ192" s="579"/>
      <c r="AR192" s="579"/>
      <c r="AS192" s="579"/>
      <c r="AT192" s="579"/>
      <c r="AU192" s="579"/>
      <c r="AV192" s="579"/>
      <c r="AW192" s="579"/>
      <c r="AX192" s="579"/>
      <c r="AY192" s="579"/>
      <c r="AZ192" s="579"/>
      <c r="BA192" s="579"/>
      <c r="BB192" s="579"/>
      <c r="BC192" s="579"/>
      <c r="BD192" s="579"/>
      <c r="BE192" s="579"/>
      <c r="BF192" s="579"/>
      <c r="BG192" s="579"/>
      <c r="BH192" s="579"/>
      <c r="BI192" s="579"/>
      <c r="BJ192" s="579"/>
      <c r="BK192" s="579"/>
    </row>
    <row r="193" spans="1:63" s="240" customFormat="1">
      <c r="A193" s="209"/>
      <c r="B193" s="209" t="s">
        <v>1285</v>
      </c>
      <c r="C193" s="266" t="s">
        <v>1286</v>
      </c>
      <c r="D193" s="209"/>
      <c r="F193" s="249"/>
      <c r="G193" s="251"/>
      <c r="H193" s="251"/>
      <c r="I193" s="251"/>
      <c r="J193" s="251"/>
      <c r="K193" s="251"/>
      <c r="L193" s="251"/>
      <c r="M193" s="303"/>
      <c r="N193" s="303">
        <v>-3448.057300000004</v>
      </c>
      <c r="O193" s="303">
        <v>-1373.2108000000017</v>
      </c>
      <c r="P193" s="303">
        <v>-2831.2592000000004</v>
      </c>
      <c r="Q193" s="303">
        <v>-1310.1000000000076</v>
      </c>
      <c r="R193" s="303"/>
      <c r="S193" s="303">
        <v>-4864.6000000000067</v>
      </c>
      <c r="T193" s="303">
        <v>-2139.099999999984</v>
      </c>
      <c r="U193" s="304">
        <v>-4412.4999999999709</v>
      </c>
      <c r="V193" s="303">
        <v>94.899999999990541</v>
      </c>
      <c r="W193" s="303">
        <v>5263.8999999999705</v>
      </c>
      <c r="X193" s="303">
        <v>2655.00000000001</v>
      </c>
      <c r="Y193" s="303">
        <v>-3267.3200000000215</v>
      </c>
      <c r="Z193" s="303">
        <v>16070.864637000021</v>
      </c>
      <c r="AA193" s="303">
        <v>-18770.783771000002</v>
      </c>
      <c r="AB193" s="303">
        <v>-1417.9768339999646</v>
      </c>
      <c r="AC193" s="303">
        <v>-1417.9768339999646</v>
      </c>
      <c r="AD193" s="303">
        <v>-1417.9768339999646</v>
      </c>
      <c r="AF193" s="579"/>
      <c r="AG193" s="579"/>
      <c r="AH193" s="579"/>
      <c r="AI193" s="579"/>
      <c r="AJ193" s="579"/>
      <c r="AK193" s="579"/>
      <c r="AL193" s="579"/>
      <c r="AM193" s="579"/>
      <c r="AN193" s="579"/>
      <c r="AO193" s="579"/>
      <c r="AP193" s="579"/>
      <c r="AQ193" s="579"/>
      <c r="AR193" s="579"/>
      <c r="AS193" s="579"/>
      <c r="AT193" s="579"/>
      <c r="AU193" s="579"/>
      <c r="AV193" s="579"/>
      <c r="AW193" s="579"/>
      <c r="AX193" s="579"/>
      <c r="AY193" s="579"/>
      <c r="AZ193" s="579"/>
      <c r="BA193" s="579"/>
      <c r="BB193" s="579"/>
      <c r="BC193" s="579"/>
      <c r="BD193" s="579"/>
      <c r="BE193" s="579"/>
      <c r="BF193" s="579"/>
      <c r="BG193" s="579"/>
      <c r="BH193" s="579"/>
      <c r="BI193" s="579"/>
      <c r="BJ193" s="579"/>
      <c r="BK193" s="579"/>
    </row>
    <row r="194" spans="1:63" s="245" customFormat="1">
      <c r="A194" s="243"/>
      <c r="B194" s="243" t="s">
        <v>1287</v>
      </c>
      <c r="C194" s="263" t="s">
        <v>1288</v>
      </c>
      <c r="D194" s="243"/>
      <c r="F194" s="245">
        <f t="shared" ref="F194:Y194" si="241">SUM(F180:F184,F192,F193)</f>
        <v>0</v>
      </c>
      <c r="G194" s="245">
        <f t="shared" si="241"/>
        <v>0</v>
      </c>
      <c r="H194" s="245">
        <f t="shared" si="241"/>
        <v>0</v>
      </c>
      <c r="I194" s="245">
        <f t="shared" si="241"/>
        <v>0</v>
      </c>
      <c r="J194" s="245">
        <f t="shared" si="241"/>
        <v>0</v>
      </c>
      <c r="K194" s="245">
        <f t="shared" si="241"/>
        <v>0</v>
      </c>
      <c r="M194" s="245">
        <f t="shared" si="241"/>
        <v>5343.054699999997</v>
      </c>
      <c r="N194" s="245">
        <f t="shared" si="241"/>
        <v>8372.0959999999977</v>
      </c>
      <c r="O194" s="245">
        <f t="shared" si="241"/>
        <v>4554.8650000000007</v>
      </c>
      <c r="P194" s="245">
        <f t="shared" si="241"/>
        <v>10726.200000000003</v>
      </c>
      <c r="Q194" s="245">
        <f t="shared" si="241"/>
        <v>6817.2999999999975</v>
      </c>
      <c r="R194" s="245">
        <f t="shared" si="241"/>
        <v>4872.6000000000013</v>
      </c>
      <c r="S194" s="245">
        <f t="shared" si="241"/>
        <v>3276.2000000000007</v>
      </c>
      <c r="T194" s="245">
        <f t="shared" si="241"/>
        <v>27371.1</v>
      </c>
      <c r="U194" s="245">
        <f t="shared" si="241"/>
        <v>20137.200000000008</v>
      </c>
      <c r="V194" s="245">
        <f t="shared" si="241"/>
        <v>29599.399999999991</v>
      </c>
      <c r="W194" s="245">
        <f t="shared" si="241"/>
        <v>21343.699999999993</v>
      </c>
      <c r="X194" s="245">
        <f t="shared" si="241"/>
        <v>35371.199999999997</v>
      </c>
      <c r="Y194" s="245">
        <f t="shared" si="241"/>
        <v>21472.5</v>
      </c>
      <c r="Z194" s="245">
        <f>SUM(Z180:Z184,Z192,Z193)</f>
        <v>36596.344637000009</v>
      </c>
      <c r="AA194" s="245">
        <f>SUM(AA180:AA184,AA192,AA193)</f>
        <v>31002.176622221654</v>
      </c>
      <c r="AB194" s="245">
        <f>SUM(AB180:AB184,AB192,AB193)</f>
        <v>27523.784978181171</v>
      </c>
      <c r="AC194" s="245">
        <f t="shared" ref="AC194:AD194" si="242">SUM(AC180:AC184,AC192,AC193)</f>
        <v>33512.245557762049</v>
      </c>
      <c r="AD194" s="245">
        <f t="shared" si="242"/>
        <v>37273.267501324335</v>
      </c>
      <c r="AF194" s="580">
        <f t="shared" ref="AF194:BK194" si="243">SUM(AF180:AF184,AF192,AF193)</f>
        <v>3606.8999999999978</v>
      </c>
      <c r="AG194" s="580">
        <f t="shared" si="243"/>
        <v>3651.8999999999978</v>
      </c>
      <c r="AH194" s="580">
        <f t="shared" si="243"/>
        <v>3636.2000000000003</v>
      </c>
      <c r="AI194" s="580">
        <f t="shared" si="243"/>
        <v>3262.8999999999978</v>
      </c>
      <c r="AJ194" s="580">
        <f t="shared" si="243"/>
        <v>2749</v>
      </c>
      <c r="AK194" s="580">
        <f t="shared" si="243"/>
        <v>3780.4999999999995</v>
      </c>
      <c r="AL194" s="580">
        <f t="shared" si="243"/>
        <v>3669.7999999999993</v>
      </c>
      <c r="AM194" s="580">
        <f t="shared" si="243"/>
        <v>2615.7000000000007</v>
      </c>
      <c r="AN194" s="580">
        <f t="shared" si="243"/>
        <v>2667.9000000000015</v>
      </c>
      <c r="AO194" s="580">
        <f t="shared" si="243"/>
        <v>3438.2000000000007</v>
      </c>
      <c r="AP194" s="580">
        <f t="shared" si="243"/>
        <v>3058.3999999999978</v>
      </c>
      <c r="AQ194" s="580">
        <f t="shared" si="243"/>
        <v>3028.4000000000015</v>
      </c>
      <c r="AR194" s="580">
        <f t="shared" si="243"/>
        <v>4554.1999999999971</v>
      </c>
      <c r="AS194" s="580">
        <f t="shared" si="243"/>
        <v>6365.0999999999985</v>
      </c>
      <c r="AT194" s="580">
        <f t="shared" si="243"/>
        <v>7235.3000000000029</v>
      </c>
      <c r="AU194" s="580">
        <f t="shared" si="243"/>
        <v>7771</v>
      </c>
      <c r="AV194" s="580">
        <f t="shared" si="243"/>
        <v>7769.2999999999965</v>
      </c>
      <c r="AW194" s="580">
        <f t="shared" si="243"/>
        <v>8971.6999999999971</v>
      </c>
      <c r="AX194" s="580">
        <f t="shared" si="243"/>
        <v>8493.2000000000044</v>
      </c>
      <c r="AY194" s="580">
        <f t="shared" si="243"/>
        <v>8034.0999999999985</v>
      </c>
      <c r="AZ194" s="580">
        <f t="shared" si="243"/>
        <v>8398.4000000000087</v>
      </c>
      <c r="BA194" s="580">
        <f t="shared" si="243"/>
        <v>10573.699999999997</v>
      </c>
      <c r="BB194" s="580">
        <f t="shared" si="243"/>
        <v>9841.2999999999956</v>
      </c>
      <c r="BC194" s="580">
        <f t="shared" si="243"/>
        <v>9205.8999999999942</v>
      </c>
      <c r="BD194" s="580">
        <f t="shared" si="243"/>
        <v>8716.9999999999927</v>
      </c>
      <c r="BE194" s="580">
        <f t="shared" si="243"/>
        <v>9152.0999999999985</v>
      </c>
      <c r="BF194" s="580">
        <f t="shared" si="243"/>
        <v>10117.499999999993</v>
      </c>
      <c r="BG194" s="580">
        <f t="shared" si="243"/>
        <v>8365.9000000000015</v>
      </c>
      <c r="BH194" s="580">
        <f t="shared" si="243"/>
        <v>10027.100000000006</v>
      </c>
      <c r="BI194" s="580">
        <f t="shared" si="243"/>
        <v>11713.199999999997</v>
      </c>
      <c r="BJ194" s="580">
        <f t="shared" si="243"/>
        <v>10396.599999999999</v>
      </c>
      <c r="BK194" s="580">
        <f t="shared" si="243"/>
        <v>9683.5999999999985</v>
      </c>
    </row>
    <row r="195" spans="1:63" s="245" customFormat="1">
      <c r="A195" s="243"/>
      <c r="B195" s="243" t="s">
        <v>1289</v>
      </c>
      <c r="C195" s="252" t="s">
        <v>211</v>
      </c>
      <c r="D195" s="243"/>
      <c r="F195" s="245">
        <f t="shared" ref="F195:Y195" si="244">(E153+E154-F153-F154)-F181+(F117-E117)</f>
        <v>0</v>
      </c>
      <c r="G195" s="245">
        <f t="shared" si="244"/>
        <v>0</v>
      </c>
      <c r="H195" s="245">
        <f t="shared" si="244"/>
        <v>0</v>
      </c>
      <c r="I195" s="245">
        <f t="shared" si="244"/>
        <v>0</v>
      </c>
      <c r="J195" s="245">
        <f t="shared" si="244"/>
        <v>0</v>
      </c>
      <c r="K195" s="245">
        <f t="shared" si="244"/>
        <v>0</v>
      </c>
      <c r="M195" s="245">
        <f t="shared" si="244"/>
        <v>-14625.687600000003</v>
      </c>
      <c r="N195" s="245">
        <f t="shared" si="244"/>
        <v>-1107.3264000000017</v>
      </c>
      <c r="O195" s="245">
        <f t="shared" si="244"/>
        <v>-904.9879999999946</v>
      </c>
      <c r="P195" s="245">
        <f t="shared" si="244"/>
        <v>-2032.9720000000041</v>
      </c>
      <c r="Q195" s="245">
        <f t="shared" si="244"/>
        <v>-3336.0999999999922</v>
      </c>
      <c r="R195" s="245">
        <f t="shared" si="244"/>
        <v>-1996.1000000000058</v>
      </c>
      <c r="S195" s="245">
        <f t="shared" si="244"/>
        <v>-3910.2999999999947</v>
      </c>
      <c r="T195" s="245">
        <f t="shared" si="244"/>
        <v>-891.2000000000055</v>
      </c>
      <c r="U195" s="245">
        <f t="shared" si="244"/>
        <v>-1543.0000000000036</v>
      </c>
      <c r="V195" s="245">
        <f t="shared" si="244"/>
        <v>-1164.2999999999931</v>
      </c>
      <c r="W195" s="245">
        <f t="shared" si="244"/>
        <v>-7413.7</v>
      </c>
      <c r="X195" s="245">
        <f t="shared" si="244"/>
        <v>-2317.300000000002</v>
      </c>
      <c r="Y195" s="245">
        <f t="shared" si="244"/>
        <v>-2894.7999999999979</v>
      </c>
      <c r="Z195" s="245">
        <f>(Y153+Y154-Z153-Z154)-Z181+(Z117-Y117)</f>
        <v>-2128.9000000000015</v>
      </c>
      <c r="AA195" s="245">
        <f>(Z153+Z154-AA153-AA154)-AA181+(AA117-Z117)</f>
        <v>-2999.9999999999973</v>
      </c>
      <c r="AB195" s="245">
        <f>(AA153+AA154-AB153-AB154)-AB181+(AB117-AA117)</f>
        <v>-4000</v>
      </c>
      <c r="AC195" s="245">
        <f t="shared" ref="AC195:AD195" si="245">(AB153+AB154-AC153-AC154)-AC181+(AC117-AB117)</f>
        <v>-3999.9999999999964</v>
      </c>
      <c r="AD195" s="245">
        <f t="shared" si="245"/>
        <v>-3999.9999999999959</v>
      </c>
      <c r="AF195" s="580">
        <f t="shared" ref="AF195:BK195" si="246">(AE153+AE154-AF153-AF154)-AF181+(AF117-AE117)</f>
        <v>-481.2</v>
      </c>
      <c r="AG195" s="580">
        <f t="shared" si="246"/>
        <v>-491.7</v>
      </c>
      <c r="AH195" s="580">
        <f t="shared" si="246"/>
        <v>-472.1</v>
      </c>
      <c r="AI195" s="580">
        <f t="shared" si="246"/>
        <v>-457.6</v>
      </c>
      <c r="AJ195" s="580">
        <f t="shared" si="246"/>
        <v>-490.2</v>
      </c>
      <c r="AK195" s="580">
        <f t="shared" si="246"/>
        <v>-487.2</v>
      </c>
      <c r="AL195" s="580">
        <f t="shared" si="246"/>
        <v>-418.3</v>
      </c>
      <c r="AM195" s="580">
        <f t="shared" si="246"/>
        <v>-413.9</v>
      </c>
      <c r="AN195" s="580">
        <f t="shared" si="246"/>
        <v>-335.3</v>
      </c>
      <c r="AO195" s="580">
        <f t="shared" si="246"/>
        <v>-330.8</v>
      </c>
      <c r="AP195" s="580">
        <f t="shared" si="246"/>
        <v>-318.89999999999998</v>
      </c>
      <c r="AQ195" s="580">
        <f t="shared" si="246"/>
        <v>-312.89999999999998</v>
      </c>
      <c r="AR195" s="580">
        <f t="shared" si="246"/>
        <v>-330.8</v>
      </c>
      <c r="AS195" s="580">
        <f t="shared" si="246"/>
        <v>-335.8</v>
      </c>
      <c r="AT195" s="580">
        <f t="shared" si="246"/>
        <v>-356.8</v>
      </c>
      <c r="AU195" s="580">
        <f t="shared" si="246"/>
        <v>-341.1</v>
      </c>
      <c r="AV195" s="580">
        <f t="shared" si="246"/>
        <v>-318.2</v>
      </c>
      <c r="AW195" s="580">
        <f t="shared" si="246"/>
        <v>-299.5</v>
      </c>
      <c r="AX195" s="580">
        <f t="shared" si="246"/>
        <v>-310.2</v>
      </c>
      <c r="AY195" s="580">
        <f t="shared" si="246"/>
        <v>-300.5</v>
      </c>
      <c r="AZ195" s="580">
        <f t="shared" si="246"/>
        <v>-306.39999999999998</v>
      </c>
      <c r="BA195" s="580">
        <f t="shared" si="246"/>
        <v>-394.2</v>
      </c>
      <c r="BB195" s="580">
        <f t="shared" si="246"/>
        <v>-321.39999999999998</v>
      </c>
      <c r="BC195" s="580">
        <f t="shared" si="246"/>
        <v>-294.2</v>
      </c>
      <c r="BD195" s="580">
        <f t="shared" si="246"/>
        <v>-352.4</v>
      </c>
      <c r="BE195" s="580">
        <f t="shared" si="246"/>
        <v>-410.4</v>
      </c>
      <c r="BF195" s="580">
        <f t="shared" si="246"/>
        <v>-410.8</v>
      </c>
      <c r="BG195" s="580">
        <f t="shared" si="246"/>
        <v>-466.1</v>
      </c>
      <c r="BH195" s="580">
        <f t="shared" si="246"/>
        <v>-443.9</v>
      </c>
      <c r="BI195" s="580">
        <f t="shared" si="246"/>
        <v>-442.9</v>
      </c>
      <c r="BJ195" s="580">
        <f t="shared" si="246"/>
        <v>-459.5</v>
      </c>
      <c r="BK195" s="580">
        <f t="shared" si="246"/>
        <v>-444.8</v>
      </c>
    </row>
    <row r="196" spans="1:63" s="245" customFormat="1">
      <c r="A196" s="243"/>
      <c r="B196" s="243" t="s">
        <v>1290</v>
      </c>
      <c r="C196" s="267" t="s">
        <v>1291</v>
      </c>
      <c r="D196" s="243"/>
      <c r="F196" s="245">
        <f t="shared" ref="F196:Y196" si="247">F194+F195</f>
        <v>0</v>
      </c>
      <c r="G196" s="245">
        <f t="shared" si="247"/>
        <v>0</v>
      </c>
      <c r="H196" s="245">
        <f t="shared" si="247"/>
        <v>0</v>
      </c>
      <c r="I196" s="245">
        <f t="shared" si="247"/>
        <v>0</v>
      </c>
      <c r="J196" s="245">
        <f t="shared" si="247"/>
        <v>0</v>
      </c>
      <c r="K196" s="245">
        <f t="shared" si="247"/>
        <v>0</v>
      </c>
      <c r="M196" s="245">
        <f t="shared" si="247"/>
        <v>-9282.632900000006</v>
      </c>
      <c r="N196" s="245">
        <f t="shared" si="247"/>
        <v>7264.769599999996</v>
      </c>
      <c r="O196" s="245">
        <f t="shared" si="247"/>
        <v>3649.8770000000059</v>
      </c>
      <c r="P196" s="245">
        <f t="shared" si="247"/>
        <v>8693.2279999999992</v>
      </c>
      <c r="Q196" s="245">
        <f t="shared" si="247"/>
        <v>3481.2000000000053</v>
      </c>
      <c r="R196" s="245">
        <f t="shared" si="247"/>
        <v>2876.4999999999955</v>
      </c>
      <c r="S196" s="245">
        <f t="shared" si="247"/>
        <v>-634.099999999994</v>
      </c>
      <c r="T196" s="245">
        <f t="shared" si="247"/>
        <v>26479.899999999994</v>
      </c>
      <c r="U196" s="245">
        <f t="shared" si="247"/>
        <v>18594.200000000004</v>
      </c>
      <c r="V196" s="245">
        <f t="shared" si="247"/>
        <v>28435.1</v>
      </c>
      <c r="W196" s="245">
        <f t="shared" si="247"/>
        <v>13929.999999999993</v>
      </c>
      <c r="X196" s="245">
        <f t="shared" si="247"/>
        <v>33053.899999999994</v>
      </c>
      <c r="Y196" s="245">
        <f t="shared" si="247"/>
        <v>18577.7</v>
      </c>
      <c r="Z196" s="245">
        <f>Z194+Z195</f>
        <v>34467.444637000008</v>
      </c>
      <c r="AA196" s="245">
        <f>AA194+AA195</f>
        <v>28002.176622221657</v>
      </c>
      <c r="AB196" s="245">
        <f>AB194+AB195</f>
        <v>23523.784978181171</v>
      </c>
      <c r="AC196" s="245">
        <f t="shared" ref="AC196:AD196" si="248">AC194+AC195</f>
        <v>29512.245557762053</v>
      </c>
      <c r="AD196" s="245">
        <f t="shared" si="248"/>
        <v>33273.267501324342</v>
      </c>
      <c r="AF196" s="580">
        <f t="shared" ref="AF196:BK196" si="249">AF194+AF195</f>
        <v>3125.699999999998</v>
      </c>
      <c r="AG196" s="580">
        <f t="shared" si="249"/>
        <v>3160.199999999998</v>
      </c>
      <c r="AH196" s="580">
        <f t="shared" si="249"/>
        <v>3164.1000000000004</v>
      </c>
      <c r="AI196" s="580">
        <f t="shared" si="249"/>
        <v>2805.2999999999979</v>
      </c>
      <c r="AJ196" s="580">
        <f t="shared" si="249"/>
        <v>2258.8000000000002</v>
      </c>
      <c r="AK196" s="580">
        <f t="shared" si="249"/>
        <v>3293.2999999999997</v>
      </c>
      <c r="AL196" s="580">
        <f t="shared" si="249"/>
        <v>3251.4999999999991</v>
      </c>
      <c r="AM196" s="580">
        <f t="shared" si="249"/>
        <v>2201.8000000000006</v>
      </c>
      <c r="AN196" s="580">
        <f t="shared" si="249"/>
        <v>2332.6000000000013</v>
      </c>
      <c r="AO196" s="580">
        <f t="shared" si="249"/>
        <v>3107.4000000000005</v>
      </c>
      <c r="AP196" s="580">
        <f t="shared" si="249"/>
        <v>2739.4999999999977</v>
      </c>
      <c r="AQ196" s="580">
        <f t="shared" si="249"/>
        <v>2715.5000000000014</v>
      </c>
      <c r="AR196" s="580">
        <f t="shared" si="249"/>
        <v>4223.3999999999969</v>
      </c>
      <c r="AS196" s="580">
        <f t="shared" si="249"/>
        <v>6029.2999999999984</v>
      </c>
      <c r="AT196" s="580">
        <f t="shared" si="249"/>
        <v>6878.5000000000027</v>
      </c>
      <c r="AU196" s="580">
        <f t="shared" si="249"/>
        <v>7429.9</v>
      </c>
      <c r="AV196" s="580">
        <f t="shared" si="249"/>
        <v>7451.0999999999967</v>
      </c>
      <c r="AW196" s="580">
        <f t="shared" si="249"/>
        <v>8672.1999999999971</v>
      </c>
      <c r="AX196" s="580">
        <f t="shared" si="249"/>
        <v>8183.0000000000045</v>
      </c>
      <c r="AY196" s="580">
        <f t="shared" si="249"/>
        <v>7733.5999999999985</v>
      </c>
      <c r="AZ196" s="580">
        <f t="shared" si="249"/>
        <v>8092.0000000000091</v>
      </c>
      <c r="BA196" s="580">
        <f t="shared" si="249"/>
        <v>10179.499999999996</v>
      </c>
      <c r="BB196" s="580">
        <f t="shared" si="249"/>
        <v>9519.899999999996</v>
      </c>
      <c r="BC196" s="580">
        <f t="shared" si="249"/>
        <v>8911.6999999999935</v>
      </c>
      <c r="BD196" s="580">
        <f t="shared" si="249"/>
        <v>8364.5999999999931</v>
      </c>
      <c r="BE196" s="580">
        <f t="shared" si="249"/>
        <v>8741.6999999999989</v>
      </c>
      <c r="BF196" s="580">
        <f t="shared" si="249"/>
        <v>9706.6999999999935</v>
      </c>
      <c r="BG196" s="580">
        <f t="shared" si="249"/>
        <v>7899.8000000000011</v>
      </c>
      <c r="BH196" s="580">
        <f t="shared" si="249"/>
        <v>9583.2000000000062</v>
      </c>
      <c r="BI196" s="580">
        <f t="shared" si="249"/>
        <v>11270.299999999997</v>
      </c>
      <c r="BJ196" s="580">
        <f t="shared" si="249"/>
        <v>9937.0999999999985</v>
      </c>
      <c r="BK196" s="580">
        <f t="shared" si="249"/>
        <v>9238.7999999999993</v>
      </c>
    </row>
    <row r="197" spans="1:63" s="245" customFormat="1">
      <c r="A197" s="243"/>
      <c r="B197" s="243" t="s">
        <v>1292</v>
      </c>
      <c r="C197" s="252" t="s">
        <v>665</v>
      </c>
      <c r="D197" s="243"/>
      <c r="F197" s="245">
        <f t="shared" ref="F197:X197" si="250">F82</f>
        <v>0</v>
      </c>
      <c r="G197" s="245">
        <f t="shared" si="250"/>
        <v>0</v>
      </c>
      <c r="H197" s="245">
        <f t="shared" si="250"/>
        <v>0</v>
      </c>
      <c r="I197" s="245">
        <f t="shared" si="250"/>
        <v>0</v>
      </c>
      <c r="J197" s="245">
        <f t="shared" si="250"/>
        <v>0</v>
      </c>
      <c r="K197" s="245">
        <f t="shared" si="250"/>
        <v>0</v>
      </c>
      <c r="M197" s="245">
        <f t="shared" si="250"/>
        <v>1643.8540000000003</v>
      </c>
      <c r="N197" s="245">
        <f t="shared" si="250"/>
        <v>2825.8409999999999</v>
      </c>
      <c r="O197" s="245">
        <f t="shared" si="250"/>
        <v>3866.4719999999998</v>
      </c>
      <c r="P197" s="245">
        <f t="shared" si="250"/>
        <v>3653.8</v>
      </c>
      <c r="Q197" s="245">
        <f t="shared" si="250"/>
        <v>4831.8999999999996</v>
      </c>
      <c r="R197" s="245">
        <f t="shared" si="250"/>
        <v>1470.4999999999998</v>
      </c>
      <c r="S197" s="245">
        <f t="shared" si="250"/>
        <v>1219</v>
      </c>
      <c r="T197" s="245">
        <f t="shared" si="250"/>
        <v>1570.1</v>
      </c>
      <c r="U197" s="245">
        <f t="shared" si="250"/>
        <v>5765.0999999999995</v>
      </c>
      <c r="V197" s="245">
        <f t="shared" si="250"/>
        <v>4740.4000000000005</v>
      </c>
      <c r="W197" s="245">
        <f t="shared" si="250"/>
        <v>5472</v>
      </c>
      <c r="X197" s="245">
        <f t="shared" si="250"/>
        <v>6118.2000000000007</v>
      </c>
      <c r="Y197" s="245">
        <f>Y82</f>
        <v>5727.7999999999993</v>
      </c>
      <c r="Z197" s="245">
        <f>Z82</f>
        <v>10735.9</v>
      </c>
      <c r="AA197" s="245">
        <f>AA82</f>
        <v>12219.7</v>
      </c>
      <c r="AB197" s="245">
        <f>AB82</f>
        <v>13359.569299999997</v>
      </c>
      <c r="AC197" s="245">
        <f t="shared" ref="AC197:AD197" si="251">AC82</f>
        <v>14956.331029999998</v>
      </c>
      <c r="AD197" s="245">
        <f t="shared" si="251"/>
        <v>14193.774933000001</v>
      </c>
      <c r="AF197" s="580">
        <f t="shared" ref="AF197:BK197" si="252">AF82</f>
        <v>945.6</v>
      </c>
      <c r="AG197" s="580">
        <f t="shared" si="252"/>
        <v>1424.3</v>
      </c>
      <c r="AH197" s="580">
        <f t="shared" si="252"/>
        <v>1609.5</v>
      </c>
      <c r="AI197" s="580">
        <f t="shared" si="252"/>
        <v>1577</v>
      </c>
      <c r="AJ197" s="580">
        <f t="shared" si="252"/>
        <v>1026.9000000000001</v>
      </c>
      <c r="AK197" s="580">
        <f t="shared" si="252"/>
        <v>1472.3</v>
      </c>
      <c r="AL197" s="580">
        <f t="shared" si="252"/>
        <v>429.5</v>
      </c>
      <c r="AM197" s="580">
        <f t="shared" si="252"/>
        <v>204.4</v>
      </c>
      <c r="AN197" s="580">
        <f t="shared" si="252"/>
        <v>287.8</v>
      </c>
      <c r="AO197" s="580">
        <f t="shared" si="252"/>
        <v>221</v>
      </c>
      <c r="AP197" s="580">
        <f t="shared" si="252"/>
        <v>378.8</v>
      </c>
      <c r="AQ197" s="580">
        <f t="shared" si="252"/>
        <v>229.1</v>
      </c>
      <c r="AR197" s="580">
        <f t="shared" si="252"/>
        <v>231.4</v>
      </c>
      <c r="AS197" s="580">
        <f t="shared" si="252"/>
        <v>217.3</v>
      </c>
      <c r="AT197" s="580">
        <f t="shared" si="252"/>
        <v>351.3</v>
      </c>
      <c r="AU197" s="580">
        <f t="shared" si="252"/>
        <v>425</v>
      </c>
      <c r="AV197" s="580">
        <f t="shared" si="252"/>
        <v>816.7</v>
      </c>
      <c r="AW197" s="580">
        <f t="shared" si="252"/>
        <v>837.1</v>
      </c>
      <c r="AX197" s="580">
        <f t="shared" si="252"/>
        <v>994.6</v>
      </c>
      <c r="AY197" s="580">
        <f t="shared" si="252"/>
        <v>1561.5</v>
      </c>
      <c r="AZ197" s="580">
        <f t="shared" si="252"/>
        <v>1440.9</v>
      </c>
      <c r="BA197" s="580">
        <f t="shared" si="252"/>
        <v>744.8</v>
      </c>
      <c r="BB197" s="580">
        <f t="shared" si="252"/>
        <v>1680.8</v>
      </c>
      <c r="BC197" s="580">
        <f t="shared" si="252"/>
        <v>1394.9</v>
      </c>
      <c r="BD197" s="580">
        <f t="shared" si="252"/>
        <v>1819.7</v>
      </c>
      <c r="BE197" s="580">
        <f t="shared" si="252"/>
        <v>1667.2</v>
      </c>
      <c r="BF197" s="580">
        <f t="shared" si="252"/>
        <v>2031.9</v>
      </c>
      <c r="BG197" s="580">
        <f t="shared" si="252"/>
        <v>2436.1</v>
      </c>
      <c r="BH197" s="580">
        <f t="shared" si="252"/>
        <v>1756</v>
      </c>
      <c r="BI197" s="580">
        <f t="shared" si="252"/>
        <v>1241.5999999999999</v>
      </c>
      <c r="BJ197" s="580">
        <f t="shared" si="252"/>
        <v>2218.4</v>
      </c>
      <c r="BK197" s="580">
        <f t="shared" si="252"/>
        <v>1848.1</v>
      </c>
    </row>
    <row r="198" spans="1:63" s="245" customFormat="1">
      <c r="A198" s="243"/>
      <c r="B198" s="243" t="s">
        <v>1293</v>
      </c>
      <c r="C198" s="252" t="s">
        <v>1294</v>
      </c>
      <c r="D198" s="243"/>
      <c r="F198" s="245">
        <f t="shared" ref="F198:X198" si="253">F199+F200</f>
        <v>0</v>
      </c>
      <c r="G198" s="245">
        <f t="shared" si="253"/>
        <v>0</v>
      </c>
      <c r="H198" s="245">
        <f t="shared" si="253"/>
        <v>0</v>
      </c>
      <c r="I198" s="245">
        <f t="shared" si="253"/>
        <v>0</v>
      </c>
      <c r="J198" s="245">
        <f t="shared" si="253"/>
        <v>0</v>
      </c>
      <c r="K198" s="245">
        <f t="shared" si="253"/>
        <v>0</v>
      </c>
      <c r="M198" s="245">
        <f t="shared" si="253"/>
        <v>-27298.938000000002</v>
      </c>
      <c r="N198" s="245">
        <f t="shared" si="253"/>
        <v>-11255.461999999992</v>
      </c>
      <c r="O198" s="245">
        <f t="shared" si="253"/>
        <v>-7051.3540000000066</v>
      </c>
      <c r="P198" s="245">
        <f t="shared" si="253"/>
        <v>-12964.346000000005</v>
      </c>
      <c r="Q198" s="245">
        <f t="shared" si="253"/>
        <v>-5904.7999999999956</v>
      </c>
      <c r="R198" s="245">
        <f t="shared" si="253"/>
        <v>48842.3</v>
      </c>
      <c r="S198" s="245">
        <f t="shared" si="253"/>
        <v>1400.7000000000007</v>
      </c>
      <c r="T198" s="245">
        <f t="shared" si="253"/>
        <v>-25983.299999999996</v>
      </c>
      <c r="U198" s="245">
        <f t="shared" si="253"/>
        <v>-7736.8000000000029</v>
      </c>
      <c r="V198" s="245">
        <f t="shared" si="253"/>
        <v>-876.39999999999418</v>
      </c>
      <c r="W198" s="245">
        <f t="shared" si="253"/>
        <v>-15476.5</v>
      </c>
      <c r="X198" s="245">
        <f t="shared" si="253"/>
        <v>-21283.400000000009</v>
      </c>
      <c r="Y198" s="245">
        <f>Y199+Y200</f>
        <v>-6055.6999999999971</v>
      </c>
      <c r="Z198" s="245">
        <f>Z199+Z200</f>
        <v>-3482.6000000000058</v>
      </c>
      <c r="AA198" s="245">
        <f>AA199+AA200</f>
        <v>-39999.999999999971</v>
      </c>
      <c r="AB198" s="245">
        <f>AB199+AB200</f>
        <v>-20000</v>
      </c>
      <c r="AC198" s="245">
        <f t="shared" ref="AC198:AD198" si="254">AC199+AC200</f>
        <v>-15000</v>
      </c>
      <c r="AD198" s="245">
        <f t="shared" si="254"/>
        <v>0</v>
      </c>
      <c r="AF198" s="580">
        <f t="shared" ref="AF198:BK198" si="255">AF199+AF200</f>
        <v>0</v>
      </c>
      <c r="AG198" s="580">
        <f t="shared" si="255"/>
        <v>0</v>
      </c>
      <c r="AH198" s="580">
        <f t="shared" si="255"/>
        <v>0</v>
      </c>
      <c r="AI198" s="580">
        <f t="shared" si="255"/>
        <v>0</v>
      </c>
      <c r="AJ198" s="580">
        <f t="shared" si="255"/>
        <v>0</v>
      </c>
      <c r="AK198" s="580">
        <f t="shared" si="255"/>
        <v>0</v>
      </c>
      <c r="AL198" s="580">
        <f t="shared" si="255"/>
        <v>0</v>
      </c>
      <c r="AM198" s="580">
        <f t="shared" si="255"/>
        <v>0</v>
      </c>
      <c r="AN198" s="580">
        <f t="shared" si="255"/>
        <v>0</v>
      </c>
      <c r="AO198" s="580">
        <f t="shared" si="255"/>
        <v>0</v>
      </c>
      <c r="AP198" s="580">
        <f t="shared" si="255"/>
        <v>0</v>
      </c>
      <c r="AQ198" s="580">
        <f t="shared" si="255"/>
        <v>0</v>
      </c>
      <c r="AR198" s="580">
        <f t="shared" si="255"/>
        <v>0</v>
      </c>
      <c r="AS198" s="580">
        <f t="shared" si="255"/>
        <v>0</v>
      </c>
      <c r="AT198" s="580">
        <f t="shared" si="255"/>
        <v>0</v>
      </c>
      <c r="AU198" s="580">
        <f t="shared" si="255"/>
        <v>0</v>
      </c>
      <c r="AV198" s="580">
        <f t="shared" si="255"/>
        <v>0</v>
      </c>
      <c r="AW198" s="580">
        <f t="shared" si="255"/>
        <v>0</v>
      </c>
      <c r="AX198" s="580">
        <f t="shared" si="255"/>
        <v>0</v>
      </c>
      <c r="AY198" s="580">
        <f t="shared" si="255"/>
        <v>0</v>
      </c>
      <c r="AZ198" s="580">
        <f t="shared" si="255"/>
        <v>0</v>
      </c>
      <c r="BA198" s="580">
        <f t="shared" si="255"/>
        <v>0</v>
      </c>
      <c r="BB198" s="580">
        <f t="shared" si="255"/>
        <v>0</v>
      </c>
      <c r="BC198" s="580">
        <f t="shared" si="255"/>
        <v>0</v>
      </c>
      <c r="BD198" s="580">
        <f t="shared" si="255"/>
        <v>0</v>
      </c>
      <c r="BE198" s="580">
        <f t="shared" si="255"/>
        <v>0</v>
      </c>
      <c r="BF198" s="580">
        <f t="shared" si="255"/>
        <v>0</v>
      </c>
      <c r="BG198" s="580">
        <f t="shared" si="255"/>
        <v>0</v>
      </c>
      <c r="BH198" s="580">
        <f t="shared" si="255"/>
        <v>0</v>
      </c>
      <c r="BI198" s="580">
        <f t="shared" si="255"/>
        <v>0</v>
      </c>
      <c r="BJ198" s="580">
        <f t="shared" si="255"/>
        <v>0</v>
      </c>
      <c r="BK198" s="580">
        <f t="shared" si="255"/>
        <v>0</v>
      </c>
    </row>
    <row r="199" spans="1:63" s="245" customFormat="1">
      <c r="A199" s="243"/>
      <c r="B199" s="243" t="s">
        <v>1295</v>
      </c>
      <c r="C199" s="252" t="s">
        <v>1296</v>
      </c>
      <c r="D199" s="243"/>
      <c r="F199" s="245">
        <f t="shared" ref="F199:Y199" si="256">-F156+E156</f>
        <v>0</v>
      </c>
      <c r="G199" s="245">
        <f t="shared" si="256"/>
        <v>0</v>
      </c>
      <c r="H199" s="245">
        <f t="shared" si="256"/>
        <v>0</v>
      </c>
      <c r="I199" s="245">
        <f t="shared" si="256"/>
        <v>0</v>
      </c>
      <c r="J199" s="245">
        <f t="shared" si="256"/>
        <v>0</v>
      </c>
      <c r="K199" s="245">
        <f t="shared" si="256"/>
        <v>0</v>
      </c>
      <c r="M199" s="245">
        <f t="shared" si="256"/>
        <v>-27298.938000000002</v>
      </c>
      <c r="N199" s="245">
        <f t="shared" si="256"/>
        <v>-11255.461999999992</v>
      </c>
      <c r="O199" s="245">
        <f t="shared" si="256"/>
        <v>-7051.3540000000066</v>
      </c>
      <c r="P199" s="245">
        <f t="shared" si="256"/>
        <v>-12964.346000000005</v>
      </c>
      <c r="Q199" s="245">
        <f t="shared" si="256"/>
        <v>-5904.7999999999956</v>
      </c>
      <c r="R199" s="245">
        <f t="shared" si="256"/>
        <v>48842.3</v>
      </c>
      <c r="S199" s="245">
        <f t="shared" si="256"/>
        <v>1400.7000000000007</v>
      </c>
      <c r="T199" s="245">
        <f t="shared" si="256"/>
        <v>-25983.299999999996</v>
      </c>
      <c r="U199" s="245">
        <f t="shared" si="256"/>
        <v>-7736.8000000000029</v>
      </c>
      <c r="V199" s="245">
        <f t="shared" si="256"/>
        <v>-876.39999999999418</v>
      </c>
      <c r="W199" s="245">
        <f t="shared" si="256"/>
        <v>-15476.5</v>
      </c>
      <c r="X199" s="245">
        <f t="shared" si="256"/>
        <v>-21283.400000000009</v>
      </c>
      <c r="Y199" s="245">
        <f t="shared" si="256"/>
        <v>-6055.6999999999971</v>
      </c>
      <c r="Z199" s="245">
        <f t="shared" ref="Z199:AB200" si="257">-Z156+Y156</f>
        <v>-3482.6000000000058</v>
      </c>
      <c r="AA199" s="245">
        <f t="shared" si="257"/>
        <v>-39999.999999999971</v>
      </c>
      <c r="AB199" s="245">
        <f t="shared" si="257"/>
        <v>-20000</v>
      </c>
      <c r="AC199" s="245">
        <f t="shared" ref="AC199:AC200" si="258">-AC156+AB156</f>
        <v>-15000</v>
      </c>
      <c r="AD199" s="245">
        <f t="shared" ref="AD199:AD200" si="259">-AD156+AC156</f>
        <v>0</v>
      </c>
      <c r="AF199" s="580">
        <f t="shared" ref="AF199:BK200" si="260">-AF156+AE156</f>
        <v>0</v>
      </c>
      <c r="AG199" s="580">
        <f t="shared" si="260"/>
        <v>0</v>
      </c>
      <c r="AH199" s="580">
        <f t="shared" si="260"/>
        <v>0</v>
      </c>
      <c r="AI199" s="580">
        <f t="shared" si="260"/>
        <v>0</v>
      </c>
      <c r="AJ199" s="580">
        <f t="shared" si="260"/>
        <v>0</v>
      </c>
      <c r="AK199" s="580">
        <f t="shared" si="260"/>
        <v>0</v>
      </c>
      <c r="AL199" s="580">
        <f t="shared" si="260"/>
        <v>0</v>
      </c>
      <c r="AM199" s="580">
        <f t="shared" si="260"/>
        <v>0</v>
      </c>
      <c r="AN199" s="580">
        <f t="shared" si="260"/>
        <v>0</v>
      </c>
      <c r="AO199" s="580">
        <f t="shared" si="260"/>
        <v>0</v>
      </c>
      <c r="AP199" s="580">
        <f t="shared" si="260"/>
        <v>0</v>
      </c>
      <c r="AQ199" s="580">
        <f t="shared" si="260"/>
        <v>0</v>
      </c>
      <c r="AR199" s="580">
        <f t="shared" si="260"/>
        <v>0</v>
      </c>
      <c r="AS199" s="580">
        <f t="shared" si="260"/>
        <v>0</v>
      </c>
      <c r="AT199" s="580">
        <f t="shared" si="260"/>
        <v>0</v>
      </c>
      <c r="AU199" s="580">
        <f t="shared" si="260"/>
        <v>0</v>
      </c>
      <c r="AV199" s="580">
        <f t="shared" si="260"/>
        <v>0</v>
      </c>
      <c r="AW199" s="580">
        <f t="shared" si="260"/>
        <v>0</v>
      </c>
      <c r="AX199" s="580">
        <f t="shared" si="260"/>
        <v>0</v>
      </c>
      <c r="AY199" s="580">
        <f t="shared" si="260"/>
        <v>0</v>
      </c>
      <c r="AZ199" s="580">
        <f t="shared" si="260"/>
        <v>0</v>
      </c>
      <c r="BA199" s="580">
        <f t="shared" si="260"/>
        <v>0</v>
      </c>
      <c r="BB199" s="580">
        <f t="shared" si="260"/>
        <v>0</v>
      </c>
      <c r="BC199" s="580">
        <f t="shared" si="260"/>
        <v>0</v>
      </c>
      <c r="BD199" s="580">
        <f t="shared" si="260"/>
        <v>0</v>
      </c>
      <c r="BE199" s="580">
        <f t="shared" si="260"/>
        <v>0</v>
      </c>
      <c r="BF199" s="580">
        <f t="shared" si="260"/>
        <v>0</v>
      </c>
      <c r="BG199" s="580">
        <f t="shared" si="260"/>
        <v>0</v>
      </c>
      <c r="BH199" s="580">
        <f t="shared" si="260"/>
        <v>0</v>
      </c>
      <c r="BI199" s="580">
        <f t="shared" si="260"/>
        <v>0</v>
      </c>
      <c r="BJ199" s="580">
        <f t="shared" si="260"/>
        <v>0</v>
      </c>
      <c r="BK199" s="580">
        <f t="shared" si="260"/>
        <v>0</v>
      </c>
    </row>
    <row r="200" spans="1:63" s="245" customFormat="1">
      <c r="A200" s="243"/>
      <c r="B200" s="243" t="s">
        <v>1297</v>
      </c>
      <c r="C200" s="252" t="s">
        <v>1298</v>
      </c>
      <c r="D200" s="243"/>
      <c r="F200" s="245">
        <f t="shared" ref="F200:Y200" si="261">-F157+E157</f>
        <v>0</v>
      </c>
      <c r="G200" s="245">
        <f t="shared" si="261"/>
        <v>0</v>
      </c>
      <c r="H200" s="245">
        <f t="shared" si="261"/>
        <v>0</v>
      </c>
      <c r="I200" s="245">
        <f t="shared" si="261"/>
        <v>0</v>
      </c>
      <c r="J200" s="245">
        <f t="shared" si="261"/>
        <v>0</v>
      </c>
      <c r="K200" s="245">
        <f t="shared" si="261"/>
        <v>0</v>
      </c>
      <c r="M200" s="245">
        <f t="shared" si="261"/>
        <v>0</v>
      </c>
      <c r="N200" s="245">
        <f t="shared" si="261"/>
        <v>0</v>
      </c>
      <c r="O200" s="245">
        <f t="shared" si="261"/>
        <v>0</v>
      </c>
      <c r="P200" s="245">
        <f t="shared" si="261"/>
        <v>0</v>
      </c>
      <c r="Q200" s="245">
        <f t="shared" si="261"/>
        <v>0</v>
      </c>
      <c r="R200" s="245">
        <f t="shared" si="261"/>
        <v>0</v>
      </c>
      <c r="S200" s="245">
        <f t="shared" si="261"/>
        <v>0</v>
      </c>
      <c r="T200" s="245">
        <f t="shared" si="261"/>
        <v>0</v>
      </c>
      <c r="U200" s="245">
        <f t="shared" si="261"/>
        <v>0</v>
      </c>
      <c r="V200" s="245">
        <f t="shared" si="261"/>
        <v>0</v>
      </c>
      <c r="W200" s="245">
        <f t="shared" si="261"/>
        <v>0</v>
      </c>
      <c r="X200" s="245">
        <f t="shared" si="261"/>
        <v>0</v>
      </c>
      <c r="Y200" s="245">
        <f t="shared" si="261"/>
        <v>0</v>
      </c>
      <c r="Z200" s="245">
        <f t="shared" si="257"/>
        <v>0</v>
      </c>
      <c r="AA200" s="245">
        <f t="shared" si="257"/>
        <v>0</v>
      </c>
      <c r="AB200" s="245">
        <f t="shared" si="257"/>
        <v>0</v>
      </c>
      <c r="AC200" s="245">
        <f t="shared" si="258"/>
        <v>0</v>
      </c>
      <c r="AD200" s="245">
        <f t="shared" si="259"/>
        <v>0</v>
      </c>
      <c r="AF200" s="580">
        <f t="shared" si="260"/>
        <v>0</v>
      </c>
      <c r="AG200" s="580">
        <f t="shared" si="260"/>
        <v>0</v>
      </c>
      <c r="AH200" s="580">
        <f t="shared" si="260"/>
        <v>0</v>
      </c>
      <c r="AI200" s="580">
        <f t="shared" si="260"/>
        <v>0</v>
      </c>
      <c r="AJ200" s="580">
        <f t="shared" si="260"/>
        <v>0</v>
      </c>
      <c r="AK200" s="580">
        <f t="shared" si="260"/>
        <v>0</v>
      </c>
      <c r="AL200" s="580">
        <f t="shared" si="260"/>
        <v>0</v>
      </c>
      <c r="AM200" s="580">
        <f t="shared" si="260"/>
        <v>0</v>
      </c>
      <c r="AN200" s="580">
        <f t="shared" si="260"/>
        <v>0</v>
      </c>
      <c r="AO200" s="580">
        <f t="shared" si="260"/>
        <v>0</v>
      </c>
      <c r="AP200" s="580">
        <f t="shared" si="260"/>
        <v>0</v>
      </c>
      <c r="AQ200" s="580">
        <f t="shared" si="260"/>
        <v>0</v>
      </c>
      <c r="AR200" s="580">
        <f t="shared" si="260"/>
        <v>0</v>
      </c>
      <c r="AS200" s="580">
        <f t="shared" si="260"/>
        <v>0</v>
      </c>
      <c r="AT200" s="580">
        <f t="shared" si="260"/>
        <v>0</v>
      </c>
      <c r="AU200" s="580">
        <f t="shared" si="260"/>
        <v>0</v>
      </c>
      <c r="AV200" s="580">
        <f t="shared" si="260"/>
        <v>0</v>
      </c>
      <c r="AW200" s="580">
        <f t="shared" si="260"/>
        <v>0</v>
      </c>
      <c r="AX200" s="580">
        <f t="shared" si="260"/>
        <v>0</v>
      </c>
      <c r="AY200" s="580">
        <f t="shared" si="260"/>
        <v>0</v>
      </c>
      <c r="AZ200" s="580">
        <f t="shared" si="260"/>
        <v>0</v>
      </c>
      <c r="BA200" s="580">
        <f t="shared" si="260"/>
        <v>0</v>
      </c>
      <c r="BB200" s="580">
        <f t="shared" si="260"/>
        <v>0</v>
      </c>
      <c r="BC200" s="580">
        <f t="shared" si="260"/>
        <v>0</v>
      </c>
      <c r="BD200" s="580">
        <f t="shared" si="260"/>
        <v>0</v>
      </c>
      <c r="BE200" s="580">
        <f t="shared" si="260"/>
        <v>0</v>
      </c>
      <c r="BF200" s="580">
        <f t="shared" si="260"/>
        <v>0</v>
      </c>
      <c r="BG200" s="580">
        <f t="shared" si="260"/>
        <v>0</v>
      </c>
      <c r="BH200" s="580">
        <f t="shared" si="260"/>
        <v>0</v>
      </c>
      <c r="BI200" s="580">
        <f t="shared" si="260"/>
        <v>0</v>
      </c>
      <c r="BJ200" s="580">
        <f t="shared" si="260"/>
        <v>0</v>
      </c>
      <c r="BK200" s="580">
        <f t="shared" si="260"/>
        <v>0</v>
      </c>
    </row>
    <row r="201" spans="1:63" s="240" customFormat="1">
      <c r="A201" s="209"/>
      <c r="B201" s="209" t="s">
        <v>1299</v>
      </c>
      <c r="C201" s="264" t="s">
        <v>1300</v>
      </c>
      <c r="D201" s="209"/>
      <c r="F201" s="251"/>
      <c r="G201" s="251"/>
      <c r="H201" s="251"/>
      <c r="I201" s="251"/>
      <c r="J201" s="251"/>
      <c r="K201" s="251"/>
      <c r="L201" s="251"/>
      <c r="M201" s="251"/>
      <c r="N201" s="303">
        <v>1426.0223999999926</v>
      </c>
      <c r="O201" s="303">
        <v>136.61600000000044</v>
      </c>
      <c r="P201" s="303">
        <v>468.11800000000949</v>
      </c>
      <c r="Q201" s="303">
        <v>109.09999999998945</v>
      </c>
      <c r="R201" s="303"/>
      <c r="S201" s="303">
        <v>-428.70000000000618</v>
      </c>
      <c r="T201" s="303">
        <v>3668.2</v>
      </c>
      <c r="U201" s="304">
        <v>-7451.6999999999925</v>
      </c>
      <c r="V201" s="303">
        <v>-7155</v>
      </c>
      <c r="W201" s="303">
        <v>-84.799999999999272</v>
      </c>
      <c r="X201" s="303">
        <v>-3932.0999999999876</v>
      </c>
      <c r="Y201" s="303">
        <v>-920.49999999999955</v>
      </c>
      <c r="Z201" s="303">
        <v>-4346.1120000000001</v>
      </c>
      <c r="AA201" s="303">
        <f>-AA193-('Bal Sheet'!Q146-'Bal Sheet'!P146)</f>
        <v>-1494.2781000000032</v>
      </c>
      <c r="AB201" s="303">
        <f>-AB193-('Bal Sheet'!R146-'Bal Sheet'!Q146)</f>
        <v>-1967.6173000000344</v>
      </c>
      <c r="AC201" s="303">
        <f>-AC193-('Bal Sheet'!S146-'Bal Sheet'!R146)</f>
        <v>1417.9768339999646</v>
      </c>
      <c r="AD201" s="303">
        <f>-AD193-('Bal Sheet'!T146-'Bal Sheet'!S146)</f>
        <v>1417.9768339999646</v>
      </c>
      <c r="AF201" s="579"/>
      <c r="AG201" s="579"/>
      <c r="AH201" s="579"/>
      <c r="AI201" s="579"/>
      <c r="AJ201" s="579"/>
      <c r="AK201" s="579"/>
      <c r="AL201" s="579"/>
      <c r="AM201" s="579"/>
      <c r="AN201" s="579"/>
      <c r="AO201" s="579"/>
      <c r="AP201" s="579"/>
      <c r="AQ201" s="579"/>
      <c r="AR201" s="579"/>
      <c r="AS201" s="579"/>
      <c r="AT201" s="579"/>
      <c r="AU201" s="579"/>
      <c r="AV201" s="579"/>
      <c r="AW201" s="579"/>
      <c r="AX201" s="579"/>
      <c r="AY201" s="579"/>
      <c r="AZ201" s="579"/>
      <c r="BA201" s="579"/>
      <c r="BB201" s="579"/>
      <c r="BC201" s="579"/>
      <c r="BD201" s="579"/>
      <c r="BE201" s="579"/>
      <c r="BF201" s="579"/>
      <c r="BG201" s="579"/>
      <c r="BH201" s="579"/>
      <c r="BI201" s="579"/>
      <c r="BJ201" s="579"/>
      <c r="BK201" s="579"/>
    </row>
    <row r="202" spans="1:63" s="245" customFormat="1">
      <c r="A202" s="243"/>
      <c r="B202" s="243" t="s">
        <v>1301</v>
      </c>
      <c r="C202" s="263" t="s">
        <v>1302</v>
      </c>
      <c r="D202" s="243"/>
      <c r="F202" s="245">
        <f t="shared" ref="F202:Y202" si="262">F197+F198+F201+F195</f>
        <v>0</v>
      </c>
      <c r="G202" s="245">
        <f t="shared" si="262"/>
        <v>0</v>
      </c>
      <c r="H202" s="245">
        <f t="shared" si="262"/>
        <v>0</v>
      </c>
      <c r="I202" s="245">
        <f t="shared" si="262"/>
        <v>0</v>
      </c>
      <c r="J202" s="245">
        <f t="shared" si="262"/>
        <v>0</v>
      </c>
      <c r="K202" s="245">
        <f t="shared" si="262"/>
        <v>0</v>
      </c>
      <c r="M202" s="245">
        <f t="shared" si="262"/>
        <v>-40280.771600000007</v>
      </c>
      <c r="N202" s="245">
        <f t="shared" si="262"/>
        <v>-8110.9250000000011</v>
      </c>
      <c r="O202" s="245">
        <f t="shared" si="262"/>
        <v>-3953.2540000000008</v>
      </c>
      <c r="P202" s="245">
        <f t="shared" si="262"/>
        <v>-10875.4</v>
      </c>
      <c r="Q202" s="245">
        <f t="shared" si="262"/>
        <v>-4299.8999999999987</v>
      </c>
      <c r="R202" s="245">
        <f t="shared" si="262"/>
        <v>48316.7</v>
      </c>
      <c r="S202" s="245">
        <f t="shared" si="262"/>
        <v>-1719.3000000000002</v>
      </c>
      <c r="T202" s="245">
        <f t="shared" si="262"/>
        <v>-21636.2</v>
      </c>
      <c r="U202" s="245">
        <f t="shared" si="262"/>
        <v>-10966.4</v>
      </c>
      <c r="V202" s="245">
        <f t="shared" si="262"/>
        <v>-4455.2999999999865</v>
      </c>
      <c r="W202" s="245">
        <f t="shared" si="262"/>
        <v>-17503</v>
      </c>
      <c r="X202" s="245">
        <f t="shared" si="262"/>
        <v>-21414.6</v>
      </c>
      <c r="Y202" s="245">
        <f t="shared" si="262"/>
        <v>-4143.1999999999953</v>
      </c>
      <c r="Z202" s="245">
        <f>Z197+Z198+Z201+Z195</f>
        <v>778.28799999999228</v>
      </c>
      <c r="AA202" s="245">
        <f>AA197+AA198+AA201+AA195</f>
        <v>-32274.57809999997</v>
      </c>
      <c r="AB202" s="245">
        <f>AB197+AB198+AB201+AB195</f>
        <v>-12608.048000000037</v>
      </c>
      <c r="AC202" s="245">
        <f t="shared" ref="AC202:AD202" si="263">AC197+AC198+AC201+AC195</f>
        <v>-2625.6921360000342</v>
      </c>
      <c r="AD202" s="245">
        <f t="shared" si="263"/>
        <v>11611.751766999969</v>
      </c>
      <c r="AF202" s="582">
        <f t="shared" ref="AF202:BK202" si="264">AF197+AF198+AF201+AF195</f>
        <v>464.40000000000003</v>
      </c>
      <c r="AG202" s="582">
        <f t="shared" si="264"/>
        <v>932.59999999999991</v>
      </c>
      <c r="AH202" s="582">
        <f t="shared" si="264"/>
        <v>1137.4000000000001</v>
      </c>
      <c r="AI202" s="582">
        <f t="shared" si="264"/>
        <v>1119.4000000000001</v>
      </c>
      <c r="AJ202" s="582">
        <f t="shared" si="264"/>
        <v>536.70000000000005</v>
      </c>
      <c r="AK202" s="582">
        <f t="shared" si="264"/>
        <v>985.09999999999991</v>
      </c>
      <c r="AL202" s="582">
        <f t="shared" si="264"/>
        <v>11.199999999999989</v>
      </c>
      <c r="AM202" s="582">
        <f t="shared" si="264"/>
        <v>-209.49999999999997</v>
      </c>
      <c r="AN202" s="582">
        <f t="shared" si="264"/>
        <v>-47.5</v>
      </c>
      <c r="AO202" s="582">
        <f t="shared" si="264"/>
        <v>-109.80000000000001</v>
      </c>
      <c r="AP202" s="582">
        <f t="shared" si="264"/>
        <v>59.900000000000034</v>
      </c>
      <c r="AQ202" s="582">
        <f t="shared" si="264"/>
        <v>-83.799999999999983</v>
      </c>
      <c r="AR202" s="582">
        <f t="shared" si="264"/>
        <v>-99.4</v>
      </c>
      <c r="AS202" s="582">
        <f t="shared" si="264"/>
        <v>-118.5</v>
      </c>
      <c r="AT202" s="582">
        <f t="shared" si="264"/>
        <v>-5.5</v>
      </c>
      <c r="AU202" s="582">
        <f t="shared" si="264"/>
        <v>83.899999999999977</v>
      </c>
      <c r="AV202" s="582">
        <f t="shared" si="264"/>
        <v>498.50000000000006</v>
      </c>
      <c r="AW202" s="582">
        <f t="shared" si="264"/>
        <v>537.6</v>
      </c>
      <c r="AX202" s="582">
        <f t="shared" si="264"/>
        <v>684.40000000000009</v>
      </c>
      <c r="AY202" s="582">
        <f t="shared" si="264"/>
        <v>1261</v>
      </c>
      <c r="AZ202" s="582">
        <f t="shared" si="264"/>
        <v>1134.5</v>
      </c>
      <c r="BA202" s="582">
        <f t="shared" si="264"/>
        <v>350.59999999999997</v>
      </c>
      <c r="BB202" s="582">
        <f t="shared" si="264"/>
        <v>1359.4</v>
      </c>
      <c r="BC202" s="582">
        <f t="shared" si="264"/>
        <v>1100.7</v>
      </c>
      <c r="BD202" s="582">
        <f t="shared" si="264"/>
        <v>1467.3000000000002</v>
      </c>
      <c r="BE202" s="582">
        <f t="shared" si="264"/>
        <v>1256.8000000000002</v>
      </c>
      <c r="BF202" s="582">
        <f t="shared" si="264"/>
        <v>1621.1000000000001</v>
      </c>
      <c r="BG202" s="582">
        <f t="shared" si="264"/>
        <v>1970</v>
      </c>
      <c r="BH202" s="582">
        <f t="shared" si="264"/>
        <v>1312.1</v>
      </c>
      <c r="BI202" s="582">
        <f t="shared" si="264"/>
        <v>798.69999999999993</v>
      </c>
      <c r="BJ202" s="582">
        <f t="shared" si="264"/>
        <v>1758.9</v>
      </c>
      <c r="BK202" s="582">
        <f t="shared" si="264"/>
        <v>1403.3</v>
      </c>
    </row>
    <row r="203" spans="1:63" s="245" customFormat="1">
      <c r="A203" s="243"/>
      <c r="B203" s="243" t="s">
        <v>1303</v>
      </c>
      <c r="C203" s="252" t="s">
        <v>1304</v>
      </c>
      <c r="D203" s="243"/>
      <c r="F203" s="245">
        <f t="shared" ref="F203:Y203" si="265">F113+F115-E113-E115</f>
        <v>0</v>
      </c>
      <c r="G203" s="245">
        <f t="shared" si="265"/>
        <v>0</v>
      </c>
      <c r="H203" s="245">
        <f t="shared" si="265"/>
        <v>0</v>
      </c>
      <c r="I203" s="245">
        <f t="shared" si="265"/>
        <v>0</v>
      </c>
      <c r="J203" s="245">
        <f t="shared" si="265"/>
        <v>0</v>
      </c>
      <c r="K203" s="245">
        <f t="shared" si="265"/>
        <v>0</v>
      </c>
      <c r="M203" s="245">
        <f t="shared" si="265"/>
        <v>1011.8351</v>
      </c>
      <c r="N203" s="245">
        <f t="shared" si="265"/>
        <v>0</v>
      </c>
      <c r="O203" s="245">
        <f t="shared" si="265"/>
        <v>0</v>
      </c>
      <c r="P203" s="245">
        <f t="shared" si="265"/>
        <v>0</v>
      </c>
      <c r="Q203" s="245">
        <f t="shared" si="265"/>
        <v>0</v>
      </c>
      <c r="R203" s="245">
        <f t="shared" si="265"/>
        <v>1881.8351000000005</v>
      </c>
      <c r="S203" s="245">
        <f t="shared" si="265"/>
        <v>0</v>
      </c>
      <c r="T203" s="245">
        <f t="shared" si="265"/>
        <v>0</v>
      </c>
      <c r="U203" s="245">
        <f t="shared" si="265"/>
        <v>0</v>
      </c>
      <c r="V203" s="245">
        <f t="shared" si="265"/>
        <v>0</v>
      </c>
      <c r="W203" s="245">
        <f t="shared" si="265"/>
        <v>0</v>
      </c>
      <c r="X203" s="245">
        <f t="shared" si="265"/>
        <v>0</v>
      </c>
      <c r="Y203" s="245">
        <f t="shared" si="265"/>
        <v>2.9799999999340798E-2</v>
      </c>
      <c r="Z203" s="245">
        <f>Z113+Z115-Y113-Y115</f>
        <v>-2.9799999999340798E-2</v>
      </c>
      <c r="AA203" s="245">
        <f>AA113+AA115-Z113-Z115</f>
        <v>0</v>
      </c>
      <c r="AB203" s="245">
        <f>AB113+AB115-AA113-AA115</f>
        <v>0</v>
      </c>
      <c r="AC203" s="245">
        <f t="shared" ref="AC203:AD203" si="266">AC113+AC115-AB113-AB115</f>
        <v>0</v>
      </c>
      <c r="AD203" s="245">
        <f t="shared" si="266"/>
        <v>0</v>
      </c>
      <c r="AF203" s="580">
        <f t="shared" ref="AF203:BK203" si="267">AF113+AF115-AE113-AE115</f>
        <v>0</v>
      </c>
      <c r="AG203" s="580">
        <f t="shared" si="267"/>
        <v>0</v>
      </c>
      <c r="AH203" s="580">
        <f t="shared" si="267"/>
        <v>0</v>
      </c>
      <c r="AI203" s="580">
        <f t="shared" si="267"/>
        <v>0</v>
      </c>
      <c r="AJ203" s="580">
        <f t="shared" si="267"/>
        <v>0</v>
      </c>
      <c r="AK203" s="580">
        <f t="shared" si="267"/>
        <v>0</v>
      </c>
      <c r="AL203" s="580">
        <f t="shared" si="267"/>
        <v>0</v>
      </c>
      <c r="AM203" s="580">
        <f t="shared" si="267"/>
        <v>0</v>
      </c>
      <c r="AN203" s="580">
        <f t="shared" si="267"/>
        <v>0</v>
      </c>
      <c r="AO203" s="580">
        <f t="shared" si="267"/>
        <v>0</v>
      </c>
      <c r="AP203" s="580">
        <f t="shared" si="267"/>
        <v>0</v>
      </c>
      <c r="AQ203" s="580">
        <f t="shared" si="267"/>
        <v>0</v>
      </c>
      <c r="AR203" s="580">
        <f t="shared" si="267"/>
        <v>0</v>
      </c>
      <c r="AS203" s="580">
        <f t="shared" si="267"/>
        <v>0</v>
      </c>
      <c r="AT203" s="580">
        <f t="shared" si="267"/>
        <v>0</v>
      </c>
      <c r="AU203" s="580">
        <f t="shared" si="267"/>
        <v>0</v>
      </c>
      <c r="AV203" s="580">
        <f t="shared" si="267"/>
        <v>0</v>
      </c>
      <c r="AW203" s="580">
        <f t="shared" si="267"/>
        <v>0</v>
      </c>
      <c r="AX203" s="580">
        <f t="shared" si="267"/>
        <v>0</v>
      </c>
      <c r="AY203" s="580">
        <f t="shared" si="267"/>
        <v>0</v>
      </c>
      <c r="AZ203" s="580">
        <f t="shared" si="267"/>
        <v>0</v>
      </c>
      <c r="BA203" s="580">
        <f t="shared" si="267"/>
        <v>0</v>
      </c>
      <c r="BB203" s="580">
        <f t="shared" si="267"/>
        <v>0</v>
      </c>
      <c r="BC203" s="580">
        <f t="shared" si="267"/>
        <v>0</v>
      </c>
      <c r="BD203" s="580">
        <f t="shared" si="267"/>
        <v>0</v>
      </c>
      <c r="BE203" s="580">
        <f t="shared" si="267"/>
        <v>0</v>
      </c>
      <c r="BF203" s="580">
        <f t="shared" si="267"/>
        <v>0</v>
      </c>
      <c r="BG203" s="580">
        <f t="shared" si="267"/>
        <v>0</v>
      </c>
      <c r="BH203" s="580">
        <f t="shared" si="267"/>
        <v>0</v>
      </c>
      <c r="BI203" s="580">
        <f t="shared" si="267"/>
        <v>0</v>
      </c>
      <c r="BJ203" s="580">
        <f t="shared" si="267"/>
        <v>0</v>
      </c>
      <c r="BK203" s="580">
        <f t="shared" si="267"/>
        <v>0</v>
      </c>
    </row>
    <row r="204" spans="1:63" s="245" customFormat="1">
      <c r="A204" s="243"/>
      <c r="B204" s="243" t="s">
        <v>1306</v>
      </c>
      <c r="C204" s="252" t="s">
        <v>1307</v>
      </c>
      <c r="D204" s="243"/>
      <c r="F204" s="245">
        <f t="shared" ref="F204:Y204" si="268">F137-E137</f>
        <v>0</v>
      </c>
      <c r="G204" s="245">
        <f t="shared" si="268"/>
        <v>0</v>
      </c>
      <c r="H204" s="245">
        <f t="shared" si="268"/>
        <v>0</v>
      </c>
      <c r="I204" s="245">
        <f t="shared" si="268"/>
        <v>0</v>
      </c>
      <c r="J204" s="245">
        <f t="shared" si="268"/>
        <v>0</v>
      </c>
      <c r="K204" s="245">
        <f t="shared" si="268"/>
        <v>0</v>
      </c>
      <c r="M204" s="245">
        <f t="shared" si="268"/>
        <v>8402.3230000000003</v>
      </c>
      <c r="N204" s="245">
        <f t="shared" si="268"/>
        <v>1654.9169999999995</v>
      </c>
      <c r="O204" s="245">
        <f t="shared" si="268"/>
        <v>2212.6850000000013</v>
      </c>
      <c r="P204" s="245">
        <f t="shared" si="268"/>
        <v>2401.5750000000007</v>
      </c>
      <c r="Q204" s="245">
        <f t="shared" si="268"/>
        <v>1582.7999999999975</v>
      </c>
      <c r="R204" s="245">
        <f t="shared" si="268"/>
        <v>-2790.5</v>
      </c>
      <c r="S204" s="245">
        <f t="shared" si="268"/>
        <v>2489.8000000000011</v>
      </c>
      <c r="T204" s="245">
        <f t="shared" si="268"/>
        <v>-2568.0000000000018</v>
      </c>
      <c r="U204" s="245">
        <f t="shared" si="268"/>
        <v>-10134.099999999999</v>
      </c>
      <c r="V204" s="245">
        <f t="shared" si="268"/>
        <v>-2276.6999999999998</v>
      </c>
      <c r="W204" s="245">
        <f t="shared" si="268"/>
        <v>-262.09999999999991</v>
      </c>
      <c r="X204" s="245">
        <f t="shared" si="268"/>
        <v>-135.30000000000007</v>
      </c>
      <c r="Y204" s="245">
        <f t="shared" si="268"/>
        <v>540.88</v>
      </c>
      <c r="Z204" s="245">
        <f>Z137-Y137</f>
        <v>506.52</v>
      </c>
      <c r="AA204" s="245">
        <f>AA137-Z137</f>
        <v>0</v>
      </c>
      <c r="AB204" s="245">
        <f>AB137-AA137</f>
        <v>0</v>
      </c>
      <c r="AC204" s="245">
        <f t="shared" ref="AC204:AD204" si="269">AC137-AB137</f>
        <v>0</v>
      </c>
      <c r="AD204" s="245">
        <f t="shared" si="269"/>
        <v>0</v>
      </c>
      <c r="AF204" s="580">
        <f t="shared" ref="AF204:BK204" si="270">AF137-AE137</f>
        <v>0</v>
      </c>
      <c r="AG204" s="580">
        <f t="shared" si="270"/>
        <v>0</v>
      </c>
      <c r="AH204" s="580">
        <f t="shared" si="270"/>
        <v>0</v>
      </c>
      <c r="AI204" s="580">
        <f t="shared" si="270"/>
        <v>0</v>
      </c>
      <c r="AJ204" s="580">
        <f t="shared" si="270"/>
        <v>0</v>
      </c>
      <c r="AK204" s="580">
        <f t="shared" si="270"/>
        <v>0</v>
      </c>
      <c r="AL204" s="580">
        <f t="shared" si="270"/>
        <v>0</v>
      </c>
      <c r="AM204" s="580">
        <f t="shared" si="270"/>
        <v>0</v>
      </c>
      <c r="AN204" s="580">
        <f t="shared" si="270"/>
        <v>0</v>
      </c>
      <c r="AO204" s="580">
        <f t="shared" si="270"/>
        <v>0</v>
      </c>
      <c r="AP204" s="580">
        <f t="shared" si="270"/>
        <v>0</v>
      </c>
      <c r="AQ204" s="580">
        <f t="shared" si="270"/>
        <v>0</v>
      </c>
      <c r="AR204" s="580">
        <f t="shared" si="270"/>
        <v>0</v>
      </c>
      <c r="AS204" s="580">
        <f t="shared" si="270"/>
        <v>0</v>
      </c>
      <c r="AT204" s="580">
        <f t="shared" si="270"/>
        <v>0</v>
      </c>
      <c r="AU204" s="580">
        <f t="shared" si="270"/>
        <v>0</v>
      </c>
      <c r="AV204" s="580">
        <f t="shared" si="270"/>
        <v>0</v>
      </c>
      <c r="AW204" s="580">
        <f t="shared" si="270"/>
        <v>0</v>
      </c>
      <c r="AX204" s="580">
        <f t="shared" si="270"/>
        <v>0</v>
      </c>
      <c r="AY204" s="580">
        <f t="shared" si="270"/>
        <v>0</v>
      </c>
      <c r="AZ204" s="580">
        <f t="shared" si="270"/>
        <v>0</v>
      </c>
      <c r="BA204" s="580">
        <f t="shared" si="270"/>
        <v>0</v>
      </c>
      <c r="BB204" s="580">
        <f t="shared" si="270"/>
        <v>0</v>
      </c>
      <c r="BC204" s="580">
        <f t="shared" si="270"/>
        <v>0</v>
      </c>
      <c r="BD204" s="580">
        <f t="shared" si="270"/>
        <v>0</v>
      </c>
      <c r="BE204" s="580">
        <f t="shared" si="270"/>
        <v>0</v>
      </c>
      <c r="BF204" s="580">
        <f t="shared" si="270"/>
        <v>0</v>
      </c>
      <c r="BG204" s="580">
        <f t="shared" si="270"/>
        <v>0</v>
      </c>
      <c r="BH204" s="580">
        <f t="shared" si="270"/>
        <v>0</v>
      </c>
      <c r="BI204" s="580">
        <f t="shared" si="270"/>
        <v>0</v>
      </c>
      <c r="BJ204" s="580">
        <f t="shared" si="270"/>
        <v>0</v>
      </c>
      <c r="BK204" s="580">
        <f t="shared" si="270"/>
        <v>0</v>
      </c>
    </row>
    <row r="205" spans="1:63" s="245" customFormat="1">
      <c r="A205" s="243"/>
      <c r="B205" s="243" t="s">
        <v>1308</v>
      </c>
      <c r="C205" s="252" t="s">
        <v>118</v>
      </c>
      <c r="D205" s="243"/>
      <c r="F205" s="245">
        <f t="shared" ref="F205:X205" si="271">-F84</f>
        <v>0</v>
      </c>
      <c r="G205" s="245">
        <f t="shared" si="271"/>
        <v>0</v>
      </c>
      <c r="H205" s="245">
        <f t="shared" si="271"/>
        <v>0</v>
      </c>
      <c r="I205" s="245">
        <f t="shared" si="271"/>
        <v>0</v>
      </c>
      <c r="J205" s="245">
        <f t="shared" si="271"/>
        <v>0</v>
      </c>
      <c r="K205" s="245">
        <f t="shared" si="271"/>
        <v>0</v>
      </c>
      <c r="M205" s="245">
        <f t="shared" si="271"/>
        <v>-11.177</v>
      </c>
      <c r="N205" s="245">
        <f t="shared" si="271"/>
        <v>-9.3509999999999991</v>
      </c>
      <c r="O205" s="245">
        <f t="shared" si="271"/>
        <v>-6.681</v>
      </c>
      <c r="P205" s="245">
        <f t="shared" si="271"/>
        <v>-3.4000000000000004</v>
      </c>
      <c r="Q205" s="245">
        <f t="shared" si="271"/>
        <v>-53.400000000000006</v>
      </c>
      <c r="R205" s="245">
        <f t="shared" si="271"/>
        <v>-51.6</v>
      </c>
      <c r="S205" s="245">
        <f t="shared" si="271"/>
        <v>-218.9</v>
      </c>
      <c r="T205" s="245">
        <f t="shared" si="271"/>
        <v>-59.8</v>
      </c>
      <c r="U205" s="245">
        <f t="shared" si="271"/>
        <v>-16.899999999999999</v>
      </c>
      <c r="V205" s="245">
        <f t="shared" si="271"/>
        <v>-222.4</v>
      </c>
      <c r="W205" s="245">
        <f t="shared" si="271"/>
        <v>-5.4</v>
      </c>
      <c r="X205" s="245">
        <f t="shared" si="271"/>
        <v>-5.4</v>
      </c>
      <c r="Y205" s="245">
        <f>-Y84</f>
        <v>-64.900000000000006</v>
      </c>
      <c r="Z205" s="245">
        <f>-Z84</f>
        <v>-10.5</v>
      </c>
      <c r="AA205" s="245">
        <f>-AA84</f>
        <v>-14</v>
      </c>
      <c r="AB205" s="245">
        <f>-AB84</f>
        <v>-10</v>
      </c>
      <c r="AC205" s="245">
        <f t="shared" ref="AC205:AD205" si="272">-AC84</f>
        <v>-10</v>
      </c>
      <c r="AD205" s="245">
        <f t="shared" si="272"/>
        <v>-10</v>
      </c>
      <c r="AF205" s="580">
        <f t="shared" ref="AF205:BK205" si="273">-AF84</f>
        <v>-7.3</v>
      </c>
      <c r="AG205" s="580">
        <f t="shared" si="273"/>
        <v>-20</v>
      </c>
      <c r="AH205" s="580">
        <f t="shared" si="273"/>
        <v>-2.2000000000000002</v>
      </c>
      <c r="AI205" s="580">
        <f t="shared" si="273"/>
        <v>-23.9</v>
      </c>
      <c r="AJ205" s="580">
        <f t="shared" si="273"/>
        <v>-0.6</v>
      </c>
      <c r="AK205" s="580">
        <f t="shared" si="273"/>
        <v>-13.6</v>
      </c>
      <c r="AL205" s="580">
        <f t="shared" si="273"/>
        <v>-19.3</v>
      </c>
      <c r="AM205" s="580">
        <f t="shared" si="273"/>
        <v>-18.100000000000001</v>
      </c>
      <c r="AN205" s="580">
        <f t="shared" si="273"/>
        <v>-9.1999999999999993</v>
      </c>
      <c r="AO205" s="580">
        <f t="shared" si="273"/>
        <v>-58.7</v>
      </c>
      <c r="AP205" s="580">
        <f t="shared" si="273"/>
        <v>-90.2</v>
      </c>
      <c r="AQ205" s="580">
        <f t="shared" si="273"/>
        <v>-52</v>
      </c>
      <c r="AR205" s="580">
        <f t="shared" si="273"/>
        <v>-59.7</v>
      </c>
      <c r="AS205" s="580">
        <f t="shared" si="273"/>
        <v>0</v>
      </c>
      <c r="AT205" s="580">
        <f t="shared" si="273"/>
        <v>-0.02</v>
      </c>
      <c r="AU205" s="580">
        <f t="shared" si="273"/>
        <v>0.1</v>
      </c>
      <c r="AV205" s="580">
        <f t="shared" si="273"/>
        <v>-6.3</v>
      </c>
      <c r="AW205" s="580">
        <f t="shared" si="273"/>
        <v>-6.5</v>
      </c>
      <c r="AX205" s="580">
        <f t="shared" si="273"/>
        <v>-3.6</v>
      </c>
      <c r="AY205" s="580">
        <f t="shared" si="273"/>
        <v>-0.5</v>
      </c>
      <c r="AZ205" s="580">
        <f t="shared" si="273"/>
        <v>-2.2999999999999998</v>
      </c>
      <c r="BA205" s="580">
        <f t="shared" si="273"/>
        <v>-202.2</v>
      </c>
      <c r="BB205" s="580">
        <f t="shared" si="273"/>
        <v>-0.2</v>
      </c>
      <c r="BC205" s="580">
        <f t="shared" si="273"/>
        <v>-17.7</v>
      </c>
      <c r="BD205" s="580">
        <f t="shared" si="273"/>
        <v>-0.4</v>
      </c>
      <c r="BE205" s="580">
        <f t="shared" si="273"/>
        <v>-2.2000000000000002</v>
      </c>
      <c r="BF205" s="580">
        <f t="shared" si="273"/>
        <v>-1</v>
      </c>
      <c r="BG205" s="580">
        <f t="shared" si="273"/>
        <v>-1.8</v>
      </c>
      <c r="BH205" s="580">
        <f t="shared" si="273"/>
        <v>-0.9</v>
      </c>
      <c r="BI205" s="580">
        <f t="shared" si="273"/>
        <v>-0.4</v>
      </c>
      <c r="BJ205" s="580">
        <f t="shared" si="273"/>
        <v>-1.9</v>
      </c>
      <c r="BK205" s="580">
        <f t="shared" si="273"/>
        <v>-1.7</v>
      </c>
    </row>
    <row r="206" spans="1:63" s="240" customFormat="1">
      <c r="A206" s="209"/>
      <c r="B206" s="209" t="s">
        <v>1309</v>
      </c>
      <c r="C206" s="264" t="s">
        <v>1310</v>
      </c>
      <c r="D206" s="209"/>
      <c r="F206" s="251"/>
      <c r="G206" s="251"/>
      <c r="H206" s="251"/>
      <c r="I206" s="251"/>
      <c r="J206" s="251"/>
      <c r="K206" s="251"/>
      <c r="L206" s="251"/>
      <c r="M206" s="251">
        <f t="shared" ref="M206:X206" si="274">M361+M362</f>
        <v>-1235.0719999999999</v>
      </c>
      <c r="N206" s="251">
        <f t="shared" si="274"/>
        <v>-2205.4839999999999</v>
      </c>
      <c r="O206" s="251">
        <f t="shared" si="274"/>
        <v>-2174.8130000000001</v>
      </c>
      <c r="P206" s="251">
        <f t="shared" si="274"/>
        <v>-4615</v>
      </c>
      <c r="Q206" s="251">
        <f t="shared" si="274"/>
        <v>-4735.1000000000004</v>
      </c>
      <c r="R206" s="251">
        <f t="shared" si="274"/>
        <v>-3385.5</v>
      </c>
      <c r="S206" s="251">
        <f t="shared" si="274"/>
        <v>-3724.0372200000002</v>
      </c>
      <c r="T206" s="251">
        <f t="shared" si="274"/>
        <v>-6748.5</v>
      </c>
      <c r="U206" s="251">
        <f t="shared" si="274"/>
        <v>-13452.400000000001</v>
      </c>
      <c r="V206" s="251">
        <f t="shared" si="274"/>
        <v>-15133.9</v>
      </c>
      <c r="W206" s="251">
        <f t="shared" si="274"/>
        <v>-15235.173603000001</v>
      </c>
      <c r="X206" s="251">
        <f t="shared" si="274"/>
        <v>-16927.970670000002</v>
      </c>
      <c r="Y206" s="251">
        <f>Y361+Y362</f>
        <v>-16927.970670000002</v>
      </c>
      <c r="Z206" s="251">
        <f>Z361+Z362</f>
        <v>-18620.767737000002</v>
      </c>
      <c r="AA206" s="251">
        <f>AA361+AA362</f>
        <v>-22006.361871000005</v>
      </c>
      <c r="AB206" s="251">
        <f>AB361+AB362</f>
        <v>-25391.956005000004</v>
      </c>
      <c r="AC206" s="251">
        <f t="shared" ref="AC206:AD206" si="275">AC361+AC362</f>
        <v>-25391.956005000004</v>
      </c>
      <c r="AD206" s="251">
        <f t="shared" si="275"/>
        <v>-25391.956005000004</v>
      </c>
      <c r="AF206" s="579"/>
      <c r="AG206" s="579"/>
      <c r="AH206" s="579"/>
      <c r="AI206" s="579"/>
      <c r="AJ206" s="579"/>
      <c r="AK206" s="579"/>
      <c r="AL206" s="579"/>
      <c r="AM206" s="579"/>
      <c r="AN206" s="579"/>
      <c r="AO206" s="579"/>
      <c r="AP206" s="579"/>
      <c r="AQ206" s="579"/>
      <c r="AR206" s="579"/>
      <c r="AS206" s="579"/>
      <c r="AT206" s="579"/>
      <c r="AU206" s="579"/>
      <c r="AV206" s="579"/>
      <c r="AW206" s="579"/>
      <c r="AX206" s="579"/>
      <c r="AY206" s="579"/>
      <c r="AZ206" s="579"/>
      <c r="BA206" s="579"/>
      <c r="BB206" s="579"/>
      <c r="BC206" s="579"/>
      <c r="BD206" s="579"/>
      <c r="BE206" s="579"/>
      <c r="BF206" s="579"/>
      <c r="BG206" s="579"/>
      <c r="BH206" s="579"/>
      <c r="BI206" s="579"/>
      <c r="BJ206" s="579"/>
      <c r="BK206" s="579"/>
    </row>
    <row r="207" spans="1:63" s="240" customFormat="1">
      <c r="A207" s="209"/>
      <c r="B207" s="209" t="s">
        <v>1311</v>
      </c>
      <c r="C207" s="264" t="s">
        <v>1312</v>
      </c>
      <c r="D207" s="209"/>
      <c r="F207" s="251"/>
      <c r="G207" s="251"/>
      <c r="H207" s="251"/>
      <c r="I207" s="251"/>
      <c r="J207" s="251"/>
      <c r="K207" s="251"/>
      <c r="L207" s="251"/>
      <c r="M207" s="251"/>
      <c r="N207" s="303">
        <v>1440.4041800000009</v>
      </c>
      <c r="O207" s="303">
        <v>369.84843199999841</v>
      </c>
      <c r="P207" s="303">
        <v>2100.0250000000001</v>
      </c>
      <c r="Q207" s="303">
        <v>702.20000000000346</v>
      </c>
      <c r="R207" s="303"/>
      <c r="S207" s="303">
        <v>610.39999999999839</v>
      </c>
      <c r="T207" s="303">
        <v>3286.8</v>
      </c>
      <c r="U207" s="304">
        <v>14983.500000000002</v>
      </c>
      <c r="V207" s="303">
        <v>1989.1999999999989</v>
      </c>
      <c r="W207" s="303">
        <v>711.47360300000219</v>
      </c>
      <c r="X207" s="303">
        <v>2386.3706700000021</v>
      </c>
      <c r="Y207" s="303">
        <v>10.160870000003342</v>
      </c>
      <c r="Z207" s="303">
        <v>-16405.355100000004</v>
      </c>
      <c r="AA207" s="303">
        <f>+'Bal Sheet'!Q146-'Bal Sheet'!P146</f>
        <v>20265.061871000005</v>
      </c>
      <c r="AB207" s="303">
        <f>+'Bal Sheet'!R146-'Bal Sheet'!Q146</f>
        <v>3385.594133999999</v>
      </c>
      <c r="AC207" s="303">
        <f>+'Bal Sheet'!S146-'Bal Sheet'!R146</f>
        <v>0</v>
      </c>
      <c r="AD207" s="303">
        <f>+'Bal Sheet'!T146-'Bal Sheet'!S146</f>
        <v>0</v>
      </c>
      <c r="AF207" s="579"/>
      <c r="AG207" s="579"/>
      <c r="AH207" s="579"/>
      <c r="AI207" s="579"/>
      <c r="AJ207" s="579"/>
      <c r="AK207" s="579"/>
      <c r="AL207" s="579"/>
      <c r="AM207" s="579"/>
      <c r="AN207" s="579"/>
      <c r="AO207" s="579"/>
      <c r="AP207" s="579"/>
      <c r="AQ207" s="579"/>
      <c r="AR207" s="579"/>
      <c r="AS207" s="579"/>
      <c r="AT207" s="579"/>
      <c r="AU207" s="579"/>
      <c r="AV207" s="579"/>
      <c r="AW207" s="579"/>
      <c r="AX207" s="579"/>
      <c r="AY207" s="579"/>
      <c r="AZ207" s="579"/>
      <c r="BA207" s="579"/>
      <c r="BB207" s="579"/>
      <c r="BC207" s="579"/>
      <c r="BD207" s="579"/>
      <c r="BE207" s="579"/>
      <c r="BF207" s="579"/>
      <c r="BG207" s="579"/>
      <c r="BH207" s="579"/>
      <c r="BI207" s="579"/>
      <c r="BJ207" s="579"/>
      <c r="BK207" s="579"/>
    </row>
    <row r="208" spans="1:63" s="245" customFormat="1">
      <c r="A208" s="243"/>
      <c r="B208" s="243" t="s">
        <v>1313</v>
      </c>
      <c r="C208" s="263" t="s">
        <v>1314</v>
      </c>
      <c r="D208" s="243"/>
      <c r="F208" s="245">
        <f t="shared" ref="F208:Y208" si="276">SUM(F203:F207)</f>
        <v>0</v>
      </c>
      <c r="G208" s="245">
        <f t="shared" si="276"/>
        <v>0</v>
      </c>
      <c r="H208" s="245">
        <f t="shared" si="276"/>
        <v>0</v>
      </c>
      <c r="I208" s="245">
        <f t="shared" si="276"/>
        <v>0</v>
      </c>
      <c r="J208" s="245">
        <f t="shared" si="276"/>
        <v>0</v>
      </c>
      <c r="K208" s="245">
        <f t="shared" si="276"/>
        <v>0</v>
      </c>
      <c r="M208" s="245">
        <f t="shared" si="276"/>
        <v>8167.9091000000008</v>
      </c>
      <c r="N208" s="245">
        <f t="shared" si="276"/>
        <v>880.48618000000033</v>
      </c>
      <c r="O208" s="245">
        <f t="shared" si="276"/>
        <v>401.03943199999958</v>
      </c>
      <c r="P208" s="245">
        <f t="shared" si="276"/>
        <v>-116.79999999999927</v>
      </c>
      <c r="Q208" s="245">
        <f t="shared" si="276"/>
        <v>-2503.4999999999995</v>
      </c>
      <c r="R208" s="245">
        <f t="shared" si="276"/>
        <v>-4345.7648999999992</v>
      </c>
      <c r="S208" s="245">
        <f t="shared" si="276"/>
        <v>-842.73722000000078</v>
      </c>
      <c r="T208" s="245">
        <f t="shared" si="276"/>
        <v>-6089.5000000000027</v>
      </c>
      <c r="U208" s="245">
        <f t="shared" si="276"/>
        <v>-8619.9</v>
      </c>
      <c r="V208" s="245">
        <f t="shared" si="276"/>
        <v>-15643.800000000001</v>
      </c>
      <c r="W208" s="245">
        <f t="shared" si="276"/>
        <v>-14791.199999999999</v>
      </c>
      <c r="X208" s="245">
        <f t="shared" si="276"/>
        <v>-14682.300000000001</v>
      </c>
      <c r="Y208" s="245">
        <f t="shared" si="276"/>
        <v>-16441.8</v>
      </c>
      <c r="Z208" s="245">
        <f>SUM(Z203:Z207)</f>
        <v>-34530.132637000002</v>
      </c>
      <c r="AA208" s="245">
        <f>SUM(AA203:AA207)</f>
        <v>-1755.2999999999993</v>
      </c>
      <c r="AB208" s="245">
        <f>SUM(AB203:AB207)</f>
        <v>-22016.361871000005</v>
      </c>
      <c r="AC208" s="245">
        <f t="shared" ref="AC208:AD208" si="277">SUM(AC203:AC207)</f>
        <v>-25401.956005000004</v>
      </c>
      <c r="AD208" s="245">
        <f t="shared" si="277"/>
        <v>-25401.956005000004</v>
      </c>
      <c r="AF208" s="580">
        <f t="shared" ref="AF208:BK208" si="278">SUM(AF203:AF207)</f>
        <v>-7.3</v>
      </c>
      <c r="AG208" s="580">
        <f t="shared" si="278"/>
        <v>-20</v>
      </c>
      <c r="AH208" s="580">
        <f t="shared" si="278"/>
        <v>-2.2000000000000002</v>
      </c>
      <c r="AI208" s="580">
        <f t="shared" si="278"/>
        <v>-23.9</v>
      </c>
      <c r="AJ208" s="580">
        <f t="shared" si="278"/>
        <v>-0.6</v>
      </c>
      <c r="AK208" s="580">
        <f t="shared" si="278"/>
        <v>-13.6</v>
      </c>
      <c r="AL208" s="580">
        <f t="shared" si="278"/>
        <v>-19.3</v>
      </c>
      <c r="AM208" s="580">
        <f t="shared" si="278"/>
        <v>-18.100000000000001</v>
      </c>
      <c r="AN208" s="580">
        <f t="shared" si="278"/>
        <v>-9.1999999999999993</v>
      </c>
      <c r="AO208" s="580">
        <f t="shared" si="278"/>
        <v>-58.7</v>
      </c>
      <c r="AP208" s="580">
        <f t="shared" si="278"/>
        <v>-90.2</v>
      </c>
      <c r="AQ208" s="580">
        <f t="shared" si="278"/>
        <v>-52</v>
      </c>
      <c r="AR208" s="580">
        <f t="shared" si="278"/>
        <v>-59.7</v>
      </c>
      <c r="AS208" s="580">
        <f t="shared" si="278"/>
        <v>0</v>
      </c>
      <c r="AT208" s="580">
        <f t="shared" si="278"/>
        <v>-0.02</v>
      </c>
      <c r="AU208" s="580">
        <f t="shared" si="278"/>
        <v>0.1</v>
      </c>
      <c r="AV208" s="580">
        <f t="shared" si="278"/>
        <v>-6.3</v>
      </c>
      <c r="AW208" s="580">
        <f t="shared" si="278"/>
        <v>-6.5</v>
      </c>
      <c r="AX208" s="580">
        <f t="shared" si="278"/>
        <v>-3.6</v>
      </c>
      <c r="AY208" s="580">
        <f t="shared" si="278"/>
        <v>-0.5</v>
      </c>
      <c r="AZ208" s="580">
        <f t="shared" si="278"/>
        <v>-2.2999999999999998</v>
      </c>
      <c r="BA208" s="580">
        <f t="shared" si="278"/>
        <v>-202.2</v>
      </c>
      <c r="BB208" s="580">
        <f t="shared" si="278"/>
        <v>-0.2</v>
      </c>
      <c r="BC208" s="580">
        <f t="shared" si="278"/>
        <v>-17.7</v>
      </c>
      <c r="BD208" s="580">
        <f t="shared" si="278"/>
        <v>-0.4</v>
      </c>
      <c r="BE208" s="580">
        <f t="shared" si="278"/>
        <v>-2.2000000000000002</v>
      </c>
      <c r="BF208" s="580">
        <f t="shared" si="278"/>
        <v>-1</v>
      </c>
      <c r="BG208" s="580">
        <f t="shared" si="278"/>
        <v>-1.8</v>
      </c>
      <c r="BH208" s="580">
        <f t="shared" si="278"/>
        <v>-0.9</v>
      </c>
      <c r="BI208" s="580">
        <f t="shared" si="278"/>
        <v>-0.4</v>
      </c>
      <c r="BJ208" s="580">
        <f t="shared" si="278"/>
        <v>-1.9</v>
      </c>
      <c r="BK208" s="580">
        <f t="shared" si="278"/>
        <v>-1.7</v>
      </c>
    </row>
    <row r="209" spans="1:75" s="245" customFormat="1">
      <c r="A209" s="243"/>
      <c r="B209" s="243" t="s">
        <v>1315</v>
      </c>
      <c r="C209" s="268" t="s">
        <v>1316</v>
      </c>
      <c r="D209" s="243"/>
      <c r="F209" s="245">
        <f t="shared" ref="F209:Y209" si="279">F194+F202+F208</f>
        <v>0</v>
      </c>
      <c r="G209" s="245">
        <f t="shared" si="279"/>
        <v>0</v>
      </c>
      <c r="H209" s="245">
        <f t="shared" si="279"/>
        <v>0</v>
      </c>
      <c r="I209" s="245">
        <f t="shared" si="279"/>
        <v>0</v>
      </c>
      <c r="J209" s="245">
        <f t="shared" si="279"/>
        <v>0</v>
      </c>
      <c r="K209" s="245">
        <f t="shared" si="279"/>
        <v>0</v>
      </c>
      <c r="M209" s="245">
        <f t="shared" si="279"/>
        <v>-26769.807800000013</v>
      </c>
      <c r="N209" s="245">
        <f t="shared" si="279"/>
        <v>1141.657179999997</v>
      </c>
      <c r="O209" s="245">
        <f t="shared" si="279"/>
        <v>1002.6504319999995</v>
      </c>
      <c r="P209" s="245">
        <f t="shared" si="279"/>
        <v>-265.99999999999636</v>
      </c>
      <c r="Q209" s="245">
        <f t="shared" si="279"/>
        <v>13.899999999999181</v>
      </c>
      <c r="R209" s="245">
        <f t="shared" si="279"/>
        <v>48843.535099999994</v>
      </c>
      <c r="S209" s="245">
        <f t="shared" si="279"/>
        <v>714.16277999999977</v>
      </c>
      <c r="T209" s="245">
        <f t="shared" si="279"/>
        <v>-354.60000000000491</v>
      </c>
      <c r="U209" s="245">
        <f t="shared" si="279"/>
        <v>550.90000000000873</v>
      </c>
      <c r="V209" s="245">
        <f t="shared" si="279"/>
        <v>9500.3000000000047</v>
      </c>
      <c r="W209" s="245">
        <f t="shared" si="279"/>
        <v>-10950.500000000005</v>
      </c>
      <c r="X209" s="245">
        <f t="shared" si="279"/>
        <v>-725.70000000000255</v>
      </c>
      <c r="Y209" s="245">
        <f t="shared" si="279"/>
        <v>887.50000000000364</v>
      </c>
      <c r="Z209" s="245">
        <f>Z194+Z202+Z208</f>
        <v>2844.5</v>
      </c>
      <c r="AA209" s="245">
        <f>AA194+AA202+AA208</f>
        <v>-3027.7014777783152</v>
      </c>
      <c r="AB209" s="245">
        <f>AB194+AB202+AB208</f>
        <v>-7100.6248928188706</v>
      </c>
      <c r="AC209" s="245">
        <f t="shared" ref="AC209:AD209" si="280">AC194+AC202+AC208</f>
        <v>5484.5974167620116</v>
      </c>
      <c r="AD209" s="245">
        <f t="shared" si="280"/>
        <v>23483.063263324304</v>
      </c>
      <c r="AF209" s="580">
        <f t="shared" ref="AF209:BK209" si="281">AF194+AF202+AF208</f>
        <v>4063.9999999999977</v>
      </c>
      <c r="AG209" s="580">
        <f t="shared" si="281"/>
        <v>4564.4999999999982</v>
      </c>
      <c r="AH209" s="580">
        <f t="shared" si="281"/>
        <v>4771.4000000000005</v>
      </c>
      <c r="AI209" s="580">
        <f t="shared" si="281"/>
        <v>4358.3999999999978</v>
      </c>
      <c r="AJ209" s="580">
        <f t="shared" si="281"/>
        <v>3285.1</v>
      </c>
      <c r="AK209" s="580">
        <f t="shared" si="281"/>
        <v>4751.9999999999991</v>
      </c>
      <c r="AL209" s="580">
        <f t="shared" si="281"/>
        <v>3661.6999999999989</v>
      </c>
      <c r="AM209" s="580">
        <f t="shared" si="281"/>
        <v>2388.1000000000008</v>
      </c>
      <c r="AN209" s="580">
        <f t="shared" si="281"/>
        <v>2611.2000000000016</v>
      </c>
      <c r="AO209" s="580">
        <f t="shared" si="281"/>
        <v>3269.7000000000007</v>
      </c>
      <c r="AP209" s="580">
        <f t="shared" si="281"/>
        <v>3028.0999999999981</v>
      </c>
      <c r="AQ209" s="580">
        <f t="shared" si="281"/>
        <v>2892.6000000000013</v>
      </c>
      <c r="AR209" s="580">
        <f t="shared" si="281"/>
        <v>4395.0999999999976</v>
      </c>
      <c r="AS209" s="580">
        <f t="shared" si="281"/>
        <v>6246.5999999999985</v>
      </c>
      <c r="AT209" s="580">
        <f t="shared" si="281"/>
        <v>7229.7800000000025</v>
      </c>
      <c r="AU209" s="580">
        <f t="shared" si="281"/>
        <v>7855</v>
      </c>
      <c r="AV209" s="580">
        <f t="shared" si="281"/>
        <v>8261.4999999999982</v>
      </c>
      <c r="AW209" s="580">
        <f t="shared" si="281"/>
        <v>9502.7999999999975</v>
      </c>
      <c r="AX209" s="580">
        <f t="shared" si="281"/>
        <v>9174.0000000000036</v>
      </c>
      <c r="AY209" s="580">
        <f t="shared" si="281"/>
        <v>9294.5999999999985</v>
      </c>
      <c r="AZ209" s="580">
        <f t="shared" si="281"/>
        <v>9530.6000000000095</v>
      </c>
      <c r="BA209" s="580">
        <f t="shared" si="281"/>
        <v>10722.099999999997</v>
      </c>
      <c r="BB209" s="580">
        <f t="shared" si="281"/>
        <v>11200.499999999995</v>
      </c>
      <c r="BC209" s="580">
        <f t="shared" si="281"/>
        <v>10288.899999999994</v>
      </c>
      <c r="BD209" s="580">
        <f t="shared" si="281"/>
        <v>10183.899999999992</v>
      </c>
      <c r="BE209" s="580">
        <f t="shared" si="281"/>
        <v>10406.699999999997</v>
      </c>
      <c r="BF209" s="580">
        <f t="shared" si="281"/>
        <v>11737.599999999993</v>
      </c>
      <c r="BG209" s="580">
        <f t="shared" si="281"/>
        <v>10334.100000000002</v>
      </c>
      <c r="BH209" s="580">
        <f t="shared" si="281"/>
        <v>11338.300000000007</v>
      </c>
      <c r="BI209" s="580">
        <f t="shared" si="281"/>
        <v>12511.499999999998</v>
      </c>
      <c r="BJ209" s="580">
        <f t="shared" si="281"/>
        <v>12153.599999999999</v>
      </c>
      <c r="BK209" s="580">
        <f t="shared" si="281"/>
        <v>11085.199999999997</v>
      </c>
    </row>
    <row r="210" spans="1:75" s="245" customFormat="1">
      <c r="A210" s="243"/>
      <c r="B210" s="243" t="s">
        <v>1317</v>
      </c>
      <c r="C210" s="252" t="s">
        <v>1318</v>
      </c>
      <c r="D210" s="243"/>
      <c r="G210" s="245">
        <f t="shared" ref="G210:Y210" si="282">+F161</f>
        <v>0</v>
      </c>
      <c r="H210" s="245">
        <f t="shared" si="282"/>
        <v>0</v>
      </c>
      <c r="I210" s="245">
        <f t="shared" si="282"/>
        <v>0</v>
      </c>
      <c r="J210" s="245">
        <f t="shared" si="282"/>
        <v>0</v>
      </c>
      <c r="K210" s="245">
        <f t="shared" si="282"/>
        <v>0</v>
      </c>
      <c r="M210" s="245">
        <f t="shared" si="282"/>
        <v>0</v>
      </c>
      <c r="N210" s="245">
        <f t="shared" si="282"/>
        <v>300.25200000000001</v>
      </c>
      <c r="O210" s="245">
        <f t="shared" si="282"/>
        <v>793.70399999999995</v>
      </c>
      <c r="P210" s="245">
        <f t="shared" si="282"/>
        <v>1086.8060000000003</v>
      </c>
      <c r="Q210" s="245">
        <f t="shared" si="282"/>
        <v>819.9</v>
      </c>
      <c r="R210" s="245">
        <f t="shared" si="282"/>
        <v>834.7</v>
      </c>
      <c r="S210" s="245">
        <f t="shared" si="282"/>
        <v>712.4000000000002</v>
      </c>
      <c r="T210" s="245">
        <f t="shared" si="282"/>
        <v>1426.4</v>
      </c>
      <c r="U210" s="245">
        <f t="shared" si="282"/>
        <v>1014.1</v>
      </c>
      <c r="V210" s="245">
        <f t="shared" si="282"/>
        <v>5564.9</v>
      </c>
      <c r="W210" s="245">
        <f t="shared" si="282"/>
        <v>16538.3</v>
      </c>
      <c r="X210" s="245">
        <f t="shared" si="282"/>
        <v>5588.5</v>
      </c>
      <c r="Y210" s="245">
        <f t="shared" si="282"/>
        <v>4862.8</v>
      </c>
      <c r="Z210" s="245">
        <f>+Y161</f>
        <v>5750.7</v>
      </c>
      <c r="AA210" s="245">
        <f>+Z161</f>
        <v>8595.2000000000007</v>
      </c>
      <c r="AB210" s="245">
        <f>+AA161</f>
        <v>5567.4985222216674</v>
      </c>
      <c r="AC210" s="245">
        <f t="shared" ref="AC210:AD210" si="283">+AB161</f>
        <v>5362</v>
      </c>
      <c r="AD210" s="245">
        <f t="shared" si="283"/>
        <v>10610</v>
      </c>
      <c r="AF210" s="580">
        <f t="shared" ref="AF210:BK210" si="284">+AE161</f>
        <v>0</v>
      </c>
      <c r="AG210" s="580">
        <f t="shared" si="284"/>
        <v>0</v>
      </c>
      <c r="AH210" s="580">
        <f t="shared" si="284"/>
        <v>0</v>
      </c>
      <c r="AI210" s="580">
        <f t="shared" si="284"/>
        <v>0</v>
      </c>
      <c r="AJ210" s="580">
        <f t="shared" si="284"/>
        <v>0</v>
      </c>
      <c r="AK210" s="580">
        <f t="shared" si="284"/>
        <v>0</v>
      </c>
      <c r="AL210" s="580">
        <f t="shared" si="284"/>
        <v>0</v>
      </c>
      <c r="AM210" s="580">
        <f t="shared" si="284"/>
        <v>0</v>
      </c>
      <c r="AN210" s="580">
        <f t="shared" si="284"/>
        <v>0</v>
      </c>
      <c r="AO210" s="580">
        <f t="shared" si="284"/>
        <v>0</v>
      </c>
      <c r="AP210" s="580">
        <f t="shared" si="284"/>
        <v>0</v>
      </c>
      <c r="AQ210" s="580">
        <f t="shared" si="284"/>
        <v>0</v>
      </c>
      <c r="AR210" s="580">
        <f t="shared" si="284"/>
        <v>0</v>
      </c>
      <c r="AS210" s="580">
        <f t="shared" si="284"/>
        <v>0</v>
      </c>
      <c r="AT210" s="580">
        <f t="shared" si="284"/>
        <v>0</v>
      </c>
      <c r="AU210" s="580">
        <f t="shared" si="284"/>
        <v>0</v>
      </c>
      <c r="AV210" s="580">
        <f t="shared" si="284"/>
        <v>0</v>
      </c>
      <c r="AW210" s="580">
        <f t="shared" si="284"/>
        <v>0</v>
      </c>
      <c r="AX210" s="580">
        <f t="shared" si="284"/>
        <v>0</v>
      </c>
      <c r="AY210" s="580">
        <f t="shared" si="284"/>
        <v>0</v>
      </c>
      <c r="AZ210" s="580">
        <f t="shared" si="284"/>
        <v>0</v>
      </c>
      <c r="BA210" s="580">
        <f t="shared" si="284"/>
        <v>0</v>
      </c>
      <c r="BB210" s="580">
        <f t="shared" si="284"/>
        <v>0</v>
      </c>
      <c r="BC210" s="580">
        <f t="shared" si="284"/>
        <v>0</v>
      </c>
      <c r="BD210" s="580">
        <f t="shared" si="284"/>
        <v>0</v>
      </c>
      <c r="BE210" s="580">
        <f t="shared" si="284"/>
        <v>0</v>
      </c>
      <c r="BF210" s="580">
        <f t="shared" si="284"/>
        <v>0</v>
      </c>
      <c r="BG210" s="580">
        <f t="shared" si="284"/>
        <v>0</v>
      </c>
      <c r="BH210" s="580">
        <f t="shared" si="284"/>
        <v>0</v>
      </c>
      <c r="BI210" s="580">
        <f t="shared" si="284"/>
        <v>0</v>
      </c>
      <c r="BJ210" s="580">
        <f t="shared" si="284"/>
        <v>0</v>
      </c>
      <c r="BK210" s="580">
        <f t="shared" si="284"/>
        <v>0</v>
      </c>
    </row>
    <row r="211" spans="1:75" s="240" customFormat="1">
      <c r="A211" s="209"/>
      <c r="B211" s="209" t="s">
        <v>1319</v>
      </c>
      <c r="C211" s="269" t="s">
        <v>718</v>
      </c>
      <c r="D211" s="209"/>
      <c r="F211" s="251"/>
      <c r="G211" s="251"/>
      <c r="H211" s="251"/>
      <c r="I211" s="251"/>
      <c r="J211" s="251"/>
      <c r="K211" s="251"/>
      <c r="L211" s="251"/>
      <c r="M211" s="251"/>
      <c r="N211" s="251"/>
      <c r="O211" s="251"/>
      <c r="P211" s="251"/>
      <c r="Q211" s="251"/>
      <c r="R211" s="251"/>
      <c r="S211" s="251"/>
      <c r="T211" s="251"/>
      <c r="U211" s="251"/>
      <c r="V211" s="251"/>
      <c r="W211" s="251"/>
      <c r="X211" s="251"/>
      <c r="Y211" s="251"/>
      <c r="Z211" s="251"/>
      <c r="AA211" s="251"/>
      <c r="AB211" s="251"/>
      <c r="AC211" s="251"/>
      <c r="AD211" s="251"/>
      <c r="AF211" s="579"/>
      <c r="AG211" s="579"/>
      <c r="AH211" s="579"/>
      <c r="AI211" s="579"/>
      <c r="AJ211" s="579"/>
      <c r="AK211" s="579"/>
      <c r="AL211" s="579"/>
      <c r="AM211" s="579"/>
      <c r="AN211" s="579"/>
      <c r="AO211" s="579"/>
      <c r="AP211" s="579"/>
      <c r="AQ211" s="579"/>
      <c r="AR211" s="579"/>
      <c r="AS211" s="579"/>
      <c r="AT211" s="579"/>
      <c r="AU211" s="579"/>
      <c r="AV211" s="579"/>
      <c r="AW211" s="579"/>
      <c r="AX211" s="579"/>
      <c r="AY211" s="579"/>
      <c r="AZ211" s="579"/>
      <c r="BA211" s="579"/>
      <c r="BB211" s="579"/>
      <c r="BC211" s="579"/>
      <c r="BD211" s="579"/>
      <c r="BE211" s="579"/>
      <c r="BF211" s="579"/>
      <c r="BG211" s="579"/>
      <c r="BH211" s="579"/>
      <c r="BI211" s="579"/>
      <c r="BJ211" s="579"/>
      <c r="BK211" s="579"/>
    </row>
    <row r="212" spans="1:75" s="245" customFormat="1">
      <c r="A212" s="243"/>
      <c r="B212" s="243" t="s">
        <v>1320</v>
      </c>
      <c r="C212" s="267" t="s">
        <v>1321</v>
      </c>
      <c r="D212" s="243"/>
      <c r="F212" s="245">
        <f t="shared" ref="F212:Y212" si="285">F209+F211+F210</f>
        <v>0</v>
      </c>
      <c r="G212" s="245">
        <f t="shared" si="285"/>
        <v>0</v>
      </c>
      <c r="H212" s="245">
        <f t="shared" si="285"/>
        <v>0</v>
      </c>
      <c r="I212" s="245">
        <f t="shared" si="285"/>
        <v>0</v>
      </c>
      <c r="J212" s="245">
        <f t="shared" si="285"/>
        <v>0</v>
      </c>
      <c r="K212" s="245">
        <f t="shared" si="285"/>
        <v>0</v>
      </c>
      <c r="M212" s="245">
        <f t="shared" si="285"/>
        <v>-26769.807800000013</v>
      </c>
      <c r="N212" s="245">
        <f t="shared" si="285"/>
        <v>1441.9091799999969</v>
      </c>
      <c r="O212" s="245">
        <f t="shared" si="285"/>
        <v>1796.3544319999994</v>
      </c>
      <c r="P212" s="245">
        <f t="shared" si="285"/>
        <v>820.80600000000391</v>
      </c>
      <c r="Q212" s="245">
        <f t="shared" si="285"/>
        <v>833.79999999999916</v>
      </c>
      <c r="R212" s="245">
        <f t="shared" si="285"/>
        <v>49678.235099999991</v>
      </c>
      <c r="S212" s="245">
        <f t="shared" si="285"/>
        <v>1426.56278</v>
      </c>
      <c r="T212" s="245">
        <f t="shared" si="285"/>
        <v>1071.7999999999952</v>
      </c>
      <c r="U212" s="245">
        <f t="shared" si="285"/>
        <v>1565.0000000000086</v>
      </c>
      <c r="V212" s="245">
        <f t="shared" si="285"/>
        <v>15065.200000000004</v>
      </c>
      <c r="W212" s="245">
        <f t="shared" si="285"/>
        <v>5587.7999999999938</v>
      </c>
      <c r="X212" s="245">
        <f t="shared" si="285"/>
        <v>4862.7999999999975</v>
      </c>
      <c r="Y212" s="245">
        <f t="shared" si="285"/>
        <v>5750.3000000000038</v>
      </c>
      <c r="Z212" s="245">
        <f>Z209+Z211+Z210</f>
        <v>8595.2000000000007</v>
      </c>
      <c r="AA212" s="245">
        <f>AA209+AA211+AA210</f>
        <v>5567.4985222216856</v>
      </c>
      <c r="AB212" s="245">
        <f>AB209+AB211+AB210</f>
        <v>-1533.1263705972033</v>
      </c>
      <c r="AC212" s="245">
        <f t="shared" ref="AC212:AD212" si="286">AC209+AC211+AC210</f>
        <v>10846.597416762012</v>
      </c>
      <c r="AD212" s="245">
        <f t="shared" si="286"/>
        <v>34093.063263324308</v>
      </c>
      <c r="AF212" s="580">
        <f t="shared" ref="AF212:BK212" si="287">AF209+AF211</f>
        <v>4063.9999999999977</v>
      </c>
      <c r="AG212" s="580">
        <f t="shared" si="287"/>
        <v>4564.4999999999982</v>
      </c>
      <c r="AH212" s="580">
        <f t="shared" si="287"/>
        <v>4771.4000000000005</v>
      </c>
      <c r="AI212" s="580">
        <f t="shared" si="287"/>
        <v>4358.3999999999978</v>
      </c>
      <c r="AJ212" s="580">
        <f t="shared" si="287"/>
        <v>3285.1</v>
      </c>
      <c r="AK212" s="580">
        <f t="shared" si="287"/>
        <v>4751.9999999999991</v>
      </c>
      <c r="AL212" s="580">
        <f t="shared" si="287"/>
        <v>3661.6999999999989</v>
      </c>
      <c r="AM212" s="580">
        <f t="shared" si="287"/>
        <v>2388.1000000000008</v>
      </c>
      <c r="AN212" s="580">
        <f t="shared" si="287"/>
        <v>2611.2000000000016</v>
      </c>
      <c r="AO212" s="580">
        <f t="shared" si="287"/>
        <v>3269.7000000000007</v>
      </c>
      <c r="AP212" s="580">
        <f t="shared" si="287"/>
        <v>3028.0999999999981</v>
      </c>
      <c r="AQ212" s="580">
        <f t="shared" si="287"/>
        <v>2892.6000000000013</v>
      </c>
      <c r="AR212" s="580">
        <f t="shared" si="287"/>
        <v>4395.0999999999976</v>
      </c>
      <c r="AS212" s="580">
        <f t="shared" si="287"/>
        <v>6246.5999999999985</v>
      </c>
      <c r="AT212" s="580">
        <f t="shared" si="287"/>
        <v>7229.7800000000025</v>
      </c>
      <c r="AU212" s="580">
        <f t="shared" si="287"/>
        <v>7855</v>
      </c>
      <c r="AV212" s="580">
        <f t="shared" si="287"/>
        <v>8261.4999999999982</v>
      </c>
      <c r="AW212" s="580">
        <f t="shared" si="287"/>
        <v>9502.7999999999975</v>
      </c>
      <c r="AX212" s="580">
        <f t="shared" si="287"/>
        <v>9174.0000000000036</v>
      </c>
      <c r="AY212" s="580">
        <f t="shared" si="287"/>
        <v>9294.5999999999985</v>
      </c>
      <c r="AZ212" s="580">
        <f t="shared" si="287"/>
        <v>9530.6000000000095</v>
      </c>
      <c r="BA212" s="580">
        <f t="shared" si="287"/>
        <v>10722.099999999997</v>
      </c>
      <c r="BB212" s="580">
        <f t="shared" si="287"/>
        <v>11200.499999999995</v>
      </c>
      <c r="BC212" s="580">
        <f t="shared" si="287"/>
        <v>10288.899999999994</v>
      </c>
      <c r="BD212" s="580">
        <f t="shared" si="287"/>
        <v>10183.899999999992</v>
      </c>
      <c r="BE212" s="580">
        <f t="shared" si="287"/>
        <v>10406.699999999997</v>
      </c>
      <c r="BF212" s="580">
        <f t="shared" si="287"/>
        <v>11737.599999999993</v>
      </c>
      <c r="BG212" s="580">
        <f t="shared" si="287"/>
        <v>10334.100000000002</v>
      </c>
      <c r="BH212" s="580">
        <f t="shared" si="287"/>
        <v>11338.300000000007</v>
      </c>
      <c r="BI212" s="580">
        <f t="shared" si="287"/>
        <v>12511.499999999998</v>
      </c>
      <c r="BJ212" s="580">
        <f t="shared" si="287"/>
        <v>12153.599999999999</v>
      </c>
      <c r="BK212" s="580">
        <f t="shared" si="287"/>
        <v>11085.199999999997</v>
      </c>
    </row>
    <row r="213" spans="1:75" s="245" customFormat="1">
      <c r="A213" s="243"/>
      <c r="B213" s="243" t="s">
        <v>1322</v>
      </c>
      <c r="C213" s="243" t="s">
        <v>1179</v>
      </c>
      <c r="D213" s="243"/>
      <c r="F213" s="245">
        <f t="shared" ref="F213:V213" si="288">F161-F212</f>
        <v>0</v>
      </c>
      <c r="G213" s="245">
        <f t="shared" si="288"/>
        <v>0</v>
      </c>
      <c r="H213" s="245">
        <f t="shared" si="288"/>
        <v>0</v>
      </c>
      <c r="I213" s="245">
        <f t="shared" si="288"/>
        <v>0</v>
      </c>
      <c r="J213" s="245">
        <f t="shared" si="288"/>
        <v>0</v>
      </c>
      <c r="K213" s="245">
        <f t="shared" si="288"/>
        <v>0</v>
      </c>
      <c r="M213" s="245">
        <f t="shared" si="288"/>
        <v>27070.059800000014</v>
      </c>
      <c r="N213" s="245">
        <f t="shared" si="288"/>
        <v>-648.20517999999697</v>
      </c>
      <c r="O213" s="245">
        <f t="shared" si="288"/>
        <v>-709.54843199999914</v>
      </c>
      <c r="P213" s="245">
        <f t="shared" si="288"/>
        <v>-0.90600000000392811</v>
      </c>
      <c r="Q213" s="245">
        <f t="shared" si="288"/>
        <v>0.90000000000088676</v>
      </c>
      <c r="R213" s="245">
        <f t="shared" si="288"/>
        <v>-48965.835099999989</v>
      </c>
      <c r="S213" s="245">
        <f t="shared" si="288"/>
        <v>-0.16277999999988424</v>
      </c>
      <c r="T213" s="245">
        <f t="shared" si="288"/>
        <v>-57.699999999995157</v>
      </c>
      <c r="U213" s="245">
        <f t="shared" si="288"/>
        <v>3999.899999999991</v>
      </c>
      <c r="V213" s="245">
        <f t="shared" si="288"/>
        <v>1473.0999999999949</v>
      </c>
      <c r="W213" s="245">
        <f t="shared" ref="W213:AC213" si="289">W161-W212</f>
        <v>0.70000000000618456</v>
      </c>
      <c r="X213" s="245">
        <f t="shared" si="289"/>
        <v>0</v>
      </c>
      <c r="Y213" s="245">
        <f t="shared" si="289"/>
        <v>0.39999999999599822</v>
      </c>
      <c r="Z213" s="245">
        <f t="shared" si="289"/>
        <v>0</v>
      </c>
      <c r="AA213" s="245">
        <f t="shared" si="289"/>
        <v>-1.8189894035458565E-11</v>
      </c>
      <c r="AB213" s="245">
        <f t="shared" si="289"/>
        <v>6895.1263705972033</v>
      </c>
      <c r="AC213" s="245">
        <f t="shared" si="289"/>
        <v>-236.59741676201156</v>
      </c>
      <c r="AF213" s="580">
        <f t="shared" ref="AF213:BK213" si="290">AF161-AF212</f>
        <v>-4063.9999999999977</v>
      </c>
      <c r="AG213" s="580">
        <f t="shared" si="290"/>
        <v>-4564.4999999999982</v>
      </c>
      <c r="AH213" s="580">
        <f t="shared" si="290"/>
        <v>-4771.4000000000005</v>
      </c>
      <c r="AI213" s="580">
        <f t="shared" si="290"/>
        <v>-4358.3999999999978</v>
      </c>
      <c r="AJ213" s="580">
        <f t="shared" si="290"/>
        <v>-3285.1</v>
      </c>
      <c r="AK213" s="580">
        <f t="shared" si="290"/>
        <v>-4751.9999999999991</v>
      </c>
      <c r="AL213" s="580">
        <f t="shared" si="290"/>
        <v>-3661.6999999999989</v>
      </c>
      <c r="AM213" s="580">
        <f t="shared" si="290"/>
        <v>-2388.1000000000008</v>
      </c>
      <c r="AN213" s="580">
        <f t="shared" si="290"/>
        <v>-2611.2000000000016</v>
      </c>
      <c r="AO213" s="580">
        <f t="shared" si="290"/>
        <v>-3269.7000000000007</v>
      </c>
      <c r="AP213" s="580">
        <f t="shared" si="290"/>
        <v>-3028.0999999999981</v>
      </c>
      <c r="AQ213" s="580">
        <f t="shared" si="290"/>
        <v>-2892.6000000000013</v>
      </c>
      <c r="AR213" s="580">
        <f t="shared" si="290"/>
        <v>-4395.0999999999976</v>
      </c>
      <c r="AS213" s="580">
        <f t="shared" si="290"/>
        <v>-6246.5999999999985</v>
      </c>
      <c r="AT213" s="580">
        <f t="shared" si="290"/>
        <v>-7229.7800000000025</v>
      </c>
      <c r="AU213" s="580">
        <f t="shared" si="290"/>
        <v>-7855</v>
      </c>
      <c r="AV213" s="580">
        <f t="shared" si="290"/>
        <v>-8261.4999999999982</v>
      </c>
      <c r="AW213" s="580">
        <f t="shared" si="290"/>
        <v>-9502.7999999999975</v>
      </c>
      <c r="AX213" s="580">
        <f t="shared" si="290"/>
        <v>-9174.0000000000036</v>
      </c>
      <c r="AY213" s="580">
        <f t="shared" si="290"/>
        <v>-9294.5999999999985</v>
      </c>
      <c r="AZ213" s="580">
        <f t="shared" si="290"/>
        <v>-9530.6000000000095</v>
      </c>
      <c r="BA213" s="580">
        <f t="shared" si="290"/>
        <v>-10722.099999999997</v>
      </c>
      <c r="BB213" s="580">
        <f t="shared" si="290"/>
        <v>-11200.499999999995</v>
      </c>
      <c r="BC213" s="580">
        <f t="shared" si="290"/>
        <v>-10288.899999999994</v>
      </c>
      <c r="BD213" s="580">
        <f t="shared" si="290"/>
        <v>-10183.899999999992</v>
      </c>
      <c r="BE213" s="580">
        <f t="shared" si="290"/>
        <v>-10406.699999999997</v>
      </c>
      <c r="BF213" s="580">
        <f t="shared" si="290"/>
        <v>-11737.599999999993</v>
      </c>
      <c r="BG213" s="580">
        <f t="shared" si="290"/>
        <v>-10334.100000000002</v>
      </c>
      <c r="BH213" s="580">
        <f t="shared" si="290"/>
        <v>-11338.300000000007</v>
      </c>
      <c r="BI213" s="580">
        <f t="shared" si="290"/>
        <v>-12511.499999999998</v>
      </c>
      <c r="BJ213" s="580">
        <f t="shared" si="290"/>
        <v>-12153.599999999999</v>
      </c>
      <c r="BK213" s="580">
        <f t="shared" si="290"/>
        <v>-11085.199999999997</v>
      </c>
    </row>
    <row r="214" spans="1:75" s="240" customFormat="1">
      <c r="A214" s="209"/>
      <c r="B214" s="209"/>
      <c r="C214" s="247"/>
      <c r="D214" s="209"/>
      <c r="W214" s="862"/>
      <c r="X214" s="862"/>
      <c r="Y214" s="862"/>
      <c r="Z214" s="862"/>
      <c r="AA214" s="862"/>
      <c r="AB214" s="862"/>
      <c r="AF214" s="579"/>
      <c r="AG214" s="579"/>
      <c r="AH214" s="579"/>
      <c r="AI214" s="579"/>
      <c r="AJ214" s="579"/>
      <c r="AK214" s="579"/>
      <c r="AL214" s="579"/>
      <c r="AM214" s="579"/>
      <c r="AN214" s="579"/>
      <c r="AO214" s="579"/>
      <c r="AP214" s="579"/>
      <c r="AQ214" s="579"/>
      <c r="AR214" s="579"/>
      <c r="AS214" s="579"/>
      <c r="AT214" s="579"/>
      <c r="AU214" s="579"/>
      <c r="AV214" s="579"/>
      <c r="AW214" s="579"/>
      <c r="AX214" s="579"/>
      <c r="AY214" s="579"/>
      <c r="AZ214" s="579"/>
      <c r="BA214" s="579"/>
      <c r="BB214" s="579"/>
      <c r="BC214" s="579"/>
      <c r="BD214" s="579"/>
      <c r="BE214" s="579"/>
      <c r="BF214" s="579"/>
      <c r="BG214" s="579"/>
      <c r="BH214" s="579"/>
      <c r="BI214" s="579"/>
      <c r="BJ214" s="579"/>
      <c r="BK214" s="579"/>
    </row>
    <row r="215" spans="1:75" s="240" customFormat="1">
      <c r="A215" s="209"/>
      <c r="B215" s="209" t="s">
        <v>1323</v>
      </c>
      <c r="C215" s="270" t="s">
        <v>1329</v>
      </c>
      <c r="D215" s="209"/>
      <c r="F215" s="251"/>
      <c r="G215" s="251"/>
      <c r="H215" s="251"/>
      <c r="I215" s="251"/>
      <c r="J215" s="251"/>
      <c r="K215" s="251"/>
      <c r="L215" s="251"/>
      <c r="M215" s="251"/>
      <c r="N215" s="251"/>
      <c r="O215" s="251"/>
      <c r="P215" s="251"/>
      <c r="Q215" s="251">
        <f t="shared" ref="Q215:AD215" si="291">+Q216</f>
        <v>101.18351</v>
      </c>
      <c r="R215" s="251">
        <f t="shared" si="291"/>
        <v>279</v>
      </c>
      <c r="S215" s="251">
        <f t="shared" si="291"/>
        <v>289.36702000000002</v>
      </c>
      <c r="T215" s="251">
        <f t="shared" si="291"/>
        <v>289.36702000000002</v>
      </c>
      <c r="U215" s="251">
        <f t="shared" si="291"/>
        <v>289.36702000000002</v>
      </c>
      <c r="V215" s="251">
        <f t="shared" si="291"/>
        <v>289.36702000000002</v>
      </c>
      <c r="W215" s="251">
        <f t="shared" si="291"/>
        <v>289.36702000000002</v>
      </c>
      <c r="X215" s="251">
        <f t="shared" si="291"/>
        <v>289.36702000000002</v>
      </c>
      <c r="Y215" s="251">
        <f t="shared" si="291"/>
        <v>289.36702000000002</v>
      </c>
      <c r="Z215" s="251">
        <f t="shared" si="291"/>
        <v>289.36702000000002</v>
      </c>
      <c r="AA215" s="251">
        <f t="shared" si="291"/>
        <v>289.36702000000002</v>
      </c>
      <c r="AB215" s="251">
        <f t="shared" si="291"/>
        <v>289.36702000000002</v>
      </c>
      <c r="AC215" s="251">
        <f t="shared" si="291"/>
        <v>289.36702000000002</v>
      </c>
      <c r="AD215" s="251">
        <f t="shared" si="291"/>
        <v>289.36702000000002</v>
      </c>
      <c r="AF215" s="579">
        <f>Quarterly!C80</f>
        <v>101.17999999999999</v>
      </c>
      <c r="AG215" s="579">
        <f>Quarterly!D80</f>
        <v>101.17999999999999</v>
      </c>
      <c r="AH215" s="579">
        <f>Quarterly!E80</f>
        <v>101.17999999999999</v>
      </c>
      <c r="AI215" s="579">
        <f>Quarterly!F80</f>
        <v>101.17999999999999</v>
      </c>
      <c r="AJ215" s="579">
        <f>Quarterly!G80</f>
        <v>101.17999999999999</v>
      </c>
      <c r="AK215" s="579">
        <f>Quarterly!H80</f>
        <v>101.17999999999999</v>
      </c>
      <c r="AL215" s="579">
        <f>Quarterly!I80</f>
        <v>137.80000000000001</v>
      </c>
      <c r="AM215" s="579">
        <f>Quarterly!J80</f>
        <v>289.36</v>
      </c>
      <c r="AN215" s="579">
        <f>Quarterly!K80</f>
        <v>289.36</v>
      </c>
      <c r="AO215" s="579">
        <f>Quarterly!L80</f>
        <v>289.36</v>
      </c>
      <c r="AP215" s="579">
        <f>Quarterly!M80</f>
        <v>289.36</v>
      </c>
      <c r="AQ215" s="579">
        <f>Quarterly!N80</f>
        <v>289.36</v>
      </c>
      <c r="AR215" s="579">
        <f>Quarterly!O80</f>
        <v>289.36</v>
      </c>
      <c r="AS215" s="579">
        <f>Quarterly!P80</f>
        <v>289.36</v>
      </c>
      <c r="AT215" s="579">
        <f>Quarterly!Q80</f>
        <v>289.36</v>
      </c>
      <c r="AU215" s="579">
        <f>Quarterly!R80</f>
        <v>289.36</v>
      </c>
      <c r="AV215" s="579">
        <f>Quarterly!S80</f>
        <v>289.36</v>
      </c>
      <c r="AW215" s="579">
        <f>Quarterly!T80</f>
        <v>289.36</v>
      </c>
      <c r="AX215" s="579">
        <f>Quarterly!U80</f>
        <v>289.36</v>
      </c>
      <c r="AY215" s="579">
        <f>Quarterly!V80</f>
        <v>289.36</v>
      </c>
      <c r="AZ215" s="579">
        <f>Quarterly!W80</f>
        <v>289.36</v>
      </c>
      <c r="BA215" s="579">
        <f>Quarterly!X80</f>
        <v>289.36</v>
      </c>
      <c r="BB215" s="579">
        <f>Quarterly!Y80</f>
        <v>289.36</v>
      </c>
      <c r="BC215" s="579">
        <f>Quarterly!Z80</f>
        <v>289.36</v>
      </c>
      <c r="BD215" s="579">
        <f>Quarterly!AA80</f>
        <v>289.36</v>
      </c>
      <c r="BE215" s="579">
        <f>Quarterly!AB80</f>
        <v>289.36</v>
      </c>
      <c r="BF215" s="579">
        <f>Quarterly!AC80</f>
        <v>289.36</v>
      </c>
      <c r="BG215" s="579">
        <f>Quarterly!AD80</f>
        <v>289.36</v>
      </c>
      <c r="BH215" s="579">
        <f>Quarterly!AE80</f>
        <v>289.36</v>
      </c>
      <c r="BI215" s="579">
        <f>Quarterly!AF80</f>
        <v>289.36</v>
      </c>
      <c r="BJ215" s="579">
        <f>Quarterly!AG80</f>
        <v>289.36</v>
      </c>
      <c r="BK215" s="579">
        <f>Quarterly!AH80</f>
        <v>289.36</v>
      </c>
      <c r="BL215" s="579">
        <f>Quarterly!AI80</f>
        <v>289.36</v>
      </c>
      <c r="BM215" s="579">
        <f>Quarterly!AL80</f>
        <v>289.36</v>
      </c>
      <c r="BN215" s="579">
        <f>Quarterly!AK80</f>
        <v>289.36</v>
      </c>
      <c r="BO215" s="579">
        <f>Quarterly!AL80</f>
        <v>289.36</v>
      </c>
      <c r="BP215" s="579">
        <f>Quarterly!AM80</f>
        <v>289.36</v>
      </c>
      <c r="BQ215" s="579">
        <f>Quarterly!AN80</f>
        <v>289.36</v>
      </c>
      <c r="BR215" s="579">
        <f>Quarterly!AO80</f>
        <v>289.36</v>
      </c>
      <c r="BS215" s="579">
        <f>Quarterly!AP80</f>
        <v>289.36</v>
      </c>
      <c r="BT215" s="579">
        <f>Quarterly!AQ80</f>
        <v>289.36</v>
      </c>
      <c r="BU215" s="579">
        <f>Quarterly!AR80</f>
        <v>289.36</v>
      </c>
      <c r="BV215" s="579">
        <f>Quarterly!AS80</f>
        <v>289.36</v>
      </c>
      <c r="BW215" s="579">
        <f>Quarterly!AT80</f>
        <v>289.36</v>
      </c>
    </row>
    <row r="216" spans="1:75" s="240" customFormat="1">
      <c r="A216" s="209"/>
      <c r="B216" s="209" t="s">
        <v>1330</v>
      </c>
      <c r="C216" s="270" t="s">
        <v>1331</v>
      </c>
      <c r="D216" s="209"/>
      <c r="F216" s="251"/>
      <c r="G216" s="251"/>
      <c r="H216" s="251"/>
      <c r="I216" s="251"/>
      <c r="J216" s="251"/>
      <c r="K216" s="251"/>
      <c r="L216" s="251"/>
      <c r="M216" s="251"/>
      <c r="N216" s="251"/>
      <c r="O216" s="251"/>
      <c r="P216" s="251"/>
      <c r="Q216" s="251">
        <f>+'Inc Stmt'!G49</f>
        <v>101.18351</v>
      </c>
      <c r="R216" s="251">
        <f>+'Inc Stmt'!H49</f>
        <v>279</v>
      </c>
      <c r="S216" s="251">
        <f>+'Inc Stmt'!I49</f>
        <v>289.36702000000002</v>
      </c>
      <c r="T216" s="251">
        <f>+'Inc Stmt'!J49</f>
        <v>289.36702000000002</v>
      </c>
      <c r="U216" s="251">
        <f>+'Inc Stmt'!K49</f>
        <v>289.36702000000002</v>
      </c>
      <c r="V216" s="251">
        <f>+'Inc Stmt'!L49</f>
        <v>289.36702000000002</v>
      </c>
      <c r="W216" s="251">
        <f>+'Inc Stmt'!M49</f>
        <v>289.36702000000002</v>
      </c>
      <c r="X216" s="251">
        <f>+'Inc Stmt'!N49</f>
        <v>289.36702000000002</v>
      </c>
      <c r="Y216" s="251">
        <f>+'Inc Stmt'!O49</f>
        <v>289.36702000000002</v>
      </c>
      <c r="Z216" s="251">
        <f>+'Inc Stmt'!P49</f>
        <v>289.36702000000002</v>
      </c>
      <c r="AA216" s="251">
        <f>+'Inc Stmt'!Q49</f>
        <v>289.36702000000002</v>
      </c>
      <c r="AB216" s="251">
        <f>+'Inc Stmt'!R49</f>
        <v>289.36702000000002</v>
      </c>
      <c r="AC216" s="251">
        <f>+'Inc Stmt'!S49</f>
        <v>289.36702000000002</v>
      </c>
      <c r="AD216" s="251">
        <f>+'Inc Stmt'!T49</f>
        <v>289.36702000000002</v>
      </c>
      <c r="AF216" s="579">
        <f t="shared" ref="AF216:BK216" si="292">AF215</f>
        <v>101.17999999999999</v>
      </c>
      <c r="AG216" s="579">
        <f t="shared" si="292"/>
        <v>101.17999999999999</v>
      </c>
      <c r="AH216" s="579">
        <f t="shared" si="292"/>
        <v>101.17999999999999</v>
      </c>
      <c r="AI216" s="579">
        <f t="shared" si="292"/>
        <v>101.17999999999999</v>
      </c>
      <c r="AJ216" s="579">
        <f t="shared" si="292"/>
        <v>101.17999999999999</v>
      </c>
      <c r="AK216" s="579">
        <f t="shared" si="292"/>
        <v>101.17999999999999</v>
      </c>
      <c r="AL216" s="579">
        <f t="shared" si="292"/>
        <v>137.80000000000001</v>
      </c>
      <c r="AM216" s="579">
        <f t="shared" si="292"/>
        <v>289.36</v>
      </c>
      <c r="AN216" s="579">
        <f t="shared" si="292"/>
        <v>289.36</v>
      </c>
      <c r="AO216" s="579">
        <f t="shared" si="292"/>
        <v>289.36</v>
      </c>
      <c r="AP216" s="579">
        <f t="shared" si="292"/>
        <v>289.36</v>
      </c>
      <c r="AQ216" s="579">
        <f t="shared" si="292"/>
        <v>289.36</v>
      </c>
      <c r="AR216" s="579">
        <f t="shared" si="292"/>
        <v>289.36</v>
      </c>
      <c r="AS216" s="579">
        <f t="shared" si="292"/>
        <v>289.36</v>
      </c>
      <c r="AT216" s="579">
        <f t="shared" si="292"/>
        <v>289.36</v>
      </c>
      <c r="AU216" s="579">
        <f t="shared" si="292"/>
        <v>289.36</v>
      </c>
      <c r="AV216" s="579">
        <f t="shared" si="292"/>
        <v>289.36</v>
      </c>
      <c r="AW216" s="579">
        <f t="shared" si="292"/>
        <v>289.36</v>
      </c>
      <c r="AX216" s="579">
        <f t="shared" si="292"/>
        <v>289.36</v>
      </c>
      <c r="AY216" s="579">
        <f t="shared" si="292"/>
        <v>289.36</v>
      </c>
      <c r="AZ216" s="579">
        <f t="shared" si="292"/>
        <v>289.36</v>
      </c>
      <c r="BA216" s="579">
        <f t="shared" si="292"/>
        <v>289.36</v>
      </c>
      <c r="BB216" s="579">
        <f t="shared" si="292"/>
        <v>289.36</v>
      </c>
      <c r="BC216" s="579">
        <f t="shared" si="292"/>
        <v>289.36</v>
      </c>
      <c r="BD216" s="579">
        <f t="shared" si="292"/>
        <v>289.36</v>
      </c>
      <c r="BE216" s="579">
        <f t="shared" si="292"/>
        <v>289.36</v>
      </c>
      <c r="BF216" s="579">
        <f t="shared" si="292"/>
        <v>289.36</v>
      </c>
      <c r="BG216" s="579">
        <f t="shared" si="292"/>
        <v>289.36</v>
      </c>
      <c r="BH216" s="579">
        <f t="shared" si="292"/>
        <v>289.36</v>
      </c>
      <c r="BI216" s="579">
        <f t="shared" si="292"/>
        <v>289.36</v>
      </c>
      <c r="BJ216" s="579">
        <f t="shared" si="292"/>
        <v>289.36</v>
      </c>
      <c r="BK216" s="579">
        <f t="shared" si="292"/>
        <v>289.36</v>
      </c>
      <c r="BL216" s="579">
        <f t="shared" ref="BL216:BQ216" si="293">BL215</f>
        <v>289.36</v>
      </c>
      <c r="BM216" s="579">
        <f t="shared" si="293"/>
        <v>289.36</v>
      </c>
      <c r="BN216" s="579">
        <f t="shared" si="293"/>
        <v>289.36</v>
      </c>
      <c r="BO216" s="579">
        <f t="shared" si="293"/>
        <v>289.36</v>
      </c>
      <c r="BP216" s="579">
        <f t="shared" si="293"/>
        <v>289.36</v>
      </c>
      <c r="BQ216" s="579">
        <f t="shared" si="293"/>
        <v>289.36</v>
      </c>
      <c r="BR216" s="579">
        <f t="shared" ref="BR216:BS216" si="294">BR215</f>
        <v>289.36</v>
      </c>
      <c r="BS216" s="579">
        <f t="shared" si="294"/>
        <v>289.36</v>
      </c>
      <c r="BT216" s="579">
        <f t="shared" ref="BT216" si="295">BT215</f>
        <v>289.36</v>
      </c>
      <c r="BU216" s="579">
        <f t="shared" ref="BU216:BV216" si="296">BU215</f>
        <v>289.36</v>
      </c>
      <c r="BV216" s="579">
        <f t="shared" si="296"/>
        <v>289.36</v>
      </c>
      <c r="BW216" s="579">
        <f t="shared" ref="BW216" si="297">BW215</f>
        <v>289.36</v>
      </c>
    </row>
    <row r="217" spans="1:75" s="240" customFormat="1">
      <c r="A217" s="209"/>
      <c r="B217" s="209" t="s">
        <v>1332</v>
      </c>
      <c r="C217" s="270" t="s">
        <v>1333</v>
      </c>
      <c r="D217" s="209"/>
      <c r="F217" s="251"/>
      <c r="G217" s="251"/>
      <c r="H217" s="251"/>
      <c r="I217" s="251"/>
      <c r="J217" s="251"/>
      <c r="K217" s="251"/>
      <c r="L217" s="251"/>
      <c r="M217" s="251"/>
      <c r="N217" s="251"/>
      <c r="O217" s="251"/>
      <c r="P217" s="251"/>
      <c r="Q217" s="251">
        <f t="shared" ref="Q217:Y217" si="298">+Q216</f>
        <v>101.18351</v>
      </c>
      <c r="R217" s="251">
        <f t="shared" si="298"/>
        <v>279</v>
      </c>
      <c r="S217" s="251">
        <f t="shared" si="298"/>
        <v>289.36702000000002</v>
      </c>
      <c r="T217" s="251">
        <f t="shared" si="298"/>
        <v>289.36702000000002</v>
      </c>
      <c r="U217" s="251">
        <f t="shared" si="298"/>
        <v>289.36702000000002</v>
      </c>
      <c r="V217" s="251">
        <f t="shared" si="298"/>
        <v>289.36702000000002</v>
      </c>
      <c r="W217" s="251">
        <f t="shared" si="298"/>
        <v>289.36702000000002</v>
      </c>
      <c r="X217" s="251">
        <f t="shared" si="298"/>
        <v>289.36702000000002</v>
      </c>
      <c r="Y217" s="251">
        <f t="shared" si="298"/>
        <v>289.36702000000002</v>
      </c>
      <c r="Z217" s="251">
        <f>+Z216</f>
        <v>289.36702000000002</v>
      </c>
      <c r="AA217" s="251">
        <f>+AA216</f>
        <v>289.36702000000002</v>
      </c>
      <c r="AB217" s="251">
        <f>+AB216</f>
        <v>289.36702000000002</v>
      </c>
      <c r="AC217" s="251">
        <f t="shared" ref="AC217:AD217" si="299">+AC216</f>
        <v>289.36702000000002</v>
      </c>
      <c r="AD217" s="251">
        <f t="shared" si="299"/>
        <v>289.36702000000002</v>
      </c>
      <c r="AF217" s="579"/>
      <c r="AG217" s="579"/>
      <c r="AH217" s="579"/>
      <c r="AI217" s="579"/>
      <c r="AJ217" s="579"/>
      <c r="AK217" s="579"/>
      <c r="AL217" s="579"/>
      <c r="AM217" s="579"/>
      <c r="AN217" s="579"/>
      <c r="AO217" s="579"/>
      <c r="AP217" s="579"/>
      <c r="AQ217" s="579"/>
      <c r="AR217" s="579"/>
      <c r="AS217" s="579"/>
      <c r="AT217" s="579"/>
      <c r="AU217" s="579"/>
      <c r="AV217" s="579"/>
      <c r="AW217" s="579"/>
      <c r="AX217" s="579"/>
      <c r="AY217" s="579"/>
      <c r="AZ217" s="579"/>
      <c r="BA217" s="579"/>
      <c r="BB217" s="579"/>
      <c r="BC217" s="579"/>
      <c r="BD217" s="579"/>
      <c r="BE217" s="579"/>
      <c r="BF217" s="579"/>
      <c r="BG217" s="579"/>
      <c r="BH217" s="579"/>
      <c r="BI217" s="579"/>
      <c r="BJ217" s="579"/>
      <c r="BK217" s="579"/>
      <c r="BL217" s="579"/>
      <c r="BM217" s="579"/>
      <c r="BN217" s="579"/>
      <c r="BO217" s="579"/>
      <c r="BP217" s="579"/>
      <c r="BQ217" s="579"/>
      <c r="BR217" s="579"/>
      <c r="BS217" s="579"/>
      <c r="BT217" s="579"/>
      <c r="BU217" s="579"/>
      <c r="BV217" s="579"/>
      <c r="BW217" s="579"/>
    </row>
    <row r="218" spans="1:75" s="240" customFormat="1">
      <c r="A218" s="209"/>
      <c r="B218" s="209" t="s">
        <v>1334</v>
      </c>
      <c r="C218" s="270" t="s">
        <v>1335</v>
      </c>
      <c r="D218" s="209"/>
      <c r="F218" s="251"/>
      <c r="G218" s="251"/>
      <c r="H218" s="251"/>
      <c r="I218" s="251"/>
      <c r="J218" s="251"/>
      <c r="K218" s="251"/>
      <c r="L218" s="251"/>
      <c r="M218" s="251"/>
      <c r="N218" s="251"/>
      <c r="O218" s="251"/>
      <c r="P218" s="251"/>
      <c r="Q218" s="251">
        <f t="shared" ref="Q218:X218" si="300">+Q216</f>
        <v>101.18351</v>
      </c>
      <c r="R218" s="251">
        <f t="shared" si="300"/>
        <v>279</v>
      </c>
      <c r="S218" s="251">
        <f t="shared" si="300"/>
        <v>289.36702000000002</v>
      </c>
      <c r="T218" s="251">
        <f t="shared" si="300"/>
        <v>289.36702000000002</v>
      </c>
      <c r="U218" s="251">
        <f t="shared" si="300"/>
        <v>289.36702000000002</v>
      </c>
      <c r="V218" s="251">
        <f t="shared" si="300"/>
        <v>289.36702000000002</v>
      </c>
      <c r="W218" s="251">
        <f t="shared" si="300"/>
        <v>289.36702000000002</v>
      </c>
      <c r="X218" s="251">
        <f t="shared" si="300"/>
        <v>289.36702000000002</v>
      </c>
      <c r="Y218" s="251">
        <f>+Y216</f>
        <v>289.36702000000002</v>
      </c>
      <c r="Z218" s="251">
        <f>+Z216</f>
        <v>289.36702000000002</v>
      </c>
      <c r="AA218" s="251">
        <f>+AA216</f>
        <v>289.36702000000002</v>
      </c>
      <c r="AB218" s="251">
        <f>+AB216</f>
        <v>289.36702000000002</v>
      </c>
      <c r="AC218" s="251">
        <f t="shared" ref="AC218:AD218" si="301">+AC216</f>
        <v>289.36702000000002</v>
      </c>
      <c r="AD218" s="251">
        <f t="shared" si="301"/>
        <v>289.36702000000002</v>
      </c>
      <c r="AF218" s="579">
        <f t="shared" ref="AF218:BK218" si="302">AF216</f>
        <v>101.17999999999999</v>
      </c>
      <c r="AG218" s="579">
        <f t="shared" si="302"/>
        <v>101.17999999999999</v>
      </c>
      <c r="AH218" s="579">
        <f t="shared" si="302"/>
        <v>101.17999999999999</v>
      </c>
      <c r="AI218" s="579">
        <f t="shared" si="302"/>
        <v>101.17999999999999</v>
      </c>
      <c r="AJ218" s="579">
        <f t="shared" si="302"/>
        <v>101.17999999999999</v>
      </c>
      <c r="AK218" s="579">
        <f t="shared" si="302"/>
        <v>101.17999999999999</v>
      </c>
      <c r="AL218" s="579">
        <f t="shared" si="302"/>
        <v>137.80000000000001</v>
      </c>
      <c r="AM218" s="579">
        <f t="shared" si="302"/>
        <v>289.36</v>
      </c>
      <c r="AN218" s="579">
        <f t="shared" si="302"/>
        <v>289.36</v>
      </c>
      <c r="AO218" s="579">
        <f t="shared" si="302"/>
        <v>289.36</v>
      </c>
      <c r="AP218" s="579">
        <f t="shared" si="302"/>
        <v>289.36</v>
      </c>
      <c r="AQ218" s="579">
        <f t="shared" si="302"/>
        <v>289.36</v>
      </c>
      <c r="AR218" s="579">
        <f t="shared" si="302"/>
        <v>289.36</v>
      </c>
      <c r="AS218" s="579">
        <f t="shared" si="302"/>
        <v>289.36</v>
      </c>
      <c r="AT218" s="579">
        <f t="shared" si="302"/>
        <v>289.36</v>
      </c>
      <c r="AU218" s="579">
        <f t="shared" si="302"/>
        <v>289.36</v>
      </c>
      <c r="AV218" s="579">
        <f t="shared" si="302"/>
        <v>289.36</v>
      </c>
      <c r="AW218" s="579">
        <f t="shared" si="302"/>
        <v>289.36</v>
      </c>
      <c r="AX218" s="579">
        <f t="shared" si="302"/>
        <v>289.36</v>
      </c>
      <c r="AY218" s="579">
        <f t="shared" si="302"/>
        <v>289.36</v>
      </c>
      <c r="AZ218" s="579">
        <f t="shared" si="302"/>
        <v>289.36</v>
      </c>
      <c r="BA218" s="579">
        <f t="shared" si="302"/>
        <v>289.36</v>
      </c>
      <c r="BB218" s="579">
        <f t="shared" si="302"/>
        <v>289.36</v>
      </c>
      <c r="BC218" s="579">
        <f t="shared" si="302"/>
        <v>289.36</v>
      </c>
      <c r="BD218" s="579">
        <f t="shared" si="302"/>
        <v>289.36</v>
      </c>
      <c r="BE218" s="579">
        <f t="shared" si="302"/>
        <v>289.36</v>
      </c>
      <c r="BF218" s="579">
        <f t="shared" si="302"/>
        <v>289.36</v>
      </c>
      <c r="BG218" s="579">
        <f t="shared" si="302"/>
        <v>289.36</v>
      </c>
      <c r="BH218" s="579">
        <f t="shared" si="302"/>
        <v>289.36</v>
      </c>
      <c r="BI218" s="579">
        <f t="shared" si="302"/>
        <v>289.36</v>
      </c>
      <c r="BJ218" s="579">
        <f t="shared" si="302"/>
        <v>289.36</v>
      </c>
      <c r="BK218" s="579">
        <f t="shared" si="302"/>
        <v>289.36</v>
      </c>
      <c r="BL218" s="579">
        <f t="shared" ref="BL218:BQ218" si="303">BL216</f>
        <v>289.36</v>
      </c>
      <c r="BM218" s="579">
        <f t="shared" si="303"/>
        <v>289.36</v>
      </c>
      <c r="BN218" s="579">
        <f t="shared" si="303"/>
        <v>289.36</v>
      </c>
      <c r="BO218" s="579">
        <f t="shared" si="303"/>
        <v>289.36</v>
      </c>
      <c r="BP218" s="579">
        <f t="shared" si="303"/>
        <v>289.36</v>
      </c>
      <c r="BQ218" s="579">
        <f t="shared" si="303"/>
        <v>289.36</v>
      </c>
      <c r="BR218" s="579">
        <f t="shared" ref="BR218:BS218" si="304">BR216</f>
        <v>289.36</v>
      </c>
      <c r="BS218" s="579">
        <f t="shared" si="304"/>
        <v>289.36</v>
      </c>
      <c r="BT218" s="579">
        <f t="shared" ref="BT218:BU218" si="305">BT216</f>
        <v>289.36</v>
      </c>
      <c r="BU218" s="579">
        <f t="shared" si="305"/>
        <v>289.36</v>
      </c>
      <c r="BV218" s="579">
        <f t="shared" ref="BV218:BW218" si="306">BV216</f>
        <v>289.36</v>
      </c>
      <c r="BW218" s="579">
        <f t="shared" si="306"/>
        <v>289.36</v>
      </c>
    </row>
    <row r="219" spans="1:75" s="240" customFormat="1">
      <c r="A219" s="209"/>
      <c r="B219" s="209"/>
      <c r="C219" s="247"/>
      <c r="D219" s="209"/>
      <c r="F219" s="248"/>
      <c r="AF219" s="579"/>
      <c r="AG219" s="579"/>
      <c r="AH219" s="579"/>
      <c r="AI219" s="579"/>
      <c r="AJ219" s="579"/>
      <c r="AK219" s="579"/>
      <c r="AL219" s="579"/>
      <c r="AM219" s="579"/>
      <c r="AN219" s="579"/>
      <c r="AO219" s="579"/>
      <c r="AP219" s="579"/>
      <c r="AQ219" s="579"/>
      <c r="AR219" s="579"/>
      <c r="AS219" s="579"/>
      <c r="AT219" s="579"/>
      <c r="AU219" s="579"/>
      <c r="AV219" s="579"/>
      <c r="AW219" s="579"/>
      <c r="AX219" s="579"/>
      <c r="AY219" s="579"/>
      <c r="AZ219" s="579"/>
      <c r="BA219" s="579"/>
      <c r="BB219" s="579"/>
      <c r="BC219" s="579"/>
      <c r="BD219" s="579"/>
      <c r="BE219" s="579"/>
      <c r="BF219" s="579"/>
      <c r="BG219" s="579"/>
      <c r="BH219" s="579"/>
      <c r="BI219" s="579"/>
      <c r="BJ219" s="579"/>
      <c r="BK219" s="579"/>
      <c r="BL219" s="579"/>
      <c r="BM219" s="579"/>
      <c r="BN219" s="579"/>
      <c r="BO219" s="579"/>
      <c r="BP219" s="579"/>
      <c r="BQ219" s="579"/>
      <c r="BR219" s="579"/>
      <c r="BS219" s="579"/>
      <c r="BT219" s="579"/>
      <c r="BU219" s="579"/>
      <c r="BV219" s="579"/>
      <c r="BW219" s="579"/>
    </row>
    <row r="220" spans="1:75" s="240" customFormat="1">
      <c r="A220" s="209"/>
      <c r="B220" s="209"/>
      <c r="C220" s="216" t="s">
        <v>1336</v>
      </c>
      <c r="D220" s="209"/>
      <c r="F220" s="248"/>
      <c r="AF220" s="579"/>
      <c r="AG220" s="579"/>
      <c r="AH220" s="579"/>
      <c r="AI220" s="579"/>
      <c r="AJ220" s="579"/>
      <c r="AK220" s="579"/>
      <c r="AL220" s="579"/>
      <c r="AM220" s="579"/>
      <c r="AN220" s="579"/>
      <c r="AO220" s="579"/>
      <c r="AP220" s="579"/>
      <c r="AQ220" s="579"/>
      <c r="AR220" s="579"/>
      <c r="AS220" s="579"/>
      <c r="AT220" s="579"/>
      <c r="AU220" s="579"/>
      <c r="AV220" s="579"/>
      <c r="AW220" s="579"/>
      <c r="AX220" s="579"/>
      <c r="AY220" s="579"/>
      <c r="AZ220" s="579"/>
      <c r="BA220" s="579"/>
      <c r="BB220" s="579"/>
      <c r="BC220" s="579"/>
      <c r="BD220" s="579"/>
      <c r="BE220" s="579"/>
      <c r="BF220" s="579"/>
      <c r="BG220" s="579"/>
      <c r="BH220" s="579"/>
      <c r="BI220" s="579"/>
      <c r="BJ220" s="579"/>
      <c r="BK220" s="579"/>
      <c r="BL220" s="579"/>
      <c r="BM220" s="579"/>
      <c r="BN220" s="579"/>
      <c r="BO220" s="579"/>
      <c r="BP220" s="579"/>
      <c r="BQ220" s="579"/>
      <c r="BR220" s="579"/>
      <c r="BS220" s="579"/>
      <c r="BT220" s="579"/>
      <c r="BU220" s="579"/>
      <c r="BV220" s="579"/>
      <c r="BW220" s="579"/>
    </row>
    <row r="221" spans="1:75" s="248" customFormat="1">
      <c r="A221" s="247"/>
      <c r="B221" s="220"/>
      <c r="C221" s="256" t="s">
        <v>1337</v>
      </c>
      <c r="D221" s="247"/>
      <c r="AF221" s="581"/>
      <c r="AG221" s="581"/>
      <c r="AH221" s="581"/>
      <c r="AI221" s="581"/>
      <c r="AJ221" s="581"/>
      <c r="AK221" s="581"/>
      <c r="AL221" s="581"/>
      <c r="AM221" s="581"/>
      <c r="AN221" s="581"/>
      <c r="AO221" s="581"/>
      <c r="AP221" s="581"/>
      <c r="AQ221" s="581"/>
      <c r="AR221" s="581"/>
      <c r="AS221" s="581"/>
      <c r="AT221" s="581"/>
      <c r="AU221" s="581"/>
      <c r="AV221" s="581"/>
      <c r="AW221" s="581"/>
      <c r="AX221" s="581"/>
      <c r="AY221" s="581"/>
      <c r="AZ221" s="581"/>
      <c r="BA221" s="581"/>
      <c r="BB221" s="581"/>
      <c r="BC221" s="581"/>
      <c r="BD221" s="581"/>
      <c r="BE221" s="581"/>
      <c r="BF221" s="581"/>
      <c r="BG221" s="581"/>
      <c r="BH221" s="581"/>
      <c r="BI221" s="581"/>
      <c r="BJ221" s="581"/>
      <c r="BK221" s="581"/>
      <c r="BL221" s="581"/>
      <c r="BM221" s="581"/>
      <c r="BN221" s="581"/>
      <c r="BO221" s="581"/>
      <c r="BP221" s="581"/>
      <c r="BQ221" s="581"/>
      <c r="BR221" s="581"/>
      <c r="BS221" s="581"/>
      <c r="BT221" s="581"/>
      <c r="BU221" s="581"/>
      <c r="BV221" s="581"/>
      <c r="BW221" s="581"/>
    </row>
    <row r="222" spans="1:75" s="245" customFormat="1">
      <c r="A222" s="243"/>
      <c r="B222" s="246" t="s">
        <v>1338</v>
      </c>
      <c r="C222" s="254" t="s">
        <v>1339</v>
      </c>
      <c r="D222" s="243"/>
      <c r="F222" s="245" t="e">
        <f t="shared" ref="F222:X222" si="307">(F100*12/F$4)/F216</f>
        <v>#DIV/0!</v>
      </c>
      <c r="G222" s="245" t="e">
        <f t="shared" si="307"/>
        <v>#DIV/0!</v>
      </c>
      <c r="H222" s="245" t="e">
        <f t="shared" si="307"/>
        <v>#DIV/0!</v>
      </c>
      <c r="I222" s="245" t="e">
        <f t="shared" si="307"/>
        <v>#DIV/0!</v>
      </c>
      <c r="J222" s="245" t="e">
        <f t="shared" si="307"/>
        <v>#DIV/0!</v>
      </c>
      <c r="K222" s="245" t="e">
        <f t="shared" si="307"/>
        <v>#DIV/0!</v>
      </c>
      <c r="M222" s="245" t="e">
        <f t="shared" si="307"/>
        <v>#DIV/0!</v>
      </c>
      <c r="N222" s="245" t="e">
        <f t="shared" si="307"/>
        <v>#DIV/0!</v>
      </c>
      <c r="O222" s="245" t="e">
        <f t="shared" si="307"/>
        <v>#DIV/0!</v>
      </c>
      <c r="P222" s="245" t="e">
        <f t="shared" si="307"/>
        <v>#DIV/0!</v>
      </c>
      <c r="Q222" s="245">
        <f t="shared" si="307"/>
        <v>122.3440459814055</v>
      </c>
      <c r="R222" s="245">
        <f t="shared" si="307"/>
        <v>26.020071684587826</v>
      </c>
      <c r="S222" s="245">
        <f t="shared" si="307"/>
        <v>20.725236759876797</v>
      </c>
      <c r="T222" s="245">
        <f t="shared" si="307"/>
        <v>58.87436653976664</v>
      </c>
      <c r="U222" s="245">
        <f t="shared" si="307"/>
        <v>115.41501861545926</v>
      </c>
      <c r="V222" s="245">
        <f t="shared" si="307"/>
        <v>103.81452592627866</v>
      </c>
      <c r="W222" s="245">
        <f t="shared" si="307"/>
        <v>105.18026553267897</v>
      </c>
      <c r="X222" s="245">
        <f t="shared" si="307"/>
        <v>112.08153576036409</v>
      </c>
      <c r="Y222" s="245">
        <f>(Y100*12/Y$4)/Y216</f>
        <v>97.237757087867195</v>
      </c>
      <c r="Z222" s="245">
        <f>(Z100*12/Z$4)/Z216</f>
        <v>135.80227629257817</v>
      </c>
      <c r="AA222" s="245">
        <f>(AA100*12/AA$4)/AA216</f>
        <v>132.27353967290398</v>
      </c>
      <c r="AB222" s="245">
        <f>(AB100*12/AB$4)/AB216</f>
        <v>152.0089607625855</v>
      </c>
      <c r="AC222" s="245">
        <f t="shared" ref="AC222:AD222" si="308">(AC100*12/AC$4)/AC216</f>
        <v>176.0634857885328</v>
      </c>
      <c r="AD222" s="245">
        <f t="shared" si="308"/>
        <v>188.77672056343167</v>
      </c>
      <c r="AF222" s="580">
        <f>AF100/AF216</f>
        <v>26.290768926665326</v>
      </c>
      <c r="AG222" s="580">
        <f t="shared" ref="AG222:BK222" si="309">AG100/AG216</f>
        <v>31.513144890294509</v>
      </c>
      <c r="AH222" s="580">
        <f t="shared" si="309"/>
        <v>34.079857679383288</v>
      </c>
      <c r="AI222" s="580">
        <f t="shared" si="309"/>
        <v>30.471437042893832</v>
      </c>
      <c r="AJ222" s="580">
        <f t="shared" si="309"/>
        <v>22.337418462146676</v>
      </c>
      <c r="AK222" s="580">
        <f t="shared" si="309"/>
        <v>33.204190551492388</v>
      </c>
      <c r="AL222" s="580">
        <f t="shared" si="309"/>
        <v>15.506531204644402</v>
      </c>
      <c r="AM222" s="580">
        <f t="shared" si="309"/>
        <v>4.1743848493226468</v>
      </c>
      <c r="AN222" s="580">
        <f t="shared" si="309"/>
        <v>6.0519767763339836</v>
      </c>
      <c r="AO222" s="580">
        <f t="shared" si="309"/>
        <v>6.3889272878075776</v>
      </c>
      <c r="AP222" s="580">
        <f t="shared" si="309"/>
        <v>5.6770113353607892</v>
      </c>
      <c r="AQ222" s="580">
        <f t="shared" si="309"/>
        <v>4.4999308819463684</v>
      </c>
      <c r="AR222" s="580">
        <f t="shared" si="309"/>
        <v>10.142728780757523</v>
      </c>
      <c r="AS222" s="580">
        <f t="shared" si="309"/>
        <v>13.921412773016305</v>
      </c>
      <c r="AT222" s="580">
        <f t="shared" si="309"/>
        <v>16.420998064694505</v>
      </c>
      <c r="AU222" s="580">
        <f t="shared" si="309"/>
        <v>18.391277301631185</v>
      </c>
      <c r="AV222" s="580">
        <f t="shared" si="309"/>
        <v>20.395009676527497</v>
      </c>
      <c r="AW222" s="580">
        <f t="shared" si="309"/>
        <v>23.572021011888296</v>
      </c>
      <c r="AX222" s="580">
        <f t="shared" si="309"/>
        <v>23.054672380425782</v>
      </c>
      <c r="AY222" s="580">
        <f t="shared" si="309"/>
        <v>48.399225877799275</v>
      </c>
      <c r="AZ222" s="580">
        <f t="shared" si="309"/>
        <v>24.573541609068322</v>
      </c>
      <c r="BA222" s="580">
        <f t="shared" si="309"/>
        <v>25.082941664362711</v>
      </c>
      <c r="BB222" s="580">
        <f t="shared" si="309"/>
        <v>27.480992535250184</v>
      </c>
      <c r="BC222" s="580">
        <f t="shared" si="309"/>
        <v>26.680951064417997</v>
      </c>
      <c r="BD222" s="580">
        <f t="shared" si="309"/>
        <v>24.826859275642775</v>
      </c>
      <c r="BE222" s="580">
        <f t="shared" si="309"/>
        <v>25.596834393143485</v>
      </c>
      <c r="BF222" s="580">
        <f t="shared" si="309"/>
        <v>28.294857616809487</v>
      </c>
      <c r="BG222" s="580">
        <f t="shared" si="309"/>
        <v>26.464265966270396</v>
      </c>
      <c r="BH222" s="580">
        <f t="shared" si="309"/>
        <v>25.493502902958273</v>
      </c>
      <c r="BI222" s="580">
        <f t="shared" si="309"/>
        <v>28.931434890793462</v>
      </c>
      <c r="BJ222" s="580">
        <f t="shared" si="309"/>
        <v>31.260367708045333</v>
      </c>
      <c r="BK222" s="580">
        <f t="shared" si="309"/>
        <v>26.400677356925627</v>
      </c>
      <c r="BL222" s="580">
        <f t="shared" ref="BL222:BQ222" si="310">BL100/BL216</f>
        <v>25.572988664639198</v>
      </c>
      <c r="BM222" s="580">
        <f t="shared" si="310"/>
        <v>20.42092894664086</v>
      </c>
      <c r="BN222" s="580">
        <f t="shared" si="310"/>
        <v>29.763616256566195</v>
      </c>
      <c r="BO222" s="580">
        <f t="shared" si="310"/>
        <v>21.486038153165591</v>
      </c>
      <c r="BP222" s="580">
        <f t="shared" si="310"/>
        <v>33.085429914293591</v>
      </c>
      <c r="BQ222" s="580">
        <f t="shared" si="310"/>
        <v>36.369574232789596</v>
      </c>
      <c r="BR222" s="580">
        <f t="shared" ref="BR222:BS222" si="311">BR100/BR216</f>
        <v>33.543337019629533</v>
      </c>
      <c r="BS222" s="580">
        <f t="shared" si="311"/>
        <v>32.807920928946636</v>
      </c>
      <c r="BT222" s="580">
        <f t="shared" ref="BT222:BU222" si="312">BT100/BT216</f>
        <v>33.811515067735691</v>
      </c>
      <c r="BU222" s="580">
        <f t="shared" si="312"/>
        <v>38.801147359690361</v>
      </c>
      <c r="BV222" s="580">
        <f t="shared" ref="BV222:BW222" si="313">BV100/BV216</f>
        <v>31.953967376278673</v>
      </c>
      <c r="BW222" s="580">
        <f t="shared" si="313"/>
        <v>27.710118883052289</v>
      </c>
    </row>
    <row r="223" spans="1:75" s="245" customFormat="1">
      <c r="A223" s="243"/>
      <c r="B223" s="246" t="s">
        <v>1340</v>
      </c>
      <c r="C223" s="254" t="s">
        <v>1341</v>
      </c>
      <c r="D223" s="243"/>
      <c r="F223" s="245" t="e">
        <f t="shared" ref="F223:X223" si="314">(F101*12/F$4)/F$218</f>
        <v>#DIV/0!</v>
      </c>
      <c r="G223" s="245" t="e">
        <f t="shared" si="314"/>
        <v>#DIV/0!</v>
      </c>
      <c r="H223" s="245" t="e">
        <f t="shared" si="314"/>
        <v>#DIV/0!</v>
      </c>
      <c r="I223" s="245" t="e">
        <f t="shared" si="314"/>
        <v>#DIV/0!</v>
      </c>
      <c r="J223" s="245" t="e">
        <f t="shared" si="314"/>
        <v>#DIV/0!</v>
      </c>
      <c r="K223" s="245" t="e">
        <f t="shared" si="314"/>
        <v>#DIV/0!</v>
      </c>
      <c r="M223" s="245" t="e">
        <f t="shared" si="314"/>
        <v>#DIV/0!</v>
      </c>
      <c r="N223" s="245" t="e">
        <f t="shared" si="314"/>
        <v>#DIV/0!</v>
      </c>
      <c r="O223" s="245" t="e">
        <f t="shared" si="314"/>
        <v>#DIV/0!</v>
      </c>
      <c r="P223" s="245" t="e">
        <f t="shared" si="314"/>
        <v>#DIV/0!</v>
      </c>
      <c r="Q223" s="245">
        <f t="shared" si="314"/>
        <v>125.73115915824629</v>
      </c>
      <c r="R223" s="245">
        <f t="shared" si="314"/>
        <v>28.588243727598584</v>
      </c>
      <c r="S223" s="245">
        <f t="shared" si="314"/>
        <v>25.686755871488064</v>
      </c>
      <c r="T223" s="245">
        <f t="shared" si="314"/>
        <v>62.781169740767218</v>
      </c>
      <c r="U223" s="245">
        <f t="shared" si="314"/>
        <v>97.887623821125075</v>
      </c>
      <c r="V223" s="245">
        <f t="shared" si="314"/>
        <v>103.81452592627866</v>
      </c>
      <c r="W223" s="245">
        <f t="shared" si="314"/>
        <v>99.173948710533864</v>
      </c>
      <c r="X223" s="245">
        <f t="shared" si="314"/>
        <v>113.16116812482637</v>
      </c>
      <c r="Y223" s="245">
        <f>(Y101*12/Y$4)/Y$218</f>
        <v>106.45128114461698</v>
      </c>
      <c r="Z223" s="245">
        <f>(Z101*12/Z$4)/Z$218</f>
        <v>135.80227629257817</v>
      </c>
      <c r="AA223" s="245">
        <f>(AA101*12/AA$4)/AA$218</f>
        <v>132.27353967290398</v>
      </c>
      <c r="AB223" s="245">
        <f>(AB101*12/AB$4)/AB$218</f>
        <v>152.0089607625855</v>
      </c>
      <c r="AC223" s="245">
        <f t="shared" ref="AC223:AD223" si="315">(AC101*12/AC$4)/AC$218</f>
        <v>176.0634857885328</v>
      </c>
      <c r="AD223" s="245">
        <f t="shared" si="315"/>
        <v>188.77672056343167</v>
      </c>
      <c r="AF223" s="580">
        <f>AF101/AF$218</f>
        <v>27.009586874876437</v>
      </c>
      <c r="AG223" s="580">
        <f t="shared" ref="AG223:BK223" si="316">AG101/AG$218</f>
        <v>32.384858667720877</v>
      </c>
      <c r="AH223" s="580">
        <f t="shared" si="316"/>
        <v>34.932200039533512</v>
      </c>
      <c r="AI223" s="580">
        <f t="shared" si="316"/>
        <v>31.332081439019547</v>
      </c>
      <c r="AJ223" s="580">
        <f t="shared" si="316"/>
        <v>22.337418462146676</v>
      </c>
      <c r="AK223" s="580">
        <f t="shared" si="316"/>
        <v>33.739671871911447</v>
      </c>
      <c r="AL223" s="580">
        <f t="shared" si="316"/>
        <v>18.106386066763417</v>
      </c>
      <c r="AM223" s="580">
        <f t="shared" si="316"/>
        <v>5.4095935858446254</v>
      </c>
      <c r="AN223" s="580">
        <f t="shared" si="316"/>
        <v>6.0519767763339836</v>
      </c>
      <c r="AO223" s="580">
        <f t="shared" si="316"/>
        <v>7.8670168648050884</v>
      </c>
      <c r="AP223" s="580">
        <f t="shared" si="316"/>
        <v>7.2020320707768803</v>
      </c>
      <c r="AQ223" s="580">
        <f t="shared" si="316"/>
        <v>6.9176112800663576</v>
      </c>
      <c r="AR223" s="580">
        <f t="shared" si="316"/>
        <v>10.723804257672093</v>
      </c>
      <c r="AS223" s="580">
        <f t="shared" si="316"/>
        <v>15.030100912358304</v>
      </c>
      <c r="AT223" s="580">
        <f t="shared" si="316"/>
        <v>17.529444290848776</v>
      </c>
      <c r="AU223" s="580">
        <f t="shared" si="316"/>
        <v>19.499965440973181</v>
      </c>
      <c r="AV223" s="580">
        <f t="shared" si="316"/>
        <v>20.395009676527497</v>
      </c>
      <c r="AW223" s="580">
        <f t="shared" si="316"/>
        <v>23.572021011888296</v>
      </c>
      <c r="AX223" s="580">
        <f t="shared" si="316"/>
        <v>23.054672380425782</v>
      </c>
      <c r="AY223" s="580">
        <f t="shared" si="316"/>
        <v>30.871405861210942</v>
      </c>
      <c r="AZ223" s="580">
        <f t="shared" si="316"/>
        <v>24.573541609068322</v>
      </c>
      <c r="BA223" s="580">
        <f t="shared" si="316"/>
        <v>27.391035388443445</v>
      </c>
      <c r="BB223" s="580">
        <f t="shared" si="316"/>
        <v>28.904893558197383</v>
      </c>
      <c r="BC223" s="580">
        <f t="shared" si="316"/>
        <v>26.529271495714656</v>
      </c>
      <c r="BD223" s="580">
        <f t="shared" si="316"/>
        <v>24.826859275642775</v>
      </c>
      <c r="BE223" s="580">
        <f t="shared" si="316"/>
        <v>25.596834393143485</v>
      </c>
      <c r="BF223" s="580">
        <f t="shared" si="316"/>
        <v>28.294857616809487</v>
      </c>
      <c r="BG223" s="580">
        <f t="shared" si="316"/>
        <v>26.464265966270396</v>
      </c>
      <c r="BH223" s="580">
        <f t="shared" si="316"/>
        <v>27.815869505114758</v>
      </c>
      <c r="BI223" s="580">
        <f t="shared" si="316"/>
        <v>29.883605197677621</v>
      </c>
      <c r="BJ223" s="580">
        <f t="shared" si="316"/>
        <v>28.949612938899634</v>
      </c>
      <c r="BK223" s="580">
        <f t="shared" si="316"/>
        <v>27.26188830522532</v>
      </c>
      <c r="BL223" s="580">
        <f t="shared" ref="BL223:BQ223" si="317">BL101/BL$218</f>
        <v>27.199371025711912</v>
      </c>
      <c r="BM223" s="580">
        <f t="shared" si="317"/>
        <v>30.283729610174174</v>
      </c>
      <c r="BN223" s="580">
        <f t="shared" si="317"/>
        <v>27.852743986729312</v>
      </c>
      <c r="BO223" s="580">
        <f t="shared" si="317"/>
        <v>21.354679292231115</v>
      </c>
      <c r="BP223" s="580">
        <f t="shared" si="317"/>
        <v>33.085429914293591</v>
      </c>
      <c r="BQ223" s="580">
        <f t="shared" si="317"/>
        <v>36.369574232789596</v>
      </c>
      <c r="BR223" s="580">
        <f t="shared" ref="BR223:BS223" si="318">BR101/BR$218</f>
        <v>33.543337019629533</v>
      </c>
      <c r="BS223" s="580">
        <f t="shared" si="318"/>
        <v>32.807920928946636</v>
      </c>
      <c r="BT223" s="580">
        <f t="shared" ref="BT223:BU223" si="319">BT101/BT$218</f>
        <v>33.811515067735691</v>
      </c>
      <c r="BU223" s="580">
        <f t="shared" si="319"/>
        <v>38.801147359690361</v>
      </c>
      <c r="BV223" s="580">
        <f t="shared" ref="BV223:BW223" si="320">BV101/BV$218</f>
        <v>31.953967376278673</v>
      </c>
      <c r="BW223" s="580">
        <f t="shared" si="320"/>
        <v>27.710118883052289</v>
      </c>
    </row>
    <row r="224" spans="1:75" s="245" customFormat="1">
      <c r="A224" s="243"/>
      <c r="B224" s="246" t="s">
        <v>1342</v>
      </c>
      <c r="C224" s="254" t="s">
        <v>598</v>
      </c>
      <c r="D224" s="243"/>
      <c r="F224" s="245" t="e">
        <f t="shared" ref="F224:X224" si="321">(F103*12/F$4)/F$218</f>
        <v>#DIV/0!</v>
      </c>
      <c r="G224" s="245" t="e">
        <f t="shared" si="321"/>
        <v>#DIV/0!</v>
      </c>
      <c r="H224" s="245" t="e">
        <f t="shared" si="321"/>
        <v>#DIV/0!</v>
      </c>
      <c r="I224" s="245" t="e">
        <f t="shared" si="321"/>
        <v>#DIV/0!</v>
      </c>
      <c r="J224" s="245" t="e">
        <f t="shared" si="321"/>
        <v>#DIV/0!</v>
      </c>
      <c r="K224" s="245" t="e">
        <f t="shared" si="321"/>
        <v>#DIV/0!</v>
      </c>
      <c r="M224" s="245" t="e">
        <f t="shared" si="321"/>
        <v>#DIV/0!</v>
      </c>
      <c r="N224" s="245" t="e">
        <f t="shared" si="321"/>
        <v>#DIV/0!</v>
      </c>
      <c r="O224" s="245" t="e">
        <f t="shared" si="321"/>
        <v>#DIV/0!</v>
      </c>
      <c r="P224" s="245" t="e">
        <f t="shared" si="321"/>
        <v>#DIV/0!</v>
      </c>
      <c r="Q224" s="245">
        <f t="shared" si="321"/>
        <v>145.98623827143376</v>
      </c>
      <c r="R224" s="245">
        <f t="shared" si="321"/>
        <v>35.947311827957009</v>
      </c>
      <c r="S224" s="245">
        <f t="shared" si="321"/>
        <v>32.327111776594322</v>
      </c>
      <c r="T224" s="245">
        <f t="shared" si="321"/>
        <v>69.1709787798208</v>
      </c>
      <c r="U224" s="245">
        <f t="shared" si="321"/>
        <v>94.621011060624582</v>
      </c>
      <c r="V224" s="245">
        <f t="shared" si="321"/>
        <v>108.84688932415311</v>
      </c>
      <c r="W224" s="245">
        <f t="shared" si="321"/>
        <v>102.36308201259435</v>
      </c>
      <c r="X224" s="245">
        <f t="shared" si="321"/>
        <v>119.83086393190209</v>
      </c>
      <c r="Y224" s="245">
        <f>(Y103*12/Y$4)/Y$218</f>
        <v>119.64079389558634</v>
      </c>
      <c r="Z224" s="245">
        <f>(Z103*12/Z$4)/Z$218</f>
        <v>146.41716944799029</v>
      </c>
      <c r="AA224" s="245">
        <f>(AA103*12/AA$4)/AA$218</f>
        <v>142.89292539281084</v>
      </c>
      <c r="AB224" s="245">
        <f>(AB103*12/AB$4)/AB$218</f>
        <v>163.66983524648487</v>
      </c>
      <c r="AC224" s="245">
        <f t="shared" ref="AC224:AD224" si="322">(AC103*12/AC$4)/AC$218</f>
        <v>188.67816627285339</v>
      </c>
      <c r="AD224" s="245">
        <f t="shared" si="322"/>
        <v>202.54185177983641</v>
      </c>
      <c r="AF224" s="580">
        <f>AF103/AF$218</f>
        <v>32.073532318640027</v>
      </c>
      <c r="AG224" s="580">
        <f t="shared" ref="AG224:BK224" si="323">AG103/AG$218</f>
        <v>37.61810634512748</v>
      </c>
      <c r="AH224" s="580">
        <f t="shared" si="323"/>
        <v>39.963431508203207</v>
      </c>
      <c r="AI224" s="580">
        <f t="shared" si="323"/>
        <v>36.223561968768507</v>
      </c>
      <c r="AJ224" s="580">
        <f t="shared" si="323"/>
        <v>27.182249456414315</v>
      </c>
      <c r="AK224" s="580">
        <f t="shared" si="323"/>
        <v>38.784344732160505</v>
      </c>
      <c r="AL224" s="580">
        <f t="shared" si="323"/>
        <v>22.256168359941938</v>
      </c>
      <c r="AM224" s="580">
        <f t="shared" si="323"/>
        <v>7.3693668786287008</v>
      </c>
      <c r="AN224" s="580">
        <f t="shared" si="323"/>
        <v>7.2107409455349796</v>
      </c>
      <c r="AO224" s="580">
        <f t="shared" si="323"/>
        <v>9.6436964335084348</v>
      </c>
      <c r="AP224" s="580">
        <f t="shared" si="323"/>
        <v>8.9576997511749994</v>
      </c>
      <c r="AQ224" s="580">
        <f t="shared" si="323"/>
        <v>9.035111971246895</v>
      </c>
      <c r="AR224" s="580">
        <f t="shared" si="323"/>
        <v>12.116049212054177</v>
      </c>
      <c r="AS224" s="580">
        <f t="shared" si="323"/>
        <v>16.665745092618188</v>
      </c>
      <c r="AT224" s="580">
        <f t="shared" si="323"/>
        <v>19.237558750345599</v>
      </c>
      <c r="AU224" s="580">
        <f t="shared" si="323"/>
        <v>21.153925905446503</v>
      </c>
      <c r="AV224" s="580">
        <f t="shared" si="323"/>
        <v>21.494677909870045</v>
      </c>
      <c r="AW224" s="580">
        <f t="shared" si="323"/>
        <v>24.60706386508155</v>
      </c>
      <c r="AX224" s="580">
        <f t="shared" si="323"/>
        <v>24.126693392314085</v>
      </c>
      <c r="AY224" s="580">
        <f t="shared" si="323"/>
        <v>24.397981752833832</v>
      </c>
      <c r="AZ224" s="580">
        <f t="shared" si="323"/>
        <v>25.632430190765859</v>
      </c>
      <c r="BA224" s="580">
        <f t="shared" si="323"/>
        <v>29.742535250207336</v>
      </c>
      <c r="BB224" s="580">
        <f t="shared" si="323"/>
        <v>30.625863975670423</v>
      </c>
      <c r="BC224" s="580">
        <f t="shared" si="323"/>
        <v>27.480992535250181</v>
      </c>
      <c r="BD224" s="580">
        <f t="shared" si="323"/>
        <v>26.044719380702215</v>
      </c>
      <c r="BE224" s="580">
        <f t="shared" si="323"/>
        <v>27.015136853746192</v>
      </c>
      <c r="BF224" s="580">
        <f t="shared" si="323"/>
        <v>29.714542438484909</v>
      </c>
      <c r="BG224" s="580">
        <f t="shared" si="323"/>
        <v>28.07506220624828</v>
      </c>
      <c r="BH224" s="580">
        <f t="shared" si="323"/>
        <v>30.345244677909889</v>
      </c>
      <c r="BI224" s="580">
        <f t="shared" si="323"/>
        <v>31.822297484102833</v>
      </c>
      <c r="BJ224" s="580">
        <f t="shared" si="323"/>
        <v>29.547276748686752</v>
      </c>
      <c r="BK224" s="580">
        <f t="shared" si="323"/>
        <v>29.168164224495431</v>
      </c>
      <c r="BL224" s="580">
        <f t="shared" ref="BL224:BQ224" si="324">BL103/BL$218</f>
        <v>30.287876693392306</v>
      </c>
      <c r="BM224" s="580">
        <f t="shared" si="324"/>
        <v>36.882084600497649</v>
      </c>
      <c r="BN224" s="580">
        <f t="shared" si="324"/>
        <v>29.306745922034811</v>
      </c>
      <c r="BO224" s="580">
        <f t="shared" si="324"/>
        <v>23.503594138789037</v>
      </c>
      <c r="BP224" s="580">
        <f t="shared" si="324"/>
        <v>35.79520320707767</v>
      </c>
      <c r="BQ224" s="580">
        <f t="shared" si="324"/>
        <v>39.065523914846551</v>
      </c>
      <c r="BR224" s="580">
        <f t="shared" ref="BR224:BS224" si="325">BR103/BR$218</f>
        <v>36.122822781310482</v>
      </c>
      <c r="BS224" s="580">
        <f t="shared" si="325"/>
        <v>35.437862869781583</v>
      </c>
      <c r="BT224" s="580">
        <f t="shared" ref="BT224:BU224" si="326">BT103/BT$218</f>
        <v>36.488802875311038</v>
      </c>
      <c r="BU224" s="580">
        <f t="shared" si="326"/>
        <v>41.460464473320442</v>
      </c>
      <c r="BV224" s="580">
        <f t="shared" ref="BV224:BW224" si="327">BV103/BV$218</f>
        <v>34.620887475808672</v>
      </c>
      <c r="BW224" s="580">
        <f t="shared" si="327"/>
        <v>30.326237213160116</v>
      </c>
    </row>
    <row r="225" spans="1:75" s="245" customFormat="1">
      <c r="A225" s="243"/>
      <c r="B225" s="246" t="s">
        <v>1343</v>
      </c>
      <c r="C225" s="254" t="s">
        <v>1344</v>
      </c>
      <c r="D225" s="243"/>
      <c r="F225" s="245" t="e">
        <f t="shared" ref="F225:X225" si="328">(F196*12/F$4)/F$218</f>
        <v>#DIV/0!</v>
      </c>
      <c r="G225" s="245" t="e">
        <f t="shared" si="328"/>
        <v>#DIV/0!</v>
      </c>
      <c r="H225" s="245" t="e">
        <f t="shared" si="328"/>
        <v>#DIV/0!</v>
      </c>
      <c r="I225" s="245" t="e">
        <f t="shared" si="328"/>
        <v>#DIV/0!</v>
      </c>
      <c r="J225" s="245" t="e">
        <f t="shared" si="328"/>
        <v>#DIV/0!</v>
      </c>
      <c r="K225" s="245" t="e">
        <f t="shared" si="328"/>
        <v>#DIV/0!</v>
      </c>
      <c r="M225" s="245" t="e">
        <f t="shared" si="328"/>
        <v>#DIV/0!</v>
      </c>
      <c r="N225" s="245" t="e">
        <f t="shared" si="328"/>
        <v>#DIV/0!</v>
      </c>
      <c r="O225" s="245" t="e">
        <f t="shared" si="328"/>
        <v>#DIV/0!</v>
      </c>
      <c r="P225" s="245" t="e">
        <f t="shared" si="328"/>
        <v>#DIV/0!</v>
      </c>
      <c r="Q225" s="245">
        <f t="shared" si="328"/>
        <v>34.404815567279748</v>
      </c>
      <c r="R225" s="245">
        <f t="shared" si="328"/>
        <v>10.310035842293889</v>
      </c>
      <c r="S225" s="245">
        <f t="shared" si="328"/>
        <v>-2.1913347277792541</v>
      </c>
      <c r="T225" s="245">
        <f t="shared" si="328"/>
        <v>91.509737357076801</v>
      </c>
      <c r="U225" s="245">
        <f t="shared" si="328"/>
        <v>64.258186713883305</v>
      </c>
      <c r="V225" s="245">
        <f t="shared" si="328"/>
        <v>98.266554357162036</v>
      </c>
      <c r="W225" s="245">
        <f t="shared" si="328"/>
        <v>48.139556470533485</v>
      </c>
      <c r="X225" s="245">
        <f t="shared" si="328"/>
        <v>114.2282904250802</v>
      </c>
      <c r="Y225" s="245">
        <f>(Y196*12/Y$4)/Y$218</f>
        <v>64.201165702988547</v>
      </c>
      <c r="Z225" s="245">
        <f>(Z196*12/Z$4)/Z$218</f>
        <v>119.11324461578242</v>
      </c>
      <c r="AA225" s="245">
        <f>(AA196*12/AA$4)/AA$218</f>
        <v>96.77044959104758</v>
      </c>
      <c r="AB225" s="245">
        <f>(AB196*12/AB$4)/AB$218</f>
        <v>81.293939365243375</v>
      </c>
      <c r="AC225" s="245">
        <f t="shared" ref="AC225:AD225" si="329">(AC196*12/AC$4)/AC$218</f>
        <v>101.98897427136669</v>
      </c>
      <c r="AD225" s="245">
        <f t="shared" si="329"/>
        <v>114.98638476950255</v>
      </c>
      <c r="AF225" s="580">
        <f>AF196/AF$218</f>
        <v>30.892468867365075</v>
      </c>
      <c r="AG225" s="580">
        <f t="shared" ref="AG225:BK225" si="330">AG196/AG$218</f>
        <v>31.233445344929809</v>
      </c>
      <c r="AH225" s="580">
        <f t="shared" si="330"/>
        <v>31.27199051195889</v>
      </c>
      <c r="AI225" s="580">
        <f t="shared" si="330"/>
        <v>27.725835145285611</v>
      </c>
      <c r="AJ225" s="580">
        <f t="shared" si="330"/>
        <v>22.324570073136986</v>
      </c>
      <c r="AK225" s="580">
        <f t="shared" si="330"/>
        <v>32.548922711998415</v>
      </c>
      <c r="AL225" s="580">
        <f t="shared" si="330"/>
        <v>23.595791001451371</v>
      </c>
      <c r="AM225" s="580">
        <f t="shared" si="330"/>
        <v>7.6092065247442653</v>
      </c>
      <c r="AN225" s="580">
        <f t="shared" si="330"/>
        <v>8.0612385955211536</v>
      </c>
      <c r="AO225" s="580">
        <f t="shared" si="330"/>
        <v>10.738871993364668</v>
      </c>
      <c r="AP225" s="580">
        <f t="shared" si="330"/>
        <v>9.4674453967376202</v>
      </c>
      <c r="AQ225" s="580">
        <f t="shared" si="330"/>
        <v>9.3845037323749008</v>
      </c>
      <c r="AR225" s="580">
        <f t="shared" si="330"/>
        <v>14.595659386231672</v>
      </c>
      <c r="AS225" s="580">
        <f t="shared" si="330"/>
        <v>20.836674039259048</v>
      </c>
      <c r="AT225" s="580">
        <f t="shared" si="330"/>
        <v>23.771426596627048</v>
      </c>
      <c r="AU225" s="580">
        <f t="shared" si="330"/>
        <v>25.677011335360795</v>
      </c>
      <c r="AV225" s="580">
        <f t="shared" si="330"/>
        <v>25.75027647221453</v>
      </c>
      <c r="AW225" s="580">
        <f t="shared" si="330"/>
        <v>29.970279236936676</v>
      </c>
      <c r="AX225" s="580">
        <f t="shared" si="330"/>
        <v>28.27965164500969</v>
      </c>
      <c r="AY225" s="580">
        <f t="shared" si="330"/>
        <v>26.726568979817522</v>
      </c>
      <c r="AZ225" s="580">
        <f t="shared" si="330"/>
        <v>27.965164500967681</v>
      </c>
      <c r="BA225" s="580">
        <f t="shared" si="330"/>
        <v>35.17936134918439</v>
      </c>
      <c r="BB225" s="580">
        <f t="shared" si="330"/>
        <v>32.899847940281987</v>
      </c>
      <c r="BC225" s="580">
        <f t="shared" si="330"/>
        <v>30.797967929223088</v>
      </c>
      <c r="BD225" s="580">
        <f t="shared" si="330"/>
        <v>28.907243572020988</v>
      </c>
      <c r="BE225" s="580">
        <f t="shared" si="330"/>
        <v>30.210464473320425</v>
      </c>
      <c r="BF225" s="580">
        <f t="shared" si="330"/>
        <v>33.545410561238569</v>
      </c>
      <c r="BG225" s="580">
        <f t="shared" si="330"/>
        <v>27.300940005529448</v>
      </c>
      <c r="BH225" s="580">
        <f t="shared" si="330"/>
        <v>33.118606580038723</v>
      </c>
      <c r="BI225" s="580">
        <f t="shared" si="330"/>
        <v>38.949059994470545</v>
      </c>
      <c r="BJ225" s="580">
        <f t="shared" si="330"/>
        <v>34.341650539120813</v>
      </c>
      <c r="BK225" s="580">
        <f t="shared" si="330"/>
        <v>31.928393696433503</v>
      </c>
      <c r="BL225" s="580">
        <f t="shared" ref="BL225:BQ225" si="331">BL196/BL$218</f>
        <v>0</v>
      </c>
      <c r="BM225" s="580">
        <f t="shared" si="331"/>
        <v>0</v>
      </c>
      <c r="BN225" s="580">
        <f t="shared" si="331"/>
        <v>0</v>
      </c>
      <c r="BO225" s="580">
        <f t="shared" si="331"/>
        <v>0</v>
      </c>
      <c r="BP225" s="580">
        <f t="shared" si="331"/>
        <v>0</v>
      </c>
      <c r="BQ225" s="580">
        <f t="shared" si="331"/>
        <v>0</v>
      </c>
      <c r="BR225" s="580">
        <f t="shared" ref="BR225:BS225" si="332">BR196/BR$218</f>
        <v>0</v>
      </c>
      <c r="BS225" s="580">
        <f t="shared" si="332"/>
        <v>0</v>
      </c>
      <c r="BT225" s="580">
        <f t="shared" ref="BT225:BU225" si="333">BT196/BT$218</f>
        <v>0</v>
      </c>
      <c r="BU225" s="580">
        <f t="shared" si="333"/>
        <v>0</v>
      </c>
      <c r="BV225" s="580">
        <f t="shared" ref="BV225:BW225" si="334">BV196/BV$218</f>
        <v>0</v>
      </c>
      <c r="BW225" s="580">
        <f t="shared" si="334"/>
        <v>0</v>
      </c>
    </row>
    <row r="226" spans="1:75" s="245" customFormat="1">
      <c r="A226" s="243"/>
      <c r="B226" s="246" t="s">
        <v>1345</v>
      </c>
      <c r="C226" s="254" t="s">
        <v>1346</v>
      </c>
      <c r="D226" s="243"/>
      <c r="F226" s="245" t="e">
        <f t="shared" ref="F226:O226" si="335">(F361*12/F$4)/F$218</f>
        <v>#DIV/0!</v>
      </c>
      <c r="G226" s="245" t="e">
        <f t="shared" si="335"/>
        <v>#DIV/0!</v>
      </c>
      <c r="H226" s="245" t="e">
        <f t="shared" si="335"/>
        <v>#DIV/0!</v>
      </c>
      <c r="I226" s="245" t="e">
        <f t="shared" si="335"/>
        <v>#DIV/0!</v>
      </c>
      <c r="J226" s="245" t="e">
        <f t="shared" si="335"/>
        <v>#DIV/0!</v>
      </c>
      <c r="K226" s="245" t="e">
        <f t="shared" si="335"/>
        <v>#DIV/0!</v>
      </c>
      <c r="M226" s="245" t="e">
        <f t="shared" si="335"/>
        <v>#DIV/0!</v>
      </c>
      <c r="N226" s="245" t="e">
        <f t="shared" si="335"/>
        <v>#DIV/0!</v>
      </c>
      <c r="O226" s="245" t="e">
        <f t="shared" si="335"/>
        <v>#DIV/0!</v>
      </c>
      <c r="P226" s="245" t="e">
        <f t="shared" ref="P226:X226" si="336">-(P361*12/P$4)/P$218</f>
        <v>#DIV/0!</v>
      </c>
      <c r="Q226" s="245">
        <f t="shared" si="336"/>
        <v>39.999600725454187</v>
      </c>
      <c r="R226" s="245">
        <f t="shared" si="336"/>
        <v>10.371684587813618</v>
      </c>
      <c r="S226" s="245">
        <f t="shared" si="336"/>
        <v>11</v>
      </c>
      <c r="T226" s="245">
        <f t="shared" si="336"/>
        <v>19.999860384918779</v>
      </c>
      <c r="U226" s="245">
        <f t="shared" si="336"/>
        <v>40.00006635172177</v>
      </c>
      <c r="V226" s="245">
        <f t="shared" si="336"/>
        <v>44.999945052480406</v>
      </c>
      <c r="W226" s="245">
        <f t="shared" si="336"/>
        <v>45</v>
      </c>
      <c r="X226" s="245">
        <f t="shared" si="336"/>
        <v>50</v>
      </c>
      <c r="Y226" s="245">
        <f>-(Y361*12/Y$4)/Y$218</f>
        <v>50</v>
      </c>
      <c r="Z226" s="245">
        <f>-(Z361*12/Z$4)/Z$218</f>
        <v>55</v>
      </c>
      <c r="AA226" s="245">
        <f>-(AA361*12/AA$4)/AA$218</f>
        <v>65</v>
      </c>
      <c r="AB226" s="245">
        <f>-(AB361*12/AB$4)/AB$218</f>
        <v>75</v>
      </c>
      <c r="AC226" s="245">
        <f t="shared" ref="AC226:AD226" si="337">-(AC361*12/AC$4)/AC$218</f>
        <v>75</v>
      </c>
      <c r="AD226" s="245">
        <f t="shared" si="337"/>
        <v>75</v>
      </c>
      <c r="AF226" s="580">
        <f>AF361/AF$218</f>
        <v>0</v>
      </c>
      <c r="AG226" s="580">
        <f t="shared" ref="AG226:BK226" si="338">AG361/AG$218</f>
        <v>0</v>
      </c>
      <c r="AH226" s="580">
        <f t="shared" si="338"/>
        <v>0</v>
      </c>
      <c r="AI226" s="580">
        <f t="shared" si="338"/>
        <v>0</v>
      </c>
      <c r="AJ226" s="580">
        <f t="shared" si="338"/>
        <v>0</v>
      </c>
      <c r="AK226" s="580">
        <f t="shared" si="338"/>
        <v>0</v>
      </c>
      <c r="AL226" s="580">
        <f t="shared" si="338"/>
        <v>0</v>
      </c>
      <c r="AM226" s="580">
        <f t="shared" si="338"/>
        <v>0</v>
      </c>
      <c r="AN226" s="580">
        <f t="shared" si="338"/>
        <v>0</v>
      </c>
      <c r="AO226" s="580">
        <f t="shared" si="338"/>
        <v>0</v>
      </c>
      <c r="AP226" s="580">
        <f t="shared" si="338"/>
        <v>0</v>
      </c>
      <c r="AQ226" s="580">
        <f t="shared" si="338"/>
        <v>0</v>
      </c>
      <c r="AR226" s="580">
        <f t="shared" si="338"/>
        <v>0</v>
      </c>
      <c r="AS226" s="580">
        <f t="shared" si="338"/>
        <v>0</v>
      </c>
      <c r="AT226" s="580">
        <f t="shared" si="338"/>
        <v>0</v>
      </c>
      <c r="AU226" s="580">
        <f t="shared" si="338"/>
        <v>0</v>
      </c>
      <c r="AV226" s="580">
        <f t="shared" si="338"/>
        <v>0</v>
      </c>
      <c r="AW226" s="580">
        <f t="shared" si="338"/>
        <v>0</v>
      </c>
      <c r="AX226" s="580">
        <f t="shared" si="338"/>
        <v>0</v>
      </c>
      <c r="AY226" s="580">
        <f t="shared" si="338"/>
        <v>0</v>
      </c>
      <c r="AZ226" s="580">
        <f t="shared" si="338"/>
        <v>0</v>
      </c>
      <c r="BA226" s="580">
        <f t="shared" si="338"/>
        <v>0</v>
      </c>
      <c r="BB226" s="580">
        <f t="shared" si="338"/>
        <v>0</v>
      </c>
      <c r="BC226" s="580">
        <f t="shared" si="338"/>
        <v>0</v>
      </c>
      <c r="BD226" s="580">
        <f t="shared" si="338"/>
        <v>0</v>
      </c>
      <c r="BE226" s="580">
        <f t="shared" si="338"/>
        <v>0</v>
      </c>
      <c r="BF226" s="580">
        <f t="shared" si="338"/>
        <v>0</v>
      </c>
      <c r="BG226" s="580">
        <f t="shared" si="338"/>
        <v>0</v>
      </c>
      <c r="BH226" s="580">
        <f t="shared" si="338"/>
        <v>0</v>
      </c>
      <c r="BI226" s="580">
        <f t="shared" si="338"/>
        <v>0</v>
      </c>
      <c r="BJ226" s="580">
        <f t="shared" si="338"/>
        <v>0</v>
      </c>
      <c r="BK226" s="580">
        <f t="shared" si="338"/>
        <v>0</v>
      </c>
      <c r="BL226" s="580">
        <f t="shared" ref="BL226:BQ226" si="339">BL361/BL$218</f>
        <v>0</v>
      </c>
      <c r="BM226" s="580">
        <f t="shared" si="339"/>
        <v>0</v>
      </c>
      <c r="BN226" s="580">
        <f t="shared" si="339"/>
        <v>0</v>
      </c>
      <c r="BO226" s="580">
        <f t="shared" si="339"/>
        <v>0</v>
      </c>
      <c r="BP226" s="580">
        <f t="shared" si="339"/>
        <v>0</v>
      </c>
      <c r="BQ226" s="580">
        <f t="shared" si="339"/>
        <v>0</v>
      </c>
      <c r="BR226" s="580">
        <f t="shared" ref="BR226:BS226" si="340">BR361/BR$218</f>
        <v>0</v>
      </c>
      <c r="BS226" s="580">
        <f t="shared" si="340"/>
        <v>0</v>
      </c>
      <c r="BT226" s="580">
        <f t="shared" ref="BT226:BU226" si="341">BT361/BT$218</f>
        <v>0</v>
      </c>
      <c r="BU226" s="580">
        <f t="shared" si="341"/>
        <v>0</v>
      </c>
      <c r="BV226" s="580">
        <f t="shared" ref="BV226:BW226" si="342">BV361/BV$218</f>
        <v>0</v>
      </c>
      <c r="BW226" s="580">
        <f t="shared" si="342"/>
        <v>0</v>
      </c>
    </row>
    <row r="227" spans="1:75" s="245" customFormat="1">
      <c r="A227" s="243"/>
      <c r="B227" s="246" t="s">
        <v>1347</v>
      </c>
      <c r="C227" s="254" t="s">
        <v>1348</v>
      </c>
      <c r="D227" s="243"/>
      <c r="F227" s="245" t="e">
        <f t="shared" ref="F227:X227" si="343">(F337*12/F$4)/F$218</f>
        <v>#DIV/0!</v>
      </c>
      <c r="G227" s="245" t="e">
        <f t="shared" si="343"/>
        <v>#DIV/0!</v>
      </c>
      <c r="H227" s="245" t="e">
        <f t="shared" si="343"/>
        <v>#DIV/0!</v>
      </c>
      <c r="I227" s="245" t="e">
        <f t="shared" si="343"/>
        <v>#DIV/0!</v>
      </c>
      <c r="J227" s="245" t="e">
        <f t="shared" si="343"/>
        <v>#DIV/0!</v>
      </c>
      <c r="K227" s="245" t="e">
        <f t="shared" si="343"/>
        <v>#DIV/0!</v>
      </c>
      <c r="M227" s="245" t="e">
        <f t="shared" si="343"/>
        <v>#DIV/0!</v>
      </c>
      <c r="N227" s="245" t="e">
        <f t="shared" si="343"/>
        <v>#DIV/0!</v>
      </c>
      <c r="O227" s="245" t="e">
        <f t="shared" si="343"/>
        <v>#DIV/0!</v>
      </c>
      <c r="P227" s="245" t="e">
        <f t="shared" si="343"/>
        <v>#DIV/0!</v>
      </c>
      <c r="Q227" s="245">
        <f t="shared" si="343"/>
        <v>545.2295052820366</v>
      </c>
      <c r="R227" s="245">
        <f t="shared" si="343"/>
        <v>46.514821146953402</v>
      </c>
      <c r="S227" s="245">
        <f t="shared" si="343"/>
        <v>43.621540215605783</v>
      </c>
      <c r="T227" s="245">
        <f t="shared" si="343"/>
        <v>101.19859236204594</v>
      </c>
      <c r="U227" s="245">
        <f t="shared" si="343"/>
        <v>169.6882049654449</v>
      </c>
      <c r="V227" s="245">
        <f t="shared" si="343"/>
        <v>208.76833234139812</v>
      </c>
      <c r="W227" s="245">
        <f t="shared" si="343"/>
        <v>273.0769740103762</v>
      </c>
      <c r="X227" s="245">
        <f t="shared" si="343"/>
        <v>332.0356625298902</v>
      </c>
      <c r="Y227" s="245">
        <f>(Y337*12/Y$4)/Y$218</f>
        <v>369.49995199867629</v>
      </c>
      <c r="Z227" s="245">
        <f>(Z337*12/Z$4)/Z$218</f>
        <v>424.77739930417778</v>
      </c>
      <c r="AA227" s="245">
        <f>(AA337*12/AA$4)/AA$218</f>
        <v>481.0009389770816</v>
      </c>
      <c r="AB227" s="245">
        <f>(AB337*12/AB$4)/AB$218</f>
        <v>545.25989973966716</v>
      </c>
      <c r="AC227" s="245">
        <f t="shared" ref="AC227:AD227" si="344">(AC337*12/AC$4)/AC$218</f>
        <v>633.57338552819999</v>
      </c>
      <c r="AD227" s="245">
        <f t="shared" si="344"/>
        <v>822.35010609163157</v>
      </c>
      <c r="AF227" s="580">
        <f>AF337/AF$218</f>
        <v>0</v>
      </c>
      <c r="AG227" s="580">
        <f t="shared" ref="AG227:BK227" si="345">AG337/AG$218</f>
        <v>0</v>
      </c>
      <c r="AH227" s="580">
        <f t="shared" si="345"/>
        <v>0</v>
      </c>
      <c r="AI227" s="580">
        <f t="shared" si="345"/>
        <v>0</v>
      </c>
      <c r="AJ227" s="580">
        <f t="shared" si="345"/>
        <v>0</v>
      </c>
      <c r="AK227" s="580">
        <f t="shared" si="345"/>
        <v>0</v>
      </c>
      <c r="AL227" s="580">
        <f t="shared" si="345"/>
        <v>0</v>
      </c>
      <c r="AM227" s="580">
        <f t="shared" si="345"/>
        <v>0</v>
      </c>
      <c r="AN227" s="580">
        <f t="shared" si="345"/>
        <v>0</v>
      </c>
      <c r="AO227" s="580">
        <f t="shared" si="345"/>
        <v>0</v>
      </c>
      <c r="AP227" s="580">
        <f t="shared" si="345"/>
        <v>0</v>
      </c>
      <c r="AQ227" s="580">
        <f t="shared" si="345"/>
        <v>0</v>
      </c>
      <c r="AR227" s="580">
        <f t="shared" si="345"/>
        <v>0</v>
      </c>
      <c r="AS227" s="580">
        <f t="shared" si="345"/>
        <v>0</v>
      </c>
      <c r="AT227" s="580">
        <f t="shared" si="345"/>
        <v>0</v>
      </c>
      <c r="AU227" s="580">
        <f t="shared" si="345"/>
        <v>0</v>
      </c>
      <c r="AV227" s="580">
        <f t="shared" si="345"/>
        <v>0</v>
      </c>
      <c r="AW227" s="580">
        <f t="shared" si="345"/>
        <v>0</v>
      </c>
      <c r="AX227" s="580">
        <f t="shared" si="345"/>
        <v>0</v>
      </c>
      <c r="AY227" s="580">
        <f t="shared" si="345"/>
        <v>0</v>
      </c>
      <c r="AZ227" s="580">
        <f t="shared" si="345"/>
        <v>0</v>
      </c>
      <c r="BA227" s="580">
        <f t="shared" si="345"/>
        <v>0</v>
      </c>
      <c r="BB227" s="580">
        <f t="shared" si="345"/>
        <v>0</v>
      </c>
      <c r="BC227" s="580">
        <f t="shared" si="345"/>
        <v>0</v>
      </c>
      <c r="BD227" s="580">
        <f t="shared" si="345"/>
        <v>0</v>
      </c>
      <c r="BE227" s="580">
        <f t="shared" si="345"/>
        <v>0</v>
      </c>
      <c r="BF227" s="580">
        <f t="shared" si="345"/>
        <v>0</v>
      </c>
      <c r="BG227" s="580">
        <f t="shared" si="345"/>
        <v>0</v>
      </c>
      <c r="BH227" s="580">
        <f t="shared" si="345"/>
        <v>0</v>
      </c>
      <c r="BI227" s="580">
        <f t="shared" si="345"/>
        <v>0</v>
      </c>
      <c r="BJ227" s="580">
        <f t="shared" si="345"/>
        <v>0</v>
      </c>
      <c r="BK227" s="580">
        <f t="shared" si="345"/>
        <v>0</v>
      </c>
      <c r="BL227" s="580">
        <f t="shared" ref="BL227:BQ227" si="346">BL337/BL$218</f>
        <v>0</v>
      </c>
      <c r="BM227" s="580">
        <f t="shared" si="346"/>
        <v>0</v>
      </c>
      <c r="BN227" s="580">
        <f t="shared" si="346"/>
        <v>0</v>
      </c>
      <c r="BO227" s="580">
        <f t="shared" si="346"/>
        <v>0</v>
      </c>
      <c r="BP227" s="580">
        <f t="shared" si="346"/>
        <v>0</v>
      </c>
      <c r="BQ227" s="580">
        <f t="shared" si="346"/>
        <v>0</v>
      </c>
      <c r="BR227" s="580">
        <f t="shared" ref="BR227:BS227" si="347">BR337/BR$218</f>
        <v>0</v>
      </c>
      <c r="BS227" s="580">
        <f t="shared" si="347"/>
        <v>0</v>
      </c>
      <c r="BT227" s="580">
        <f t="shared" ref="BT227:BU227" si="348">BT337/BT$218</f>
        <v>0</v>
      </c>
      <c r="BU227" s="580">
        <f t="shared" si="348"/>
        <v>0</v>
      </c>
      <c r="BV227" s="580">
        <f t="shared" ref="BV227:BW227" si="349">BV337/BV$218</f>
        <v>0</v>
      </c>
      <c r="BW227" s="580">
        <f t="shared" si="349"/>
        <v>0</v>
      </c>
    </row>
    <row r="228" spans="1:75" s="240" customFormat="1">
      <c r="A228" s="209"/>
      <c r="B228" s="209"/>
      <c r="C228" s="247"/>
      <c r="D228" s="209"/>
      <c r="AF228" s="579"/>
      <c r="AG228" s="579"/>
      <c r="AH228" s="579"/>
      <c r="AI228" s="579"/>
      <c r="AJ228" s="579"/>
      <c r="AK228" s="579"/>
      <c r="AL228" s="579"/>
      <c r="AM228" s="579"/>
      <c r="AN228" s="579"/>
      <c r="AO228" s="579"/>
      <c r="AP228" s="579"/>
      <c r="AQ228" s="579"/>
      <c r="AR228" s="579"/>
      <c r="AS228" s="579"/>
      <c r="AT228" s="579"/>
      <c r="AU228" s="579"/>
      <c r="AV228" s="579"/>
      <c r="AW228" s="579"/>
      <c r="AX228" s="579"/>
      <c r="AY228" s="579"/>
      <c r="AZ228" s="579"/>
      <c r="BA228" s="579"/>
      <c r="BB228" s="579"/>
      <c r="BC228" s="579"/>
      <c r="BD228" s="579"/>
      <c r="BE228" s="579"/>
      <c r="BF228" s="579"/>
      <c r="BG228" s="579"/>
      <c r="BH228" s="579"/>
      <c r="BI228" s="579"/>
      <c r="BJ228" s="579"/>
      <c r="BK228" s="579"/>
      <c r="BL228" s="579"/>
      <c r="BM228" s="579"/>
      <c r="BN228" s="579"/>
      <c r="BO228" s="579"/>
      <c r="BP228" s="579"/>
      <c r="BQ228" s="579"/>
      <c r="BR228" s="579"/>
      <c r="BS228" s="579"/>
      <c r="BT228" s="579"/>
      <c r="BU228" s="579"/>
      <c r="BV228" s="579"/>
      <c r="BW228" s="579"/>
    </row>
    <row r="229" spans="1:75" s="248" customFormat="1">
      <c r="A229" s="247"/>
      <c r="B229" s="220"/>
      <c r="C229" s="271" t="s">
        <v>1349</v>
      </c>
      <c r="D229" s="247"/>
      <c r="AF229" s="581"/>
      <c r="AG229" s="581"/>
      <c r="AH229" s="581"/>
      <c r="AI229" s="581"/>
      <c r="AJ229" s="581"/>
      <c r="AK229" s="581"/>
      <c r="AL229" s="581"/>
      <c r="AM229" s="581"/>
      <c r="AN229" s="581"/>
      <c r="AO229" s="581"/>
      <c r="AP229" s="581"/>
      <c r="AQ229" s="581"/>
      <c r="AR229" s="581"/>
      <c r="AS229" s="581"/>
      <c r="AT229" s="581"/>
      <c r="AU229" s="581"/>
      <c r="AV229" s="581"/>
      <c r="AW229" s="581"/>
      <c r="AX229" s="581"/>
      <c r="AY229" s="581"/>
      <c r="AZ229" s="581"/>
      <c r="BA229" s="581"/>
      <c r="BB229" s="581"/>
      <c r="BC229" s="581"/>
      <c r="BD229" s="581"/>
      <c r="BE229" s="581"/>
      <c r="BF229" s="581"/>
      <c r="BG229" s="581"/>
      <c r="BH229" s="581"/>
      <c r="BI229" s="581"/>
      <c r="BJ229" s="581"/>
      <c r="BK229" s="581"/>
      <c r="BL229" s="581"/>
      <c r="BM229" s="581"/>
      <c r="BN229" s="581"/>
      <c r="BO229" s="581"/>
      <c r="BP229" s="581"/>
      <c r="BQ229" s="581"/>
      <c r="BR229" s="581"/>
      <c r="BS229" s="581"/>
      <c r="BT229" s="581"/>
      <c r="BU229" s="581"/>
      <c r="BV229" s="581"/>
      <c r="BW229" s="581"/>
    </row>
    <row r="230" spans="1:75" s="245" customFormat="1">
      <c r="A230" s="243"/>
      <c r="B230" s="246" t="s">
        <v>1350</v>
      </c>
      <c r="C230" s="265" t="s">
        <v>1351</v>
      </c>
      <c r="D230" s="243"/>
      <c r="G230" s="245" t="e">
        <f t="shared" ref="G230:Y230" si="350">IF(F40&lt;0,"n.a.",((G40*12/G$4)/(F40*12/F$4)-1)*100)</f>
        <v>#DIV/0!</v>
      </c>
      <c r="H230" s="245" t="e">
        <f t="shared" si="350"/>
        <v>#DIV/0!</v>
      </c>
      <c r="I230" s="245" t="e">
        <f t="shared" si="350"/>
        <v>#DIV/0!</v>
      </c>
      <c r="J230" s="245" t="e">
        <f t="shared" si="350"/>
        <v>#DIV/0!</v>
      </c>
      <c r="K230" s="245" t="e">
        <f t="shared" si="350"/>
        <v>#DIV/0!</v>
      </c>
      <c r="M230" s="245" t="e">
        <f t="shared" si="350"/>
        <v>#DIV/0!</v>
      </c>
      <c r="N230" s="245">
        <f t="shared" si="350"/>
        <v>15.538127689158232</v>
      </c>
      <c r="O230" s="245">
        <f t="shared" si="350"/>
        <v>19.26436026646423</v>
      </c>
      <c r="P230" s="245">
        <f t="shared" si="350"/>
        <v>30.132279027238297</v>
      </c>
      <c r="Q230" s="245">
        <f t="shared" si="350"/>
        <v>23.922872615282852</v>
      </c>
      <c r="R230" s="245">
        <f t="shared" si="350"/>
        <v>-6.0031356785595902</v>
      </c>
      <c r="S230" s="245">
        <f t="shared" si="350"/>
        <v>-2.241777984795279</v>
      </c>
      <c r="T230" s="245">
        <f t="shared" si="350"/>
        <v>34.846582059057397</v>
      </c>
      <c r="U230" s="245">
        <f t="shared" si="350"/>
        <v>37.957105852284137</v>
      </c>
      <c r="V230" s="245">
        <f t="shared" si="350"/>
        <v>19.091999563367491</v>
      </c>
      <c r="W230" s="245">
        <f t="shared" si="350"/>
        <v>2.3978210843577319</v>
      </c>
      <c r="X230" s="245">
        <f t="shared" si="350"/>
        <v>0.76140469314531778</v>
      </c>
      <c r="Y230" s="245">
        <f t="shared" si="350"/>
        <v>7.258241019260514</v>
      </c>
      <c r="Z230" s="245">
        <f>IF(Y40&lt;0,"n.a.",((Z40*12/Z$4)/(Y40*12/Y$4)-1)*100)</f>
        <v>4.5091132199180262</v>
      </c>
      <c r="AA230" s="245">
        <f>IF(Z40&lt;0,"n.a.",((AA40*12/AA$4)/(Z40*12/Z$4)-1)*100)</f>
        <v>-3.6297756360873734</v>
      </c>
      <c r="AB230" s="245">
        <f>IF(AA40&lt;0,"n.a.",((AB40*12/AB$4)/(AA40*12/AA$4)-1)*100)</f>
        <v>20.534518315446661</v>
      </c>
      <c r="AC230" s="245">
        <f t="shared" ref="AC230:AD230" si="351">IF(AB40&lt;0,"n.a.",((AC40*12/AC$4)/(AB40*12/AB$4)-1)*100)</f>
        <v>15.800062026025795</v>
      </c>
      <c r="AD230" s="245">
        <f t="shared" si="351"/>
        <v>15.942287381312227</v>
      </c>
      <c r="AF230" s="580">
        <f t="shared" ref="AF230:BK232" si="352">AF594</f>
        <v>0</v>
      </c>
      <c r="AG230" s="580">
        <f t="shared" si="352"/>
        <v>0</v>
      </c>
      <c r="AH230" s="580">
        <f t="shared" si="352"/>
        <v>0</v>
      </c>
      <c r="AI230" s="580">
        <f t="shared" si="352"/>
        <v>0</v>
      </c>
      <c r="AJ230" s="580">
        <f t="shared" si="352"/>
        <v>-4.2680213923165571</v>
      </c>
      <c r="AK230" s="580">
        <f t="shared" si="352"/>
        <v>-3.0439619535544415</v>
      </c>
      <c r="AL230" s="580">
        <f t="shared" si="352"/>
        <v>-2.6080218672003608</v>
      </c>
      <c r="AM230" s="580">
        <f t="shared" si="352"/>
        <v>-10.334766916643257</v>
      </c>
      <c r="AN230" s="580">
        <f t="shared" si="352"/>
        <v>9.5852796813126862</v>
      </c>
      <c r="AO230" s="580">
        <f t="shared" si="352"/>
        <v>7.9011101608081891</v>
      </c>
      <c r="AP230" s="580">
        <f t="shared" si="352"/>
        <v>-15.91804097951024</v>
      </c>
      <c r="AQ230" s="580">
        <f t="shared" si="352"/>
        <v>-9.2091879775362031</v>
      </c>
      <c r="AR230" s="580">
        <f t="shared" si="352"/>
        <v>1.1987346209272109</v>
      </c>
      <c r="AS230" s="580">
        <f t="shared" si="352"/>
        <v>13.305446882982853</v>
      </c>
      <c r="AT230" s="580">
        <f t="shared" si="352"/>
        <v>56.699633873805347</v>
      </c>
      <c r="AU230" s="580">
        <f t="shared" si="352"/>
        <v>80.494422350948525</v>
      </c>
      <c r="AV230" s="580">
        <f t="shared" si="352"/>
        <v>66.350648073312897</v>
      </c>
      <c r="AW230" s="580">
        <f t="shared" si="352"/>
        <v>50.365539859602215</v>
      </c>
      <c r="AX230" s="580">
        <f t="shared" si="352"/>
        <v>26.749101060521021</v>
      </c>
      <c r="AY230" s="580">
        <f t="shared" si="352"/>
        <v>21.925311447440031</v>
      </c>
      <c r="AZ230" s="580">
        <f t="shared" si="352"/>
        <v>20.982452712811629</v>
      </c>
      <c r="BA230" s="580">
        <f t="shared" si="352"/>
        <v>21.314563938624829</v>
      </c>
      <c r="BB230" s="580">
        <f t="shared" si="352"/>
        <v>19.363047870761395</v>
      </c>
      <c r="BC230" s="580">
        <f t="shared" si="352"/>
        <v>12.223779733110728</v>
      </c>
      <c r="BD230" s="580">
        <f t="shared" si="352"/>
        <v>3.3863191601027465</v>
      </c>
      <c r="BE230" s="580">
        <f t="shared" si="352"/>
        <v>-5.5979769367754724</v>
      </c>
      <c r="BF230" s="580">
        <f t="shared" si="352"/>
        <v>8.5605578943779292</v>
      </c>
      <c r="BG230" s="580">
        <f t="shared" si="352"/>
        <v>2.0432382230019197</v>
      </c>
      <c r="BH230" s="580">
        <f t="shared" si="352"/>
        <v>0.93368628305308121</v>
      </c>
      <c r="BI230" s="580">
        <f t="shared" si="352"/>
        <v>4.0722789799694237</v>
      </c>
      <c r="BJ230" s="580">
        <f t="shared" si="352"/>
        <v>-5.2001677533065616</v>
      </c>
      <c r="BK230" s="580">
        <f t="shared" si="352"/>
        <v>3.9146904653553749</v>
      </c>
      <c r="BL230" s="580">
        <f t="shared" ref="BL230:BP232" si="353">BL594</f>
        <v>6.9499846266307452</v>
      </c>
      <c r="BM230" s="580">
        <f t="shared" si="353"/>
        <v>15.231241630256864</v>
      </c>
      <c r="BN230" s="580">
        <f t="shared" si="353"/>
        <v>10.249569304885364</v>
      </c>
      <c r="BO230" s="580">
        <f t="shared" si="353"/>
        <v>-3.9119759787036079</v>
      </c>
      <c r="BP230" s="580">
        <f t="shared" si="353"/>
        <v>6.604016061198581</v>
      </c>
      <c r="BQ230" s="580">
        <f t="shared" ref="BQ230:BR230" si="354">BQ594</f>
        <v>1.9595545262607095</v>
      </c>
      <c r="BR230" s="580">
        <f t="shared" si="354"/>
        <v>-1.9327685043935339</v>
      </c>
      <c r="BS230" s="580">
        <f t="shared" ref="BS230:BT230" si="355">BS594</f>
        <v>13.085155316985064</v>
      </c>
      <c r="BT230" s="580">
        <f t="shared" si="355"/>
        <v>0</v>
      </c>
      <c r="BU230" s="580">
        <f t="shared" ref="BU230:BV230" si="356">BU594</f>
        <v>0</v>
      </c>
      <c r="BV230" s="580">
        <f t="shared" si="356"/>
        <v>0</v>
      </c>
      <c r="BW230" s="580">
        <f t="shared" ref="BW230" si="357">BW594</f>
        <v>0</v>
      </c>
    </row>
    <row r="231" spans="1:75" s="245" customFormat="1">
      <c r="A231" s="243"/>
      <c r="B231" s="246" t="s">
        <v>1352</v>
      </c>
      <c r="C231" s="265" t="s">
        <v>1353</v>
      </c>
      <c r="D231" s="243"/>
      <c r="G231" s="245" t="e">
        <f t="shared" ref="G231:Y231" si="358">IF(F77&lt;0,"n.a.",((G77*12/G$4)/(F77*12/F$4)-1)*100)</f>
        <v>#DIV/0!</v>
      </c>
      <c r="H231" s="245" t="e">
        <f t="shared" si="358"/>
        <v>#DIV/0!</v>
      </c>
      <c r="I231" s="245" t="e">
        <f t="shared" si="358"/>
        <v>#DIV/0!</v>
      </c>
      <c r="J231" s="245" t="e">
        <f t="shared" si="358"/>
        <v>#DIV/0!</v>
      </c>
      <c r="K231" s="245" t="e">
        <f t="shared" si="358"/>
        <v>#DIV/0!</v>
      </c>
      <c r="M231" s="245" t="e">
        <f t="shared" si="358"/>
        <v>#DIV/0!</v>
      </c>
      <c r="N231" s="245">
        <f t="shared" si="358"/>
        <v>15.969476298381613</v>
      </c>
      <c r="O231" s="245">
        <f t="shared" si="358"/>
        <v>1.2061722589149504</v>
      </c>
      <c r="P231" s="245">
        <f t="shared" si="358"/>
        <v>52.894259787706829</v>
      </c>
      <c r="Q231" s="245">
        <f t="shared" si="358"/>
        <v>4.2012691260940427</v>
      </c>
      <c r="R231" s="245">
        <f t="shared" si="358"/>
        <v>-17.451557023727972</v>
      </c>
      <c r="S231" s="245">
        <f t="shared" si="358"/>
        <v>-8.5525352593821662</v>
      </c>
      <c r="T231" s="245">
        <f t="shared" si="358"/>
        <v>127.52176890715168</v>
      </c>
      <c r="U231" s="245">
        <f t="shared" si="358"/>
        <v>24.087488516643528</v>
      </c>
      <c r="V231" s="245">
        <f t="shared" si="358"/>
        <v>17.193830295316694</v>
      </c>
      <c r="W231" s="245">
        <f t="shared" si="358"/>
        <v>-2.2026940932636019</v>
      </c>
      <c r="X231" s="245">
        <f t="shared" si="358"/>
        <v>16.719946124984418</v>
      </c>
      <c r="Y231" s="245">
        <f t="shared" si="358"/>
        <v>-1.8736179241838902</v>
      </c>
      <c r="Z231" s="245">
        <f>IF(Y77&lt;0,"n.a.",((Z77*12/Z$4)/(Y77*12/Y$4)-1)*100)</f>
        <v>14.763713859896232</v>
      </c>
      <c r="AA231" s="245">
        <f>IF(Z77&lt;0,"n.a.",((AA77*12/AA$4)/(Z77*12/Z$4)-1)*100)</f>
        <v>-7.5197513979681769</v>
      </c>
      <c r="AB231" s="245">
        <f>IF(AA77&lt;0,"n.a.",((AB77*12/AB$4)/(AA77*12/AA$4)-1)*100)</f>
        <v>17.533327466313644</v>
      </c>
      <c r="AC231" s="245">
        <f t="shared" ref="AC231:AD231" si="359">IF(AB77&lt;0,"n.a.",((AC77*12/AC$4)/(AB77*12/AB$4)-1)*100)</f>
        <v>16.320340810824408</v>
      </c>
      <c r="AD231" s="245">
        <f t="shared" si="359"/>
        <v>10.381789778097271</v>
      </c>
      <c r="AF231" s="580">
        <f t="shared" si="352"/>
        <v>0</v>
      </c>
      <c r="AG231" s="580">
        <f t="shared" si="352"/>
        <v>0</v>
      </c>
      <c r="AH231" s="580">
        <f t="shared" si="352"/>
        <v>0</v>
      </c>
      <c r="AI231" s="580">
        <f t="shared" si="352"/>
        <v>0</v>
      </c>
      <c r="AJ231" s="580">
        <f t="shared" si="352"/>
        <v>-23.784967700795654</v>
      </c>
      <c r="AK231" s="580">
        <f t="shared" si="352"/>
        <v>3.5214545852844337</v>
      </c>
      <c r="AL231" s="580">
        <f t="shared" si="352"/>
        <v>0.92404158187113783</v>
      </c>
      <c r="AM231" s="580">
        <f t="shared" si="352"/>
        <v>-19.835116001103238</v>
      </c>
      <c r="AN231" s="580">
        <f t="shared" si="352"/>
        <v>-2.9501636958893629</v>
      </c>
      <c r="AO231" s="580">
        <f t="shared" si="352"/>
        <v>-9.0543578891680845</v>
      </c>
      <c r="AP231" s="580">
        <f t="shared" si="352"/>
        <v>-16.660308463676543</v>
      </c>
      <c r="AQ231" s="580">
        <f t="shared" si="352"/>
        <v>15.777803264900436</v>
      </c>
      <c r="AR231" s="580">
        <f t="shared" si="352"/>
        <v>70.703549608305963</v>
      </c>
      <c r="AS231" s="580">
        <f t="shared" si="352"/>
        <v>85.128846489442083</v>
      </c>
      <c r="AT231" s="580">
        <f t="shared" si="352"/>
        <v>136.57140988752317</v>
      </c>
      <c r="AU231" s="580">
        <f t="shared" si="352"/>
        <v>156.60414740456994</v>
      </c>
      <c r="AV231" s="580">
        <f t="shared" si="352"/>
        <v>70.596372579157716</v>
      </c>
      <c r="AW231" s="580">
        <f t="shared" si="352"/>
        <v>40.951438312045354</v>
      </c>
      <c r="AX231" s="580">
        <f t="shared" si="352"/>
        <v>17.385595621466997</v>
      </c>
      <c r="AY231" s="580">
        <f t="shared" si="352"/>
        <v>3.3856646506240873</v>
      </c>
      <c r="AZ231" s="580">
        <f t="shared" si="352"/>
        <v>8.0972545789197667</v>
      </c>
      <c r="BA231" s="580">
        <f t="shared" si="352"/>
        <v>17.856147664322265</v>
      </c>
      <c r="BB231" s="580">
        <f t="shared" si="352"/>
        <v>15.87269815852672</v>
      </c>
      <c r="BC231" s="580">
        <f t="shared" si="352"/>
        <v>14.585330030743894</v>
      </c>
      <c r="BD231" s="580">
        <f t="shared" si="352"/>
        <v>3.7935797294720963</v>
      </c>
      <c r="BE231" s="580">
        <f t="shared" si="352"/>
        <v>-13.44467877847867</v>
      </c>
      <c r="BF231" s="580">
        <f t="shared" si="352"/>
        <v>2.8065397864103003</v>
      </c>
      <c r="BG231" s="580">
        <f t="shared" si="352"/>
        <v>-9.1245831477638646</v>
      </c>
      <c r="BH231" s="580">
        <f t="shared" si="352"/>
        <v>15.029253183434822</v>
      </c>
      <c r="BI231" s="580">
        <f t="shared" si="352"/>
        <v>27.983741436391639</v>
      </c>
      <c r="BJ231" s="580">
        <f t="shared" si="352"/>
        <v>2.7585866073635446</v>
      </c>
      <c r="BK231" s="580">
        <f t="shared" si="352"/>
        <v>15.750845695023807</v>
      </c>
      <c r="BL231" s="580">
        <f t="shared" si="353"/>
        <v>-1.0322027306001402</v>
      </c>
      <c r="BM231" s="580">
        <f t="shared" si="353"/>
        <v>1.952498036403405</v>
      </c>
      <c r="BN231" s="580">
        <f t="shared" si="353"/>
        <v>10.405324817728822</v>
      </c>
      <c r="BO231" s="580">
        <f t="shared" si="353"/>
        <v>-14.04229831880709</v>
      </c>
      <c r="BP231" s="580">
        <f t="shared" si="353"/>
        <v>14.901850135031601</v>
      </c>
      <c r="BQ231" s="580">
        <f t="shared" ref="BQ231:BR231" si="360">BQ595</f>
        <v>10.261348696606021</v>
      </c>
      <c r="BR231" s="580">
        <f t="shared" si="360"/>
        <v>2.0725885140786993</v>
      </c>
      <c r="BS231" s="580">
        <f t="shared" ref="BS231:BT231" si="361">BS595</f>
        <v>38.561714601504171</v>
      </c>
      <c r="BT231" s="580">
        <f t="shared" si="361"/>
        <v>0</v>
      </c>
      <c r="BU231" s="580">
        <f t="shared" ref="BU231:BV231" si="362">BU595</f>
        <v>0</v>
      </c>
      <c r="BV231" s="580">
        <f t="shared" si="362"/>
        <v>0</v>
      </c>
      <c r="BW231" s="580">
        <f t="shared" ref="BW231" si="363">BW595</f>
        <v>0</v>
      </c>
    </row>
    <row r="232" spans="1:75" s="245" customFormat="1">
      <c r="A232" s="243"/>
      <c r="B232" s="246" t="s">
        <v>1354</v>
      </c>
      <c r="C232" s="265" t="s">
        <v>1355</v>
      </c>
      <c r="D232" s="243"/>
      <c r="G232" s="245" t="e">
        <f t="shared" ref="G232:Y232" si="364">IF(F81&lt;0,"n.a.",((G81*12/G$4)/(F81*12/F$4)-1)*100)</f>
        <v>#DIV/0!</v>
      </c>
      <c r="H232" s="245" t="e">
        <f t="shared" si="364"/>
        <v>#DIV/0!</v>
      </c>
      <c r="I232" s="245" t="e">
        <f t="shared" si="364"/>
        <v>#DIV/0!</v>
      </c>
      <c r="J232" s="245" t="e">
        <f t="shared" si="364"/>
        <v>#DIV/0!</v>
      </c>
      <c r="K232" s="245" t="e">
        <f t="shared" si="364"/>
        <v>#DIV/0!</v>
      </c>
      <c r="M232" s="245" t="e">
        <f t="shared" si="364"/>
        <v>#DIV/0!</v>
      </c>
      <c r="N232" s="245">
        <f t="shared" si="364"/>
        <v>18.942951206391779</v>
      </c>
      <c r="O232" s="245">
        <f t="shared" si="364"/>
        <v>0.76226189230996777</v>
      </c>
      <c r="P232" s="245">
        <f t="shared" si="364"/>
        <v>65.224693735303219</v>
      </c>
      <c r="Q232" s="245">
        <f t="shared" si="364"/>
        <v>4.9090307107152231</v>
      </c>
      <c r="R232" s="245">
        <f t="shared" si="364"/>
        <v>-18.802728000492618</v>
      </c>
      <c r="S232" s="245">
        <f t="shared" si="364"/>
        <v>-5.7979807555576635</v>
      </c>
      <c r="T232" s="245">
        <f t="shared" si="364"/>
        <v>143.6977326932944</v>
      </c>
      <c r="U232" s="245">
        <f t="shared" si="364"/>
        <v>26.006772381896258</v>
      </c>
      <c r="V232" s="245">
        <f t="shared" si="364"/>
        <v>17.139458212349901</v>
      </c>
      <c r="W232" s="245">
        <f t="shared" si="364"/>
        <v>-2.8841446184921127</v>
      </c>
      <c r="X232" s="245">
        <f t="shared" si="364"/>
        <v>17.153326726740438</v>
      </c>
      <c r="Y232" s="245">
        <f t="shared" si="364"/>
        <v>-4.1151099657708912</v>
      </c>
      <c r="Z232" s="245">
        <f>IF(Y81&lt;0,"n.a.",((Z81*12/Z$4)/(Y81*12/Y$4)-1)*100)</f>
        <v>14.756486304197814</v>
      </c>
      <c r="AA232" s="245">
        <f>IF(Z81&lt;0,"n.a.",((AA81*12/AA$4)/(Z81*12/Z$4)-1)*100)</f>
        <v>-8.0388309592873792</v>
      </c>
      <c r="AB232" s="245">
        <f>IF(AA81&lt;0,"n.a.",((AB81*12/AB$4)/(AA81*12/AA$4)-1)*100)</f>
        <v>18.110254946623417</v>
      </c>
      <c r="AC232" s="245">
        <f t="shared" ref="AC232:AD232" si="365">IF(AB81&lt;0,"n.a.",((AC81*12/AC$4)/(AB81*12/AB$4)-1)*100)</f>
        <v>16.885516474498942</v>
      </c>
      <c r="AD232" s="245">
        <f t="shared" si="365"/>
        <v>10.462869077844816</v>
      </c>
      <c r="AF232" s="580">
        <f t="shared" si="352"/>
        <v>0</v>
      </c>
      <c r="AG232" s="580">
        <f t="shared" si="352"/>
        <v>0</v>
      </c>
      <c r="AH232" s="580">
        <f t="shared" si="352"/>
        <v>0</v>
      </c>
      <c r="AI232" s="580">
        <f t="shared" si="352"/>
        <v>0</v>
      </c>
      <c r="AJ232" s="580">
        <f t="shared" si="352"/>
        <v>-27.734587452410608</v>
      </c>
      <c r="AK232" s="580">
        <f t="shared" si="352"/>
        <v>4.2117587494463038</v>
      </c>
      <c r="AL232" s="580">
        <f t="shared" si="352"/>
        <v>2.7622388672923881</v>
      </c>
      <c r="AM232" s="580">
        <f t="shared" si="352"/>
        <v>-21.512850675506989</v>
      </c>
      <c r="AN232" s="580">
        <f t="shared" si="352"/>
        <v>3.267221533557696</v>
      </c>
      <c r="AO232" s="580">
        <f t="shared" si="352"/>
        <v>-5.6447939756475112</v>
      </c>
      <c r="AP232" s="580">
        <f t="shared" si="352"/>
        <v>-15.746578502229791</v>
      </c>
      <c r="AQ232" s="580">
        <f t="shared" si="352"/>
        <v>23.330911072758688</v>
      </c>
      <c r="AR232" s="580">
        <f t="shared" si="352"/>
        <v>81.059761639372141</v>
      </c>
      <c r="AS232" s="580">
        <f t="shared" si="352"/>
        <v>94.03037909506331</v>
      </c>
      <c r="AT232" s="580">
        <f t="shared" si="352"/>
        <v>151.08596459207914</v>
      </c>
      <c r="AU232" s="580">
        <f t="shared" si="352"/>
        <v>173.61075308414641</v>
      </c>
      <c r="AV232" s="580">
        <f t="shared" si="352"/>
        <v>76.424207984088682</v>
      </c>
      <c r="AW232" s="580">
        <f t="shared" si="352"/>
        <v>43.834275952432279</v>
      </c>
      <c r="AX232" s="580">
        <f t="shared" si="352"/>
        <v>18.964890601148522</v>
      </c>
      <c r="AY232" s="580">
        <f t="shared" si="352"/>
        <v>4.0875381902851782</v>
      </c>
      <c r="AZ232" s="580">
        <f t="shared" si="352"/>
        <v>8.6014145562401936</v>
      </c>
      <c r="BA232" s="580">
        <f t="shared" si="352"/>
        <v>17.380826087959235</v>
      </c>
      <c r="BB232" s="580">
        <f t="shared" si="352"/>
        <v>16.337529023585361</v>
      </c>
      <c r="BC232" s="580">
        <f t="shared" si="352"/>
        <v>15.233526430123035</v>
      </c>
      <c r="BD232" s="580">
        <f t="shared" si="352"/>
        <v>3.3687592684130463</v>
      </c>
      <c r="BE232" s="580">
        <f t="shared" si="352"/>
        <v>-14.124465838204214</v>
      </c>
      <c r="BF232" s="580">
        <f t="shared" si="352"/>
        <v>1.962205485351709</v>
      </c>
      <c r="BG232" s="580">
        <f t="shared" si="352"/>
        <v>-11.354735908973524</v>
      </c>
      <c r="BH232" s="580">
        <f t="shared" si="352"/>
        <v>14.56853884226399</v>
      </c>
      <c r="BI232" s="580">
        <f t="shared" si="352"/>
        <v>28.925723829461081</v>
      </c>
      <c r="BJ232" s="580">
        <f t="shared" si="352"/>
        <v>2.3736182224649571</v>
      </c>
      <c r="BK232" s="580">
        <f t="shared" si="352"/>
        <v>16.94979619737207</v>
      </c>
      <c r="BL232" s="580">
        <f t="shared" si="353"/>
        <v>-3.6689206110694483</v>
      </c>
      <c r="BM232" s="580">
        <f t="shared" si="353"/>
        <v>-0.12954402278552157</v>
      </c>
      <c r="BN232" s="580">
        <f t="shared" si="353"/>
        <v>8.8919302412172172</v>
      </c>
      <c r="BO232" s="580">
        <f t="shared" si="353"/>
        <v>-16.810624756461923</v>
      </c>
      <c r="BP232" s="580">
        <f t="shared" si="353"/>
        <v>15.021231422505267</v>
      </c>
      <c r="BQ232" s="580">
        <f t="shared" ref="BQ232:BR232" si="366">BQ596</f>
        <v>10.052684417672776</v>
      </c>
      <c r="BR232" s="580">
        <f t="shared" si="366"/>
        <v>1.3788387072926067</v>
      </c>
      <c r="BS232" s="580">
        <f t="shared" ref="BS232:BT232" si="367">BS596</f>
        <v>40.16420104870091</v>
      </c>
      <c r="BT232" s="580">
        <f t="shared" si="367"/>
        <v>0</v>
      </c>
      <c r="BU232" s="580">
        <f t="shared" ref="BU232:BV232" si="368">BU596</f>
        <v>0</v>
      </c>
      <c r="BV232" s="580">
        <f t="shared" si="368"/>
        <v>0</v>
      </c>
      <c r="BW232" s="580">
        <f t="shared" ref="BW232" si="369">BW596</f>
        <v>0</v>
      </c>
    </row>
    <row r="233" spans="1:75" s="248" customFormat="1">
      <c r="A233" s="272"/>
      <c r="B233" s="272" t="s">
        <v>1356</v>
      </c>
      <c r="C233" s="272" t="s">
        <v>1357</v>
      </c>
      <c r="D233" s="272"/>
      <c r="E233" s="245"/>
      <c r="F233" s="245"/>
      <c r="G233" s="245" t="e">
        <f t="shared" ref="G233:Y233" si="370">IF(F348&lt;0,"n.a.",((G348*12/G4)/(F348*12/F4)-1)*100)</f>
        <v>#DIV/0!</v>
      </c>
      <c r="H233" s="245" t="e">
        <f t="shared" si="370"/>
        <v>#DIV/0!</v>
      </c>
      <c r="I233" s="245" t="e">
        <f t="shared" si="370"/>
        <v>#DIV/0!</v>
      </c>
      <c r="J233" s="245" t="e">
        <f t="shared" si="370"/>
        <v>#DIV/0!</v>
      </c>
      <c r="K233" s="245" t="e">
        <f t="shared" si="370"/>
        <v>#DIV/0!</v>
      </c>
      <c r="L233" s="245"/>
      <c r="M233" s="245" t="e">
        <f t="shared" si="370"/>
        <v>#DIV/0!</v>
      </c>
      <c r="N233" s="245" t="str">
        <f t="shared" si="370"/>
        <v>n.a.</v>
      </c>
      <c r="O233" s="245" t="str">
        <f t="shared" si="370"/>
        <v>n.a.</v>
      </c>
      <c r="P233" s="245" t="str">
        <f t="shared" si="370"/>
        <v>n.a.</v>
      </c>
      <c r="Q233" s="245" t="str">
        <f t="shared" si="370"/>
        <v>n.a.</v>
      </c>
      <c r="R233" s="245" t="str">
        <f t="shared" si="370"/>
        <v>n.a.</v>
      </c>
      <c r="S233" s="245" t="str">
        <f t="shared" si="370"/>
        <v>n.a.</v>
      </c>
      <c r="T233" s="245" t="str">
        <f t="shared" si="370"/>
        <v>n.a.</v>
      </c>
      <c r="U233" s="245" t="str">
        <f t="shared" si="370"/>
        <v>n.a.</v>
      </c>
      <c r="V233" s="245" t="str">
        <f t="shared" si="370"/>
        <v>n.a.</v>
      </c>
      <c r="W233" s="245" t="str">
        <f t="shared" si="370"/>
        <v>n.a.</v>
      </c>
      <c r="X233" s="245" t="str">
        <f t="shared" si="370"/>
        <v>n.a.</v>
      </c>
      <c r="Y233" s="245" t="str">
        <f t="shared" si="370"/>
        <v>n.a.</v>
      </c>
      <c r="Z233" s="245" t="str">
        <f>IF(Y348&lt;0,"n.a.",((Z348*12/Z4)/(Y348*12/Y4)-1)*100)</f>
        <v>n.a.</v>
      </c>
      <c r="AA233" s="245" t="str">
        <f>IF(Z348&lt;0,"n.a.",((AA348*12/AA4)/(Z348*12/Z4)-1)*100)</f>
        <v>n.a.</v>
      </c>
      <c r="AB233" s="245" t="str">
        <f>IF(AA348&lt;0,"n.a.",((AB348*12/AB4)/(AA348*12/AA4)-1)*100)</f>
        <v>n.a.</v>
      </c>
      <c r="AC233" s="245" t="str">
        <f t="shared" ref="AC233:AD233" si="371">IF(AB348&lt;0,"n.a.",((AC348*12/AC4)/(AB348*12/AB4)-1)*100)</f>
        <v>n.a.</v>
      </c>
      <c r="AD233" s="245" t="str">
        <f t="shared" si="371"/>
        <v>n.a.</v>
      </c>
      <c r="AF233" s="580"/>
      <c r="AG233" s="580"/>
      <c r="AH233" s="580"/>
      <c r="AI233" s="580"/>
      <c r="AJ233" s="580"/>
      <c r="AK233" s="580"/>
      <c r="AL233" s="580"/>
      <c r="AM233" s="580"/>
      <c r="AN233" s="580"/>
      <c r="AO233" s="580"/>
      <c r="AP233" s="580"/>
      <c r="AQ233" s="580"/>
      <c r="AR233" s="580"/>
      <c r="AS233" s="580"/>
      <c r="AT233" s="580"/>
      <c r="AU233" s="580"/>
      <c r="AV233" s="580"/>
      <c r="AW233" s="580"/>
      <c r="AX233" s="580"/>
      <c r="AY233" s="580"/>
      <c r="AZ233" s="580"/>
      <c r="BA233" s="580"/>
      <c r="BB233" s="580"/>
      <c r="BC233" s="580"/>
      <c r="BD233" s="580"/>
      <c r="BE233" s="580"/>
      <c r="BF233" s="580"/>
      <c r="BG233" s="580"/>
      <c r="BH233" s="580"/>
      <c r="BI233" s="580"/>
      <c r="BJ233" s="580"/>
      <c r="BK233" s="580"/>
      <c r="BL233" s="580"/>
      <c r="BM233" s="580"/>
      <c r="BN233" s="580"/>
      <c r="BO233" s="580"/>
      <c r="BP233" s="580"/>
      <c r="BQ233" s="580"/>
      <c r="BR233" s="580"/>
      <c r="BS233" s="580"/>
      <c r="BT233" s="580"/>
      <c r="BU233" s="580"/>
      <c r="BV233" s="580"/>
      <c r="BW233" s="580"/>
    </row>
    <row r="234" spans="1:75" s="245" customFormat="1">
      <c r="A234" s="243"/>
      <c r="B234" s="246" t="s">
        <v>1358</v>
      </c>
      <c r="C234" s="265" t="s">
        <v>1359</v>
      </c>
      <c r="D234" s="243"/>
      <c r="G234" s="245" t="e">
        <f t="shared" ref="G234:Y234" si="372">IF(F87&lt;0,"n.a.",((G87*12/G$4)/(F87*12/F$4)-1)*100)</f>
        <v>#DIV/0!</v>
      </c>
      <c r="H234" s="245" t="e">
        <f t="shared" si="372"/>
        <v>#DIV/0!</v>
      </c>
      <c r="I234" s="245" t="e">
        <f t="shared" si="372"/>
        <v>#DIV/0!</v>
      </c>
      <c r="J234" s="245" t="e">
        <f t="shared" si="372"/>
        <v>#DIV/0!</v>
      </c>
      <c r="K234" s="245" t="e">
        <f t="shared" si="372"/>
        <v>#DIV/0!</v>
      </c>
      <c r="M234" s="245" t="e">
        <f t="shared" si="372"/>
        <v>#DIV/0!</v>
      </c>
      <c r="N234" s="245">
        <f t="shared" si="372"/>
        <v>30.032394558546006</v>
      </c>
      <c r="O234" s="245">
        <f t="shared" si="372"/>
        <v>10.726866808079393</v>
      </c>
      <c r="P234" s="245">
        <f t="shared" si="372"/>
        <v>41.208662733170634</v>
      </c>
      <c r="Q234" s="245">
        <f t="shared" si="372"/>
        <v>10.82719522006772</v>
      </c>
      <c r="R234" s="245">
        <f t="shared" si="372"/>
        <v>-32.652774104233593</v>
      </c>
      <c r="S234" s="245">
        <f t="shared" si="372"/>
        <v>-8.6100573223924837</v>
      </c>
      <c r="T234" s="245">
        <f t="shared" si="372"/>
        <v>135.22263874919972</v>
      </c>
      <c r="U234" s="245">
        <f t="shared" si="372"/>
        <v>40.953032499815365</v>
      </c>
      <c r="V234" s="245">
        <f t="shared" si="372"/>
        <v>11.030003860790959</v>
      </c>
      <c r="W234" s="245">
        <f t="shared" si="372"/>
        <v>-0.20441263036574675</v>
      </c>
      <c r="X234" s="245">
        <f t="shared" si="372"/>
        <v>16.427821221820025</v>
      </c>
      <c r="Y234" s="245">
        <f t="shared" si="372"/>
        <v>-4.5391192817442967</v>
      </c>
      <c r="Z234" s="245">
        <f>IF(Y87&lt;0,"n.a.",((Z87*12/Z$4)/(Y87*12/Y$4)-1)*100)</f>
        <v>24.22172758338068</v>
      </c>
      <c r="AA234" s="245">
        <f>IF(Z87&lt;0,"n.a.",((AA87*12/AA$4)/(Z87*12/Z$4)-1)*100)</f>
        <v>-3.8160769524743121</v>
      </c>
      <c r="AB234" s="245">
        <f>IF(AA87&lt;0,"n.a.",((AB87*12/AB$4)/(AA87*12/AA$4)-1)*100)</f>
        <v>16.111214368434858</v>
      </c>
      <c r="AC234" s="245">
        <f t="shared" ref="AC234:AD234" si="373">IF(AB87&lt;0,"n.a.",((AC87*12/AC$4)/(AB87*12/AB$4)-1)*100)</f>
        <v>15.824412524941067</v>
      </c>
      <c r="AD234" s="245">
        <f t="shared" si="373"/>
        <v>7.2208241918874982</v>
      </c>
      <c r="AF234" s="580">
        <f t="shared" ref="AF234:BK237" si="374">AF598</f>
        <v>0</v>
      </c>
      <c r="AG234" s="580">
        <f t="shared" si="374"/>
        <v>0</v>
      </c>
      <c r="AH234" s="580">
        <f t="shared" si="374"/>
        <v>0</v>
      </c>
      <c r="AI234" s="580">
        <f t="shared" si="374"/>
        <v>0</v>
      </c>
      <c r="AJ234" s="580">
        <f t="shared" si="374"/>
        <v>-19.165846456692858</v>
      </c>
      <c r="AK234" s="580">
        <f t="shared" si="374"/>
        <v>4.1077883667433923</v>
      </c>
      <c r="AL234" s="580">
        <f t="shared" si="374"/>
        <v>-23.25732489416108</v>
      </c>
      <c r="AM234" s="580">
        <f t="shared" si="374"/>
        <v>-45.20695668135091</v>
      </c>
      <c r="AN234" s="580">
        <f t="shared" si="374"/>
        <v>-20.513835195275597</v>
      </c>
      <c r="AO234" s="580">
        <f t="shared" si="374"/>
        <v>-31.193181818181802</v>
      </c>
      <c r="AP234" s="580">
        <f t="shared" si="374"/>
        <v>-17.303438293688757</v>
      </c>
      <c r="AQ234" s="580">
        <f t="shared" si="374"/>
        <v>21.125581005820536</v>
      </c>
      <c r="AR234" s="580">
        <f t="shared" si="374"/>
        <v>68.317248774509579</v>
      </c>
      <c r="AS234" s="580">
        <f t="shared" si="374"/>
        <v>91.045050004587495</v>
      </c>
      <c r="AT234" s="580">
        <f t="shared" si="374"/>
        <v>138.75631584161709</v>
      </c>
      <c r="AU234" s="580">
        <f t="shared" si="374"/>
        <v>171.55500241996808</v>
      </c>
      <c r="AV234" s="580">
        <f t="shared" si="374"/>
        <v>87.970694637209675</v>
      </c>
      <c r="AW234" s="580">
        <f t="shared" si="374"/>
        <v>52.127557391220812</v>
      </c>
      <c r="AX234" s="580">
        <f t="shared" si="374"/>
        <v>26.891827967102742</v>
      </c>
      <c r="AY234" s="580">
        <f t="shared" si="374"/>
        <v>18.32718014003818</v>
      </c>
      <c r="AZ234" s="580">
        <f t="shared" si="374"/>
        <v>15.361617139744755</v>
      </c>
      <c r="BA234" s="580">
        <f t="shared" si="374"/>
        <v>12.830955086921737</v>
      </c>
      <c r="BB234" s="580">
        <f t="shared" si="374"/>
        <v>22.089601046435469</v>
      </c>
      <c r="BC234" s="580">
        <f t="shared" si="374"/>
        <v>10.697609364577222</v>
      </c>
      <c r="BD234" s="580">
        <f t="shared" si="374"/>
        <v>6.8547625542986212</v>
      </c>
      <c r="BE234" s="580">
        <f t="shared" si="374"/>
        <v>-2.9415879351992302</v>
      </c>
      <c r="BF234" s="580">
        <f t="shared" si="374"/>
        <v>4.7953216374268859</v>
      </c>
      <c r="BG234" s="580">
        <f t="shared" si="374"/>
        <v>0.43930838087657964</v>
      </c>
      <c r="BH234" s="580">
        <f t="shared" si="374"/>
        <v>11.335539429884545</v>
      </c>
      <c r="BI234" s="580">
        <f t="shared" si="374"/>
        <v>20.225431693043895</v>
      </c>
      <c r="BJ234" s="580">
        <f t="shared" si="374"/>
        <v>3.5441657579062591</v>
      </c>
      <c r="BK234" s="580">
        <f t="shared" si="374"/>
        <v>7.2681704260651347</v>
      </c>
      <c r="BL234" s="580">
        <f t="shared" ref="BL234:BP237" si="375">BL598</f>
        <v>0.74878950107151176</v>
      </c>
      <c r="BM234" s="580">
        <f t="shared" si="375"/>
        <v>-0.96071614115011972</v>
      </c>
      <c r="BN234" s="580">
        <f t="shared" si="375"/>
        <v>-3.1340508162191028</v>
      </c>
      <c r="BO234" s="580">
        <f t="shared" si="375"/>
        <v>-17.305957492873414</v>
      </c>
      <c r="BP234" s="580">
        <f t="shared" si="375"/>
        <v>19.754534631276655</v>
      </c>
      <c r="BQ234" s="580">
        <f t="shared" ref="BQ234:BR234" si="376">BQ598</f>
        <v>21.565937391556943</v>
      </c>
      <c r="BR234" s="580">
        <f t="shared" si="376"/>
        <v>13.758101370119103</v>
      </c>
      <c r="BS234" s="580">
        <f t="shared" ref="BS234:BT234" si="377">BS598</f>
        <v>45.498974560370087</v>
      </c>
      <c r="BT234" s="580">
        <f t="shared" si="377"/>
        <v>0</v>
      </c>
      <c r="BU234" s="580">
        <f t="shared" ref="BU234:BV234" si="378">BU598</f>
        <v>0</v>
      </c>
      <c r="BV234" s="580">
        <f t="shared" si="378"/>
        <v>0</v>
      </c>
      <c r="BW234" s="580">
        <f t="shared" ref="BW234" si="379">BW598</f>
        <v>0</v>
      </c>
    </row>
    <row r="235" spans="1:75" s="245" customFormat="1">
      <c r="A235" s="243"/>
      <c r="B235" s="246" t="s">
        <v>1360</v>
      </c>
      <c r="C235" s="265" t="s">
        <v>1041</v>
      </c>
      <c r="D235" s="243"/>
      <c r="G235" s="245" t="e">
        <f t="shared" ref="G235:Y235" si="380">IF(F89&lt;0,"n.a.",((G89*12/G$4)/(F89*12/F$4)-1)*100)</f>
        <v>#DIV/0!</v>
      </c>
      <c r="H235" s="245" t="e">
        <f t="shared" si="380"/>
        <v>#DIV/0!</v>
      </c>
      <c r="I235" s="245" t="e">
        <f t="shared" si="380"/>
        <v>#DIV/0!</v>
      </c>
      <c r="J235" s="245" t="e">
        <f t="shared" si="380"/>
        <v>#DIV/0!</v>
      </c>
      <c r="K235" s="245" t="e">
        <f t="shared" si="380"/>
        <v>#DIV/0!</v>
      </c>
      <c r="M235" s="245" t="e">
        <f t="shared" si="380"/>
        <v>#DIV/0!</v>
      </c>
      <c r="N235" s="245">
        <f t="shared" si="380"/>
        <v>47.941171117259927</v>
      </c>
      <c r="O235" s="245">
        <f t="shared" si="380"/>
        <v>2.420781052056209</v>
      </c>
      <c r="P235" s="245">
        <f t="shared" si="380"/>
        <v>37.805433818801262</v>
      </c>
      <c r="Q235" s="245">
        <f t="shared" si="380"/>
        <v>14.464625620408089</v>
      </c>
      <c r="R235" s="245">
        <f t="shared" si="380"/>
        <v>-35.633470098222034</v>
      </c>
      <c r="S235" s="245">
        <f t="shared" si="380"/>
        <v>-2.8370677998840854</v>
      </c>
      <c r="T235" s="245">
        <f t="shared" si="380"/>
        <v>131.74498645659867</v>
      </c>
      <c r="U235" s="245">
        <f t="shared" si="380"/>
        <v>40.214355031552749</v>
      </c>
      <c r="V235" s="245">
        <f t="shared" si="380"/>
        <v>14.869722160616195</v>
      </c>
      <c r="W235" s="245">
        <f t="shared" si="380"/>
        <v>-6.9496180156787268</v>
      </c>
      <c r="X235" s="245">
        <f t="shared" si="380"/>
        <v>17.6232792421509</v>
      </c>
      <c r="Y235" s="245">
        <f t="shared" si="380"/>
        <v>-2.8373733994342176</v>
      </c>
      <c r="Z235" s="245">
        <f>IF(Y89&lt;0,"n.a.",((Z89*12/Z$4)/(Y89*12/Y$4)-1)*100)</f>
        <v>23.009381426840768</v>
      </c>
      <c r="AA235" s="245">
        <f>IF(Z89&lt;0,"n.a.",((AA89*12/AA$4)/(Z89*12/Z$4)-1)*100)</f>
        <v>-2.5984370188845141</v>
      </c>
      <c r="AB235" s="245">
        <f>IF(AA89&lt;0,"n.a.",((AB89*12/AB$4)/(AA89*12/AA$4)-1)*100)</f>
        <v>14.920157983588211</v>
      </c>
      <c r="AC235" s="245">
        <f t="shared" ref="AC235:AD235" si="381">IF(AB89&lt;0,"n.a.",((AC89*12/AC$4)/(AB89*12/AB$4)-1)*100)</f>
        <v>15.824412524941046</v>
      </c>
      <c r="AD235" s="245">
        <f t="shared" si="381"/>
        <v>7.2208241918875427</v>
      </c>
      <c r="AF235" s="580">
        <f t="shared" si="374"/>
        <v>0</v>
      </c>
      <c r="AG235" s="580">
        <f t="shared" si="374"/>
        <v>0</v>
      </c>
      <c r="AH235" s="580">
        <f t="shared" si="374"/>
        <v>0</v>
      </c>
      <c r="AI235" s="580">
        <f t="shared" si="374"/>
        <v>0</v>
      </c>
      <c r="AJ235" s="580">
        <f t="shared" si="374"/>
        <v>-18.230824891461573</v>
      </c>
      <c r="AK235" s="580">
        <f t="shared" si="374"/>
        <v>3.6958817317846338</v>
      </c>
      <c r="AL235" s="580">
        <f t="shared" si="374"/>
        <v>-25.838606708853707</v>
      </c>
      <c r="AM235" s="580">
        <f t="shared" si="374"/>
        <v>-46.42244738893212</v>
      </c>
      <c r="AN235" s="580">
        <f t="shared" si="374"/>
        <v>-22.516702800760967</v>
      </c>
      <c r="AO235" s="580">
        <f t="shared" si="374"/>
        <v>-28.43468140820481</v>
      </c>
      <c r="AP235" s="580">
        <f t="shared" si="374"/>
        <v>-14.177301215736659</v>
      </c>
      <c r="AQ235" s="580">
        <f t="shared" si="374"/>
        <v>33.924934535932508</v>
      </c>
      <c r="AR235" s="580">
        <f t="shared" si="374"/>
        <v>81.309958885335405</v>
      </c>
      <c r="AS235" s="580">
        <f t="shared" si="374"/>
        <v>82.404358255071642</v>
      </c>
      <c r="AT235" s="580">
        <f t="shared" si="374"/>
        <v>129.19273239188806</v>
      </c>
      <c r="AU235" s="580">
        <f t="shared" si="374"/>
        <v>151.14056050401899</v>
      </c>
      <c r="AV235" s="580">
        <f t="shared" si="374"/>
        <v>85.86816163270457</v>
      </c>
      <c r="AW235" s="580">
        <f t="shared" si="374"/>
        <v>52.02603307627156</v>
      </c>
      <c r="AX235" s="580">
        <f t="shared" si="374"/>
        <v>28.04955295617091</v>
      </c>
      <c r="AY235" s="580">
        <f t="shared" si="374"/>
        <v>16.942906574394435</v>
      </c>
      <c r="AZ235" s="580">
        <f t="shared" si="374"/>
        <v>20.48801152249451</v>
      </c>
      <c r="BA235" s="580">
        <f t="shared" si="374"/>
        <v>20.397900539526127</v>
      </c>
      <c r="BB235" s="580">
        <f t="shared" si="374"/>
        <v>28.022365127190252</v>
      </c>
      <c r="BC235" s="580">
        <f t="shared" si="374"/>
        <v>13.291317148225335</v>
      </c>
      <c r="BD235" s="580">
        <f t="shared" si="374"/>
        <v>1.0308553427275324</v>
      </c>
      <c r="BE235" s="580">
        <f t="shared" si="374"/>
        <v>-9.807479207510827</v>
      </c>
      <c r="BF235" s="580">
        <f t="shared" si="374"/>
        <v>-4.1344183595808381</v>
      </c>
      <c r="BG235" s="580">
        <f t="shared" si="374"/>
        <v>1.3322676295501878E-13</v>
      </c>
      <c r="BH235" s="580">
        <f t="shared" si="374"/>
        <v>16.04838597419247</v>
      </c>
      <c r="BI235" s="580">
        <f t="shared" si="374"/>
        <v>18.341501613404066</v>
      </c>
      <c r="BJ235" s="580">
        <f t="shared" si="374"/>
        <v>-1.1859686835869132</v>
      </c>
      <c r="BK235" s="580">
        <f t="shared" si="374"/>
        <v>4.4086344463742044</v>
      </c>
      <c r="BL235" s="580">
        <f t="shared" si="375"/>
        <v>-3.1750791670665968</v>
      </c>
      <c r="BM235" s="580">
        <f t="shared" si="375"/>
        <v>13.927805412312356</v>
      </c>
      <c r="BN235" s="580">
        <f t="shared" si="375"/>
        <v>-3.3101368305255008</v>
      </c>
      <c r="BO235" s="580">
        <f t="shared" si="375"/>
        <v>-22.918464597951338</v>
      </c>
      <c r="BP235" s="580">
        <f t="shared" si="375"/>
        <v>18.601107518489577</v>
      </c>
      <c r="BQ235" s="580">
        <f t="shared" ref="BQ235:BR235" si="382">BQ599</f>
        <v>5.3865411576206501</v>
      </c>
      <c r="BR235" s="580">
        <f t="shared" si="382"/>
        <v>24.079258549057325</v>
      </c>
      <c r="BS235" s="580">
        <f t="shared" ref="BS235:BT235" si="383">BS599</f>
        <v>54.039494393873099</v>
      </c>
      <c r="BT235" s="580">
        <f t="shared" si="383"/>
        <v>0</v>
      </c>
      <c r="BU235" s="580">
        <f t="shared" ref="BU235:BV235" si="384">BU599</f>
        <v>0</v>
      </c>
      <c r="BV235" s="580">
        <f t="shared" si="384"/>
        <v>0</v>
      </c>
      <c r="BW235" s="580">
        <f t="shared" ref="BW235" si="385">BW599</f>
        <v>0</v>
      </c>
    </row>
    <row r="236" spans="1:75" s="245" customFormat="1">
      <c r="A236" s="243"/>
      <c r="B236" s="246" t="s">
        <v>1361</v>
      </c>
      <c r="C236" s="265" t="s">
        <v>1362</v>
      </c>
      <c r="D236" s="243"/>
      <c r="G236" s="245" t="e">
        <f t="shared" ref="G236:Y236" si="386">IF(F92&lt;0,"n.a.",((G92*12/G$4)/(F92*12/F$4)-1)*100)</f>
        <v>#DIV/0!</v>
      </c>
      <c r="H236" s="245" t="e">
        <f t="shared" si="386"/>
        <v>#DIV/0!</v>
      </c>
      <c r="I236" s="245" t="e">
        <f t="shared" si="386"/>
        <v>#DIV/0!</v>
      </c>
      <c r="J236" s="245" t="e">
        <f t="shared" si="386"/>
        <v>#DIV/0!</v>
      </c>
      <c r="K236" s="245" t="e">
        <f t="shared" si="386"/>
        <v>#DIV/0!</v>
      </c>
      <c r="M236" s="245" t="e">
        <f t="shared" si="386"/>
        <v>#DIV/0!</v>
      </c>
      <c r="N236" s="245">
        <f t="shared" si="386"/>
        <v>47.941171117259927</v>
      </c>
      <c r="O236" s="245">
        <f t="shared" si="386"/>
        <v>2.420781052056209</v>
      </c>
      <c r="P236" s="245">
        <f t="shared" si="386"/>
        <v>37.805433818801262</v>
      </c>
      <c r="Q236" s="245">
        <f t="shared" si="386"/>
        <v>14.464625620408089</v>
      </c>
      <c r="R236" s="245">
        <f t="shared" si="386"/>
        <v>-35.633470098222034</v>
      </c>
      <c r="S236" s="245">
        <f t="shared" si="386"/>
        <v>-2.8370677998840854</v>
      </c>
      <c r="T236" s="245">
        <f t="shared" si="386"/>
        <v>131.74498645659867</v>
      </c>
      <c r="U236" s="245">
        <f t="shared" si="386"/>
        <v>40.214355031552749</v>
      </c>
      <c r="V236" s="245">
        <f t="shared" si="386"/>
        <v>14.869722160616195</v>
      </c>
      <c r="W236" s="245">
        <f t="shared" si="386"/>
        <v>-6.9496180156787268</v>
      </c>
      <c r="X236" s="245">
        <f t="shared" si="386"/>
        <v>17.6232792421509</v>
      </c>
      <c r="Y236" s="245">
        <f t="shared" si="386"/>
        <v>-2.8373733994342176</v>
      </c>
      <c r="Z236" s="245">
        <f>IF(Y92&lt;0,"n.a.",((Z92*12/Z$4)/(Y92*12/Y$4)-1)*100)</f>
        <v>23.009381426840768</v>
      </c>
      <c r="AA236" s="245">
        <f>IF(Z92&lt;0,"n.a.",((AA92*12/AA$4)/(Z92*12/Z$4)-1)*100)</f>
        <v>-2.5984370188845141</v>
      </c>
      <c r="AB236" s="245">
        <f>IF(AA92&lt;0,"n.a.",((AB92*12/AB$4)/(AA92*12/AA$4)-1)*100)</f>
        <v>14.920157983588211</v>
      </c>
      <c r="AC236" s="245">
        <f t="shared" ref="AC236:AD236" si="387">IF(AB92&lt;0,"n.a.",((AC92*12/AC$4)/(AB92*12/AB$4)-1)*100)</f>
        <v>15.824412524941046</v>
      </c>
      <c r="AD236" s="245">
        <f t="shared" si="387"/>
        <v>7.2208241918875427</v>
      </c>
      <c r="AF236" s="580">
        <f t="shared" si="374"/>
        <v>0</v>
      </c>
      <c r="AG236" s="580">
        <f t="shared" si="374"/>
        <v>0</v>
      </c>
      <c r="AH236" s="580">
        <f t="shared" si="374"/>
        <v>0</v>
      </c>
      <c r="AI236" s="580">
        <f t="shared" si="374"/>
        <v>0</v>
      </c>
      <c r="AJ236" s="580">
        <f t="shared" si="374"/>
        <v>-18.230824891461573</v>
      </c>
      <c r="AK236" s="580">
        <f t="shared" si="374"/>
        <v>3.6958817317846338</v>
      </c>
      <c r="AL236" s="580">
        <f t="shared" si="374"/>
        <v>-25.838606708853707</v>
      </c>
      <c r="AM236" s="580">
        <f t="shared" si="374"/>
        <v>-46.42244738893212</v>
      </c>
      <c r="AN236" s="580">
        <f t="shared" si="374"/>
        <v>-22.516702800760967</v>
      </c>
      <c r="AO236" s="580">
        <f t="shared" si="374"/>
        <v>-28.43468140820481</v>
      </c>
      <c r="AP236" s="580">
        <f t="shared" si="374"/>
        <v>-14.177301215736659</v>
      </c>
      <c r="AQ236" s="580">
        <f t="shared" si="374"/>
        <v>33.924934535932508</v>
      </c>
      <c r="AR236" s="580">
        <f t="shared" si="374"/>
        <v>81.309958885335405</v>
      </c>
      <c r="AS236" s="580">
        <f t="shared" si="374"/>
        <v>82.404358255071642</v>
      </c>
      <c r="AT236" s="580">
        <f t="shared" si="374"/>
        <v>129.19273239188806</v>
      </c>
      <c r="AU236" s="580">
        <f t="shared" si="374"/>
        <v>151.14056050401899</v>
      </c>
      <c r="AV236" s="580">
        <f t="shared" si="374"/>
        <v>85.86816163270457</v>
      </c>
      <c r="AW236" s="580">
        <f t="shared" si="374"/>
        <v>52.02603307627156</v>
      </c>
      <c r="AX236" s="580">
        <f t="shared" si="374"/>
        <v>28.04955295617091</v>
      </c>
      <c r="AY236" s="580">
        <f t="shared" si="374"/>
        <v>16.942906574394435</v>
      </c>
      <c r="AZ236" s="580">
        <f t="shared" si="374"/>
        <v>20.48801152249451</v>
      </c>
      <c r="BA236" s="580">
        <f t="shared" si="374"/>
        <v>20.397900539526127</v>
      </c>
      <c r="BB236" s="580">
        <f t="shared" si="374"/>
        <v>28.022365127190252</v>
      </c>
      <c r="BC236" s="580">
        <f t="shared" si="374"/>
        <v>13.291317148225335</v>
      </c>
      <c r="BD236" s="580">
        <f t="shared" si="374"/>
        <v>1.0308553427275324</v>
      </c>
      <c r="BE236" s="580">
        <f t="shared" si="374"/>
        <v>-9.807479207510827</v>
      </c>
      <c r="BF236" s="580">
        <f t="shared" si="374"/>
        <v>-4.1344183595808381</v>
      </c>
      <c r="BG236" s="580">
        <f t="shared" si="374"/>
        <v>1.3322676295501878E-13</v>
      </c>
      <c r="BH236" s="580">
        <f t="shared" si="374"/>
        <v>16.04838597419247</v>
      </c>
      <c r="BI236" s="580">
        <f t="shared" si="374"/>
        <v>18.341501613404066</v>
      </c>
      <c r="BJ236" s="580">
        <f t="shared" si="374"/>
        <v>-1.1859686835869132</v>
      </c>
      <c r="BK236" s="580">
        <f t="shared" si="374"/>
        <v>4.4086344463742044</v>
      </c>
      <c r="BL236" s="580">
        <f t="shared" si="375"/>
        <v>-3.1750791670665968</v>
      </c>
      <c r="BM236" s="580">
        <f t="shared" si="375"/>
        <v>13.927805412312356</v>
      </c>
      <c r="BN236" s="580">
        <f t="shared" si="375"/>
        <v>-3.3101368305255008</v>
      </c>
      <c r="BO236" s="580">
        <f t="shared" si="375"/>
        <v>-22.918464597951338</v>
      </c>
      <c r="BP236" s="580">
        <f t="shared" si="375"/>
        <v>18.601107518489577</v>
      </c>
      <c r="BQ236" s="580">
        <f t="shared" ref="BQ236:BR236" si="388">BQ600</f>
        <v>5.3865411576206501</v>
      </c>
      <c r="BR236" s="580">
        <f t="shared" si="388"/>
        <v>24.079258549057325</v>
      </c>
      <c r="BS236" s="580">
        <f t="shared" ref="BS236:BT236" si="389">BS600</f>
        <v>54.039494393873099</v>
      </c>
      <c r="BT236" s="580">
        <f t="shared" si="389"/>
        <v>0</v>
      </c>
      <c r="BU236" s="580">
        <f t="shared" ref="BU236:BV236" si="390">BU600</f>
        <v>0</v>
      </c>
      <c r="BV236" s="580">
        <f t="shared" si="390"/>
        <v>0</v>
      </c>
      <c r="BW236" s="580">
        <f t="shared" ref="BW236" si="391">BW600</f>
        <v>0</v>
      </c>
    </row>
    <row r="237" spans="1:75" s="245" customFormat="1">
      <c r="A237" s="243"/>
      <c r="B237" s="246" t="s">
        <v>1363</v>
      </c>
      <c r="C237" s="265" t="s">
        <v>1364</v>
      </c>
      <c r="D237" s="243"/>
      <c r="G237" s="245" t="e">
        <f t="shared" ref="G237:Y237" si="392">IF(F98&lt;0,"n.a.",((G98*12/G$4)/(F98*12/F$4)-1)*100)</f>
        <v>#DIV/0!</v>
      </c>
      <c r="H237" s="245" t="e">
        <f t="shared" si="392"/>
        <v>#DIV/0!</v>
      </c>
      <c r="I237" s="245" t="e">
        <f t="shared" si="392"/>
        <v>#DIV/0!</v>
      </c>
      <c r="J237" s="245" t="e">
        <f t="shared" si="392"/>
        <v>#DIV/0!</v>
      </c>
      <c r="K237" s="245" t="e">
        <f t="shared" si="392"/>
        <v>#DIV/0!</v>
      </c>
      <c r="M237" s="245" t="e">
        <f t="shared" si="392"/>
        <v>#DIV/0!</v>
      </c>
      <c r="N237" s="245">
        <f t="shared" si="392"/>
        <v>37.140974394462624</v>
      </c>
      <c r="O237" s="245">
        <f t="shared" si="392"/>
        <v>3.5975178697667198</v>
      </c>
      <c r="P237" s="245">
        <f t="shared" si="392"/>
        <v>44.009767805459646</v>
      </c>
      <c r="Q237" s="245">
        <f t="shared" si="392"/>
        <v>12.372687496595924</v>
      </c>
      <c r="R237" s="245">
        <f t="shared" si="392"/>
        <v>-41.356468915600352</v>
      </c>
      <c r="S237" s="245">
        <f t="shared" si="392"/>
        <v>-17.389387845060298</v>
      </c>
      <c r="T237" s="245">
        <f t="shared" si="392"/>
        <v>184.07089975321767</v>
      </c>
      <c r="U237" s="245">
        <f t="shared" si="392"/>
        <v>96.036111127416191</v>
      </c>
      <c r="V237" s="245">
        <f t="shared" si="392"/>
        <v>-10.05111191623268</v>
      </c>
      <c r="W237" s="245">
        <f t="shared" si="392"/>
        <v>1.3155573309366675</v>
      </c>
      <c r="X237" s="245">
        <f t="shared" si="392"/>
        <v>6.5613736500227171</v>
      </c>
      <c r="Y237" s="245">
        <f t="shared" si="392"/>
        <v>-13.243732405874265</v>
      </c>
      <c r="Z237" s="245">
        <f>IF(Y98&lt;0,"n.a.",((Z98*12/Z$4)/(Y98*12/Y$4)-1)*100)</f>
        <v>39.660025446558599</v>
      </c>
      <c r="AA237" s="245">
        <f>IF(Z98&lt;0,"n.a.",((AA98*12/AA$4)/(Z98*12/Z$4)-1)*100)</f>
        <v>-2.5984370188845141</v>
      </c>
      <c r="AB237" s="245">
        <f>IF(AA98&lt;0,"n.a.",((AB98*12/AB$4)/(AA98*12/AA$4)-1)*100)</f>
        <v>14.920157983588211</v>
      </c>
      <c r="AC237" s="245">
        <f t="shared" ref="AC237:AD237" si="393">IF(AB98&lt;0,"n.a.",((AC98*12/AC$4)/(AB98*12/AB$4)-1)*100)</f>
        <v>15.824412524941046</v>
      </c>
      <c r="AD237" s="245">
        <f t="shared" si="393"/>
        <v>7.2208241918875427</v>
      </c>
      <c r="AF237" s="580">
        <f t="shared" si="374"/>
        <v>0</v>
      </c>
      <c r="AG237" s="580">
        <f t="shared" si="374"/>
        <v>0</v>
      </c>
      <c r="AH237" s="580">
        <f t="shared" si="374"/>
        <v>0</v>
      </c>
      <c r="AI237" s="580">
        <f t="shared" si="374"/>
        <v>0</v>
      </c>
      <c r="AJ237" s="580">
        <f t="shared" si="374"/>
        <v>-15.037028683132124</v>
      </c>
      <c r="AK237" s="580">
        <f t="shared" si="374"/>
        <v>5.3661596361926245</v>
      </c>
      <c r="AL237" s="580">
        <f t="shared" si="374"/>
        <v>-38.031436691607269</v>
      </c>
      <c r="AM237" s="580">
        <f t="shared" si="374"/>
        <v>-60.821900035678311</v>
      </c>
      <c r="AN237" s="580">
        <f t="shared" si="374"/>
        <v>-22.516702800760967</v>
      </c>
      <c r="AO237" s="580">
        <f t="shared" si="374"/>
        <v>-44.972615787593739</v>
      </c>
      <c r="AP237" s="580">
        <f t="shared" si="374"/>
        <v>-23.12336203669043</v>
      </c>
      <c r="AQ237" s="580">
        <f t="shared" si="374"/>
        <v>7.7986588293733172</v>
      </c>
      <c r="AR237" s="580">
        <f t="shared" si="374"/>
        <v>67.593650068524113</v>
      </c>
      <c r="AS237" s="580">
        <f t="shared" si="374"/>
        <v>117.89906420728062</v>
      </c>
      <c r="AT237" s="580">
        <f t="shared" si="374"/>
        <v>189.25427649601318</v>
      </c>
      <c r="AU237" s="580">
        <f t="shared" si="374"/>
        <v>308.70132862299317</v>
      </c>
      <c r="AV237" s="580">
        <f t="shared" si="374"/>
        <v>101.08010494395047</v>
      </c>
      <c r="AW237" s="580">
        <f t="shared" si="374"/>
        <v>69.322046520864887</v>
      </c>
      <c r="AX237" s="580">
        <f t="shared" si="374"/>
        <v>40.397509880923835</v>
      </c>
      <c r="AY237" s="580">
        <f t="shared" si="374"/>
        <v>163.16402653287483</v>
      </c>
      <c r="AZ237" s="580">
        <f t="shared" si="374"/>
        <v>20.48801152249451</v>
      </c>
      <c r="BA237" s="580">
        <f t="shared" si="374"/>
        <v>6.4098053014308709</v>
      </c>
      <c r="BB237" s="580">
        <f t="shared" si="374"/>
        <v>19.199232510380448</v>
      </c>
      <c r="BC237" s="580">
        <f t="shared" si="374"/>
        <v>-44.873186336113378</v>
      </c>
      <c r="BD237" s="580">
        <f t="shared" si="374"/>
        <v>1.0308553427275324</v>
      </c>
      <c r="BE237" s="580">
        <f t="shared" si="374"/>
        <v>2.0487737668779982</v>
      </c>
      <c r="BF237" s="580">
        <f t="shared" si="374"/>
        <v>2.9615563576000703</v>
      </c>
      <c r="BG237" s="580">
        <f t="shared" si="374"/>
        <v>-0.81213408631664041</v>
      </c>
      <c r="BH237" s="580">
        <f t="shared" si="374"/>
        <v>2.6851710073916957</v>
      </c>
      <c r="BI237" s="580">
        <f t="shared" si="374"/>
        <v>13.027394116138069</v>
      </c>
      <c r="BJ237" s="580">
        <f t="shared" si="374"/>
        <v>10.480738696045222</v>
      </c>
      <c r="BK237" s="580">
        <f t="shared" si="374"/>
        <v>-0.24028102432849252</v>
      </c>
      <c r="BL237" s="580">
        <f t="shared" si="375"/>
        <v>0.31178830929388113</v>
      </c>
      <c r="BM237" s="580">
        <f t="shared" si="375"/>
        <v>-29.41612117158008</v>
      </c>
      <c r="BN237" s="580">
        <f t="shared" si="375"/>
        <v>-4.7880161406224531</v>
      </c>
      <c r="BO237" s="580">
        <f t="shared" si="375"/>
        <v>-18.61557996151484</v>
      </c>
      <c r="BP237" s="580">
        <f t="shared" si="375"/>
        <v>29.376469634314397</v>
      </c>
      <c r="BQ237" s="580">
        <f t="shared" ref="BQ237:BR237" si="394">BQ601</f>
        <v>78.099509223218774</v>
      </c>
      <c r="BR237" s="580">
        <f t="shared" si="394"/>
        <v>12.699131484835924</v>
      </c>
      <c r="BS237" s="580">
        <f t="shared" ref="BS237:BT237" si="395">BS601</f>
        <v>52.694138840635738</v>
      </c>
      <c r="BT237" s="580">
        <f t="shared" si="395"/>
        <v>0</v>
      </c>
      <c r="BU237" s="580">
        <f t="shared" ref="BU237:BV237" si="396">BU601</f>
        <v>0</v>
      </c>
      <c r="BV237" s="580">
        <f t="shared" si="396"/>
        <v>0</v>
      </c>
      <c r="BW237" s="580">
        <f t="shared" ref="BW237" si="397">BW601</f>
        <v>0</v>
      </c>
    </row>
    <row r="238" spans="1:75" s="245" customFormat="1">
      <c r="A238" s="243"/>
      <c r="B238" s="246" t="s">
        <v>1365</v>
      </c>
      <c r="C238" s="265" t="s">
        <v>209</v>
      </c>
      <c r="D238" s="243"/>
      <c r="G238" s="245" t="e">
        <f t="shared" ref="G238:Y238" si="398">IF(F100&lt;0,"n.a.",((G100*12/G$4)/(F100*12/F$4)-1)*100)</f>
        <v>#DIV/0!</v>
      </c>
      <c r="H238" s="245" t="e">
        <f t="shared" si="398"/>
        <v>#DIV/0!</v>
      </c>
      <c r="I238" s="245" t="e">
        <f t="shared" si="398"/>
        <v>#DIV/0!</v>
      </c>
      <c r="J238" s="245" t="e">
        <f t="shared" si="398"/>
        <v>#DIV/0!</v>
      </c>
      <c r="K238" s="245" t="e">
        <f t="shared" si="398"/>
        <v>#DIV/0!</v>
      </c>
      <c r="M238" s="245" t="e">
        <f t="shared" si="398"/>
        <v>#DIV/0!</v>
      </c>
      <c r="N238" s="245">
        <f t="shared" si="398"/>
        <v>37.140974394462624</v>
      </c>
      <c r="O238" s="245">
        <f t="shared" si="398"/>
        <v>3.5975178697667198</v>
      </c>
      <c r="P238" s="245">
        <f t="shared" si="398"/>
        <v>44.009767805459646</v>
      </c>
      <c r="Q238" s="245">
        <f t="shared" si="398"/>
        <v>12.372687496595924</v>
      </c>
      <c r="R238" s="245">
        <f t="shared" si="398"/>
        <v>-41.356468915600352</v>
      </c>
      <c r="S238" s="245">
        <f t="shared" si="398"/>
        <v>-17.389387845060298</v>
      </c>
      <c r="T238" s="245">
        <f t="shared" si="398"/>
        <v>184.07089975321767</v>
      </c>
      <c r="U238" s="245">
        <f t="shared" si="398"/>
        <v>96.036111127416191</v>
      </c>
      <c r="V238" s="245">
        <f t="shared" si="398"/>
        <v>-10.05111191623268</v>
      </c>
      <c r="W238" s="245">
        <f t="shared" si="398"/>
        <v>1.3155573309366675</v>
      </c>
      <c r="X238" s="245">
        <f t="shared" si="398"/>
        <v>6.5613736500227171</v>
      </c>
      <c r="Y238" s="245">
        <f t="shared" si="398"/>
        <v>-13.243732405874265</v>
      </c>
      <c r="Z238" s="245">
        <f>IF(Y100&lt;0,"n.a.",((Z100*12/Z$4)/(Y100*12/Y$4)-1)*100)</f>
        <v>39.660025446558599</v>
      </c>
      <c r="AA238" s="245">
        <f>IF(Z100&lt;0,"n.a.",((AA100*12/AA$4)/(Z100*12/Z$4)-1)*100)</f>
        <v>-2.5984370188845141</v>
      </c>
      <c r="AB238" s="245">
        <f>IF(AA100&lt;0,"n.a.",((AB100*12/AB$4)/(AA100*12/AA$4)-1)*100)</f>
        <v>14.920157983588211</v>
      </c>
      <c r="AC238" s="245">
        <f t="shared" ref="AC238:AD238" si="399">IF(AB100&lt;0,"n.a.",((AC100*12/AC$4)/(AB100*12/AB$4)-1)*100)</f>
        <v>15.824412524941046</v>
      </c>
      <c r="AD238" s="245">
        <f t="shared" si="399"/>
        <v>7.2208241918875427</v>
      </c>
      <c r="AF238" s="580">
        <f>AF237</f>
        <v>0</v>
      </c>
      <c r="AG238" s="580">
        <f>AG237</f>
        <v>0</v>
      </c>
      <c r="AH238" s="580">
        <f>AH237</f>
        <v>0</v>
      </c>
      <c r="AI238" s="580">
        <f>AI237</f>
        <v>0</v>
      </c>
      <c r="AJ238" s="580">
        <f>AJ237</f>
        <v>-15.037028683132124</v>
      </c>
      <c r="AK238" s="580">
        <f t="shared" ref="AK238:BK238" si="400">AK237</f>
        <v>5.3661596361926245</v>
      </c>
      <c r="AL238" s="580">
        <f t="shared" si="400"/>
        <v>-38.031436691607269</v>
      </c>
      <c r="AM238" s="580">
        <f t="shared" si="400"/>
        <v>-60.821900035678311</v>
      </c>
      <c r="AN238" s="580">
        <f t="shared" si="400"/>
        <v>-22.516702800760967</v>
      </c>
      <c r="AO238" s="580">
        <f t="shared" si="400"/>
        <v>-44.972615787593739</v>
      </c>
      <c r="AP238" s="580">
        <f t="shared" si="400"/>
        <v>-23.12336203669043</v>
      </c>
      <c r="AQ238" s="580">
        <f t="shared" si="400"/>
        <v>7.7986588293733172</v>
      </c>
      <c r="AR238" s="580">
        <f t="shared" si="400"/>
        <v>67.593650068524113</v>
      </c>
      <c r="AS238" s="580">
        <f t="shared" si="400"/>
        <v>117.89906420728062</v>
      </c>
      <c r="AT238" s="580">
        <f t="shared" si="400"/>
        <v>189.25427649601318</v>
      </c>
      <c r="AU238" s="580">
        <f t="shared" si="400"/>
        <v>308.70132862299317</v>
      </c>
      <c r="AV238" s="580">
        <f t="shared" si="400"/>
        <v>101.08010494395047</v>
      </c>
      <c r="AW238" s="580">
        <f t="shared" si="400"/>
        <v>69.322046520864887</v>
      </c>
      <c r="AX238" s="580">
        <f t="shared" si="400"/>
        <v>40.397509880923835</v>
      </c>
      <c r="AY238" s="580">
        <f t="shared" si="400"/>
        <v>163.16402653287483</v>
      </c>
      <c r="AZ238" s="580">
        <f t="shared" si="400"/>
        <v>20.48801152249451</v>
      </c>
      <c r="BA238" s="580">
        <f t="shared" si="400"/>
        <v>6.4098053014308709</v>
      </c>
      <c r="BB238" s="580">
        <f t="shared" si="400"/>
        <v>19.199232510380448</v>
      </c>
      <c r="BC238" s="580">
        <f t="shared" si="400"/>
        <v>-44.873186336113378</v>
      </c>
      <c r="BD238" s="580">
        <f t="shared" si="400"/>
        <v>1.0308553427275324</v>
      </c>
      <c r="BE238" s="580">
        <f t="shared" si="400"/>
        <v>2.0487737668779982</v>
      </c>
      <c r="BF238" s="580">
        <f t="shared" si="400"/>
        <v>2.9615563576000703</v>
      </c>
      <c r="BG238" s="580">
        <f t="shared" si="400"/>
        <v>-0.81213408631664041</v>
      </c>
      <c r="BH238" s="580">
        <f t="shared" si="400"/>
        <v>2.6851710073916957</v>
      </c>
      <c r="BI238" s="580">
        <f t="shared" si="400"/>
        <v>13.027394116138069</v>
      </c>
      <c r="BJ238" s="580">
        <f t="shared" si="400"/>
        <v>10.480738696045222</v>
      </c>
      <c r="BK238" s="580">
        <f t="shared" si="400"/>
        <v>-0.24028102432849252</v>
      </c>
      <c r="BL238" s="580">
        <f t="shared" ref="BL238:BQ238" si="401">BL237</f>
        <v>0.31178830929388113</v>
      </c>
      <c r="BM238" s="580">
        <f t="shared" si="401"/>
        <v>-29.41612117158008</v>
      </c>
      <c r="BN238" s="580">
        <f t="shared" si="401"/>
        <v>-4.7880161406224531</v>
      </c>
      <c r="BO238" s="580">
        <f t="shared" si="401"/>
        <v>-18.61557996151484</v>
      </c>
      <c r="BP238" s="580">
        <f t="shared" si="401"/>
        <v>29.376469634314397</v>
      </c>
      <c r="BQ238" s="580">
        <f t="shared" si="401"/>
        <v>78.099509223218774</v>
      </c>
      <c r="BR238" s="580">
        <f t="shared" ref="BR238:BS238" si="402">BR237</f>
        <v>12.699131484835924</v>
      </c>
      <c r="BS238" s="580">
        <f t="shared" si="402"/>
        <v>52.694138840635738</v>
      </c>
      <c r="BT238" s="580">
        <f t="shared" ref="BT238:BU238" si="403">BT237</f>
        <v>0</v>
      </c>
      <c r="BU238" s="580">
        <f t="shared" si="403"/>
        <v>0</v>
      </c>
      <c r="BV238" s="580">
        <f t="shared" ref="BV238:BW238" si="404">BV237</f>
        <v>0</v>
      </c>
      <c r="BW238" s="580">
        <f t="shared" si="404"/>
        <v>0</v>
      </c>
    </row>
    <row r="239" spans="1:75" s="245" customFormat="1">
      <c r="A239" s="243"/>
      <c r="B239" s="246" t="s">
        <v>1366</v>
      </c>
      <c r="C239" s="265" t="s">
        <v>1367</v>
      </c>
      <c r="D239" s="243"/>
      <c r="G239" s="273" t="e">
        <f t="shared" ref="G239:Y239" si="405">IF(F222&lt;0,"n.a.",(G222/F222-1)*100)</f>
        <v>#DIV/0!</v>
      </c>
      <c r="H239" s="273" t="e">
        <f t="shared" si="405"/>
        <v>#DIV/0!</v>
      </c>
      <c r="I239" s="273" t="e">
        <f t="shared" si="405"/>
        <v>#DIV/0!</v>
      </c>
      <c r="J239" s="273" t="e">
        <f t="shared" si="405"/>
        <v>#DIV/0!</v>
      </c>
      <c r="K239" s="273" t="e">
        <f t="shared" si="405"/>
        <v>#DIV/0!</v>
      </c>
      <c r="L239" s="273"/>
      <c r="M239" s="273" t="e">
        <f t="shared" si="405"/>
        <v>#DIV/0!</v>
      </c>
      <c r="N239" s="273" t="e">
        <f t="shared" si="405"/>
        <v>#DIV/0!</v>
      </c>
      <c r="O239" s="273" t="e">
        <f t="shared" si="405"/>
        <v>#DIV/0!</v>
      </c>
      <c r="P239" s="273" t="e">
        <f t="shared" si="405"/>
        <v>#DIV/0!</v>
      </c>
      <c r="Q239" s="273" t="e">
        <f t="shared" si="405"/>
        <v>#DIV/0!</v>
      </c>
      <c r="R239" s="273">
        <f t="shared" si="405"/>
        <v>-78.732049054072888</v>
      </c>
      <c r="S239" s="273">
        <f t="shared" si="405"/>
        <v>-20.349040498021608</v>
      </c>
      <c r="T239" s="273">
        <f t="shared" si="405"/>
        <v>184.0708997532177</v>
      </c>
      <c r="U239" s="273">
        <f t="shared" si="405"/>
        <v>96.036111127416191</v>
      </c>
      <c r="V239" s="273">
        <f t="shared" si="405"/>
        <v>-10.05111191623268</v>
      </c>
      <c r="W239" s="273">
        <f t="shared" si="405"/>
        <v>1.3155573309366675</v>
      </c>
      <c r="X239" s="273">
        <f t="shared" si="405"/>
        <v>6.5613736500227171</v>
      </c>
      <c r="Y239" s="273">
        <f t="shared" si="405"/>
        <v>-13.243732405874265</v>
      </c>
      <c r="Z239" s="273">
        <f t="shared" ref="Z239:AB242" si="406">IF(Y222&lt;0,"n.a.",(Z222/Y222-1)*100)</f>
        <v>39.660025446558599</v>
      </c>
      <c r="AA239" s="273">
        <f t="shared" si="406"/>
        <v>-2.5984370188845252</v>
      </c>
      <c r="AB239" s="273">
        <f t="shared" si="406"/>
        <v>14.920157983588233</v>
      </c>
      <c r="AC239" s="273">
        <f t="shared" ref="AC239:AC242" si="407">IF(AB222&lt;0,"n.a.",(AC222/AB222-1)*100)</f>
        <v>15.824412524941046</v>
      </c>
      <c r="AD239" s="273">
        <f t="shared" ref="AD239:AD242" si="408">IF(AC222&lt;0,"n.a.",(AD222/AC222-1)*100)</f>
        <v>7.2208241918875427</v>
      </c>
      <c r="AF239" s="583">
        <f>AF602</f>
        <v>0</v>
      </c>
      <c r="AG239" s="583">
        <f>AG602</f>
        <v>0</v>
      </c>
      <c r="AH239" s="583">
        <f>AH602</f>
        <v>0</v>
      </c>
      <c r="AI239" s="583">
        <f>AI602</f>
        <v>0</v>
      </c>
      <c r="AJ239" s="583">
        <f>AJ602</f>
        <v>18.341501613404066</v>
      </c>
      <c r="AK239" s="583">
        <f t="shared" ref="AK239:BK239" si="409">AK602</f>
        <v>-1.1859686835869132</v>
      </c>
      <c r="AL239" s="583">
        <f t="shared" si="409"/>
        <v>4.4086344463741822</v>
      </c>
      <c r="AM239" s="583">
        <f t="shared" si="409"/>
        <v>-3.1750791670665857</v>
      </c>
      <c r="AN239" s="583">
        <f t="shared" si="409"/>
        <v>-29.688997398804386</v>
      </c>
      <c r="AO239" s="583">
        <f t="shared" si="409"/>
        <v>-100</v>
      </c>
      <c r="AP239" s="583">
        <f t="shared" si="409"/>
        <v>-100</v>
      </c>
      <c r="AQ239" s="583">
        <f t="shared" si="409"/>
        <v>-100</v>
      </c>
      <c r="AR239" s="583">
        <f t="shared" si="409"/>
        <v>-100</v>
      </c>
      <c r="AS239" s="583" t="e">
        <f t="shared" si="409"/>
        <v>#DIV/0!</v>
      </c>
      <c r="AT239" s="583" t="e">
        <f t="shared" si="409"/>
        <v>#DIV/0!</v>
      </c>
      <c r="AU239" s="583" t="e">
        <f t="shared" si="409"/>
        <v>#DIV/0!</v>
      </c>
      <c r="AV239" s="583" t="e">
        <f t="shared" si="409"/>
        <v>#DIV/0!</v>
      </c>
      <c r="AW239" s="583" t="e">
        <f t="shared" si="409"/>
        <v>#DIV/0!</v>
      </c>
      <c r="AX239" s="583" t="e">
        <f t="shared" si="409"/>
        <v>#DIV/0!</v>
      </c>
      <c r="AY239" s="583" t="e">
        <f t="shared" si="409"/>
        <v>#DIV/0!</v>
      </c>
      <c r="AZ239" s="583" t="e">
        <f t="shared" si="409"/>
        <v>#DIV/0!</v>
      </c>
      <c r="BA239" s="583" t="e">
        <f t="shared" si="409"/>
        <v>#DIV/0!</v>
      </c>
      <c r="BB239" s="583" t="e">
        <f t="shared" si="409"/>
        <v>#DIV/0!</v>
      </c>
      <c r="BC239" s="583" t="e">
        <f t="shared" si="409"/>
        <v>#DIV/0!</v>
      </c>
      <c r="BD239" s="583" t="e">
        <f t="shared" si="409"/>
        <v>#DIV/0!</v>
      </c>
      <c r="BE239" s="583" t="e">
        <f t="shared" si="409"/>
        <v>#DIV/0!</v>
      </c>
      <c r="BF239" s="583" t="e">
        <f t="shared" si="409"/>
        <v>#DIV/0!</v>
      </c>
      <c r="BG239" s="583" t="e">
        <f t="shared" si="409"/>
        <v>#DIV/0!</v>
      </c>
      <c r="BH239" s="583" t="e">
        <f t="shared" si="409"/>
        <v>#DIV/0!</v>
      </c>
      <c r="BI239" s="583" t="e">
        <f t="shared" si="409"/>
        <v>#DIV/0!</v>
      </c>
      <c r="BJ239" s="583" t="e">
        <f t="shared" si="409"/>
        <v>#DIV/0!</v>
      </c>
      <c r="BK239" s="583" t="e">
        <f t="shared" si="409"/>
        <v>#DIV/0!</v>
      </c>
      <c r="BL239" s="583" t="e">
        <f t="shared" ref="BL239:BQ239" si="410">BL602</f>
        <v>#DIV/0!</v>
      </c>
      <c r="BM239" s="583" t="e">
        <f t="shared" si="410"/>
        <v>#DIV/0!</v>
      </c>
      <c r="BN239" s="583" t="e">
        <f t="shared" si="410"/>
        <v>#DIV/0!</v>
      </c>
      <c r="BO239" s="583" t="e">
        <f t="shared" si="410"/>
        <v>#DIV/0!</v>
      </c>
      <c r="BP239" s="583" t="e">
        <f t="shared" si="410"/>
        <v>#DIV/0!</v>
      </c>
      <c r="BQ239" s="583" t="e">
        <f t="shared" si="410"/>
        <v>#DIV/0!</v>
      </c>
      <c r="BR239" s="583" t="e">
        <f t="shared" ref="BR239:BS239" si="411">BR602</f>
        <v>#DIV/0!</v>
      </c>
      <c r="BS239" s="583" t="e">
        <f t="shared" si="411"/>
        <v>#DIV/0!</v>
      </c>
      <c r="BT239" s="583">
        <f t="shared" ref="BT239:BU239" si="412">BT602</f>
        <v>0</v>
      </c>
      <c r="BU239" s="583">
        <f t="shared" si="412"/>
        <v>0</v>
      </c>
      <c r="BV239" s="583">
        <f t="shared" ref="BV239:BW239" si="413">BV602</f>
        <v>0</v>
      </c>
      <c r="BW239" s="583">
        <f t="shared" si="413"/>
        <v>0</v>
      </c>
    </row>
    <row r="240" spans="1:75" s="245" customFormat="1">
      <c r="A240" s="243"/>
      <c r="B240" s="246" t="s">
        <v>1368</v>
      </c>
      <c r="C240" s="265" t="s">
        <v>1369</v>
      </c>
      <c r="D240" s="243"/>
      <c r="G240" s="273" t="e">
        <f t="shared" ref="G240:Y240" si="414">IF(F223&lt;0,"n.a.",(G223/F223-1)*100)</f>
        <v>#DIV/0!</v>
      </c>
      <c r="H240" s="273" t="e">
        <f t="shared" si="414"/>
        <v>#DIV/0!</v>
      </c>
      <c r="I240" s="273" t="e">
        <f t="shared" si="414"/>
        <v>#DIV/0!</v>
      </c>
      <c r="J240" s="273" t="e">
        <f t="shared" si="414"/>
        <v>#DIV/0!</v>
      </c>
      <c r="K240" s="273" t="e">
        <f t="shared" si="414"/>
        <v>#DIV/0!</v>
      </c>
      <c r="L240" s="273"/>
      <c r="M240" s="273" t="e">
        <f t="shared" si="414"/>
        <v>#DIV/0!</v>
      </c>
      <c r="N240" s="273" t="e">
        <f t="shared" si="414"/>
        <v>#DIV/0!</v>
      </c>
      <c r="O240" s="273" t="e">
        <f t="shared" si="414"/>
        <v>#DIV/0!</v>
      </c>
      <c r="P240" s="273" t="e">
        <f t="shared" si="414"/>
        <v>#DIV/0!</v>
      </c>
      <c r="Q240" s="273" t="e">
        <f t="shared" si="414"/>
        <v>#DIV/0!</v>
      </c>
      <c r="R240" s="273">
        <f t="shared" si="414"/>
        <v>-77.262403433649112</v>
      </c>
      <c r="S240" s="273">
        <f t="shared" si="414"/>
        <v>-10.149234362758264</v>
      </c>
      <c r="T240" s="273">
        <f t="shared" si="414"/>
        <v>144.41066071116217</v>
      </c>
      <c r="U240" s="273">
        <f t="shared" si="414"/>
        <v>55.918763898980586</v>
      </c>
      <c r="V240" s="273">
        <f t="shared" si="414"/>
        <v>6.0548023067595436</v>
      </c>
      <c r="W240" s="273">
        <f t="shared" si="414"/>
        <v>-4.4700654116941134</v>
      </c>
      <c r="X240" s="273">
        <f t="shared" si="414"/>
        <v>14.103723403328438</v>
      </c>
      <c r="Y240" s="273">
        <f t="shared" si="414"/>
        <v>-5.9294960377289652</v>
      </c>
      <c r="Z240" s="273">
        <f t="shared" si="406"/>
        <v>27.572232886598201</v>
      </c>
      <c r="AA240" s="273">
        <f t="shared" si="406"/>
        <v>-2.5984370188845252</v>
      </c>
      <c r="AB240" s="273">
        <f t="shared" si="406"/>
        <v>14.920157983588233</v>
      </c>
      <c r="AC240" s="273">
        <f t="shared" si="407"/>
        <v>15.824412524941046</v>
      </c>
      <c r="AD240" s="273">
        <f t="shared" si="408"/>
        <v>7.2208241918875427</v>
      </c>
      <c r="AF240" s="583">
        <f>AF239</f>
        <v>0</v>
      </c>
      <c r="AG240" s="583">
        <f>AG239</f>
        <v>0</v>
      </c>
      <c r="AH240" s="583">
        <f>AH239</f>
        <v>0</v>
      </c>
      <c r="AI240" s="583">
        <f>AI239</f>
        <v>0</v>
      </c>
      <c r="AJ240" s="583">
        <f>AJ239</f>
        <v>18.341501613404066</v>
      </c>
      <c r="AK240" s="583">
        <f t="shared" ref="AK240:BK240" si="415">AK239</f>
        <v>-1.1859686835869132</v>
      </c>
      <c r="AL240" s="583">
        <f t="shared" si="415"/>
        <v>4.4086344463741822</v>
      </c>
      <c r="AM240" s="583">
        <f t="shared" si="415"/>
        <v>-3.1750791670665857</v>
      </c>
      <c r="AN240" s="583">
        <f t="shared" si="415"/>
        <v>-29.688997398804386</v>
      </c>
      <c r="AO240" s="583">
        <f t="shared" si="415"/>
        <v>-100</v>
      </c>
      <c r="AP240" s="583">
        <f t="shared" si="415"/>
        <v>-100</v>
      </c>
      <c r="AQ240" s="583">
        <f t="shared" si="415"/>
        <v>-100</v>
      </c>
      <c r="AR240" s="583">
        <f t="shared" si="415"/>
        <v>-100</v>
      </c>
      <c r="AS240" s="583" t="e">
        <f t="shared" si="415"/>
        <v>#DIV/0!</v>
      </c>
      <c r="AT240" s="583" t="e">
        <f t="shared" si="415"/>
        <v>#DIV/0!</v>
      </c>
      <c r="AU240" s="583" t="e">
        <f t="shared" si="415"/>
        <v>#DIV/0!</v>
      </c>
      <c r="AV240" s="583" t="e">
        <f t="shared" si="415"/>
        <v>#DIV/0!</v>
      </c>
      <c r="AW240" s="583" t="e">
        <f t="shared" si="415"/>
        <v>#DIV/0!</v>
      </c>
      <c r="AX240" s="583" t="e">
        <f t="shared" si="415"/>
        <v>#DIV/0!</v>
      </c>
      <c r="AY240" s="583" t="e">
        <f t="shared" si="415"/>
        <v>#DIV/0!</v>
      </c>
      <c r="AZ240" s="583" t="e">
        <f t="shared" si="415"/>
        <v>#DIV/0!</v>
      </c>
      <c r="BA240" s="583" t="e">
        <f t="shared" si="415"/>
        <v>#DIV/0!</v>
      </c>
      <c r="BB240" s="583" t="e">
        <f t="shared" si="415"/>
        <v>#DIV/0!</v>
      </c>
      <c r="BC240" s="583" t="e">
        <f t="shared" si="415"/>
        <v>#DIV/0!</v>
      </c>
      <c r="BD240" s="583" t="e">
        <f t="shared" si="415"/>
        <v>#DIV/0!</v>
      </c>
      <c r="BE240" s="583" t="e">
        <f t="shared" si="415"/>
        <v>#DIV/0!</v>
      </c>
      <c r="BF240" s="583" t="e">
        <f t="shared" si="415"/>
        <v>#DIV/0!</v>
      </c>
      <c r="BG240" s="583" t="e">
        <f t="shared" si="415"/>
        <v>#DIV/0!</v>
      </c>
      <c r="BH240" s="583" t="e">
        <f t="shared" si="415"/>
        <v>#DIV/0!</v>
      </c>
      <c r="BI240" s="583" t="e">
        <f t="shared" si="415"/>
        <v>#DIV/0!</v>
      </c>
      <c r="BJ240" s="583" t="e">
        <f t="shared" si="415"/>
        <v>#DIV/0!</v>
      </c>
      <c r="BK240" s="583" t="e">
        <f t="shared" si="415"/>
        <v>#DIV/0!</v>
      </c>
      <c r="BL240" s="583" t="e">
        <f t="shared" ref="BL240:BQ240" si="416">BL239</f>
        <v>#DIV/0!</v>
      </c>
      <c r="BM240" s="583" t="e">
        <f t="shared" si="416"/>
        <v>#DIV/0!</v>
      </c>
      <c r="BN240" s="583" t="e">
        <f t="shared" si="416"/>
        <v>#DIV/0!</v>
      </c>
      <c r="BO240" s="583" t="e">
        <f t="shared" si="416"/>
        <v>#DIV/0!</v>
      </c>
      <c r="BP240" s="583" t="e">
        <f t="shared" si="416"/>
        <v>#DIV/0!</v>
      </c>
      <c r="BQ240" s="583" t="e">
        <f t="shared" si="416"/>
        <v>#DIV/0!</v>
      </c>
      <c r="BR240" s="583" t="e">
        <f t="shared" ref="BR240:BS240" si="417">BR239</f>
        <v>#DIV/0!</v>
      </c>
      <c r="BS240" s="583" t="e">
        <f t="shared" si="417"/>
        <v>#DIV/0!</v>
      </c>
      <c r="BT240" s="583">
        <f t="shared" ref="BT240:BU240" si="418">BT239</f>
        <v>0</v>
      </c>
      <c r="BU240" s="583">
        <f t="shared" si="418"/>
        <v>0</v>
      </c>
      <c r="BV240" s="583">
        <f t="shared" ref="BV240:BW240" si="419">BV239</f>
        <v>0</v>
      </c>
      <c r="BW240" s="583">
        <f t="shared" si="419"/>
        <v>0</v>
      </c>
    </row>
    <row r="241" spans="1:75" s="245" customFormat="1">
      <c r="A241" s="243"/>
      <c r="B241" s="246" t="s">
        <v>1370</v>
      </c>
      <c r="C241" s="265" t="s">
        <v>1371</v>
      </c>
      <c r="D241" s="243"/>
      <c r="G241" s="273" t="e">
        <f t="shared" ref="G241:Y241" si="420">IF(F224&lt;0,"n.a.",(G224/F224-1)*100)</f>
        <v>#DIV/0!</v>
      </c>
      <c r="H241" s="273" t="e">
        <f t="shared" si="420"/>
        <v>#DIV/0!</v>
      </c>
      <c r="I241" s="273" t="e">
        <f t="shared" si="420"/>
        <v>#DIV/0!</v>
      </c>
      <c r="J241" s="273" t="e">
        <f t="shared" si="420"/>
        <v>#DIV/0!</v>
      </c>
      <c r="K241" s="273" t="e">
        <f t="shared" si="420"/>
        <v>#DIV/0!</v>
      </c>
      <c r="L241" s="273"/>
      <c r="M241" s="273" t="e">
        <f t="shared" si="420"/>
        <v>#DIV/0!</v>
      </c>
      <c r="N241" s="273" t="e">
        <f t="shared" si="420"/>
        <v>#DIV/0!</v>
      </c>
      <c r="O241" s="273" t="e">
        <f t="shared" si="420"/>
        <v>#DIV/0!</v>
      </c>
      <c r="P241" s="273" t="e">
        <f t="shared" si="420"/>
        <v>#DIV/0!</v>
      </c>
      <c r="Q241" s="273" t="e">
        <f t="shared" si="420"/>
        <v>#DIV/0!</v>
      </c>
      <c r="R241" s="273">
        <f t="shared" si="420"/>
        <v>-75.376232545207586</v>
      </c>
      <c r="S241" s="273">
        <f t="shared" si="420"/>
        <v>-10.070850551186917</v>
      </c>
      <c r="T241" s="273">
        <f t="shared" si="420"/>
        <v>113.97203455058551</v>
      </c>
      <c r="U241" s="273">
        <f t="shared" si="420"/>
        <v>36.792933582469843</v>
      </c>
      <c r="V241" s="273">
        <f t="shared" si="420"/>
        <v>15.034587037348256</v>
      </c>
      <c r="W241" s="273">
        <f t="shared" si="420"/>
        <v>-5.9568145234261678</v>
      </c>
      <c r="X241" s="273">
        <f t="shared" si="420"/>
        <v>17.064533009233319</v>
      </c>
      <c r="Y241" s="273">
        <f t="shared" si="420"/>
        <v>-0.15861525994150805</v>
      </c>
      <c r="Z241" s="273">
        <f t="shared" si="406"/>
        <v>22.380640148353081</v>
      </c>
      <c r="AA241" s="273">
        <f t="shared" si="406"/>
        <v>-2.406988243568875</v>
      </c>
      <c r="AB241" s="273">
        <f t="shared" si="406"/>
        <v>14.540194902272852</v>
      </c>
      <c r="AC241" s="273">
        <f t="shared" si="407"/>
        <v>15.279743508451805</v>
      </c>
      <c r="AD241" s="273">
        <f t="shared" si="408"/>
        <v>7.3477953389340822</v>
      </c>
      <c r="AF241" s="583"/>
      <c r="AG241" s="583"/>
      <c r="AH241" s="583"/>
      <c r="AI241" s="583"/>
      <c r="AJ241" s="583"/>
      <c r="AK241" s="583"/>
      <c r="AL241" s="583"/>
      <c r="AM241" s="583"/>
      <c r="AN241" s="583"/>
      <c r="AO241" s="583"/>
      <c r="AP241" s="583"/>
      <c r="AQ241" s="583"/>
      <c r="AR241" s="583"/>
      <c r="AS241" s="583"/>
      <c r="AT241" s="583"/>
      <c r="AU241" s="583"/>
      <c r="AV241" s="583"/>
      <c r="AW241" s="583"/>
      <c r="AX241" s="583"/>
      <c r="AY241" s="583"/>
      <c r="AZ241" s="583"/>
      <c r="BA241" s="583"/>
      <c r="BB241" s="583"/>
      <c r="BC241" s="583"/>
      <c r="BD241" s="583"/>
      <c r="BE241" s="583"/>
      <c r="BF241" s="583"/>
      <c r="BG241" s="583"/>
      <c r="BH241" s="583"/>
      <c r="BI241" s="583"/>
      <c r="BJ241" s="583"/>
      <c r="BK241" s="583"/>
    </row>
    <row r="242" spans="1:75" s="245" customFormat="1">
      <c r="A242" s="243"/>
      <c r="B242" s="246" t="s">
        <v>1372</v>
      </c>
      <c r="C242" s="265" t="s">
        <v>1373</v>
      </c>
      <c r="D242" s="243"/>
      <c r="G242" s="273" t="e">
        <f t="shared" ref="G242:Y242" si="421">IF(F225&lt;0,"n.a.",(G225/F225-1)*100)</f>
        <v>#DIV/0!</v>
      </c>
      <c r="H242" s="273" t="e">
        <f t="shared" si="421"/>
        <v>#DIV/0!</v>
      </c>
      <c r="I242" s="273" t="e">
        <f t="shared" si="421"/>
        <v>#DIV/0!</v>
      </c>
      <c r="J242" s="273" t="e">
        <f t="shared" si="421"/>
        <v>#DIV/0!</v>
      </c>
      <c r="K242" s="273" t="e">
        <f t="shared" si="421"/>
        <v>#DIV/0!</v>
      </c>
      <c r="L242" s="273"/>
      <c r="M242" s="273" t="e">
        <f t="shared" si="421"/>
        <v>#DIV/0!</v>
      </c>
      <c r="N242" s="273" t="e">
        <f t="shared" si="421"/>
        <v>#DIV/0!</v>
      </c>
      <c r="O242" s="273" t="e">
        <f t="shared" si="421"/>
        <v>#DIV/0!</v>
      </c>
      <c r="P242" s="273" t="e">
        <f t="shared" si="421"/>
        <v>#DIV/0!</v>
      </c>
      <c r="Q242" s="273" t="e">
        <f t="shared" si="421"/>
        <v>#DIV/0!</v>
      </c>
      <c r="R242" s="273">
        <f t="shared" si="421"/>
        <v>-70.033160555294131</v>
      </c>
      <c r="S242" s="273">
        <f t="shared" si="421"/>
        <v>-121.25438515732358</v>
      </c>
      <c r="T242" s="273" t="str">
        <f t="shared" si="421"/>
        <v>n.a.</v>
      </c>
      <c r="U242" s="273">
        <f t="shared" si="421"/>
        <v>-29.779946298890813</v>
      </c>
      <c r="V242" s="273">
        <f t="shared" si="421"/>
        <v>52.924567876004282</v>
      </c>
      <c r="W242" s="273">
        <f t="shared" si="421"/>
        <v>-51.011250180235002</v>
      </c>
      <c r="X242" s="273">
        <f t="shared" si="421"/>
        <v>137.28571428571436</v>
      </c>
      <c r="Y242" s="273">
        <f t="shared" si="421"/>
        <v>-43.795739685785925</v>
      </c>
      <c r="Z242" s="273">
        <f t="shared" si="406"/>
        <v>85.531280174617976</v>
      </c>
      <c r="AA242" s="273">
        <f t="shared" si="406"/>
        <v>-18.757607600065697</v>
      </c>
      <c r="AB242" s="273">
        <f t="shared" si="406"/>
        <v>-15.993012630620207</v>
      </c>
      <c r="AC242" s="273">
        <f t="shared" si="407"/>
        <v>25.457045220976603</v>
      </c>
      <c r="AD242" s="273">
        <f t="shared" si="408"/>
        <v>12.743936872581019</v>
      </c>
      <c r="AF242" s="583"/>
      <c r="AG242" s="583"/>
      <c r="AH242" s="583"/>
      <c r="AI242" s="583"/>
      <c r="AJ242" s="583"/>
      <c r="AK242" s="583"/>
      <c r="AL242" s="583"/>
      <c r="AM242" s="583"/>
      <c r="AN242" s="583"/>
      <c r="AO242" s="583"/>
      <c r="AP242" s="583"/>
      <c r="AQ242" s="583"/>
      <c r="AR242" s="583"/>
      <c r="AS242" s="583"/>
      <c r="AT242" s="583"/>
      <c r="AU242" s="583"/>
      <c r="AV242" s="583"/>
      <c r="AW242" s="583"/>
      <c r="AX242" s="583"/>
      <c r="AY242" s="583"/>
      <c r="AZ242" s="583"/>
      <c r="BA242" s="583"/>
      <c r="BB242" s="583"/>
      <c r="BC242" s="583"/>
      <c r="BD242" s="583"/>
      <c r="BE242" s="583"/>
      <c r="BF242" s="583"/>
      <c r="BG242" s="583"/>
      <c r="BH242" s="583"/>
      <c r="BI242" s="583"/>
      <c r="BJ242" s="583"/>
      <c r="BK242" s="583"/>
    </row>
    <row r="243" spans="1:75" s="245" customFormat="1">
      <c r="A243" s="243"/>
      <c r="B243" s="246" t="s">
        <v>1374</v>
      </c>
      <c r="C243" s="265" t="s">
        <v>1375</v>
      </c>
      <c r="D243" s="243"/>
      <c r="G243" s="273" t="e">
        <f t="shared" ref="G243:Y243" si="422">IF(F341&lt;0,"n.a.",(G341/F341-1)*100)</f>
        <v>#DIV/0!</v>
      </c>
      <c r="H243" s="273" t="e">
        <f t="shared" si="422"/>
        <v>#DIV/0!</v>
      </c>
      <c r="I243" s="273" t="e">
        <f t="shared" si="422"/>
        <v>#DIV/0!</v>
      </c>
      <c r="J243" s="273" t="e">
        <f t="shared" si="422"/>
        <v>#DIV/0!</v>
      </c>
      <c r="K243" s="273" t="e">
        <f t="shared" si="422"/>
        <v>#DIV/0!</v>
      </c>
      <c r="L243" s="273"/>
      <c r="M243" s="273" t="e">
        <f t="shared" si="422"/>
        <v>#DIV/0!</v>
      </c>
      <c r="N243" s="273">
        <f t="shared" si="422"/>
        <v>-41.461210730320907</v>
      </c>
      <c r="O243" s="273">
        <f t="shared" si="422"/>
        <v>-6.4379639764885592</v>
      </c>
      <c r="P243" s="273">
        <f t="shared" si="422"/>
        <v>-57.233341167581521</v>
      </c>
      <c r="Q243" s="273">
        <f t="shared" si="422"/>
        <v>91.00797679477833</v>
      </c>
      <c r="R243" s="273">
        <f t="shared" si="422"/>
        <v>49.775246772969275</v>
      </c>
      <c r="S243" s="273">
        <f t="shared" si="422"/>
        <v>26.492745394263117</v>
      </c>
      <c r="T243" s="273">
        <f t="shared" si="422"/>
        <v>-91.650902561800578</v>
      </c>
      <c r="U243" s="273">
        <f t="shared" si="422"/>
        <v>-250.2208141321031</v>
      </c>
      <c r="V243" s="273" t="str">
        <f t="shared" si="422"/>
        <v>n.a.</v>
      </c>
      <c r="W243" s="273" t="str">
        <f t="shared" si="422"/>
        <v>n.a.</v>
      </c>
      <c r="X243" s="273">
        <f t="shared" si="422"/>
        <v>-23.054862378487016</v>
      </c>
      <c r="Y243" s="273">
        <f t="shared" si="422"/>
        <v>53.461445374896918</v>
      </c>
      <c r="Z243" s="273">
        <f>IF(Y341&lt;0,"n.a.",(Z341/Y341-1)*100)</f>
        <v>133.19644036218835</v>
      </c>
      <c r="AA243" s="273">
        <f>IF(Z341&lt;0,"n.a.",(AA341/Z341-1)*100)</f>
        <v>-93.34322411786404</v>
      </c>
      <c r="AB243" s="273">
        <f>IF(AA341&lt;0,"n.a.",(AB341/AA341-1)*100)</f>
        <v>385.72853578562666</v>
      </c>
      <c r="AC243" s="273">
        <f t="shared" ref="AC243:AD243" si="423">IF(AB341&lt;0,"n.a.",(AC341/AB341-1)*100)</f>
        <v>70.702376545087645</v>
      </c>
      <c r="AD243" s="273">
        <f t="shared" si="423"/>
        <v>46.975855115129491</v>
      </c>
      <c r="AF243" s="583"/>
      <c r="AG243" s="583"/>
      <c r="AH243" s="583"/>
      <c r="AI243" s="583"/>
      <c r="AJ243" s="583"/>
      <c r="AK243" s="583"/>
      <c r="AL243" s="583"/>
      <c r="AM243" s="583"/>
      <c r="AN243" s="583"/>
      <c r="AO243" s="583"/>
      <c r="AP243" s="583"/>
      <c r="AQ243" s="583"/>
      <c r="AR243" s="583"/>
      <c r="AS243" s="583"/>
      <c r="AT243" s="583"/>
      <c r="AU243" s="583"/>
      <c r="AV243" s="583"/>
      <c r="AW243" s="583"/>
      <c r="AX243" s="583"/>
      <c r="AY243" s="583"/>
      <c r="AZ243" s="583"/>
      <c r="BA243" s="583"/>
      <c r="BB243" s="583"/>
      <c r="BC243" s="583"/>
      <c r="BD243" s="583"/>
      <c r="BE243" s="583"/>
      <c r="BF243" s="583"/>
      <c r="BG243" s="583"/>
      <c r="BH243" s="583"/>
      <c r="BI243" s="583"/>
      <c r="BJ243" s="583"/>
      <c r="BK243" s="583"/>
    </row>
    <row r="244" spans="1:75" s="240" customFormat="1">
      <c r="A244" s="209"/>
      <c r="B244" s="209"/>
      <c r="C244" s="247"/>
      <c r="D244" s="209"/>
      <c r="AF244" s="579"/>
      <c r="AG244" s="579"/>
      <c r="AH244" s="579"/>
      <c r="AI244" s="579"/>
      <c r="AJ244" s="579"/>
      <c r="AK244" s="579"/>
      <c r="AL244" s="579"/>
      <c r="AM244" s="579"/>
      <c r="AN244" s="579"/>
      <c r="AO244" s="579"/>
      <c r="AP244" s="579"/>
      <c r="AQ244" s="579"/>
      <c r="AR244" s="579"/>
      <c r="AS244" s="579"/>
      <c r="AT244" s="579"/>
      <c r="AU244" s="579"/>
      <c r="AV244" s="579"/>
      <c r="AW244" s="579"/>
      <c r="AX244" s="579"/>
      <c r="AY244" s="579"/>
      <c r="AZ244" s="579"/>
      <c r="BA244" s="579"/>
      <c r="BB244" s="579"/>
      <c r="BC244" s="579"/>
      <c r="BD244" s="579"/>
      <c r="BE244" s="579"/>
      <c r="BF244" s="579"/>
      <c r="BG244" s="579"/>
      <c r="BH244" s="579"/>
      <c r="BI244" s="579"/>
      <c r="BJ244" s="579"/>
      <c r="BK244" s="579"/>
    </row>
    <row r="245" spans="1:75" s="240" customFormat="1">
      <c r="A245" s="209"/>
      <c r="B245" s="209"/>
      <c r="C245" s="216"/>
      <c r="D245" s="209"/>
      <c r="AF245" s="579"/>
      <c r="AG245" s="579"/>
      <c r="AH245" s="579"/>
      <c r="AI245" s="579"/>
      <c r="AJ245" s="579"/>
      <c r="AK245" s="579"/>
      <c r="AL245" s="579"/>
      <c r="AM245" s="579"/>
      <c r="AN245" s="579"/>
      <c r="AO245" s="579"/>
      <c r="AP245" s="579"/>
      <c r="AQ245" s="579"/>
      <c r="AR245" s="579"/>
      <c r="AS245" s="579"/>
      <c r="AT245" s="579"/>
      <c r="AU245" s="579"/>
      <c r="AV245" s="579"/>
      <c r="AW245" s="579"/>
      <c r="AX245" s="579"/>
      <c r="AY245" s="579"/>
      <c r="AZ245" s="579"/>
      <c r="BA245" s="579"/>
      <c r="BB245" s="579"/>
      <c r="BC245" s="579"/>
      <c r="BD245" s="579"/>
      <c r="BE245" s="579"/>
      <c r="BF245" s="579"/>
      <c r="BG245" s="579"/>
      <c r="BH245" s="579"/>
      <c r="BI245" s="579"/>
      <c r="BJ245" s="579"/>
      <c r="BK245" s="579"/>
    </row>
    <row r="246" spans="1:75" s="240" customFormat="1">
      <c r="A246" s="209"/>
      <c r="B246" s="209"/>
      <c r="C246" s="256" t="s">
        <v>1376</v>
      </c>
      <c r="D246" s="209"/>
      <c r="AF246" s="579"/>
      <c r="AG246" s="579"/>
      <c r="AH246" s="579"/>
      <c r="AI246" s="579"/>
      <c r="AJ246" s="579"/>
      <c r="AK246" s="579"/>
      <c r="AL246" s="579"/>
      <c r="AM246" s="579"/>
      <c r="AN246" s="579"/>
      <c r="AO246" s="579"/>
      <c r="AP246" s="579"/>
      <c r="AQ246" s="579"/>
      <c r="AR246" s="579"/>
      <c r="AS246" s="579"/>
      <c r="AT246" s="579"/>
      <c r="AU246" s="579"/>
      <c r="AV246" s="579"/>
      <c r="AW246" s="579"/>
      <c r="AX246" s="579"/>
      <c r="AY246" s="579"/>
      <c r="AZ246" s="579"/>
      <c r="BA246" s="579"/>
      <c r="BB246" s="579"/>
      <c r="BC246" s="579"/>
      <c r="BD246" s="579"/>
      <c r="BE246" s="579"/>
      <c r="BF246" s="579"/>
      <c r="BG246" s="579"/>
      <c r="BH246" s="579"/>
      <c r="BI246" s="579"/>
      <c r="BJ246" s="579"/>
      <c r="BK246" s="579"/>
    </row>
    <row r="247" spans="1:75" s="245" customFormat="1">
      <c r="A247" s="243"/>
      <c r="B247" s="246" t="s">
        <v>1377</v>
      </c>
      <c r="C247" s="254" t="s">
        <v>1378</v>
      </c>
      <c r="D247" s="243"/>
      <c r="F247" s="245" t="e">
        <f t="shared" ref="F247:X247" si="424">F77/F40*100</f>
        <v>#DIV/0!</v>
      </c>
      <c r="G247" s="245" t="e">
        <f t="shared" si="424"/>
        <v>#DIV/0!</v>
      </c>
      <c r="H247" s="245" t="e">
        <f t="shared" si="424"/>
        <v>#DIV/0!</v>
      </c>
      <c r="I247" s="245" t="e">
        <f t="shared" si="424"/>
        <v>#DIV/0!</v>
      </c>
      <c r="J247" s="245" t="e">
        <f t="shared" si="424"/>
        <v>#DIV/0!</v>
      </c>
      <c r="K247" s="245" t="e">
        <f t="shared" si="424"/>
        <v>#DIV/0!</v>
      </c>
      <c r="M247" s="245">
        <f t="shared" si="424"/>
        <v>18.45087020188339</v>
      </c>
      <c r="N247" s="245">
        <f t="shared" si="424"/>
        <v>18.519754451262568</v>
      </c>
      <c r="O247" s="245">
        <f t="shared" si="424"/>
        <v>15.715620785619741</v>
      </c>
      <c r="P247" s="245">
        <f t="shared" si="424"/>
        <v>18.464505694384162</v>
      </c>
      <c r="Q247" s="245">
        <f t="shared" si="424"/>
        <v>15.525987144551866</v>
      </c>
      <c r="R247" s="245">
        <f t="shared" si="424"/>
        <v>13.634987440320737</v>
      </c>
      <c r="S247" s="245">
        <f t="shared" si="424"/>
        <v>12.754784277823351</v>
      </c>
      <c r="T247" s="245">
        <f t="shared" si="424"/>
        <v>21.520686965936889</v>
      </c>
      <c r="U247" s="245">
        <f t="shared" si="424"/>
        <v>19.357089149255732</v>
      </c>
      <c r="V247" s="245">
        <f t="shared" si="424"/>
        <v>19.048562700151262</v>
      </c>
      <c r="W247" s="245">
        <f t="shared" si="424"/>
        <v>18.192751503331721</v>
      </c>
      <c r="X247" s="245">
        <f t="shared" si="424"/>
        <v>21.074110487054021</v>
      </c>
      <c r="Y247" s="245">
        <f>Y77/Y40*100</f>
        <v>19.279881880491452</v>
      </c>
      <c r="Z247" s="245">
        <f>Z77/Z40*100</f>
        <v>21.171654597520995</v>
      </c>
      <c r="AA247" s="245">
        <f>AA77/AA40*100</f>
        <v>20.317062592917246</v>
      </c>
      <c r="AB247" s="245">
        <f>AB77/AB40*100</f>
        <v>19.811187734932169</v>
      </c>
      <c r="AC247" s="245">
        <f t="shared" ref="AC247:AD247" si="425">AC77/AC40*100</f>
        <v>19.900197537688847</v>
      </c>
      <c r="AD247" s="245">
        <f t="shared" si="425"/>
        <v>18.945800283579999</v>
      </c>
      <c r="AF247" s="580">
        <f>AF77/AF40*100</f>
        <v>16.375200893465163</v>
      </c>
      <c r="AG247" s="580">
        <f t="shared" ref="AG247:BK247" si="426">AG77/AG40*100</f>
        <v>14.991563935516439</v>
      </c>
      <c r="AH247" s="580">
        <f t="shared" si="426"/>
        <v>14.158389240839025</v>
      </c>
      <c r="AI247" s="580">
        <f t="shared" si="426"/>
        <v>14.103434116401193</v>
      </c>
      <c r="AJ247" s="580">
        <f t="shared" si="426"/>
        <v>13.036777084864722</v>
      </c>
      <c r="AK247" s="580">
        <f t="shared" si="426"/>
        <v>16.006723628388276</v>
      </c>
      <c r="AL247" s="580">
        <f t="shared" si="426"/>
        <v>14.671864067966014</v>
      </c>
      <c r="AM247" s="580">
        <f t="shared" si="426"/>
        <v>12.609125310323222</v>
      </c>
      <c r="AN247" s="580">
        <f t="shared" si="426"/>
        <v>11.545502148634444</v>
      </c>
      <c r="AO247" s="580">
        <f t="shared" si="426"/>
        <v>13.491443751643173</v>
      </c>
      <c r="AP247" s="580">
        <f t="shared" si="426"/>
        <v>14.542342256668716</v>
      </c>
      <c r="AQ247" s="580">
        <f t="shared" si="426"/>
        <v>16.079345442574912</v>
      </c>
      <c r="AR247" s="580">
        <f t="shared" si="426"/>
        <v>19.475126899211865</v>
      </c>
      <c r="AS247" s="580">
        <f t="shared" si="426"/>
        <v>22.043560022302948</v>
      </c>
      <c r="AT247" s="580">
        <f t="shared" si="426"/>
        <v>21.954757172550874</v>
      </c>
      <c r="AU247" s="580">
        <f t="shared" si="426"/>
        <v>22.859580226213065</v>
      </c>
      <c r="AV247" s="580">
        <f t="shared" si="426"/>
        <v>19.972185518989413</v>
      </c>
      <c r="AW247" s="580">
        <f t="shared" si="426"/>
        <v>20.663454496040824</v>
      </c>
      <c r="AX247" s="580">
        <f t="shared" si="426"/>
        <v>20.332864106026229</v>
      </c>
      <c r="AY247" s="580">
        <f t="shared" si="426"/>
        <v>19.383611714948159</v>
      </c>
      <c r="AZ247" s="580">
        <f t="shared" si="426"/>
        <v>17.845054172182355</v>
      </c>
      <c r="BA247" s="580">
        <f t="shared" si="426"/>
        <v>20.07438402509084</v>
      </c>
      <c r="BB247" s="580">
        <f t="shared" si="426"/>
        <v>19.738301486795727</v>
      </c>
      <c r="BC247" s="580">
        <f t="shared" si="426"/>
        <v>19.791505426276583</v>
      </c>
      <c r="BD247" s="580">
        <f t="shared" si="426"/>
        <v>17.91534961341317</v>
      </c>
      <c r="BE247" s="580">
        <f t="shared" si="426"/>
        <v>18.405800016088808</v>
      </c>
      <c r="BF247" s="580">
        <f t="shared" si="426"/>
        <v>18.692115409840898</v>
      </c>
      <c r="BG247" s="580">
        <f t="shared" si="426"/>
        <v>17.625482462793482</v>
      </c>
      <c r="BH247" s="580">
        <f t="shared" si="426"/>
        <v>20.417259712202394</v>
      </c>
      <c r="BI247" s="580">
        <f t="shared" si="426"/>
        <v>22.634684022269067</v>
      </c>
      <c r="BJ247" s="580">
        <f t="shared" si="426"/>
        <v>20.261379315720955</v>
      </c>
      <c r="BK247" s="580">
        <f t="shared" si="426"/>
        <v>19.633071048133825</v>
      </c>
      <c r="BL247" s="580">
        <f t="shared" ref="BL247:BQ247" si="427">BL77/BL40*100</f>
        <v>18.893422257592228</v>
      </c>
      <c r="BM247" s="580">
        <f t="shared" si="427"/>
        <v>20.026362171290391</v>
      </c>
      <c r="BN247" s="580">
        <f t="shared" si="427"/>
        <v>20.290003659073346</v>
      </c>
      <c r="BO247" s="580">
        <f t="shared" si="427"/>
        <v>17.563205003228287</v>
      </c>
      <c r="BP247" s="580">
        <f t="shared" si="427"/>
        <v>20.364046806017903</v>
      </c>
      <c r="BQ247" s="580">
        <f t="shared" si="427"/>
        <v>21.65695714102441</v>
      </c>
      <c r="BR247" s="580">
        <f t="shared" ref="BR247:BS247" si="428">BR77/BR40*100</f>
        <v>21.118707674892708</v>
      </c>
      <c r="BS247" s="580">
        <f t="shared" si="428"/>
        <v>21.519958055710521</v>
      </c>
      <c r="BT247" s="580">
        <f t="shared" ref="BT247:BU247" si="429">BT77/BT40*100</f>
        <v>20.465209335502227</v>
      </c>
      <c r="BU247" s="580">
        <f t="shared" si="429"/>
        <v>21.407642554653389</v>
      </c>
      <c r="BV247" s="580">
        <f t="shared" ref="BV247:BW247" si="430">BV77/BV40*100</f>
        <v>20.602578702122994</v>
      </c>
      <c r="BW247" s="580">
        <f t="shared" si="430"/>
        <v>18.499505852180395</v>
      </c>
    </row>
    <row r="248" spans="1:75" s="245" customFormat="1">
      <c r="A248" s="243"/>
      <c r="B248" s="246" t="s">
        <v>1379</v>
      </c>
      <c r="C248" s="254" t="s">
        <v>743</v>
      </c>
      <c r="D248" s="243"/>
      <c r="F248" s="245" t="e">
        <f t="shared" ref="F248:X248" si="431">F81/F40*100</f>
        <v>#DIV/0!</v>
      </c>
      <c r="G248" s="245" t="e">
        <f t="shared" si="431"/>
        <v>#DIV/0!</v>
      </c>
      <c r="H248" s="245" t="e">
        <f t="shared" si="431"/>
        <v>#DIV/0!</v>
      </c>
      <c r="I248" s="245" t="e">
        <f t="shared" si="431"/>
        <v>#DIV/0!</v>
      </c>
      <c r="J248" s="245" t="e">
        <f t="shared" si="431"/>
        <v>#DIV/0!</v>
      </c>
      <c r="K248" s="245" t="e">
        <f t="shared" si="431"/>
        <v>#DIV/0!</v>
      </c>
      <c r="M248" s="245">
        <f t="shared" si="431"/>
        <v>14.486085419555589</v>
      </c>
      <c r="N248" s="245">
        <f t="shared" si="431"/>
        <v>14.912979686371596</v>
      </c>
      <c r="O248" s="245">
        <f t="shared" si="431"/>
        <v>12.599451851295477</v>
      </c>
      <c r="P248" s="245">
        <f t="shared" si="431"/>
        <v>15.997111469378478</v>
      </c>
      <c r="Q248" s="245">
        <f t="shared" si="431"/>
        <v>13.542628757758409</v>
      </c>
      <c r="R248" s="245">
        <f t="shared" si="431"/>
        <v>11.698523336604955</v>
      </c>
      <c r="S248" s="245">
        <f t="shared" si="431"/>
        <v>11.272959939011736</v>
      </c>
      <c r="T248" s="245">
        <f t="shared" si="431"/>
        <v>20.372743127269903</v>
      </c>
      <c r="U248" s="245">
        <f t="shared" si="431"/>
        <v>18.607983910458621</v>
      </c>
      <c r="V248" s="245">
        <f t="shared" si="431"/>
        <v>18.302901636439795</v>
      </c>
      <c r="W248" s="245">
        <f t="shared" si="431"/>
        <v>17.35878683318958</v>
      </c>
      <c r="X248" s="245">
        <f t="shared" si="431"/>
        <v>20.182724046391197</v>
      </c>
      <c r="Y248" s="245">
        <f>Y81/Y40*100</f>
        <v>18.042606865349413</v>
      </c>
      <c r="Z248" s="245">
        <f>Z81/Z40*100</f>
        <v>19.811728411459576</v>
      </c>
      <c r="AA248" s="245">
        <f>AA81/AA40*100</f>
        <v>18.905317669024395</v>
      </c>
      <c r="AB248" s="245">
        <f>AB81/AB40*100</f>
        <v>18.525082448927204</v>
      </c>
      <c r="AC248" s="245">
        <f t="shared" ref="AC248:AD248" si="432">AC81/AC40*100</f>
        <v>18.698727719928879</v>
      </c>
      <c r="AD248" s="245">
        <f t="shared" si="432"/>
        <v>17.815028137712027</v>
      </c>
      <c r="AF248" s="580">
        <f t="shared" ref="AF248:BK248" si="433">AF81/AF40*100</f>
        <v>14.190569584048371</v>
      </c>
      <c r="AG248" s="580">
        <f t="shared" si="433"/>
        <v>12.973066170765641</v>
      </c>
      <c r="AH248" s="580">
        <f t="shared" si="433"/>
        <v>12.320158241279017</v>
      </c>
      <c r="AI248" s="580">
        <f t="shared" si="433"/>
        <v>12.125521384884692</v>
      </c>
      <c r="AJ248" s="580">
        <f t="shared" si="433"/>
        <v>10.712066962274442</v>
      </c>
      <c r="AK248" s="580">
        <f t="shared" si="433"/>
        <v>13.943907664428279</v>
      </c>
      <c r="AL248" s="580">
        <f t="shared" si="433"/>
        <v>12.999500249875059</v>
      </c>
      <c r="AM248" s="580">
        <f t="shared" si="433"/>
        <v>10.613897659620626</v>
      </c>
      <c r="AN248" s="580">
        <f t="shared" si="433"/>
        <v>10.09447067427741</v>
      </c>
      <c r="AO248" s="580">
        <f t="shared" si="433"/>
        <v>12.193389655591877</v>
      </c>
      <c r="AP248" s="580">
        <f t="shared" si="433"/>
        <v>13.026009224478141</v>
      </c>
      <c r="AQ248" s="580">
        <f t="shared" si="433"/>
        <v>14.41799714347912</v>
      </c>
      <c r="AR248" s="580">
        <f t="shared" si="433"/>
        <v>18.060526754672917</v>
      </c>
      <c r="AS248" s="580">
        <f t="shared" si="433"/>
        <v>20.880620326856008</v>
      </c>
      <c r="AT248" s="580">
        <f t="shared" si="433"/>
        <v>20.872085084432047</v>
      </c>
      <c r="AU248" s="580">
        <f t="shared" si="433"/>
        <v>21.856182617776405</v>
      </c>
      <c r="AV248" s="580">
        <f t="shared" si="433"/>
        <v>19.154203277070266</v>
      </c>
      <c r="AW248" s="580">
        <f t="shared" si="433"/>
        <v>19.973651602323443</v>
      </c>
      <c r="AX248" s="580">
        <f t="shared" si="433"/>
        <v>19.590240072012037</v>
      </c>
      <c r="AY248" s="580">
        <f t="shared" si="433"/>
        <v>18.658605140429305</v>
      </c>
      <c r="AZ248" s="580">
        <f t="shared" si="433"/>
        <v>17.194010568834493</v>
      </c>
      <c r="BA248" s="580">
        <f t="shared" si="433"/>
        <v>19.325987325478515</v>
      </c>
      <c r="BB248" s="580">
        <f t="shared" si="433"/>
        <v>19.093682371652797</v>
      </c>
      <c r="BC248" s="580">
        <f t="shared" si="433"/>
        <v>19.159013122817868</v>
      </c>
      <c r="BD248" s="580">
        <f t="shared" si="433"/>
        <v>17.191090211810923</v>
      </c>
      <c r="BE248" s="580">
        <f t="shared" si="433"/>
        <v>17.580444051162413</v>
      </c>
      <c r="BF248" s="580">
        <f t="shared" si="433"/>
        <v>17.933161022851756</v>
      </c>
      <c r="BG248" s="580">
        <f t="shared" si="433"/>
        <v>16.643491597984191</v>
      </c>
      <c r="BH248" s="580">
        <f t="shared" si="433"/>
        <v>19.513387048496377</v>
      </c>
      <c r="BI248" s="580">
        <f t="shared" si="433"/>
        <v>21.778820419371229</v>
      </c>
      <c r="BJ248" s="580">
        <f t="shared" si="433"/>
        <v>19.365884269689197</v>
      </c>
      <c r="BK248" s="580">
        <f t="shared" si="433"/>
        <v>18.731258705388367</v>
      </c>
      <c r="BL248" s="580">
        <f t="shared" ref="BL248:BQ248" si="434">BL81/BL40*100</f>
        <v>17.575931810349914</v>
      </c>
      <c r="BM248" s="580">
        <f t="shared" si="434"/>
        <v>18.875616500841009</v>
      </c>
      <c r="BN248" s="580">
        <f t="shared" si="434"/>
        <v>19.127408227081727</v>
      </c>
      <c r="BO248" s="580">
        <f t="shared" si="434"/>
        <v>16.216814999556888</v>
      </c>
      <c r="BP248" s="580">
        <f t="shared" si="434"/>
        <v>18.963688188481363</v>
      </c>
      <c r="BQ248" s="580">
        <f t="shared" si="434"/>
        <v>20.373885268604617</v>
      </c>
      <c r="BR248" s="580">
        <f t="shared" ref="BR248:BS248" si="435">BR81/BR40*100</f>
        <v>19.773316774306355</v>
      </c>
      <c r="BS248" s="580">
        <f t="shared" si="435"/>
        <v>20.100046832814314</v>
      </c>
      <c r="BT248" s="580">
        <f t="shared" ref="BT248:BU248" si="436">BT81/BT40*100</f>
        <v>19.117424473073015</v>
      </c>
      <c r="BU248" s="580">
        <f t="shared" si="436"/>
        <v>20.13669126536869</v>
      </c>
      <c r="BV248" s="580">
        <f t="shared" ref="BV248:BW248" si="437">BV81/BV40*100</f>
        <v>19.079553730197414</v>
      </c>
      <c r="BW248" s="580">
        <f t="shared" si="437"/>
        <v>16.95376246600183</v>
      </c>
    </row>
    <row r="249" spans="1:75" s="245" customFormat="1">
      <c r="A249" s="243"/>
      <c r="B249" s="246" t="s">
        <v>1380</v>
      </c>
      <c r="C249" s="254" t="s">
        <v>1381</v>
      </c>
      <c r="D249" s="243"/>
      <c r="F249" s="245" t="e">
        <f t="shared" ref="F249:X249" si="438">F348/F40*100</f>
        <v>#DIV/0!</v>
      </c>
      <c r="G249" s="245" t="e">
        <f t="shared" si="438"/>
        <v>#DIV/0!</v>
      </c>
      <c r="H249" s="245" t="e">
        <f t="shared" si="438"/>
        <v>#DIV/0!</v>
      </c>
      <c r="I249" s="245" t="e">
        <f t="shared" si="438"/>
        <v>#DIV/0!</v>
      </c>
      <c r="J249" s="245" t="e">
        <f t="shared" si="438"/>
        <v>#DIV/0!</v>
      </c>
      <c r="K249" s="245" t="e">
        <f t="shared" si="438"/>
        <v>#DIV/0!</v>
      </c>
      <c r="M249" s="245">
        <f t="shared" si="438"/>
        <v>-4.4509925316860111</v>
      </c>
      <c r="N249" s="245">
        <f t="shared" si="438"/>
        <v>-3.1798816723599126</v>
      </c>
      <c r="O249" s="245">
        <f t="shared" si="438"/>
        <v>-3.4207255201451221</v>
      </c>
      <c r="P249" s="245">
        <f t="shared" si="438"/>
        <v>-4.6201957064977819</v>
      </c>
      <c r="Q249" s="245">
        <f t="shared" si="438"/>
        <v>-3.5996434816868481</v>
      </c>
      <c r="R249" s="245">
        <f t="shared" si="438"/>
        <v>-3.4844402790025484</v>
      </c>
      <c r="S249" s="245">
        <f t="shared" si="438"/>
        <v>-2.8648078123148371</v>
      </c>
      <c r="T249" s="245">
        <f t="shared" si="438"/>
        <v>-5.3989887628723841</v>
      </c>
      <c r="U249" s="245">
        <f t="shared" si="438"/>
        <v>-5.0020079368459642</v>
      </c>
      <c r="V249" s="245">
        <f t="shared" si="438"/>
        <v>-4.4635114478082141</v>
      </c>
      <c r="W249" s="245">
        <f t="shared" si="438"/>
        <v>-5.1086946718423123</v>
      </c>
      <c r="X249" s="245">
        <f t="shared" si="438"/>
        <v>-5.7956085647708901</v>
      </c>
      <c r="Y249" s="245">
        <f>Y348/Y40*100</f>
        <v>-4.9549974647553094</v>
      </c>
      <c r="Z249" s="245">
        <f>Z348/Z40*100</f>
        <v>-5.5791666051864688</v>
      </c>
      <c r="AA249" s="245">
        <f>AA348/AA40*100</f>
        <v>-5.1543725138328282</v>
      </c>
      <c r="AB249" s="245">
        <f>AB348/AB40*100</f>
        <v>-5.187023085699618</v>
      </c>
      <c r="AC249" s="245">
        <f t="shared" ref="AC249:AD249" si="439">AC348/AC40*100</f>
        <v>-5.2356437615800866</v>
      </c>
      <c r="AD249" s="245">
        <f t="shared" si="439"/>
        <v>-4.9882078785593649</v>
      </c>
      <c r="AF249" s="580">
        <f t="shared" ref="AF249:BK249" si="440">AF348/AF40*100</f>
        <v>-4.397400519529322</v>
      </c>
      <c r="AG249" s="580">
        <f t="shared" si="440"/>
        <v>-3.4229766914431941</v>
      </c>
      <c r="AH249" s="580">
        <f t="shared" si="440"/>
        <v>-2.9752998824685482</v>
      </c>
      <c r="AI249" s="580">
        <f t="shared" si="440"/>
        <v>-3.0806680978856882</v>
      </c>
      <c r="AJ249" s="580">
        <f t="shared" si="440"/>
        <v>-3.2352033498382471</v>
      </c>
      <c r="AK249" s="580">
        <f t="shared" si="440"/>
        <v>-3.7191969879018418</v>
      </c>
      <c r="AL249" s="580">
        <f t="shared" si="440"/>
        <v>-3.4666387204027505</v>
      </c>
      <c r="AM249" s="580">
        <f t="shared" si="440"/>
        <v>-2.8698946371058867</v>
      </c>
      <c r="AN249" s="580">
        <f t="shared" si="440"/>
        <v>-3.2236741581004273</v>
      </c>
      <c r="AO249" s="580">
        <f t="shared" si="440"/>
        <v>-2.8987241518978895</v>
      </c>
      <c r="AP249" s="580">
        <f t="shared" si="440"/>
        <v>-3.1175312503400088</v>
      </c>
      <c r="AQ249" s="580">
        <f t="shared" si="440"/>
        <v>-2.8021237385529378</v>
      </c>
      <c r="AR249" s="580">
        <f t="shared" si="440"/>
        <v>-4.8326692064586352</v>
      </c>
      <c r="AS249" s="580">
        <f t="shared" si="440"/>
        <v>-5.6743769323998956</v>
      </c>
      <c r="AT249" s="580">
        <f t="shared" si="440"/>
        <v>-5.6229381858833145</v>
      </c>
      <c r="AU249" s="580">
        <f t="shared" si="440"/>
        <v>-5.5550319270858948</v>
      </c>
      <c r="AV249" s="580">
        <f t="shared" si="440"/>
        <v>-5.2800938364886152</v>
      </c>
      <c r="AW249" s="580">
        <f t="shared" si="440"/>
        <v>-5.4374792095977922</v>
      </c>
      <c r="AX249" s="580">
        <f t="shared" si="440"/>
        <v>-5.1488122140868242</v>
      </c>
      <c r="AY249" s="580">
        <f t="shared" si="440"/>
        <v>-4.9029456780440341</v>
      </c>
      <c r="AZ249" s="580">
        <f t="shared" si="440"/>
        <v>-4.1939451036982032</v>
      </c>
      <c r="BA249" s="580">
        <f t="shared" si="440"/>
        <v>-4.3308751550466758</v>
      </c>
      <c r="BB249" s="580">
        <f t="shared" si="440"/>
        <v>-4.3436103044113645</v>
      </c>
      <c r="BC249" s="580">
        <f t="shared" si="440"/>
        <v>-4.7079807975162353</v>
      </c>
      <c r="BD249" s="580">
        <f t="shared" si="440"/>
        <v>-4.8922855879724052</v>
      </c>
      <c r="BE249" s="580">
        <f t="shared" si="440"/>
        <v>-4.8922125248556148</v>
      </c>
      <c r="BF249" s="580">
        <f t="shared" si="440"/>
        <v>-5.2448017955212389</v>
      </c>
      <c r="BG249" s="580">
        <f t="shared" si="440"/>
        <v>-4.1440169775420799</v>
      </c>
      <c r="BH249" s="580">
        <f t="shared" si="440"/>
        <v>-4.9704933598813019</v>
      </c>
      <c r="BI249" s="580">
        <f t="shared" si="440"/>
        <v>-6.3034118866899096</v>
      </c>
      <c r="BJ249" s="580">
        <f t="shared" si="440"/>
        <v>-6.2809163904050811</v>
      </c>
      <c r="BK249" s="580">
        <f t="shared" si="440"/>
        <v>-5.0338576465710867</v>
      </c>
      <c r="BL249" s="580">
        <f t="shared" ref="BL249:BQ249" si="441">BL348/BL40*100</f>
        <v>0</v>
      </c>
      <c r="BM249" s="580">
        <f t="shared" si="441"/>
        <v>0</v>
      </c>
      <c r="BN249" s="580">
        <f t="shared" si="441"/>
        <v>0</v>
      </c>
      <c r="BO249" s="580">
        <f t="shared" si="441"/>
        <v>0</v>
      </c>
      <c r="BP249" s="580">
        <f t="shared" si="441"/>
        <v>0</v>
      </c>
      <c r="BQ249" s="580">
        <f t="shared" si="441"/>
        <v>0</v>
      </c>
      <c r="BR249" s="580">
        <f t="shared" ref="BR249:BS249" si="442">BR348/BR40*100</f>
        <v>0</v>
      </c>
      <c r="BS249" s="580">
        <f t="shared" si="442"/>
        <v>0</v>
      </c>
      <c r="BT249" s="580">
        <f t="shared" ref="BT249:BU249" si="443">BT348/BT40*100</f>
        <v>0</v>
      </c>
      <c r="BU249" s="580">
        <f t="shared" si="443"/>
        <v>0</v>
      </c>
      <c r="BV249" s="580">
        <f t="shared" ref="BV249:BW249" si="444">BV348/BV40*100</f>
        <v>0</v>
      </c>
      <c r="BW249" s="580">
        <f t="shared" si="444"/>
        <v>0</v>
      </c>
    </row>
    <row r="250" spans="1:75" s="245" customFormat="1">
      <c r="A250" s="243"/>
      <c r="B250" s="246" t="s">
        <v>1382</v>
      </c>
      <c r="C250" s="254" t="s">
        <v>1383</v>
      </c>
      <c r="D250" s="243"/>
      <c r="F250" s="245" t="e">
        <f t="shared" ref="F250:X250" si="445">F87/F40*100</f>
        <v>#DIV/0!</v>
      </c>
      <c r="G250" s="245" t="e">
        <f t="shared" si="445"/>
        <v>#DIV/0!</v>
      </c>
      <c r="H250" s="245" t="e">
        <f t="shared" si="445"/>
        <v>#DIV/0!</v>
      </c>
      <c r="I250" s="245" t="e">
        <f t="shared" si="445"/>
        <v>#DIV/0!</v>
      </c>
      <c r="J250" s="245" t="e">
        <f t="shared" si="445"/>
        <v>#DIV/0!</v>
      </c>
      <c r="K250" s="245" t="e">
        <f t="shared" si="445"/>
        <v>#DIV/0!</v>
      </c>
      <c r="M250" s="245">
        <f t="shared" si="445"/>
        <v>18.268128709793828</v>
      </c>
      <c r="N250" s="245">
        <f t="shared" si="445"/>
        <v>20.559866840053683</v>
      </c>
      <c r="O250" s="245">
        <f t="shared" si="445"/>
        <v>19.088096662776518</v>
      </c>
      <c r="P250" s="245">
        <f t="shared" si="445"/>
        <v>20.712805646844838</v>
      </c>
      <c r="Q250" s="245">
        <f t="shared" si="445"/>
        <v>18.523958543994365</v>
      </c>
      <c r="R250" s="245">
        <f t="shared" si="445"/>
        <v>13.272115293974132</v>
      </c>
      <c r="S250" s="245">
        <f t="shared" si="445"/>
        <v>12.407527785624426</v>
      </c>
      <c r="T250" s="245">
        <f t="shared" si="445"/>
        <v>21.64334743620266</v>
      </c>
      <c r="U250" s="245">
        <f t="shared" si="445"/>
        <v>22.113362234826553</v>
      </c>
      <c r="V250" s="245">
        <f t="shared" si="445"/>
        <v>20.616386518906772</v>
      </c>
      <c r="W250" s="245">
        <f t="shared" si="445"/>
        <v>20.092462713623139</v>
      </c>
      <c r="X250" s="245">
        <f t="shared" si="445"/>
        <v>23.216445461949196</v>
      </c>
      <c r="Y250" s="245">
        <f>Y87/Y40*100</f>
        <v>20.66286291742416</v>
      </c>
      <c r="Z250" s="245">
        <f>Z87/Z40*100</f>
        <v>24.560312965432477</v>
      </c>
      <c r="AA250" s="245">
        <f>AA87/AA40*100</f>
        <v>24.512833376518607</v>
      </c>
      <c r="AB250" s="245">
        <f>AB87/AB40*100</f>
        <v>23.613276020317659</v>
      </c>
      <c r="AC250" s="245">
        <f t="shared" ref="AC250:AD250" si="446">AC87/AC40*100</f>
        <v>23.618241432615882</v>
      </c>
      <c r="AD250" s="245">
        <f t="shared" si="446"/>
        <v>21.84161939154766</v>
      </c>
      <c r="AF250" s="580">
        <f t="shared" ref="AF250:BK250" si="447">AF87/AF40*100</f>
        <v>18.450419038798536</v>
      </c>
      <c r="AG250" s="580">
        <f t="shared" si="447"/>
        <v>18.737915491570085</v>
      </c>
      <c r="AH250" s="580">
        <f t="shared" si="447"/>
        <v>18.578554101462878</v>
      </c>
      <c r="AI250" s="580">
        <f t="shared" si="447"/>
        <v>18.83858140087743</v>
      </c>
      <c r="AJ250" s="580">
        <f t="shared" si="447"/>
        <v>15.579162023095346</v>
      </c>
      <c r="AK250" s="580">
        <f t="shared" si="447"/>
        <v>20.120076889856129</v>
      </c>
      <c r="AL250" s="580">
        <f t="shared" si="447"/>
        <v>14.63948025987006</v>
      </c>
      <c r="AM250" s="580">
        <f t="shared" si="447"/>
        <v>11.511967027404859</v>
      </c>
      <c r="AN250" s="580">
        <f t="shared" si="447"/>
        <v>11.300129394098079</v>
      </c>
      <c r="AO250" s="580">
        <f t="shared" si="447"/>
        <v>12.830252351447758</v>
      </c>
      <c r="AP250" s="580">
        <f t="shared" si="447"/>
        <v>14.39826922162521</v>
      </c>
      <c r="AQ250" s="580">
        <f t="shared" si="447"/>
        <v>15.358312847441614</v>
      </c>
      <c r="AR250" s="580">
        <f t="shared" si="447"/>
        <v>18.794767518933309</v>
      </c>
      <c r="AS250" s="580">
        <f t="shared" si="447"/>
        <v>21.633171833171136</v>
      </c>
      <c r="AT250" s="580">
        <f t="shared" si="447"/>
        <v>21.938007312891632</v>
      </c>
      <c r="AU250" s="580">
        <f t="shared" si="447"/>
        <v>23.106679021606435</v>
      </c>
      <c r="AV250" s="580">
        <f t="shared" si="447"/>
        <v>21.237461632982516</v>
      </c>
      <c r="AW250" s="580">
        <f t="shared" si="447"/>
        <v>21.886674251811446</v>
      </c>
      <c r="AX250" s="580">
        <f t="shared" si="447"/>
        <v>21.962710793185678</v>
      </c>
      <c r="AY250" s="580">
        <f t="shared" si="447"/>
        <v>22.424779059976498</v>
      </c>
      <c r="AZ250" s="580">
        <f t="shared" si="447"/>
        <v>20.250770776981465</v>
      </c>
      <c r="BA250" s="580">
        <f t="shared" si="447"/>
        <v>20.356124436614092</v>
      </c>
      <c r="BB250" s="580">
        <f t="shared" si="447"/>
        <v>22.464394521339205</v>
      </c>
      <c r="BC250" s="580">
        <f t="shared" si="447"/>
        <v>22.11981665892711</v>
      </c>
      <c r="BD250" s="580">
        <f t="shared" si="447"/>
        <v>20.930151305269984</v>
      </c>
      <c r="BE250" s="580">
        <f t="shared" si="447"/>
        <v>20.928927680798004</v>
      </c>
      <c r="BF250" s="580">
        <f t="shared" si="447"/>
        <v>21.685255629804651</v>
      </c>
      <c r="BG250" s="580">
        <f t="shared" si="447"/>
        <v>21.772134297416194</v>
      </c>
      <c r="BH250" s="580">
        <f t="shared" si="447"/>
        <v>23.087135442437436</v>
      </c>
      <c r="BI250" s="580">
        <f t="shared" si="447"/>
        <v>24.177325508368288</v>
      </c>
      <c r="BJ250" s="580">
        <f t="shared" si="447"/>
        <v>23.685502919372311</v>
      </c>
      <c r="BK250" s="580">
        <f t="shared" si="447"/>
        <v>22.474753106569157</v>
      </c>
      <c r="BL250" s="580">
        <f t="shared" ref="BL250:BQ250" si="448">BL87/BL40*100</f>
        <v>21.748492596731783</v>
      </c>
      <c r="BM250" s="580">
        <f t="shared" si="448"/>
        <v>20.779998289477437</v>
      </c>
      <c r="BN250" s="580">
        <f t="shared" si="448"/>
        <v>20.810228435772647</v>
      </c>
      <c r="BO250" s="580">
        <f t="shared" si="448"/>
        <v>19.341933686969064</v>
      </c>
      <c r="BP250" s="580">
        <f t="shared" si="448"/>
        <v>24.431355459987699</v>
      </c>
      <c r="BQ250" s="580">
        <f t="shared" si="448"/>
        <v>24.775902393773617</v>
      </c>
      <c r="BR250" s="580">
        <f t="shared" ref="BR250:BS250" si="449">BR87/BR40*100</f>
        <v>24.139888929545432</v>
      </c>
      <c r="BS250" s="580">
        <f t="shared" si="449"/>
        <v>24.885949969120194</v>
      </c>
      <c r="BT250" s="580">
        <f t="shared" ref="BT250:BU250" si="450">BT87/BT40*100</f>
        <v>23.759775224210376</v>
      </c>
      <c r="BU250" s="580">
        <f t="shared" si="450"/>
        <v>25.774462715458874</v>
      </c>
      <c r="BV250" s="580">
        <f t="shared" ref="BV250:BW250" si="451">BV87/BV40*100</f>
        <v>25.375920929801115</v>
      </c>
      <c r="BW250" s="580">
        <f t="shared" si="451"/>
        <v>22.943977522400026</v>
      </c>
    </row>
    <row r="251" spans="1:75" s="245" customFormat="1">
      <c r="A251" s="243"/>
      <c r="B251" s="246" t="s">
        <v>1384</v>
      </c>
      <c r="C251" s="254" t="s">
        <v>1385</v>
      </c>
      <c r="D251" s="243"/>
      <c r="F251" s="245" t="e">
        <f t="shared" ref="F251:X251" si="452">F89/F40*100</f>
        <v>#DIV/0!</v>
      </c>
      <c r="G251" s="245" t="e">
        <f t="shared" si="452"/>
        <v>#DIV/0!</v>
      </c>
      <c r="H251" s="245" t="e">
        <f t="shared" si="452"/>
        <v>#DIV/0!</v>
      </c>
      <c r="I251" s="245" t="e">
        <f t="shared" si="452"/>
        <v>#DIV/0!</v>
      </c>
      <c r="J251" s="245" t="e">
        <f t="shared" si="452"/>
        <v>#DIV/0!</v>
      </c>
      <c r="K251" s="245" t="e">
        <f t="shared" si="452"/>
        <v>#DIV/0!</v>
      </c>
      <c r="M251" s="245">
        <f t="shared" si="452"/>
        <v>12.472384811218785</v>
      </c>
      <c r="N251" s="245">
        <f t="shared" si="452"/>
        <v>15.970305668801124</v>
      </c>
      <c r="O251" s="245">
        <f t="shared" si="452"/>
        <v>13.714836323141116</v>
      </c>
      <c r="P251" s="245">
        <f t="shared" si="452"/>
        <v>14.523521630392096</v>
      </c>
      <c r="Q251" s="245">
        <f t="shared" si="452"/>
        <v>13.41503332700916</v>
      </c>
      <c r="R251" s="245">
        <f t="shared" si="452"/>
        <v>9.1862547757279387</v>
      </c>
      <c r="S251" s="245">
        <f t="shared" si="452"/>
        <v>9.1303159115170995</v>
      </c>
      <c r="T251" s="245">
        <f t="shared" si="452"/>
        <v>15.691201845459574</v>
      </c>
      <c r="U251" s="245">
        <f t="shared" si="452"/>
        <v>15.947940722870687</v>
      </c>
      <c r="V251" s="245">
        <f t="shared" si="452"/>
        <v>15.382523818448277</v>
      </c>
      <c r="W251" s="245">
        <f t="shared" si="452"/>
        <v>13.978322019277666</v>
      </c>
      <c r="X251" s="245">
        <f t="shared" si="452"/>
        <v>16.317518391266088</v>
      </c>
      <c r="Y251" s="245">
        <f>Y89/Y40*100</f>
        <v>14.781642244289175</v>
      </c>
      <c r="Z251" s="245">
        <f>Z89/Z40*100</f>
        <v>17.398297745735064</v>
      </c>
      <c r="AA251" s="245">
        <f>AA89/AA40*100</f>
        <v>17.584491525579466</v>
      </c>
      <c r="AB251" s="245">
        <f>AB89/AB40*100</f>
        <v>16.765425974425536</v>
      </c>
      <c r="AC251" s="245">
        <f t="shared" ref="AC251:AD251" si="453">AC89/AC40*100</f>
        <v>16.768951417157275</v>
      </c>
      <c r="AD251" s="245">
        <f t="shared" si="453"/>
        <v>15.507549767998841</v>
      </c>
      <c r="AF251" s="580">
        <f t="shared" ref="AF251:BK251" si="454">AF89/AF40*100</f>
        <v>12.548464129734038</v>
      </c>
      <c r="AG251" s="580">
        <f t="shared" si="454"/>
        <v>13.606489406683982</v>
      </c>
      <c r="AH251" s="580">
        <f t="shared" si="454"/>
        <v>13.906075390444006</v>
      </c>
      <c r="AI251" s="580">
        <f t="shared" si="454"/>
        <v>13.863975276090844</v>
      </c>
      <c r="AJ251" s="580">
        <f t="shared" si="454"/>
        <v>10.718232044198897</v>
      </c>
      <c r="AK251" s="580">
        <f t="shared" si="454"/>
        <v>14.552336757246529</v>
      </c>
      <c r="AL251" s="580">
        <f t="shared" si="454"/>
        <v>10.589105447276358</v>
      </c>
      <c r="AM251" s="580">
        <f t="shared" si="454"/>
        <v>8.2841235026151558</v>
      </c>
      <c r="AN251" s="580">
        <f t="shared" si="454"/>
        <v>7.5784262388727637</v>
      </c>
      <c r="AO251" s="580">
        <f t="shared" si="454"/>
        <v>9.6518248490246972</v>
      </c>
      <c r="AP251" s="580">
        <f t="shared" si="454"/>
        <v>10.808330559650031</v>
      </c>
      <c r="AQ251" s="580">
        <f t="shared" si="454"/>
        <v>12.219856536813552</v>
      </c>
      <c r="AR251" s="580">
        <f t="shared" si="454"/>
        <v>13.577681133390623</v>
      </c>
      <c r="AS251" s="580">
        <f t="shared" si="454"/>
        <v>15.537954846909615</v>
      </c>
      <c r="AT251" s="580">
        <f t="shared" si="454"/>
        <v>15.808529683967782</v>
      </c>
      <c r="AU251" s="580">
        <f t="shared" si="454"/>
        <v>17.002750444924914</v>
      </c>
      <c r="AV251" s="580">
        <f t="shared" si="454"/>
        <v>15.170717161174881</v>
      </c>
      <c r="AW251" s="580">
        <f t="shared" si="454"/>
        <v>15.709541160158638</v>
      </c>
      <c r="AX251" s="580">
        <f t="shared" si="454"/>
        <v>15.970725961676585</v>
      </c>
      <c r="AY251" s="580">
        <f t="shared" si="454"/>
        <v>16.30794322510911</v>
      </c>
      <c r="AZ251" s="580">
        <f t="shared" si="454"/>
        <v>15.108716207458547</v>
      </c>
      <c r="BA251" s="580">
        <f t="shared" si="454"/>
        <v>15.590838500472723</v>
      </c>
      <c r="BB251" s="580">
        <f t="shared" si="454"/>
        <v>17.129338994642872</v>
      </c>
      <c r="BC251" s="580">
        <f t="shared" si="454"/>
        <v>16.463073800801457</v>
      </c>
      <c r="BD251" s="580">
        <f t="shared" si="454"/>
        <v>14.764492381300778</v>
      </c>
      <c r="BE251" s="580">
        <f t="shared" si="454"/>
        <v>14.895623843616763</v>
      </c>
      <c r="BF251" s="580">
        <f t="shared" si="454"/>
        <v>15.126249143220297</v>
      </c>
      <c r="BG251" s="580">
        <f t="shared" si="454"/>
        <v>16.133429404527149</v>
      </c>
      <c r="BH251" s="580">
        <f t="shared" si="454"/>
        <v>16.975457586808641</v>
      </c>
      <c r="BI251" s="580">
        <f t="shared" si="454"/>
        <v>16.937944574667281</v>
      </c>
      <c r="BJ251" s="580">
        <f t="shared" si="454"/>
        <v>15.766754234843816</v>
      </c>
      <c r="BK251" s="580">
        <f t="shared" si="454"/>
        <v>16.210117409965754</v>
      </c>
      <c r="BL251" s="580">
        <f t="shared" ref="BL251:BQ251" si="455">BL89/BL40*100</f>
        <v>15.368373756047221</v>
      </c>
      <c r="BM251" s="580">
        <f t="shared" si="455"/>
        <v>16.746351304441156</v>
      </c>
      <c r="BN251" s="580">
        <f t="shared" si="455"/>
        <v>13.827585170677201</v>
      </c>
      <c r="BO251" s="580">
        <f t="shared" si="455"/>
        <v>13.003709377255051</v>
      </c>
      <c r="BP251" s="580">
        <f t="shared" si="455"/>
        <v>17.097912588761403</v>
      </c>
      <c r="BQ251" s="580">
        <f t="shared" si="455"/>
        <v>17.309216867271711</v>
      </c>
      <c r="BR251" s="580">
        <f t="shared" ref="BR251:BS251" si="456">BR89/BR40*100</f>
        <v>17.495308976662951</v>
      </c>
      <c r="BS251" s="580">
        <f t="shared" si="456"/>
        <v>17.713065982024407</v>
      </c>
      <c r="BT251" s="580">
        <f t="shared" ref="BT251:BU251" si="457">BT89/BT40*100</f>
        <v>17.021198862203047</v>
      </c>
      <c r="BU251" s="580">
        <f t="shared" si="457"/>
        <v>18.54399688166858</v>
      </c>
      <c r="BV251" s="580">
        <f t="shared" ref="BV251:BW251" si="458">BV89/BV40*100</f>
        <v>18.248274582633524</v>
      </c>
      <c r="BW251" s="580">
        <f t="shared" si="458"/>
        <v>16.37262829465914</v>
      </c>
    </row>
    <row r="252" spans="1:75" s="245" customFormat="1">
      <c r="A252" s="243"/>
      <c r="B252" s="246" t="s">
        <v>1386</v>
      </c>
      <c r="C252" s="254" t="s">
        <v>1387</v>
      </c>
      <c r="D252" s="243"/>
      <c r="F252" s="245" t="e">
        <f t="shared" ref="F252:X252" si="459">F88/F87*100</f>
        <v>#DIV/0!</v>
      </c>
      <c r="G252" s="245" t="e">
        <f t="shared" si="459"/>
        <v>#DIV/0!</v>
      </c>
      <c r="H252" s="245" t="e">
        <f t="shared" si="459"/>
        <v>#DIV/0!</v>
      </c>
      <c r="I252" s="245" t="e">
        <f t="shared" si="459"/>
        <v>#DIV/0!</v>
      </c>
      <c r="J252" s="245" t="e">
        <f t="shared" si="459"/>
        <v>#DIV/0!</v>
      </c>
      <c r="K252" s="245" t="e">
        <f t="shared" si="459"/>
        <v>#DIV/0!</v>
      </c>
      <c r="M252" s="245">
        <f t="shared" si="459"/>
        <v>31.725985680557724</v>
      </c>
      <c r="N252" s="245">
        <f t="shared" si="459"/>
        <v>22.322912920386294</v>
      </c>
      <c r="O252" s="245">
        <f t="shared" si="459"/>
        <v>28.149796360334545</v>
      </c>
      <c r="P252" s="245">
        <f t="shared" si="459"/>
        <v>29.881437222849371</v>
      </c>
      <c r="Q252" s="245">
        <f t="shared" si="459"/>
        <v>27.580094205304533</v>
      </c>
      <c r="R252" s="245">
        <f t="shared" si="459"/>
        <v>30.785300065177051</v>
      </c>
      <c r="S252" s="245">
        <f t="shared" si="459"/>
        <v>26.413093169973472</v>
      </c>
      <c r="T252" s="245">
        <f t="shared" si="459"/>
        <v>27.501039791963883</v>
      </c>
      <c r="U252" s="245">
        <f t="shared" si="459"/>
        <v>27.880977331641958</v>
      </c>
      <c r="V252" s="245">
        <f t="shared" si="459"/>
        <v>25.386906166406288</v>
      </c>
      <c r="W252" s="245">
        <f t="shared" si="459"/>
        <v>30.430021354226273</v>
      </c>
      <c r="X252" s="245">
        <f t="shared" si="459"/>
        <v>29.715690466011118</v>
      </c>
      <c r="Y252" s="245">
        <f>Y88/Y87*100</f>
        <v>28.462758024569705</v>
      </c>
      <c r="Z252" s="245">
        <f>Z88/Z87*100</f>
        <v>29.160928159904241</v>
      </c>
      <c r="AA252" s="245">
        <f>AA88/AA87*100</f>
        <v>28.264141254172419</v>
      </c>
      <c r="AB252" s="245">
        <f>AB88/AB87*100</f>
        <v>29.000000000000004</v>
      </c>
      <c r="AC252" s="245">
        <f t="shared" ref="AC252:AD252" si="460">AC88/AC87*100</f>
        <v>29.000000000000004</v>
      </c>
      <c r="AD252" s="245">
        <f t="shared" si="460"/>
        <v>28.999999999999986</v>
      </c>
      <c r="AF252" s="580">
        <f t="shared" ref="AF252:BK252" si="461">AF88/AF87*100</f>
        <v>31.98818897637797</v>
      </c>
      <c r="AG252" s="580">
        <f t="shared" si="461"/>
        <v>27.385255778288979</v>
      </c>
      <c r="AH252" s="580">
        <f t="shared" si="461"/>
        <v>25.149851196713751</v>
      </c>
      <c r="AI252" s="580">
        <f t="shared" si="461"/>
        <v>26.406479441997078</v>
      </c>
      <c r="AJ252" s="580">
        <f t="shared" si="461"/>
        <v>31.201485495114301</v>
      </c>
      <c r="AK252" s="580">
        <f t="shared" si="461"/>
        <v>27.67255892255892</v>
      </c>
      <c r="AL252" s="580">
        <f t="shared" si="461"/>
        <v>27.667476855012708</v>
      </c>
      <c r="AM252" s="580">
        <f t="shared" si="461"/>
        <v>28.039026841422043</v>
      </c>
      <c r="AN252" s="580">
        <f t="shared" si="461"/>
        <v>32.935049019607817</v>
      </c>
      <c r="AO252" s="580">
        <f t="shared" si="461"/>
        <v>24.772914946325344</v>
      </c>
      <c r="AP252" s="580">
        <f t="shared" si="461"/>
        <v>24.933126382880371</v>
      </c>
      <c r="AQ252" s="580">
        <f t="shared" si="461"/>
        <v>20.434902855562463</v>
      </c>
      <c r="AR252" s="580">
        <f t="shared" si="461"/>
        <v>27.758185251757659</v>
      </c>
      <c r="AS252" s="580">
        <f t="shared" si="461"/>
        <v>28.175327378093691</v>
      </c>
      <c r="AT252" s="580">
        <f t="shared" si="461"/>
        <v>27.939992641546485</v>
      </c>
      <c r="AU252" s="580">
        <f t="shared" si="461"/>
        <v>26.416295353278169</v>
      </c>
      <c r="AV252" s="580">
        <f t="shared" si="461"/>
        <v>28.566240997397578</v>
      </c>
      <c r="AW252" s="580">
        <f t="shared" si="461"/>
        <v>28.223260512691006</v>
      </c>
      <c r="AX252" s="580">
        <f t="shared" si="461"/>
        <v>27.282537606278606</v>
      </c>
      <c r="AY252" s="580">
        <f t="shared" si="461"/>
        <v>27.277128655348271</v>
      </c>
      <c r="AZ252" s="580">
        <f t="shared" si="461"/>
        <v>25.391895578452541</v>
      </c>
      <c r="BA252" s="580">
        <f t="shared" si="461"/>
        <v>23.409593269975108</v>
      </c>
      <c r="BB252" s="580">
        <f t="shared" si="461"/>
        <v>23.748939779474142</v>
      </c>
      <c r="BC252" s="580">
        <f t="shared" si="461"/>
        <v>25.573190525712192</v>
      </c>
      <c r="BD252" s="580">
        <f t="shared" si="461"/>
        <v>29.458262551674718</v>
      </c>
      <c r="BE252" s="580">
        <f t="shared" si="461"/>
        <v>28.827582230678317</v>
      </c>
      <c r="BF252" s="580">
        <f t="shared" si="461"/>
        <v>30.246387677208304</v>
      </c>
      <c r="BG252" s="580">
        <f t="shared" si="461"/>
        <v>25.898723643084544</v>
      </c>
      <c r="BH252" s="580">
        <f t="shared" si="461"/>
        <v>26.47222246721288</v>
      </c>
      <c r="BI252" s="580">
        <f t="shared" si="461"/>
        <v>29.942852575630425</v>
      </c>
      <c r="BJ252" s="580">
        <f t="shared" si="461"/>
        <v>33.432892311743032</v>
      </c>
      <c r="BK252" s="580">
        <f t="shared" si="461"/>
        <v>27.874102406812689</v>
      </c>
      <c r="BL252" s="580">
        <f t="shared" ref="BL252:BQ252" si="462">BL88/BL87*100</f>
        <v>29.335912879053154</v>
      </c>
      <c r="BM252" s="580">
        <f t="shared" si="462"/>
        <v>19.411199793403437</v>
      </c>
      <c r="BN252" s="580">
        <f t="shared" si="462"/>
        <v>33.553900124865173</v>
      </c>
      <c r="BO252" s="580">
        <f t="shared" si="462"/>
        <v>32.769341536850391</v>
      </c>
      <c r="BP252" s="580">
        <f t="shared" si="462"/>
        <v>30.016520709367107</v>
      </c>
      <c r="BQ252" s="580">
        <f t="shared" si="462"/>
        <v>30.136886268886592</v>
      </c>
      <c r="BR252" s="580">
        <f t="shared" ref="BR252:BS252" si="463">BR88/BR87*100</f>
        <v>27.52531286401242</v>
      </c>
      <c r="BS252" s="580">
        <f t="shared" si="463"/>
        <v>28.823026631477926</v>
      </c>
      <c r="BT252" s="580">
        <f t="shared" ref="BT252:BU252" si="464">BT88/BT87*100</f>
        <v>28.361279929706374</v>
      </c>
      <c r="BU252" s="580">
        <f t="shared" si="464"/>
        <v>28.052828544331366</v>
      </c>
      <c r="BV252" s="580">
        <f t="shared" ref="BV252:BW252" si="465">BV88/BV87*100</f>
        <v>28.088227287928643</v>
      </c>
      <c r="BW252" s="580">
        <f t="shared" si="465"/>
        <v>28.640845822505401</v>
      </c>
    </row>
    <row r="253" spans="1:75" s="245" customFormat="1">
      <c r="A253" s="243"/>
      <c r="B253" s="246" t="s">
        <v>1388</v>
      </c>
      <c r="C253" s="254" t="s">
        <v>1389</v>
      </c>
      <c r="D253" s="243"/>
      <c r="F253" s="245" t="e">
        <f t="shared" ref="F253:X253" si="466">F194/F40*100</f>
        <v>#DIV/0!</v>
      </c>
      <c r="G253" s="245" t="e">
        <f t="shared" si="466"/>
        <v>#DIV/0!</v>
      </c>
      <c r="H253" s="245" t="e">
        <f t="shared" si="466"/>
        <v>#DIV/0!</v>
      </c>
      <c r="I253" s="245" t="e">
        <f t="shared" si="466"/>
        <v>#DIV/0!</v>
      </c>
      <c r="J253" s="245" t="e">
        <f t="shared" si="466"/>
        <v>#DIV/0!</v>
      </c>
      <c r="K253" s="245" t="e">
        <f t="shared" si="466"/>
        <v>#DIV/0!</v>
      </c>
      <c r="M253" s="245">
        <f t="shared" si="466"/>
        <v>12.377012830774765</v>
      </c>
      <c r="N253" s="245">
        <f t="shared" si="466"/>
        <v>16.785531406748536</v>
      </c>
      <c r="O253" s="245">
        <f t="shared" si="466"/>
        <v>7.6571247379059164</v>
      </c>
      <c r="P253" s="245">
        <f t="shared" si="466"/>
        <v>13.856420909034542</v>
      </c>
      <c r="Q253" s="245">
        <f t="shared" si="466"/>
        <v>7.1066693631278364</v>
      </c>
      <c r="R253" s="245">
        <f t="shared" si="466"/>
        <v>5.4038228003925948</v>
      </c>
      <c r="S253" s="245">
        <f t="shared" si="466"/>
        <v>3.7166995091215815</v>
      </c>
      <c r="T253" s="245">
        <f t="shared" si="466"/>
        <v>23.027105608309277</v>
      </c>
      <c r="U253" s="245">
        <f t="shared" si="466"/>
        <v>12.280105840691348</v>
      </c>
      <c r="V253" s="245">
        <f t="shared" si="466"/>
        <v>15.156654366997147</v>
      </c>
      <c r="W253" s="245">
        <f t="shared" si="466"/>
        <v>10.673317581167407</v>
      </c>
      <c r="X253" s="245">
        <f t="shared" si="466"/>
        <v>17.554372289946503</v>
      </c>
      <c r="Y253" s="245">
        <f>Y194/Y40*100</f>
        <v>9.9354479291838196</v>
      </c>
      <c r="Z253" s="245">
        <f>Z194/Z40*100</f>
        <v>16.202737135689787</v>
      </c>
      <c r="AA253" s="245">
        <f>AA194/AA40*100</f>
        <v>14.242951438722695</v>
      </c>
      <c r="AB253" s="245">
        <f>AB194/AB40*100</f>
        <v>10.490701433065308</v>
      </c>
      <c r="AC253" s="245">
        <f t="shared" ref="AC253:AD253" si="467">AC194/AC40*100</f>
        <v>11.030396104129688</v>
      </c>
      <c r="AD253" s="245">
        <f t="shared" si="467"/>
        <v>10.581401187741802</v>
      </c>
      <c r="AF253" s="580">
        <f t="shared" ref="AF253:BK253" si="468">AF194/AF40*100</f>
        <v>16.375200893465163</v>
      </c>
      <c r="AG253" s="580">
        <f t="shared" si="468"/>
        <v>14.991563935516439</v>
      </c>
      <c r="AH253" s="580">
        <f t="shared" si="468"/>
        <v>14.158389240839023</v>
      </c>
      <c r="AI253" s="580">
        <f t="shared" si="468"/>
        <v>14.103434116401193</v>
      </c>
      <c r="AJ253" s="580">
        <f t="shared" si="468"/>
        <v>13.036777084864722</v>
      </c>
      <c r="AK253" s="580">
        <f t="shared" si="468"/>
        <v>16.006723628388276</v>
      </c>
      <c r="AL253" s="580">
        <f t="shared" si="468"/>
        <v>14.671864067966014</v>
      </c>
      <c r="AM253" s="580">
        <f t="shared" si="468"/>
        <v>12.609125310323222</v>
      </c>
      <c r="AN253" s="580">
        <f t="shared" si="468"/>
        <v>11.545502148634444</v>
      </c>
      <c r="AO253" s="580">
        <f t="shared" si="468"/>
        <v>13.491443751643173</v>
      </c>
      <c r="AP253" s="580">
        <f t="shared" si="468"/>
        <v>14.542342256668716</v>
      </c>
      <c r="AQ253" s="580">
        <f t="shared" si="468"/>
        <v>16.079345442574912</v>
      </c>
      <c r="AR253" s="580">
        <f t="shared" si="468"/>
        <v>19.475126899211865</v>
      </c>
      <c r="AS253" s="580">
        <f t="shared" si="468"/>
        <v>22.043560022302948</v>
      </c>
      <c r="AT253" s="580">
        <f t="shared" si="468"/>
        <v>21.954757172550874</v>
      </c>
      <c r="AU253" s="580">
        <f t="shared" si="468"/>
        <v>22.859580226213065</v>
      </c>
      <c r="AV253" s="580">
        <f t="shared" si="468"/>
        <v>19.972185518989416</v>
      </c>
      <c r="AW253" s="580">
        <f t="shared" si="468"/>
        <v>20.663454496040824</v>
      </c>
      <c r="AX253" s="580">
        <f t="shared" si="468"/>
        <v>20.332864106026229</v>
      </c>
      <c r="AY253" s="580">
        <f t="shared" si="468"/>
        <v>19.383611714948159</v>
      </c>
      <c r="AZ253" s="580">
        <f t="shared" si="468"/>
        <v>17.845054172182355</v>
      </c>
      <c r="BA253" s="580">
        <f t="shared" si="468"/>
        <v>20.07438402509084</v>
      </c>
      <c r="BB253" s="580">
        <f t="shared" si="468"/>
        <v>19.738301486795727</v>
      </c>
      <c r="BC253" s="580">
        <f t="shared" si="468"/>
        <v>19.791505426276583</v>
      </c>
      <c r="BD253" s="580">
        <f t="shared" si="468"/>
        <v>17.91534961341317</v>
      </c>
      <c r="BE253" s="580">
        <f t="shared" si="468"/>
        <v>18.405800016088808</v>
      </c>
      <c r="BF253" s="580">
        <f t="shared" si="468"/>
        <v>18.692115409840898</v>
      </c>
      <c r="BG253" s="580">
        <f t="shared" si="468"/>
        <v>17.625482462793482</v>
      </c>
      <c r="BH253" s="580">
        <f t="shared" si="468"/>
        <v>20.417259712202394</v>
      </c>
      <c r="BI253" s="580">
        <f t="shared" si="468"/>
        <v>22.634684022269067</v>
      </c>
      <c r="BJ253" s="580">
        <f t="shared" si="468"/>
        <v>20.261379315720955</v>
      </c>
      <c r="BK253" s="580">
        <f t="shared" si="468"/>
        <v>19.633071048133825</v>
      </c>
      <c r="BL253" s="580">
        <f t="shared" ref="BL253:BQ253" si="469">BL194/BL40*100</f>
        <v>0</v>
      </c>
      <c r="BM253" s="580">
        <f t="shared" si="469"/>
        <v>0</v>
      </c>
      <c r="BN253" s="580">
        <f t="shared" si="469"/>
        <v>0</v>
      </c>
      <c r="BO253" s="580">
        <f t="shared" si="469"/>
        <v>0</v>
      </c>
      <c r="BP253" s="580">
        <f t="shared" si="469"/>
        <v>0</v>
      </c>
      <c r="BQ253" s="580">
        <f t="shared" si="469"/>
        <v>0</v>
      </c>
      <c r="BR253" s="580">
        <f t="shared" ref="BR253:BS253" si="470">BR194/BR40*100</f>
        <v>0</v>
      </c>
      <c r="BS253" s="580">
        <f t="shared" si="470"/>
        <v>0</v>
      </c>
      <c r="BT253" s="580">
        <f t="shared" ref="BT253:BU253" si="471">BT194/BT40*100</f>
        <v>0</v>
      </c>
      <c r="BU253" s="580">
        <f t="shared" si="471"/>
        <v>0</v>
      </c>
      <c r="BV253" s="580">
        <f t="shared" ref="BV253:BW253" si="472">BV194/BV40*100</f>
        <v>0</v>
      </c>
      <c r="BW253" s="580">
        <f t="shared" si="472"/>
        <v>0</v>
      </c>
    </row>
    <row r="254" spans="1:75" s="245" customFormat="1">
      <c r="A254" s="243"/>
      <c r="B254" s="246" t="s">
        <v>1390</v>
      </c>
      <c r="C254" s="254" t="s">
        <v>1391</v>
      </c>
      <c r="D254" s="243"/>
      <c r="F254" s="245" t="e">
        <f t="shared" ref="F254:X254" si="473">F196/F40*100</f>
        <v>#DIV/0!</v>
      </c>
      <c r="G254" s="245" t="e">
        <f t="shared" si="473"/>
        <v>#DIV/0!</v>
      </c>
      <c r="H254" s="245" t="e">
        <f t="shared" si="473"/>
        <v>#DIV/0!</v>
      </c>
      <c r="I254" s="245" t="e">
        <f t="shared" si="473"/>
        <v>#DIV/0!</v>
      </c>
      <c r="J254" s="245" t="e">
        <f t="shared" si="473"/>
        <v>#DIV/0!</v>
      </c>
      <c r="K254" s="245" t="e">
        <f t="shared" si="473"/>
        <v>#DIV/0!</v>
      </c>
      <c r="M254" s="245">
        <f t="shared" si="473"/>
        <v>-21.502917892020104</v>
      </c>
      <c r="N254" s="245">
        <f t="shared" si="473"/>
        <v>14.565410893949609</v>
      </c>
      <c r="O254" s="245">
        <f t="shared" si="473"/>
        <v>6.1357610965448748</v>
      </c>
      <c r="P254" s="245">
        <f t="shared" si="473"/>
        <v>11.230167834480476</v>
      </c>
      <c r="Q254" s="245">
        <f t="shared" si="473"/>
        <v>3.6289641627800853</v>
      </c>
      <c r="R254" s="245">
        <f t="shared" si="473"/>
        <v>3.1901030836369233</v>
      </c>
      <c r="S254" s="245">
        <f t="shared" si="473"/>
        <v>-0.71935753578352113</v>
      </c>
      <c r="T254" s="245">
        <f t="shared" si="473"/>
        <v>22.277345587041395</v>
      </c>
      <c r="U254" s="245">
        <f t="shared" si="473"/>
        <v>11.339150627842155</v>
      </c>
      <c r="V254" s="245">
        <f t="shared" si="473"/>
        <v>14.560463475306953</v>
      </c>
      <c r="W254" s="245">
        <f t="shared" si="473"/>
        <v>6.9659578192001357</v>
      </c>
      <c r="X254" s="245">
        <f t="shared" si="473"/>
        <v>16.404319509506678</v>
      </c>
      <c r="Y254" s="245">
        <f>Y196/Y40*100</f>
        <v>8.5960074976830025</v>
      </c>
      <c r="Z254" s="245">
        <f>Z196/Z40*100</f>
        <v>15.260183789711743</v>
      </c>
      <c r="AA254" s="245">
        <f>AA196/AA40*100</f>
        <v>12.864698071649721</v>
      </c>
      <c r="AB254" s="245">
        <f>AB196/AB40*100</f>
        <v>8.9660998651658979</v>
      </c>
      <c r="AC254" s="245">
        <f t="shared" ref="AC254:AD254" si="474">AC196/AC40*100</f>
        <v>9.7138151444780796</v>
      </c>
      <c r="AD254" s="245">
        <f t="shared" si="474"/>
        <v>9.4458526407982504</v>
      </c>
      <c r="AF254" s="580">
        <f t="shared" ref="AF254:BK254" si="475">AF196/AF40*100</f>
        <v>14.190569584048371</v>
      </c>
      <c r="AG254" s="580">
        <f t="shared" si="475"/>
        <v>12.973066170765641</v>
      </c>
      <c r="AH254" s="580">
        <f t="shared" si="475"/>
        <v>12.320158241279016</v>
      </c>
      <c r="AI254" s="580">
        <f t="shared" si="475"/>
        <v>12.125521384884692</v>
      </c>
      <c r="AJ254" s="580">
        <f t="shared" si="475"/>
        <v>10.712066962274442</v>
      </c>
      <c r="AK254" s="580">
        <f t="shared" si="475"/>
        <v>13.943907664428279</v>
      </c>
      <c r="AL254" s="580">
        <f t="shared" si="475"/>
        <v>12.999500249875059</v>
      </c>
      <c r="AM254" s="580">
        <f t="shared" si="475"/>
        <v>10.613897659620626</v>
      </c>
      <c r="AN254" s="580">
        <f t="shared" si="475"/>
        <v>10.09447067427741</v>
      </c>
      <c r="AO254" s="580">
        <f t="shared" si="475"/>
        <v>12.193389655591877</v>
      </c>
      <c r="AP254" s="580">
        <f t="shared" si="475"/>
        <v>13.026009224478141</v>
      </c>
      <c r="AQ254" s="580">
        <f t="shared" si="475"/>
        <v>14.41799714347912</v>
      </c>
      <c r="AR254" s="580">
        <f t="shared" si="475"/>
        <v>18.060526754672917</v>
      </c>
      <c r="AS254" s="580">
        <f t="shared" si="475"/>
        <v>20.880620326856008</v>
      </c>
      <c r="AT254" s="580">
        <f t="shared" si="475"/>
        <v>20.872085084432047</v>
      </c>
      <c r="AU254" s="580">
        <f t="shared" si="475"/>
        <v>21.856182617776405</v>
      </c>
      <c r="AV254" s="580">
        <f t="shared" si="475"/>
        <v>19.15420327707027</v>
      </c>
      <c r="AW254" s="580">
        <f t="shared" si="475"/>
        <v>19.973651602323443</v>
      </c>
      <c r="AX254" s="580">
        <f t="shared" si="475"/>
        <v>19.590240072012037</v>
      </c>
      <c r="AY254" s="580">
        <f t="shared" si="475"/>
        <v>18.658605140429305</v>
      </c>
      <c r="AZ254" s="580">
        <f t="shared" si="475"/>
        <v>17.194010568834493</v>
      </c>
      <c r="BA254" s="580">
        <f t="shared" si="475"/>
        <v>19.325987325478515</v>
      </c>
      <c r="BB254" s="580">
        <f t="shared" si="475"/>
        <v>19.093682371652797</v>
      </c>
      <c r="BC254" s="580">
        <f t="shared" si="475"/>
        <v>19.159013122817868</v>
      </c>
      <c r="BD254" s="580">
        <f t="shared" si="475"/>
        <v>17.191090211810923</v>
      </c>
      <c r="BE254" s="580">
        <f t="shared" si="475"/>
        <v>17.580444051162413</v>
      </c>
      <c r="BF254" s="580">
        <f t="shared" si="475"/>
        <v>17.933161022851756</v>
      </c>
      <c r="BG254" s="580">
        <f t="shared" si="475"/>
        <v>16.643491597984191</v>
      </c>
      <c r="BH254" s="580">
        <f t="shared" si="475"/>
        <v>19.513387048496377</v>
      </c>
      <c r="BI254" s="580">
        <f t="shared" si="475"/>
        <v>21.778820419371229</v>
      </c>
      <c r="BJ254" s="580">
        <f t="shared" si="475"/>
        <v>19.365884269689197</v>
      </c>
      <c r="BK254" s="580">
        <f t="shared" si="475"/>
        <v>18.731258705388367</v>
      </c>
      <c r="BL254" s="580">
        <f t="shared" ref="BL254:BQ254" si="476">BL196/BL40*100</f>
        <v>0</v>
      </c>
      <c r="BM254" s="580">
        <f t="shared" si="476"/>
        <v>0</v>
      </c>
      <c r="BN254" s="580">
        <f t="shared" si="476"/>
        <v>0</v>
      </c>
      <c r="BO254" s="580">
        <f t="shared" si="476"/>
        <v>0</v>
      </c>
      <c r="BP254" s="580">
        <f t="shared" si="476"/>
        <v>0</v>
      </c>
      <c r="BQ254" s="580">
        <f t="shared" si="476"/>
        <v>0</v>
      </c>
      <c r="BR254" s="580">
        <f t="shared" ref="BR254:BS254" si="477">BR196/BR40*100</f>
        <v>0</v>
      </c>
      <c r="BS254" s="580">
        <f t="shared" si="477"/>
        <v>0</v>
      </c>
      <c r="BT254" s="580">
        <f t="shared" ref="BT254:BU254" si="478">BT196/BT40*100</f>
        <v>0</v>
      </c>
      <c r="BU254" s="580">
        <f t="shared" si="478"/>
        <v>0</v>
      </c>
      <c r="BV254" s="580">
        <f t="shared" ref="BV254:BW254" si="479">BV196/BV40*100</f>
        <v>0</v>
      </c>
      <c r="BW254" s="580">
        <f t="shared" si="479"/>
        <v>0</v>
      </c>
    </row>
    <row r="255" spans="1:75" s="245" customFormat="1">
      <c r="A255" s="243"/>
      <c r="B255" s="246" t="s">
        <v>1392</v>
      </c>
      <c r="C255" s="254" t="s">
        <v>1393</v>
      </c>
      <c r="D255" s="243"/>
      <c r="F255" s="245" t="e">
        <f t="shared" ref="F255:X255" si="480">F226/F222*100</f>
        <v>#DIV/0!</v>
      </c>
      <c r="G255" s="245" t="e">
        <f t="shared" si="480"/>
        <v>#DIV/0!</v>
      </c>
      <c r="H255" s="245" t="e">
        <f t="shared" si="480"/>
        <v>#DIV/0!</v>
      </c>
      <c r="I255" s="245" t="e">
        <f t="shared" si="480"/>
        <v>#DIV/0!</v>
      </c>
      <c r="J255" s="245" t="e">
        <f t="shared" si="480"/>
        <v>#DIV/0!</v>
      </c>
      <c r="K255" s="245" t="e">
        <f t="shared" si="480"/>
        <v>#DIV/0!</v>
      </c>
      <c r="M255" s="245" t="e">
        <f t="shared" si="480"/>
        <v>#DIV/0!</v>
      </c>
      <c r="N255" s="245" t="e">
        <f t="shared" si="480"/>
        <v>#DIV/0!</v>
      </c>
      <c r="O255" s="245" t="e">
        <f t="shared" si="480"/>
        <v>#DIV/0!</v>
      </c>
      <c r="P255" s="245" t="e">
        <f t="shared" si="480"/>
        <v>#DIV/0!</v>
      </c>
      <c r="Q255" s="245">
        <f t="shared" si="480"/>
        <v>32.694358278402483</v>
      </c>
      <c r="R255" s="245">
        <f t="shared" si="480"/>
        <v>39.86032288280343</v>
      </c>
      <c r="S255" s="245">
        <f t="shared" si="480"/>
        <v>53.075388848129087</v>
      </c>
      <c r="T255" s="245">
        <f t="shared" si="480"/>
        <v>33.970404371841333</v>
      </c>
      <c r="U255" s="245">
        <f t="shared" si="480"/>
        <v>34.657592080796981</v>
      </c>
      <c r="V255" s="245">
        <f t="shared" si="480"/>
        <v>43.346482248963902</v>
      </c>
      <c r="W255" s="245">
        <f t="shared" si="480"/>
        <v>42.783691191594045</v>
      </c>
      <c r="X255" s="245">
        <f t="shared" si="480"/>
        <v>44.610380881024412</v>
      </c>
      <c r="Y255" s="245">
        <f>Y226/Y222*100</f>
        <v>51.420355114545032</v>
      </c>
      <c r="Z255" s="245">
        <f>Z226/Z222*100</f>
        <v>40.500057511190512</v>
      </c>
      <c r="AA255" s="245">
        <f>AA226/AA222*100</f>
        <v>49.140591656303236</v>
      </c>
      <c r="AB255" s="245">
        <f>AB226/AB222*100</f>
        <v>49.33919659982309</v>
      </c>
      <c r="AC255" s="245">
        <f t="shared" ref="AC255:AD255" si="481">AC226/AC222*100</f>
        <v>42.598270540935083</v>
      </c>
      <c r="AD255" s="245">
        <f t="shared" si="481"/>
        <v>39.729474998904294</v>
      </c>
      <c r="AF255" s="580">
        <f t="shared" ref="AF255:BK255" si="482">AF226/AF222*100</f>
        <v>0</v>
      </c>
      <c r="AG255" s="580">
        <f t="shared" si="482"/>
        <v>0</v>
      </c>
      <c r="AH255" s="580">
        <f t="shared" si="482"/>
        <v>0</v>
      </c>
      <c r="AI255" s="580">
        <f t="shared" si="482"/>
        <v>0</v>
      </c>
      <c r="AJ255" s="580">
        <f t="shared" si="482"/>
        <v>0</v>
      </c>
      <c r="AK255" s="580">
        <f t="shared" si="482"/>
        <v>0</v>
      </c>
      <c r="AL255" s="580">
        <f t="shared" si="482"/>
        <v>0</v>
      </c>
      <c r="AM255" s="580">
        <f t="shared" si="482"/>
        <v>0</v>
      </c>
      <c r="AN255" s="580">
        <f t="shared" si="482"/>
        <v>0</v>
      </c>
      <c r="AO255" s="580">
        <f t="shared" si="482"/>
        <v>0</v>
      </c>
      <c r="AP255" s="580">
        <f t="shared" si="482"/>
        <v>0</v>
      </c>
      <c r="AQ255" s="580">
        <f t="shared" si="482"/>
        <v>0</v>
      </c>
      <c r="AR255" s="580">
        <f t="shared" si="482"/>
        <v>0</v>
      </c>
      <c r="AS255" s="580">
        <f t="shared" si="482"/>
        <v>0</v>
      </c>
      <c r="AT255" s="580">
        <f t="shared" si="482"/>
        <v>0</v>
      </c>
      <c r="AU255" s="580">
        <f t="shared" si="482"/>
        <v>0</v>
      </c>
      <c r="AV255" s="580">
        <f t="shared" si="482"/>
        <v>0</v>
      </c>
      <c r="AW255" s="580">
        <f t="shared" si="482"/>
        <v>0</v>
      </c>
      <c r="AX255" s="580">
        <f t="shared" si="482"/>
        <v>0</v>
      </c>
      <c r="AY255" s="580">
        <f t="shared" si="482"/>
        <v>0</v>
      </c>
      <c r="AZ255" s="580">
        <f t="shared" si="482"/>
        <v>0</v>
      </c>
      <c r="BA255" s="580">
        <f t="shared" si="482"/>
        <v>0</v>
      </c>
      <c r="BB255" s="580">
        <f t="shared" si="482"/>
        <v>0</v>
      </c>
      <c r="BC255" s="580">
        <f t="shared" si="482"/>
        <v>0</v>
      </c>
      <c r="BD255" s="580">
        <f t="shared" si="482"/>
        <v>0</v>
      </c>
      <c r="BE255" s="580">
        <f t="shared" si="482"/>
        <v>0</v>
      </c>
      <c r="BF255" s="580">
        <f t="shared" si="482"/>
        <v>0</v>
      </c>
      <c r="BG255" s="580">
        <f t="shared" si="482"/>
        <v>0</v>
      </c>
      <c r="BH255" s="580">
        <f t="shared" si="482"/>
        <v>0</v>
      </c>
      <c r="BI255" s="580">
        <f t="shared" si="482"/>
        <v>0</v>
      </c>
      <c r="BJ255" s="580">
        <f t="shared" si="482"/>
        <v>0</v>
      </c>
      <c r="BK255" s="580">
        <f t="shared" si="482"/>
        <v>0</v>
      </c>
      <c r="BL255" s="580">
        <f t="shared" ref="BL255:BQ255" si="483">BL226/BL222*100</f>
        <v>0</v>
      </c>
      <c r="BM255" s="580">
        <f t="shared" si="483"/>
        <v>0</v>
      </c>
      <c r="BN255" s="580">
        <f t="shared" si="483"/>
        <v>0</v>
      </c>
      <c r="BO255" s="580">
        <f t="shared" si="483"/>
        <v>0</v>
      </c>
      <c r="BP255" s="580">
        <f t="shared" si="483"/>
        <v>0</v>
      </c>
      <c r="BQ255" s="580">
        <f t="shared" si="483"/>
        <v>0</v>
      </c>
      <c r="BR255" s="580">
        <f t="shared" ref="BR255:BS255" si="484">BR226/BR222*100</f>
        <v>0</v>
      </c>
      <c r="BS255" s="580">
        <f t="shared" si="484"/>
        <v>0</v>
      </c>
      <c r="BT255" s="580">
        <f t="shared" ref="BT255:BU255" si="485">BT226/BT222*100</f>
        <v>0</v>
      </c>
      <c r="BU255" s="580">
        <f t="shared" si="485"/>
        <v>0</v>
      </c>
      <c r="BV255" s="580">
        <f t="shared" ref="BV255:BW255" si="486">BV226/BV222*100</f>
        <v>0</v>
      </c>
      <c r="BW255" s="580">
        <f t="shared" si="486"/>
        <v>0</v>
      </c>
    </row>
    <row r="256" spans="1:75" s="245" customFormat="1">
      <c r="A256" s="243"/>
      <c r="B256" s="246" t="s">
        <v>1394</v>
      </c>
      <c r="C256" s="254" t="s">
        <v>1395</v>
      </c>
      <c r="D256" s="243"/>
      <c r="F256" s="245" t="e">
        <f t="shared" ref="F256:X256" si="487">+F226/$E$25*100</f>
        <v>#DIV/0!</v>
      </c>
      <c r="G256" s="245" t="e">
        <f t="shared" si="487"/>
        <v>#DIV/0!</v>
      </c>
      <c r="H256" s="245" t="e">
        <f t="shared" si="487"/>
        <v>#DIV/0!</v>
      </c>
      <c r="I256" s="245" t="e">
        <f t="shared" si="487"/>
        <v>#DIV/0!</v>
      </c>
      <c r="J256" s="245" t="e">
        <f t="shared" si="487"/>
        <v>#DIV/0!</v>
      </c>
      <c r="K256" s="245" t="e">
        <f t="shared" si="487"/>
        <v>#DIV/0!</v>
      </c>
      <c r="M256" s="245" t="e">
        <f t="shared" si="487"/>
        <v>#DIV/0!</v>
      </c>
      <c r="N256" s="245" t="e">
        <f t="shared" si="487"/>
        <v>#DIV/0!</v>
      </c>
      <c r="O256" s="245" t="e">
        <f t="shared" si="487"/>
        <v>#DIV/0!</v>
      </c>
      <c r="P256" s="245" t="e">
        <f t="shared" si="487"/>
        <v>#DIV/0!</v>
      </c>
      <c r="Q256" s="245" t="e">
        <f t="shared" si="487"/>
        <v>#DIV/0!</v>
      </c>
      <c r="R256" s="245" t="e">
        <f t="shared" si="487"/>
        <v>#DIV/0!</v>
      </c>
      <c r="S256" s="245" t="e">
        <f t="shared" si="487"/>
        <v>#DIV/0!</v>
      </c>
      <c r="T256" s="245" t="e">
        <f t="shared" si="487"/>
        <v>#DIV/0!</v>
      </c>
      <c r="U256" s="245" t="e">
        <f t="shared" si="487"/>
        <v>#DIV/0!</v>
      </c>
      <c r="V256" s="245" t="e">
        <f t="shared" si="487"/>
        <v>#DIV/0!</v>
      </c>
      <c r="W256" s="245" t="e">
        <f t="shared" si="487"/>
        <v>#DIV/0!</v>
      </c>
      <c r="X256" s="245" t="e">
        <f t="shared" si="487"/>
        <v>#DIV/0!</v>
      </c>
      <c r="Y256" s="245" t="e">
        <f>+Y226/$E$25*100</f>
        <v>#DIV/0!</v>
      </c>
      <c r="Z256" s="245" t="e">
        <f>+Z226/$E$25*100</f>
        <v>#DIV/0!</v>
      </c>
      <c r="AA256" s="245" t="e">
        <f>+AA226/$E$25*100</f>
        <v>#DIV/0!</v>
      </c>
      <c r="AB256" s="245" t="e">
        <f>+AB226/$E$25*100</f>
        <v>#DIV/0!</v>
      </c>
      <c r="AC256" s="245" t="e">
        <f t="shared" ref="AC256:AD256" si="488">+AC226/$E$25*100</f>
        <v>#DIV/0!</v>
      </c>
      <c r="AD256" s="245" t="e">
        <f t="shared" si="488"/>
        <v>#DIV/0!</v>
      </c>
      <c r="AF256" s="580" t="e">
        <f t="shared" ref="AF256:BK256" si="489">+AF226/$E$25*100</f>
        <v>#DIV/0!</v>
      </c>
      <c r="AG256" s="580" t="e">
        <f t="shared" si="489"/>
        <v>#DIV/0!</v>
      </c>
      <c r="AH256" s="580" t="e">
        <f t="shared" si="489"/>
        <v>#DIV/0!</v>
      </c>
      <c r="AI256" s="580" t="e">
        <f t="shared" si="489"/>
        <v>#DIV/0!</v>
      </c>
      <c r="AJ256" s="580" t="e">
        <f t="shared" si="489"/>
        <v>#DIV/0!</v>
      </c>
      <c r="AK256" s="580" t="e">
        <f t="shared" si="489"/>
        <v>#DIV/0!</v>
      </c>
      <c r="AL256" s="580" t="e">
        <f t="shared" si="489"/>
        <v>#DIV/0!</v>
      </c>
      <c r="AM256" s="580" t="e">
        <f t="shared" si="489"/>
        <v>#DIV/0!</v>
      </c>
      <c r="AN256" s="580" t="e">
        <f t="shared" si="489"/>
        <v>#DIV/0!</v>
      </c>
      <c r="AO256" s="580" t="e">
        <f t="shared" si="489"/>
        <v>#DIV/0!</v>
      </c>
      <c r="AP256" s="580" t="e">
        <f t="shared" si="489"/>
        <v>#DIV/0!</v>
      </c>
      <c r="AQ256" s="580" t="e">
        <f t="shared" si="489"/>
        <v>#DIV/0!</v>
      </c>
      <c r="AR256" s="580" t="e">
        <f t="shared" si="489"/>
        <v>#DIV/0!</v>
      </c>
      <c r="AS256" s="580" t="e">
        <f t="shared" si="489"/>
        <v>#DIV/0!</v>
      </c>
      <c r="AT256" s="580" t="e">
        <f t="shared" si="489"/>
        <v>#DIV/0!</v>
      </c>
      <c r="AU256" s="580" t="e">
        <f t="shared" si="489"/>
        <v>#DIV/0!</v>
      </c>
      <c r="AV256" s="580" t="e">
        <f t="shared" si="489"/>
        <v>#DIV/0!</v>
      </c>
      <c r="AW256" s="580" t="e">
        <f t="shared" si="489"/>
        <v>#DIV/0!</v>
      </c>
      <c r="AX256" s="580" t="e">
        <f t="shared" si="489"/>
        <v>#DIV/0!</v>
      </c>
      <c r="AY256" s="580" t="e">
        <f t="shared" si="489"/>
        <v>#DIV/0!</v>
      </c>
      <c r="AZ256" s="580" t="e">
        <f t="shared" si="489"/>
        <v>#DIV/0!</v>
      </c>
      <c r="BA256" s="580" t="e">
        <f t="shared" si="489"/>
        <v>#DIV/0!</v>
      </c>
      <c r="BB256" s="580" t="e">
        <f t="shared" si="489"/>
        <v>#DIV/0!</v>
      </c>
      <c r="BC256" s="580" t="e">
        <f t="shared" si="489"/>
        <v>#DIV/0!</v>
      </c>
      <c r="BD256" s="580" t="e">
        <f t="shared" si="489"/>
        <v>#DIV/0!</v>
      </c>
      <c r="BE256" s="580" t="e">
        <f t="shared" si="489"/>
        <v>#DIV/0!</v>
      </c>
      <c r="BF256" s="580" t="e">
        <f t="shared" si="489"/>
        <v>#DIV/0!</v>
      </c>
      <c r="BG256" s="580" t="e">
        <f t="shared" si="489"/>
        <v>#DIV/0!</v>
      </c>
      <c r="BH256" s="580" t="e">
        <f t="shared" si="489"/>
        <v>#DIV/0!</v>
      </c>
      <c r="BI256" s="580" t="e">
        <f t="shared" si="489"/>
        <v>#DIV/0!</v>
      </c>
      <c r="BJ256" s="580" t="e">
        <f t="shared" si="489"/>
        <v>#DIV/0!</v>
      </c>
      <c r="BK256" s="580" t="e">
        <f t="shared" si="489"/>
        <v>#DIV/0!</v>
      </c>
      <c r="BL256" s="580" t="e">
        <f t="shared" ref="BL256:BQ256" si="490">+BL226/$E$25*100</f>
        <v>#DIV/0!</v>
      </c>
      <c r="BM256" s="580" t="e">
        <f t="shared" si="490"/>
        <v>#DIV/0!</v>
      </c>
      <c r="BN256" s="580" t="e">
        <f t="shared" si="490"/>
        <v>#DIV/0!</v>
      </c>
      <c r="BO256" s="580" t="e">
        <f t="shared" si="490"/>
        <v>#DIV/0!</v>
      </c>
      <c r="BP256" s="580" t="e">
        <f t="shared" si="490"/>
        <v>#DIV/0!</v>
      </c>
      <c r="BQ256" s="580" t="e">
        <f t="shared" si="490"/>
        <v>#DIV/0!</v>
      </c>
      <c r="BR256" s="580" t="e">
        <f t="shared" ref="BR256:BS256" si="491">+BR226/$E$25*100</f>
        <v>#DIV/0!</v>
      </c>
      <c r="BS256" s="580" t="e">
        <f t="shared" si="491"/>
        <v>#DIV/0!</v>
      </c>
      <c r="BT256" s="580" t="e">
        <f t="shared" ref="BT256:BU256" si="492">+BT226/$E$25*100</f>
        <v>#DIV/0!</v>
      </c>
      <c r="BU256" s="580" t="e">
        <f t="shared" si="492"/>
        <v>#DIV/0!</v>
      </c>
      <c r="BV256" s="580" t="e">
        <f t="shared" ref="BV256:BW256" si="493">+BV226/$E$25*100</f>
        <v>#DIV/0!</v>
      </c>
      <c r="BW256" s="580" t="e">
        <f t="shared" si="493"/>
        <v>#DIV/0!</v>
      </c>
    </row>
    <row r="257" spans="1:63" s="248" customFormat="1">
      <c r="A257" s="247"/>
      <c r="B257" s="220"/>
      <c r="C257" s="274"/>
      <c r="D257" s="247"/>
      <c r="AF257" s="581"/>
      <c r="AG257" s="581"/>
      <c r="AH257" s="581"/>
      <c r="AI257" s="581"/>
      <c r="AJ257" s="581"/>
      <c r="AK257" s="581"/>
      <c r="AL257" s="581"/>
      <c r="AM257" s="581"/>
      <c r="AN257" s="581"/>
      <c r="AO257" s="581"/>
      <c r="AP257" s="581"/>
      <c r="AQ257" s="581"/>
      <c r="AR257" s="581"/>
      <c r="AS257" s="581"/>
      <c r="AT257" s="581"/>
      <c r="AU257" s="581"/>
      <c r="AV257" s="581"/>
      <c r="AW257" s="581"/>
      <c r="AX257" s="581"/>
      <c r="AY257" s="581"/>
      <c r="AZ257" s="581"/>
      <c r="BA257" s="581"/>
      <c r="BB257" s="581"/>
      <c r="BC257" s="581"/>
      <c r="BD257" s="581"/>
      <c r="BE257" s="581"/>
      <c r="BF257" s="581"/>
      <c r="BG257" s="581"/>
      <c r="BH257" s="581"/>
      <c r="BI257" s="581"/>
      <c r="BJ257" s="581"/>
      <c r="BK257" s="581"/>
    </row>
    <row r="258" spans="1:63" s="240" customFormat="1">
      <c r="A258" s="209"/>
      <c r="B258" s="209"/>
      <c r="C258" s="209"/>
      <c r="D258" s="209"/>
      <c r="AF258" s="579"/>
      <c r="AG258" s="579"/>
      <c r="AH258" s="579"/>
      <c r="AI258" s="579"/>
      <c r="AJ258" s="579"/>
      <c r="AK258" s="579"/>
      <c r="AL258" s="579"/>
      <c r="AM258" s="579"/>
      <c r="AN258" s="579"/>
      <c r="AO258" s="579"/>
      <c r="AP258" s="579"/>
      <c r="AQ258" s="579"/>
      <c r="AR258" s="579"/>
      <c r="AS258" s="579"/>
      <c r="AT258" s="579"/>
      <c r="AU258" s="579"/>
      <c r="AV258" s="579"/>
      <c r="AW258" s="579"/>
      <c r="AX258" s="579"/>
      <c r="AY258" s="579"/>
      <c r="AZ258" s="579"/>
      <c r="BA258" s="579"/>
      <c r="BB258" s="579"/>
      <c r="BC258" s="579"/>
      <c r="BD258" s="579"/>
      <c r="BE258" s="579"/>
      <c r="BF258" s="579"/>
      <c r="BG258" s="579"/>
      <c r="BH258" s="579"/>
      <c r="BI258" s="579"/>
      <c r="BJ258" s="579"/>
      <c r="BK258" s="579"/>
    </row>
    <row r="259" spans="1:63" s="240" customFormat="1">
      <c r="A259" s="209"/>
      <c r="B259" s="209"/>
      <c r="C259" s="275" t="s">
        <v>1396</v>
      </c>
      <c r="D259" s="209"/>
      <c r="AF259" s="579"/>
      <c r="AG259" s="579"/>
      <c r="AH259" s="579"/>
      <c r="AI259" s="579"/>
      <c r="AJ259" s="579"/>
      <c r="AK259" s="579"/>
      <c r="AL259" s="579"/>
      <c r="AM259" s="579"/>
      <c r="AN259" s="579"/>
      <c r="AO259" s="579"/>
      <c r="AP259" s="579"/>
      <c r="AQ259" s="579"/>
      <c r="AR259" s="579"/>
      <c r="AS259" s="579"/>
      <c r="AT259" s="579"/>
      <c r="AU259" s="579"/>
      <c r="AV259" s="579"/>
      <c r="AW259" s="579"/>
      <c r="AX259" s="579"/>
      <c r="AY259" s="579"/>
      <c r="AZ259" s="579"/>
      <c r="BA259" s="579"/>
      <c r="BB259" s="579"/>
      <c r="BC259" s="579"/>
      <c r="BD259" s="579"/>
      <c r="BE259" s="579"/>
      <c r="BF259" s="579"/>
      <c r="BG259" s="579"/>
      <c r="BH259" s="579"/>
      <c r="BI259" s="579"/>
      <c r="BJ259" s="579"/>
      <c r="BK259" s="579"/>
    </row>
    <row r="260" spans="1:63" s="245" customFormat="1">
      <c r="A260" s="243"/>
      <c r="B260" s="243" t="s">
        <v>1397</v>
      </c>
      <c r="C260" s="243" t="s">
        <v>1398</v>
      </c>
      <c r="D260" s="243"/>
      <c r="F260" s="245" t="e">
        <f t="shared" ref="F260:S260" si="494">100*(F89*12/F4)/F$340</f>
        <v>#DIV/0!</v>
      </c>
      <c r="G260" s="245" t="e">
        <f t="shared" si="494"/>
        <v>#DIV/0!</v>
      </c>
      <c r="H260" s="245" t="e">
        <f t="shared" si="494"/>
        <v>#DIV/0!</v>
      </c>
      <c r="I260" s="245" t="e">
        <f t="shared" si="494"/>
        <v>#DIV/0!</v>
      </c>
      <c r="J260" s="245" t="e">
        <f t="shared" si="494"/>
        <v>#DIV/0!</v>
      </c>
      <c r="K260" s="245" t="e">
        <f t="shared" si="494"/>
        <v>#DIV/0!</v>
      </c>
      <c r="M260" s="245">
        <f t="shared" si="494"/>
        <v>25.422782711444356</v>
      </c>
      <c r="N260" s="245">
        <f t="shared" si="494"/>
        <v>17.621936512533388</v>
      </c>
      <c r="O260" s="245">
        <f t="shared" si="494"/>
        <v>15.859229395800558</v>
      </c>
      <c r="P260" s="245">
        <f t="shared" si="494"/>
        <v>19.068663677103334</v>
      </c>
      <c r="Q260" s="245">
        <f t="shared" si="494"/>
        <v>19.030511299284008</v>
      </c>
      <c r="R260" s="245">
        <f t="shared" si="494"/>
        <v>16.781969397943477</v>
      </c>
      <c r="S260" s="245">
        <f t="shared" si="494"/>
        <v>29.31640871508986</v>
      </c>
      <c r="T260" s="245">
        <f>+'Ratio Sheet'!J83*100</f>
        <v>24.727868203495838</v>
      </c>
      <c r="U260" s="245">
        <f>+'Ratio Sheet'!K83*100</f>
        <v>31.962179864635832</v>
      </c>
      <c r="V260" s="245">
        <f>+'Ratio Sheet'!L83*100</f>
        <v>29.873916920317267</v>
      </c>
      <c r="W260" s="245">
        <f>+'Ratio Sheet'!M83*100</f>
        <v>24.535173945226504</v>
      </c>
      <c r="X260" s="245">
        <f>+'Ratio Sheet'!N83*100</f>
        <v>24.28725129039314</v>
      </c>
      <c r="Y260" s="245">
        <f>+'Ratio Sheet'!O83*100</f>
        <v>20.548362733289441</v>
      </c>
      <c r="Z260" s="245">
        <f>+'Ratio Sheet'!P83*100</f>
        <v>25.43526652449648</v>
      </c>
      <c r="AA260" s="245">
        <f>+'Ratio Sheet'!Q83*100</f>
        <v>22.231068779257541</v>
      </c>
      <c r="AB260" s="245">
        <f>+'Ratio Sheet'!R83*100</f>
        <v>0</v>
      </c>
      <c r="AC260" s="245">
        <f>+'Ratio Sheet'!S83*100</f>
        <v>0</v>
      </c>
      <c r="AD260" s="245">
        <f>+'Ratio Sheet'!T83*100</f>
        <v>0</v>
      </c>
      <c r="AF260" s="580" t="e">
        <f t="shared" ref="AF260:BK260" si="495">100*(AF89*12/AF4)/AF$340</f>
        <v>#DIV/0!</v>
      </c>
      <c r="AG260" s="580" t="e">
        <f t="shared" si="495"/>
        <v>#DIV/0!</v>
      </c>
      <c r="AH260" s="580" t="e">
        <f t="shared" si="495"/>
        <v>#DIV/0!</v>
      </c>
      <c r="AI260" s="580" t="e">
        <f t="shared" si="495"/>
        <v>#DIV/0!</v>
      </c>
      <c r="AJ260" s="580" t="e">
        <f t="shared" si="495"/>
        <v>#DIV/0!</v>
      </c>
      <c r="AK260" s="580" t="e">
        <f t="shared" si="495"/>
        <v>#DIV/0!</v>
      </c>
      <c r="AL260" s="580" t="e">
        <f t="shared" si="495"/>
        <v>#DIV/0!</v>
      </c>
      <c r="AM260" s="580" t="e">
        <f t="shared" si="495"/>
        <v>#DIV/0!</v>
      </c>
      <c r="AN260" s="580" t="e">
        <f t="shared" si="495"/>
        <v>#DIV/0!</v>
      </c>
      <c r="AO260" s="580" t="e">
        <f t="shared" si="495"/>
        <v>#DIV/0!</v>
      </c>
      <c r="AP260" s="580" t="e">
        <f t="shared" si="495"/>
        <v>#DIV/0!</v>
      </c>
      <c r="AQ260" s="580" t="e">
        <f t="shared" si="495"/>
        <v>#DIV/0!</v>
      </c>
      <c r="AR260" s="580" t="e">
        <f t="shared" si="495"/>
        <v>#DIV/0!</v>
      </c>
      <c r="AS260" s="580" t="e">
        <f t="shared" si="495"/>
        <v>#DIV/0!</v>
      </c>
      <c r="AT260" s="580" t="e">
        <f t="shared" si="495"/>
        <v>#DIV/0!</v>
      </c>
      <c r="AU260" s="580" t="e">
        <f t="shared" si="495"/>
        <v>#DIV/0!</v>
      </c>
      <c r="AV260" s="580" t="e">
        <f t="shared" si="495"/>
        <v>#DIV/0!</v>
      </c>
      <c r="AW260" s="580" t="e">
        <f t="shared" si="495"/>
        <v>#DIV/0!</v>
      </c>
      <c r="AX260" s="580" t="e">
        <f t="shared" si="495"/>
        <v>#DIV/0!</v>
      </c>
      <c r="AY260" s="580" t="e">
        <f t="shared" si="495"/>
        <v>#DIV/0!</v>
      </c>
      <c r="AZ260" s="580" t="e">
        <f t="shared" si="495"/>
        <v>#DIV/0!</v>
      </c>
      <c r="BA260" s="580" t="e">
        <f t="shared" si="495"/>
        <v>#DIV/0!</v>
      </c>
      <c r="BB260" s="580" t="e">
        <f t="shared" si="495"/>
        <v>#DIV/0!</v>
      </c>
      <c r="BC260" s="580" t="e">
        <f t="shared" si="495"/>
        <v>#DIV/0!</v>
      </c>
      <c r="BD260" s="580" t="e">
        <f t="shared" si="495"/>
        <v>#DIV/0!</v>
      </c>
      <c r="BE260" s="580" t="e">
        <f t="shared" si="495"/>
        <v>#DIV/0!</v>
      </c>
      <c r="BF260" s="580" t="e">
        <f t="shared" si="495"/>
        <v>#DIV/0!</v>
      </c>
      <c r="BG260" s="580" t="e">
        <f t="shared" si="495"/>
        <v>#DIV/0!</v>
      </c>
      <c r="BH260" s="580" t="e">
        <f t="shared" si="495"/>
        <v>#DIV/0!</v>
      </c>
      <c r="BI260" s="580" t="e">
        <f t="shared" si="495"/>
        <v>#DIV/0!</v>
      </c>
      <c r="BJ260" s="580" t="e">
        <f t="shared" si="495"/>
        <v>#DIV/0!</v>
      </c>
      <c r="BK260" s="580" t="e">
        <f t="shared" si="495"/>
        <v>#DIV/0!</v>
      </c>
    </row>
    <row r="261" spans="1:63" s="245" customFormat="1">
      <c r="A261" s="243"/>
      <c r="B261" s="243" t="s">
        <v>1399</v>
      </c>
      <c r="C261" s="243" t="s">
        <v>1400</v>
      </c>
      <c r="D261" s="243"/>
      <c r="F261" s="245" t="e">
        <f t="shared" ref="F261:S261" si="496">100*(F83*12/F4)/F$340</f>
        <v>#DIV/0!</v>
      </c>
      <c r="G261" s="245" t="e">
        <f t="shared" si="496"/>
        <v>#DIV/0!</v>
      </c>
      <c r="H261" s="245" t="e">
        <f t="shared" si="496"/>
        <v>#DIV/0!</v>
      </c>
      <c r="I261" s="245" t="e">
        <f t="shared" si="496"/>
        <v>#DIV/0!</v>
      </c>
      <c r="J261" s="245" t="e">
        <f t="shared" si="496"/>
        <v>#DIV/0!</v>
      </c>
      <c r="K261" s="245" t="e">
        <f t="shared" si="496"/>
        <v>#DIV/0!</v>
      </c>
      <c r="M261" s="245">
        <f t="shared" si="496"/>
        <v>37.289171161117856</v>
      </c>
      <c r="N261" s="245">
        <f t="shared" si="496"/>
        <v>22.706831966549917</v>
      </c>
      <c r="O261" s="245">
        <f t="shared" si="496"/>
        <v>22.08561713824588</v>
      </c>
      <c r="P261" s="245">
        <f t="shared" si="496"/>
        <v>27.200653430351863</v>
      </c>
      <c r="Q261" s="245">
        <f t="shared" si="496"/>
        <v>26.356980133211245</v>
      </c>
      <c r="R261" s="245">
        <f t="shared" si="496"/>
        <v>24.350793195127803</v>
      </c>
      <c r="S261" s="245">
        <f t="shared" si="496"/>
        <v>40.636530402409335</v>
      </c>
      <c r="T261" s="245">
        <f>+'Ratio Sheet'!J84*100</f>
        <v>46.420778613281293</v>
      </c>
      <c r="U261" s="245">
        <f>+'Ratio Sheet'!K84*100</f>
        <v>59.645748317730366</v>
      </c>
      <c r="V261" s="245">
        <f>+'Ratio Sheet'!L84*100</f>
        <v>53.117113481703562</v>
      </c>
      <c r="W261" s="245">
        <f>+'Ratio Sheet'!M84*100</f>
        <v>40.677432370162222</v>
      </c>
      <c r="X261" s="245">
        <f>+'Ratio Sheet'!N84*100</f>
        <v>37.132437837314058</v>
      </c>
      <c r="Y261" s="245">
        <f>+'Ratio Sheet'!O84*100</f>
        <v>30.14049171629447</v>
      </c>
      <c r="Z261" s="245">
        <f>+'Ratio Sheet'!P84*100</f>
        <v>33.7982145747796</v>
      </c>
      <c r="AA261" s="245">
        <f>+'Ratio Sheet'!Q84*100</f>
        <v>28.85649711938381</v>
      </c>
      <c r="AB261" s="245">
        <f>+'Ratio Sheet'!R84*100</f>
        <v>0</v>
      </c>
      <c r="AC261" s="245">
        <f>+'Ratio Sheet'!S84*100</f>
        <v>0</v>
      </c>
      <c r="AD261" s="245">
        <f>+'Ratio Sheet'!T84*100</f>
        <v>0</v>
      </c>
      <c r="AF261" s="580" t="e">
        <f t="shared" ref="AF261:BK261" si="497">100*(AF83*12/AF4)/AF$340</f>
        <v>#DIV/0!</v>
      </c>
      <c r="AG261" s="580" t="e">
        <f t="shared" si="497"/>
        <v>#DIV/0!</v>
      </c>
      <c r="AH261" s="580" t="e">
        <f t="shared" si="497"/>
        <v>#DIV/0!</v>
      </c>
      <c r="AI261" s="580" t="e">
        <f t="shared" si="497"/>
        <v>#DIV/0!</v>
      </c>
      <c r="AJ261" s="580" t="e">
        <f t="shared" si="497"/>
        <v>#DIV/0!</v>
      </c>
      <c r="AK261" s="580" t="e">
        <f t="shared" si="497"/>
        <v>#DIV/0!</v>
      </c>
      <c r="AL261" s="580" t="e">
        <f t="shared" si="497"/>
        <v>#DIV/0!</v>
      </c>
      <c r="AM261" s="580" t="e">
        <f t="shared" si="497"/>
        <v>#DIV/0!</v>
      </c>
      <c r="AN261" s="580" t="e">
        <f t="shared" si="497"/>
        <v>#DIV/0!</v>
      </c>
      <c r="AO261" s="580" t="e">
        <f t="shared" si="497"/>
        <v>#DIV/0!</v>
      </c>
      <c r="AP261" s="580" t="e">
        <f t="shared" si="497"/>
        <v>#DIV/0!</v>
      </c>
      <c r="AQ261" s="580" t="e">
        <f t="shared" si="497"/>
        <v>#DIV/0!</v>
      </c>
      <c r="AR261" s="580" t="e">
        <f t="shared" si="497"/>
        <v>#DIV/0!</v>
      </c>
      <c r="AS261" s="580" t="e">
        <f t="shared" si="497"/>
        <v>#DIV/0!</v>
      </c>
      <c r="AT261" s="580" t="e">
        <f t="shared" si="497"/>
        <v>#DIV/0!</v>
      </c>
      <c r="AU261" s="580" t="e">
        <f t="shared" si="497"/>
        <v>#DIV/0!</v>
      </c>
      <c r="AV261" s="580" t="e">
        <f t="shared" si="497"/>
        <v>#DIV/0!</v>
      </c>
      <c r="AW261" s="580" t="e">
        <f t="shared" si="497"/>
        <v>#DIV/0!</v>
      </c>
      <c r="AX261" s="580" t="e">
        <f t="shared" si="497"/>
        <v>#DIV/0!</v>
      </c>
      <c r="AY261" s="580" t="e">
        <f t="shared" si="497"/>
        <v>#DIV/0!</v>
      </c>
      <c r="AZ261" s="580" t="e">
        <f t="shared" si="497"/>
        <v>#DIV/0!</v>
      </c>
      <c r="BA261" s="580" t="e">
        <f t="shared" si="497"/>
        <v>#DIV/0!</v>
      </c>
      <c r="BB261" s="580" t="e">
        <f t="shared" si="497"/>
        <v>#DIV/0!</v>
      </c>
      <c r="BC261" s="580" t="e">
        <f t="shared" si="497"/>
        <v>#DIV/0!</v>
      </c>
      <c r="BD261" s="580" t="e">
        <f t="shared" si="497"/>
        <v>#DIV/0!</v>
      </c>
      <c r="BE261" s="580" t="e">
        <f t="shared" si="497"/>
        <v>#DIV/0!</v>
      </c>
      <c r="BF261" s="580" t="e">
        <f t="shared" si="497"/>
        <v>#DIV/0!</v>
      </c>
      <c r="BG261" s="580" t="e">
        <f t="shared" si="497"/>
        <v>#DIV/0!</v>
      </c>
      <c r="BH261" s="580" t="e">
        <f t="shared" si="497"/>
        <v>#DIV/0!</v>
      </c>
      <c r="BI261" s="580" t="e">
        <f t="shared" si="497"/>
        <v>#DIV/0!</v>
      </c>
      <c r="BJ261" s="580" t="e">
        <f t="shared" si="497"/>
        <v>#DIV/0!</v>
      </c>
      <c r="BK261" s="580" t="e">
        <f t="shared" si="497"/>
        <v>#DIV/0!</v>
      </c>
    </row>
    <row r="262" spans="1:63" s="245" customFormat="1">
      <c r="A262" s="243"/>
      <c r="B262" s="243" t="s">
        <v>1401</v>
      </c>
      <c r="C262" s="243" t="s">
        <v>1402</v>
      </c>
      <c r="D262" s="243"/>
      <c r="F262" s="245" t="e">
        <f t="shared" ref="F262:S262" si="498">100*((F92*12/F4)-(F99*12/F4))/F$338</f>
        <v>#DIV/0!</v>
      </c>
      <c r="G262" s="245" t="e">
        <f t="shared" si="498"/>
        <v>#DIV/0!</v>
      </c>
      <c r="H262" s="245" t="e">
        <f t="shared" si="498"/>
        <v>#DIV/0!</v>
      </c>
      <c r="I262" s="245" t="e">
        <f t="shared" si="498"/>
        <v>#DIV/0!</v>
      </c>
      <c r="J262" s="245" t="e">
        <f t="shared" si="498"/>
        <v>#DIV/0!</v>
      </c>
      <c r="K262" s="245" t="e">
        <f t="shared" si="498"/>
        <v>#DIV/0!</v>
      </c>
      <c r="M262" s="245">
        <f t="shared" si="498"/>
        <v>33.410173855230788</v>
      </c>
      <c r="N262" s="245">
        <f t="shared" si="498"/>
        <v>23.090941061196066</v>
      </c>
      <c r="O262" s="245">
        <f t="shared" si="498"/>
        <v>20.937611063970799</v>
      </c>
      <c r="P262" s="245">
        <f t="shared" si="498"/>
        <v>25.349480889075153</v>
      </c>
      <c r="Q262" s="245">
        <f t="shared" si="498"/>
        <v>25.060815095649783</v>
      </c>
      <c r="R262" s="245">
        <f t="shared" si="498"/>
        <v>24.310203907264814</v>
      </c>
      <c r="S262" s="245">
        <f t="shared" si="498"/>
        <v>62.875898864536239</v>
      </c>
      <c r="T262" s="245">
        <f>+'Ratio Sheet'!J85*100</f>
        <v>74.969214939046495</v>
      </c>
      <c r="U262" s="245">
        <f>+'Ratio Sheet'!K85*100</f>
        <v>72.271978396040467</v>
      </c>
      <c r="V262" s="245">
        <f>+'Ratio Sheet'!L85*100</f>
        <v>54.862059810111539</v>
      </c>
      <c r="W262" s="245">
        <f>+'Ratio Sheet'!M85*100</f>
        <v>41.164227358118644</v>
      </c>
      <c r="X262" s="245">
        <f>+'Ratio Sheet'!N85*100</f>
        <v>37.401687319513179</v>
      </c>
      <c r="Y262" s="245">
        <f>+'Ratio Sheet'!O85*100</f>
        <v>30.348016318931752</v>
      </c>
      <c r="Z262" s="245">
        <f>+'Ratio Sheet'!P85*100</f>
        <v>34.195118298552444</v>
      </c>
      <c r="AA262" s="245">
        <f>+'Ratio Sheet'!Q85*100</f>
        <v>29.206602561040889</v>
      </c>
      <c r="AB262" s="245">
        <f>+'Ratio Sheet'!R85*100</f>
        <v>0</v>
      </c>
      <c r="AC262" s="245">
        <f>+'Ratio Sheet'!S85*100</f>
        <v>0</v>
      </c>
      <c r="AD262" s="245">
        <f>+'Ratio Sheet'!T85*100</f>
        <v>0</v>
      </c>
      <c r="AF262" s="580" t="e">
        <f t="shared" ref="AF262:BK262" si="499">100*((AF92*12/AF4)-(AF99*12/AF4))/AF$338</f>
        <v>#DIV/0!</v>
      </c>
      <c r="AG262" s="580" t="e">
        <f t="shared" si="499"/>
        <v>#DIV/0!</v>
      </c>
      <c r="AH262" s="580" t="e">
        <f t="shared" si="499"/>
        <v>#DIV/0!</v>
      </c>
      <c r="AI262" s="580" t="e">
        <f t="shared" si="499"/>
        <v>#DIV/0!</v>
      </c>
      <c r="AJ262" s="580" t="e">
        <f t="shared" si="499"/>
        <v>#DIV/0!</v>
      </c>
      <c r="AK262" s="580" t="e">
        <f t="shared" si="499"/>
        <v>#DIV/0!</v>
      </c>
      <c r="AL262" s="580" t="e">
        <f t="shared" si="499"/>
        <v>#DIV/0!</v>
      </c>
      <c r="AM262" s="580" t="e">
        <f t="shared" si="499"/>
        <v>#DIV/0!</v>
      </c>
      <c r="AN262" s="580" t="e">
        <f t="shared" si="499"/>
        <v>#DIV/0!</v>
      </c>
      <c r="AO262" s="580" t="e">
        <f t="shared" si="499"/>
        <v>#DIV/0!</v>
      </c>
      <c r="AP262" s="580" t="e">
        <f t="shared" si="499"/>
        <v>#DIV/0!</v>
      </c>
      <c r="AQ262" s="580" t="e">
        <f t="shared" si="499"/>
        <v>#DIV/0!</v>
      </c>
      <c r="AR262" s="580" t="e">
        <f t="shared" si="499"/>
        <v>#DIV/0!</v>
      </c>
      <c r="AS262" s="580" t="e">
        <f t="shared" si="499"/>
        <v>#DIV/0!</v>
      </c>
      <c r="AT262" s="580" t="e">
        <f t="shared" si="499"/>
        <v>#DIV/0!</v>
      </c>
      <c r="AU262" s="580" t="e">
        <f t="shared" si="499"/>
        <v>#DIV/0!</v>
      </c>
      <c r="AV262" s="580" t="e">
        <f t="shared" si="499"/>
        <v>#DIV/0!</v>
      </c>
      <c r="AW262" s="580" t="e">
        <f t="shared" si="499"/>
        <v>#DIV/0!</v>
      </c>
      <c r="AX262" s="580" t="e">
        <f t="shared" si="499"/>
        <v>#DIV/0!</v>
      </c>
      <c r="AY262" s="580" t="e">
        <f t="shared" si="499"/>
        <v>#DIV/0!</v>
      </c>
      <c r="AZ262" s="580" t="e">
        <f t="shared" si="499"/>
        <v>#DIV/0!</v>
      </c>
      <c r="BA262" s="580" t="e">
        <f t="shared" si="499"/>
        <v>#DIV/0!</v>
      </c>
      <c r="BB262" s="580" t="e">
        <f t="shared" si="499"/>
        <v>#DIV/0!</v>
      </c>
      <c r="BC262" s="580" t="e">
        <f t="shared" si="499"/>
        <v>#DIV/0!</v>
      </c>
      <c r="BD262" s="580" t="e">
        <f t="shared" si="499"/>
        <v>#DIV/0!</v>
      </c>
      <c r="BE262" s="580" t="e">
        <f t="shared" si="499"/>
        <v>#DIV/0!</v>
      </c>
      <c r="BF262" s="580" t="e">
        <f t="shared" si="499"/>
        <v>#DIV/0!</v>
      </c>
      <c r="BG262" s="580" t="e">
        <f t="shared" si="499"/>
        <v>#DIV/0!</v>
      </c>
      <c r="BH262" s="580" t="e">
        <f t="shared" si="499"/>
        <v>#DIV/0!</v>
      </c>
      <c r="BI262" s="580" t="e">
        <f t="shared" si="499"/>
        <v>#DIV/0!</v>
      </c>
      <c r="BJ262" s="580" t="e">
        <f t="shared" si="499"/>
        <v>#DIV/0!</v>
      </c>
      <c r="BK262" s="580" t="e">
        <f t="shared" si="499"/>
        <v>#DIV/0!</v>
      </c>
    </row>
    <row r="263" spans="1:63" s="245" customFormat="1">
      <c r="A263" s="243"/>
      <c r="B263" s="243" t="s">
        <v>1403</v>
      </c>
      <c r="C263" s="243" t="s">
        <v>1404</v>
      </c>
      <c r="D263" s="243"/>
      <c r="F263" s="245" t="e">
        <f t="shared" ref="F263:S263" si="500">100*(F81*12/F4)/F$342</f>
        <v>#DIV/0!</v>
      </c>
      <c r="G263" s="245" t="e">
        <f t="shared" si="500"/>
        <v>#DIV/0!</v>
      </c>
      <c r="H263" s="245" t="e">
        <f t="shared" si="500"/>
        <v>#DIV/0!</v>
      </c>
      <c r="I263" s="245" t="e">
        <f t="shared" si="500"/>
        <v>#DIV/0!</v>
      </c>
      <c r="J263" s="245" t="e">
        <f t="shared" si="500"/>
        <v>#DIV/0!</v>
      </c>
      <c r="K263" s="245" t="e">
        <f t="shared" si="500"/>
        <v>#DIV/0!</v>
      </c>
      <c r="M263" s="245">
        <f t="shared" si="500"/>
        <v>84.97658301808309</v>
      </c>
      <c r="N263" s="245">
        <f t="shared" si="500"/>
        <v>63.753265772787216</v>
      </c>
      <c r="O263" s="245">
        <f t="shared" si="500"/>
        <v>89.881841997658626</v>
      </c>
      <c r="P263" s="245">
        <f t="shared" si="500"/>
        <v>215.19919450058507</v>
      </c>
      <c r="Q263" s="245">
        <f t="shared" si="500"/>
        <v>258.98230750062328</v>
      </c>
      <c r="R263" s="245">
        <f t="shared" si="500"/>
        <v>128.26717413376957</v>
      </c>
      <c r="S263" s="245">
        <f t="shared" si="500"/>
        <v>88.96737889633502</v>
      </c>
      <c r="T263" s="245">
        <f>+'Ratio Sheet'!J89*100</f>
        <v>51.684874752345181</v>
      </c>
      <c r="U263" s="245">
        <f>+'Ratio Sheet'!K89*100</f>
        <v>83.87018019366937</v>
      </c>
      <c r="V263" s="245">
        <f>+'Ratio Sheet'!L89*100</f>
        <v>103.59513757833676</v>
      </c>
      <c r="W263" s="245">
        <f>+'Ratio Sheet'!M89*100</f>
        <v>73.241128829780095</v>
      </c>
      <c r="X263" s="245">
        <f>+'Ratio Sheet'!N89*100</f>
        <v>77.069217587851014</v>
      </c>
      <c r="Y263" s="245">
        <f>+'Ratio Sheet'!O89*100</f>
        <v>70.174570486879901</v>
      </c>
      <c r="Z263" s="245">
        <f>+'Ratio Sheet'!P89*100</f>
        <v>84.016535090714129</v>
      </c>
      <c r="AA263" s="245">
        <f>+'Ratio Sheet'!Q89*100</f>
        <v>85.60762719897869</v>
      </c>
      <c r="AB263" s="245">
        <f>+'Ratio Sheet'!R89*100</f>
        <v>0</v>
      </c>
      <c r="AC263" s="245">
        <f>+'Ratio Sheet'!S89*100</f>
        <v>0</v>
      </c>
      <c r="AD263" s="245">
        <f>+'Ratio Sheet'!T89*100</f>
        <v>0</v>
      </c>
      <c r="AF263" s="580" t="e">
        <f t="shared" ref="AF263:BK263" si="501">100*(AF81*12/AF4)/AF$342</f>
        <v>#DIV/0!</v>
      </c>
      <c r="AG263" s="580" t="e">
        <f t="shared" si="501"/>
        <v>#DIV/0!</v>
      </c>
      <c r="AH263" s="580" t="e">
        <f t="shared" si="501"/>
        <v>#DIV/0!</v>
      </c>
      <c r="AI263" s="580" t="e">
        <f t="shared" si="501"/>
        <v>#DIV/0!</v>
      </c>
      <c r="AJ263" s="580" t="e">
        <f t="shared" si="501"/>
        <v>#DIV/0!</v>
      </c>
      <c r="AK263" s="580" t="e">
        <f t="shared" si="501"/>
        <v>#DIV/0!</v>
      </c>
      <c r="AL263" s="580" t="e">
        <f t="shared" si="501"/>
        <v>#DIV/0!</v>
      </c>
      <c r="AM263" s="580" t="e">
        <f t="shared" si="501"/>
        <v>#DIV/0!</v>
      </c>
      <c r="AN263" s="580" t="e">
        <f t="shared" si="501"/>
        <v>#DIV/0!</v>
      </c>
      <c r="AO263" s="580" t="e">
        <f t="shared" si="501"/>
        <v>#DIV/0!</v>
      </c>
      <c r="AP263" s="580" t="e">
        <f t="shared" si="501"/>
        <v>#DIV/0!</v>
      </c>
      <c r="AQ263" s="580" t="e">
        <f t="shared" si="501"/>
        <v>#DIV/0!</v>
      </c>
      <c r="AR263" s="580" t="e">
        <f t="shared" si="501"/>
        <v>#DIV/0!</v>
      </c>
      <c r="AS263" s="580" t="e">
        <f t="shared" si="501"/>
        <v>#DIV/0!</v>
      </c>
      <c r="AT263" s="580" t="e">
        <f t="shared" si="501"/>
        <v>#DIV/0!</v>
      </c>
      <c r="AU263" s="580" t="e">
        <f t="shared" si="501"/>
        <v>#DIV/0!</v>
      </c>
      <c r="AV263" s="580" t="e">
        <f t="shared" si="501"/>
        <v>#DIV/0!</v>
      </c>
      <c r="AW263" s="580" t="e">
        <f t="shared" si="501"/>
        <v>#DIV/0!</v>
      </c>
      <c r="AX263" s="580" t="e">
        <f t="shared" si="501"/>
        <v>#DIV/0!</v>
      </c>
      <c r="AY263" s="580" t="e">
        <f t="shared" si="501"/>
        <v>#DIV/0!</v>
      </c>
      <c r="AZ263" s="580" t="e">
        <f t="shared" si="501"/>
        <v>#DIV/0!</v>
      </c>
      <c r="BA263" s="580" t="e">
        <f t="shared" si="501"/>
        <v>#DIV/0!</v>
      </c>
      <c r="BB263" s="580" t="e">
        <f t="shared" si="501"/>
        <v>#DIV/0!</v>
      </c>
      <c r="BC263" s="580" t="e">
        <f t="shared" si="501"/>
        <v>#DIV/0!</v>
      </c>
      <c r="BD263" s="580" t="e">
        <f t="shared" si="501"/>
        <v>#DIV/0!</v>
      </c>
      <c r="BE263" s="580" t="e">
        <f t="shared" si="501"/>
        <v>#DIV/0!</v>
      </c>
      <c r="BF263" s="580" t="e">
        <f t="shared" si="501"/>
        <v>#DIV/0!</v>
      </c>
      <c r="BG263" s="580" t="e">
        <f t="shared" si="501"/>
        <v>#DIV/0!</v>
      </c>
      <c r="BH263" s="580" t="e">
        <f t="shared" si="501"/>
        <v>#DIV/0!</v>
      </c>
      <c r="BI263" s="580" t="e">
        <f t="shared" si="501"/>
        <v>#DIV/0!</v>
      </c>
      <c r="BJ263" s="580" t="e">
        <f t="shared" si="501"/>
        <v>#DIV/0!</v>
      </c>
      <c r="BK263" s="580" t="e">
        <f t="shared" si="501"/>
        <v>#DIV/0!</v>
      </c>
    </row>
    <row r="264" spans="1:63" s="245" customFormat="1">
      <c r="A264" s="243"/>
      <c r="B264" s="243" t="s">
        <v>1405</v>
      </c>
      <c r="C264" s="243" t="s">
        <v>1406</v>
      </c>
      <c r="D264" s="243"/>
      <c r="F264" s="245" t="str">
        <f t="shared" ref="F264:Y264" si="502">IF(ISERROR(100*F263/F$415),"",100*F263/F$415)</f>
        <v/>
      </c>
      <c r="G264" s="245" t="str">
        <f t="shared" si="502"/>
        <v/>
      </c>
      <c r="H264" s="245" t="str">
        <f t="shared" si="502"/>
        <v/>
      </c>
      <c r="I264" s="245" t="str">
        <f t="shared" si="502"/>
        <v/>
      </c>
      <c r="J264" s="245" t="str">
        <f t="shared" si="502"/>
        <v/>
      </c>
      <c r="K264" s="245" t="str">
        <f t="shared" si="502"/>
        <v/>
      </c>
      <c r="M264" s="245" t="str">
        <f t="shared" si="502"/>
        <v/>
      </c>
      <c r="N264" s="245" t="str">
        <f t="shared" si="502"/>
        <v/>
      </c>
      <c r="O264" s="245" t="str">
        <f t="shared" si="502"/>
        <v/>
      </c>
      <c r="P264" s="245" t="str">
        <f t="shared" si="502"/>
        <v/>
      </c>
      <c r="Q264" s="245" t="str">
        <f t="shared" si="502"/>
        <v/>
      </c>
      <c r="R264" s="245" t="str">
        <f t="shared" si="502"/>
        <v/>
      </c>
      <c r="S264" s="245" t="str">
        <f t="shared" si="502"/>
        <v/>
      </c>
      <c r="T264" s="245" t="str">
        <f t="shared" si="502"/>
        <v/>
      </c>
      <c r="U264" s="245" t="str">
        <f t="shared" si="502"/>
        <v/>
      </c>
      <c r="V264" s="245" t="str">
        <f t="shared" si="502"/>
        <v/>
      </c>
      <c r="W264" s="245" t="str">
        <f t="shared" si="502"/>
        <v/>
      </c>
      <c r="X264" s="245" t="str">
        <f t="shared" si="502"/>
        <v/>
      </c>
      <c r="Y264" s="245" t="str">
        <f t="shared" si="502"/>
        <v/>
      </c>
      <c r="Z264" s="245" t="str">
        <f>IF(ISERROR(100*Z263/Z$415),"",100*Z263/Z$415)</f>
        <v/>
      </c>
      <c r="AA264" s="245" t="str">
        <f>IF(ISERROR(100*AA263/AA$415),"",100*AA263/AA$415)</f>
        <v/>
      </c>
      <c r="AB264" s="245" t="str">
        <f>IF(ISERROR(100*AB263/AB$415),"",100*AB263/AB$415)</f>
        <v/>
      </c>
      <c r="AC264" s="245" t="str">
        <f t="shared" ref="AC264:AD264" si="503">IF(ISERROR(100*AC263/AC$415),"",100*AC263/AC$415)</f>
        <v/>
      </c>
      <c r="AD264" s="245" t="str">
        <f t="shared" si="503"/>
        <v/>
      </c>
      <c r="AF264" s="580" t="str">
        <f t="shared" ref="AF264:BK264" si="504">IF(ISERROR(100*AF263/AF$415),"",100*AF263/AF$415)</f>
        <v/>
      </c>
      <c r="AG264" s="580" t="str">
        <f t="shared" si="504"/>
        <v/>
      </c>
      <c r="AH264" s="580" t="str">
        <f t="shared" si="504"/>
        <v/>
      </c>
      <c r="AI264" s="580" t="str">
        <f t="shared" si="504"/>
        <v/>
      </c>
      <c r="AJ264" s="580" t="str">
        <f t="shared" si="504"/>
        <v/>
      </c>
      <c r="AK264" s="580" t="str">
        <f t="shared" si="504"/>
        <v/>
      </c>
      <c r="AL264" s="580" t="str">
        <f t="shared" si="504"/>
        <v/>
      </c>
      <c r="AM264" s="580" t="str">
        <f t="shared" si="504"/>
        <v/>
      </c>
      <c r="AN264" s="580" t="str">
        <f t="shared" si="504"/>
        <v/>
      </c>
      <c r="AO264" s="580" t="str">
        <f t="shared" si="504"/>
        <v/>
      </c>
      <c r="AP264" s="580" t="str">
        <f t="shared" si="504"/>
        <v/>
      </c>
      <c r="AQ264" s="580" t="str">
        <f t="shared" si="504"/>
        <v/>
      </c>
      <c r="AR264" s="580" t="str">
        <f t="shared" si="504"/>
        <v/>
      </c>
      <c r="AS264" s="580" t="str">
        <f t="shared" si="504"/>
        <v/>
      </c>
      <c r="AT264" s="580" t="str">
        <f t="shared" si="504"/>
        <v/>
      </c>
      <c r="AU264" s="580" t="str">
        <f t="shared" si="504"/>
        <v/>
      </c>
      <c r="AV264" s="580" t="str">
        <f t="shared" si="504"/>
        <v/>
      </c>
      <c r="AW264" s="580" t="str">
        <f t="shared" si="504"/>
        <v/>
      </c>
      <c r="AX264" s="580" t="str">
        <f t="shared" si="504"/>
        <v/>
      </c>
      <c r="AY264" s="580" t="str">
        <f t="shared" si="504"/>
        <v/>
      </c>
      <c r="AZ264" s="580" t="str">
        <f t="shared" si="504"/>
        <v/>
      </c>
      <c r="BA264" s="580" t="str">
        <f t="shared" si="504"/>
        <v/>
      </c>
      <c r="BB264" s="580" t="str">
        <f t="shared" si="504"/>
        <v/>
      </c>
      <c r="BC264" s="580" t="str">
        <f t="shared" si="504"/>
        <v/>
      </c>
      <c r="BD264" s="580" t="str">
        <f t="shared" si="504"/>
        <v/>
      </c>
      <c r="BE264" s="580" t="str">
        <f t="shared" si="504"/>
        <v/>
      </c>
      <c r="BF264" s="580" t="str">
        <f t="shared" si="504"/>
        <v/>
      </c>
      <c r="BG264" s="580" t="str">
        <f t="shared" si="504"/>
        <v/>
      </c>
      <c r="BH264" s="580" t="str">
        <f t="shared" si="504"/>
        <v/>
      </c>
      <c r="BI264" s="580" t="str">
        <f t="shared" si="504"/>
        <v/>
      </c>
      <c r="BJ264" s="580" t="str">
        <f t="shared" si="504"/>
        <v/>
      </c>
      <c r="BK264" s="580" t="str">
        <f t="shared" si="504"/>
        <v/>
      </c>
    </row>
    <row r="265" spans="1:63" s="245" customFormat="1">
      <c r="A265" s="243"/>
      <c r="B265" s="243" t="s">
        <v>1407</v>
      </c>
      <c r="C265" s="243" t="s">
        <v>1408</v>
      </c>
      <c r="D265" s="243"/>
      <c r="F265" s="245" t="str">
        <f t="shared" ref="F265:X265" si="505">IF(ISERROR(F263-100*F$415),"",F263-100*F$415)</f>
        <v/>
      </c>
      <c r="G265" s="245" t="str">
        <f t="shared" si="505"/>
        <v/>
      </c>
      <c r="H265" s="245" t="str">
        <f t="shared" si="505"/>
        <v/>
      </c>
      <c r="I265" s="245" t="str">
        <f t="shared" si="505"/>
        <v/>
      </c>
      <c r="J265" s="245" t="str">
        <f t="shared" si="505"/>
        <v/>
      </c>
      <c r="K265" s="245" t="str">
        <f t="shared" si="505"/>
        <v/>
      </c>
      <c r="M265" s="245">
        <f t="shared" si="505"/>
        <v>84.97658301808309</v>
      </c>
      <c r="N265" s="245">
        <f t="shared" si="505"/>
        <v>63.753265772787216</v>
      </c>
      <c r="O265" s="245">
        <f t="shared" si="505"/>
        <v>89.881841997658626</v>
      </c>
      <c r="P265" s="245">
        <f t="shared" si="505"/>
        <v>215.19919450058507</v>
      </c>
      <c r="Q265" s="245">
        <f t="shared" si="505"/>
        <v>258.98230750062328</v>
      </c>
      <c r="R265" s="245">
        <f t="shared" si="505"/>
        <v>128.26717413376957</v>
      </c>
      <c r="S265" s="245">
        <f t="shared" si="505"/>
        <v>88.96737889633502</v>
      </c>
      <c r="T265" s="245">
        <f t="shared" si="505"/>
        <v>51.684874752345181</v>
      </c>
      <c r="U265" s="245">
        <f t="shared" si="505"/>
        <v>83.87018019366937</v>
      </c>
      <c r="V265" s="245">
        <f t="shared" si="505"/>
        <v>103.59513757833676</v>
      </c>
      <c r="W265" s="245">
        <f t="shared" si="505"/>
        <v>73.241128829780095</v>
      </c>
      <c r="X265" s="245">
        <f t="shared" si="505"/>
        <v>77.069217587851014</v>
      </c>
      <c r="Y265" s="245">
        <f>IF(ISERROR(Y263-100*Y$415),"",Y263-100*Y$415)</f>
        <v>70.174570486879901</v>
      </c>
      <c r="Z265" s="245">
        <f>IF(ISERROR(Z263-100*Z$415),"",Z263-100*Z$415)</f>
        <v>84.016535090714129</v>
      </c>
      <c r="AA265" s="245">
        <f>IF(ISERROR(AA263-100*AA$415),"",AA263-100*AA$415)</f>
        <v>85.60762719897869</v>
      </c>
      <c r="AB265" s="245">
        <f>IF(ISERROR(AB263-100*AB$415),"",AB263-100*AB$415)</f>
        <v>0</v>
      </c>
      <c r="AC265" s="245">
        <f t="shared" ref="AC265:AD265" si="506">IF(ISERROR(AC263-100*AC$415),"",AC263-100*AC$415)</f>
        <v>0</v>
      </c>
      <c r="AD265" s="245">
        <f t="shared" si="506"/>
        <v>0</v>
      </c>
      <c r="AF265" s="580" t="str">
        <f t="shared" ref="AF265:BK265" si="507">IF(ISERROR(AF263-100*AF$415),"",AF263-100*AF$415)</f>
        <v/>
      </c>
      <c r="AG265" s="580" t="str">
        <f t="shared" si="507"/>
        <v/>
      </c>
      <c r="AH265" s="580" t="str">
        <f t="shared" si="507"/>
        <v/>
      </c>
      <c r="AI265" s="580" t="str">
        <f t="shared" si="507"/>
        <v/>
      </c>
      <c r="AJ265" s="580" t="str">
        <f t="shared" si="507"/>
        <v/>
      </c>
      <c r="AK265" s="580" t="str">
        <f t="shared" si="507"/>
        <v/>
      </c>
      <c r="AL265" s="580" t="str">
        <f t="shared" si="507"/>
        <v/>
      </c>
      <c r="AM265" s="580" t="str">
        <f t="shared" si="507"/>
        <v/>
      </c>
      <c r="AN265" s="580" t="str">
        <f t="shared" si="507"/>
        <v/>
      </c>
      <c r="AO265" s="580" t="str">
        <f t="shared" si="507"/>
        <v/>
      </c>
      <c r="AP265" s="580" t="str">
        <f t="shared" si="507"/>
        <v/>
      </c>
      <c r="AQ265" s="580" t="str">
        <f t="shared" si="507"/>
        <v/>
      </c>
      <c r="AR265" s="580" t="str">
        <f t="shared" si="507"/>
        <v/>
      </c>
      <c r="AS265" s="580" t="str">
        <f t="shared" si="507"/>
        <v/>
      </c>
      <c r="AT265" s="580" t="str">
        <f t="shared" si="507"/>
        <v/>
      </c>
      <c r="AU265" s="580" t="str">
        <f t="shared" si="507"/>
        <v/>
      </c>
      <c r="AV265" s="580" t="str">
        <f t="shared" si="507"/>
        <v/>
      </c>
      <c r="AW265" s="580" t="str">
        <f t="shared" si="507"/>
        <v/>
      </c>
      <c r="AX265" s="580" t="str">
        <f t="shared" si="507"/>
        <v/>
      </c>
      <c r="AY265" s="580" t="str">
        <f t="shared" si="507"/>
        <v/>
      </c>
      <c r="AZ265" s="580" t="str">
        <f t="shared" si="507"/>
        <v/>
      </c>
      <c r="BA265" s="580" t="str">
        <f t="shared" si="507"/>
        <v/>
      </c>
      <c r="BB265" s="580" t="str">
        <f t="shared" si="507"/>
        <v/>
      </c>
      <c r="BC265" s="580" t="str">
        <f t="shared" si="507"/>
        <v/>
      </c>
      <c r="BD265" s="580" t="str">
        <f t="shared" si="507"/>
        <v/>
      </c>
      <c r="BE265" s="580" t="str">
        <f t="shared" si="507"/>
        <v/>
      </c>
      <c r="BF265" s="580" t="str">
        <f t="shared" si="507"/>
        <v/>
      </c>
      <c r="BG265" s="580" t="str">
        <f t="shared" si="507"/>
        <v/>
      </c>
      <c r="BH265" s="580" t="str">
        <f t="shared" si="507"/>
        <v/>
      </c>
      <c r="BI265" s="580" t="str">
        <f t="shared" si="507"/>
        <v/>
      </c>
      <c r="BJ265" s="580" t="str">
        <f t="shared" si="507"/>
        <v/>
      </c>
      <c r="BK265" s="580" t="str">
        <f t="shared" si="507"/>
        <v/>
      </c>
    </row>
    <row r="266" spans="1:63" s="245" customFormat="1">
      <c r="A266" s="243"/>
      <c r="B266" s="246" t="s">
        <v>1409</v>
      </c>
      <c r="C266" s="265" t="s">
        <v>1410</v>
      </c>
      <c r="D266" s="243"/>
      <c r="F266" s="245">
        <f t="shared" ref="F266:X266" si="508">F384</f>
        <v>0</v>
      </c>
      <c r="G266" s="245">
        <f t="shared" si="508"/>
        <v>0</v>
      </c>
      <c r="H266" s="245">
        <f t="shared" si="508"/>
        <v>0</v>
      </c>
      <c r="I266" s="245">
        <f t="shared" si="508"/>
        <v>0</v>
      </c>
      <c r="J266" s="245">
        <f t="shared" si="508"/>
        <v>0</v>
      </c>
      <c r="K266" s="245">
        <f t="shared" si="508"/>
        <v>0</v>
      </c>
      <c r="M266" s="245">
        <f t="shared" si="508"/>
        <v>0</v>
      </c>
      <c r="N266" s="245">
        <f t="shared" si="508"/>
        <v>0</v>
      </c>
      <c r="O266" s="245">
        <f t="shared" si="508"/>
        <v>0</v>
      </c>
      <c r="P266" s="245">
        <f t="shared" si="508"/>
        <v>0</v>
      </c>
      <c r="Q266" s="245">
        <f t="shared" si="508"/>
        <v>0</v>
      </c>
      <c r="R266" s="245">
        <f t="shared" si="508"/>
        <v>0</v>
      </c>
      <c r="S266" s="245">
        <f t="shared" si="508"/>
        <v>0</v>
      </c>
      <c r="T266" s="245">
        <f t="shared" si="508"/>
        <v>0</v>
      </c>
      <c r="U266" s="245">
        <f t="shared" si="508"/>
        <v>0</v>
      </c>
      <c r="V266" s="245">
        <f t="shared" si="508"/>
        <v>0</v>
      </c>
      <c r="W266" s="245">
        <f t="shared" si="508"/>
        <v>0</v>
      </c>
      <c r="X266" s="245">
        <f t="shared" si="508"/>
        <v>0</v>
      </c>
      <c r="Y266" s="245">
        <f>Y384</f>
        <v>0</v>
      </c>
      <c r="Z266" s="245">
        <f>Z384</f>
        <v>0</v>
      </c>
      <c r="AA266" s="245">
        <f>AA384</f>
        <v>0</v>
      </c>
      <c r="AB266" s="245">
        <f>AB384</f>
        <v>0</v>
      </c>
      <c r="AC266" s="245">
        <f t="shared" ref="AC266:AD266" si="509">AC384</f>
        <v>0</v>
      </c>
      <c r="AD266" s="245">
        <f t="shared" si="509"/>
        <v>0</v>
      </c>
      <c r="AF266" s="580" t="e">
        <f t="shared" ref="AF266:BK266" si="510">AF384</f>
        <v>#DIV/0!</v>
      </c>
      <c r="AG266" s="580" t="e">
        <f t="shared" si="510"/>
        <v>#DIV/0!</v>
      </c>
      <c r="AH266" s="580" t="e">
        <f t="shared" si="510"/>
        <v>#DIV/0!</v>
      </c>
      <c r="AI266" s="580" t="e">
        <f t="shared" si="510"/>
        <v>#DIV/0!</v>
      </c>
      <c r="AJ266" s="580" t="e">
        <f t="shared" si="510"/>
        <v>#DIV/0!</v>
      </c>
      <c r="AK266" s="580" t="e">
        <f t="shared" si="510"/>
        <v>#DIV/0!</v>
      </c>
      <c r="AL266" s="580" t="e">
        <f t="shared" si="510"/>
        <v>#DIV/0!</v>
      </c>
      <c r="AM266" s="580" t="e">
        <f t="shared" si="510"/>
        <v>#DIV/0!</v>
      </c>
      <c r="AN266" s="580" t="e">
        <f t="shared" si="510"/>
        <v>#DIV/0!</v>
      </c>
      <c r="AO266" s="580" t="e">
        <f t="shared" si="510"/>
        <v>#DIV/0!</v>
      </c>
      <c r="AP266" s="580" t="e">
        <f t="shared" si="510"/>
        <v>#DIV/0!</v>
      </c>
      <c r="AQ266" s="580" t="e">
        <f t="shared" si="510"/>
        <v>#DIV/0!</v>
      </c>
      <c r="AR266" s="580" t="e">
        <f t="shared" si="510"/>
        <v>#DIV/0!</v>
      </c>
      <c r="AS266" s="580" t="e">
        <f t="shared" si="510"/>
        <v>#DIV/0!</v>
      </c>
      <c r="AT266" s="580" t="e">
        <f t="shared" si="510"/>
        <v>#DIV/0!</v>
      </c>
      <c r="AU266" s="580" t="e">
        <f t="shared" si="510"/>
        <v>#DIV/0!</v>
      </c>
      <c r="AV266" s="580" t="e">
        <f t="shared" si="510"/>
        <v>#DIV/0!</v>
      </c>
      <c r="AW266" s="580" t="e">
        <f t="shared" si="510"/>
        <v>#DIV/0!</v>
      </c>
      <c r="AX266" s="580" t="e">
        <f t="shared" si="510"/>
        <v>#DIV/0!</v>
      </c>
      <c r="AY266" s="580" t="e">
        <f t="shared" si="510"/>
        <v>#DIV/0!</v>
      </c>
      <c r="AZ266" s="580" t="e">
        <f t="shared" si="510"/>
        <v>#DIV/0!</v>
      </c>
      <c r="BA266" s="580" t="e">
        <f t="shared" si="510"/>
        <v>#DIV/0!</v>
      </c>
      <c r="BB266" s="580" t="e">
        <f t="shared" si="510"/>
        <v>#DIV/0!</v>
      </c>
      <c r="BC266" s="580" t="e">
        <f t="shared" si="510"/>
        <v>#DIV/0!</v>
      </c>
      <c r="BD266" s="580" t="e">
        <f t="shared" si="510"/>
        <v>#DIV/0!</v>
      </c>
      <c r="BE266" s="580" t="e">
        <f t="shared" si="510"/>
        <v>#DIV/0!</v>
      </c>
      <c r="BF266" s="580" t="e">
        <f t="shared" si="510"/>
        <v>#DIV/0!</v>
      </c>
      <c r="BG266" s="580" t="e">
        <f t="shared" si="510"/>
        <v>#DIV/0!</v>
      </c>
      <c r="BH266" s="580" t="e">
        <f t="shared" si="510"/>
        <v>#DIV/0!</v>
      </c>
      <c r="BI266" s="580" t="e">
        <f t="shared" si="510"/>
        <v>#DIV/0!</v>
      </c>
      <c r="BJ266" s="580" t="e">
        <f t="shared" si="510"/>
        <v>#DIV/0!</v>
      </c>
      <c r="BK266" s="580" t="e">
        <f t="shared" si="510"/>
        <v>#DIV/0!</v>
      </c>
    </row>
    <row r="267" spans="1:63" s="245" customFormat="1">
      <c r="A267" s="243"/>
      <c r="B267" s="246" t="s">
        <v>1411</v>
      </c>
      <c r="C267" s="252" t="s">
        <v>1412</v>
      </c>
      <c r="D267" s="243"/>
      <c r="F267" s="245" t="e">
        <f t="shared" ref="F267:Y267" si="511">F261-F266</f>
        <v>#DIV/0!</v>
      </c>
      <c r="G267" s="245" t="e">
        <f t="shared" si="511"/>
        <v>#DIV/0!</v>
      </c>
      <c r="H267" s="245" t="e">
        <f t="shared" si="511"/>
        <v>#DIV/0!</v>
      </c>
      <c r="I267" s="245" t="e">
        <f t="shared" si="511"/>
        <v>#DIV/0!</v>
      </c>
      <c r="J267" s="245" t="e">
        <f t="shared" si="511"/>
        <v>#DIV/0!</v>
      </c>
      <c r="K267" s="245" t="e">
        <f t="shared" si="511"/>
        <v>#DIV/0!</v>
      </c>
      <c r="M267" s="245">
        <f t="shared" si="511"/>
        <v>37.289171161117856</v>
      </c>
      <c r="N267" s="245">
        <f t="shared" si="511"/>
        <v>22.706831966549917</v>
      </c>
      <c r="O267" s="245">
        <f t="shared" si="511"/>
        <v>22.08561713824588</v>
      </c>
      <c r="P267" s="245">
        <f t="shared" si="511"/>
        <v>27.200653430351863</v>
      </c>
      <c r="Q267" s="245">
        <f t="shared" si="511"/>
        <v>26.356980133211245</v>
      </c>
      <c r="R267" s="245">
        <f t="shared" si="511"/>
        <v>24.350793195127803</v>
      </c>
      <c r="S267" s="245">
        <f t="shared" si="511"/>
        <v>40.636530402409335</v>
      </c>
      <c r="T267" s="245">
        <f t="shared" si="511"/>
        <v>46.420778613281293</v>
      </c>
      <c r="U267" s="245">
        <f t="shared" si="511"/>
        <v>59.645748317730366</v>
      </c>
      <c r="V267" s="245">
        <f t="shared" si="511"/>
        <v>53.117113481703562</v>
      </c>
      <c r="W267" s="245">
        <f t="shared" si="511"/>
        <v>40.677432370162222</v>
      </c>
      <c r="X267" s="245">
        <f t="shared" si="511"/>
        <v>37.132437837314058</v>
      </c>
      <c r="Y267" s="245">
        <f t="shared" si="511"/>
        <v>30.14049171629447</v>
      </c>
      <c r="Z267" s="245">
        <f>Z261-Z266</f>
        <v>33.7982145747796</v>
      </c>
      <c r="AA267" s="245">
        <f>AA261-AA266</f>
        <v>28.85649711938381</v>
      </c>
      <c r="AB267" s="245">
        <f>AB261-AB266</f>
        <v>0</v>
      </c>
      <c r="AC267" s="245">
        <f t="shared" ref="AC267:AD267" si="512">AC261-AC266</f>
        <v>0</v>
      </c>
      <c r="AD267" s="245">
        <f t="shared" si="512"/>
        <v>0</v>
      </c>
      <c r="AF267" s="580" t="e">
        <f t="shared" ref="AF267:BK267" si="513">AF261-AF266</f>
        <v>#DIV/0!</v>
      </c>
      <c r="AG267" s="580" t="e">
        <f t="shared" si="513"/>
        <v>#DIV/0!</v>
      </c>
      <c r="AH267" s="580" t="e">
        <f t="shared" si="513"/>
        <v>#DIV/0!</v>
      </c>
      <c r="AI267" s="580" t="e">
        <f t="shared" si="513"/>
        <v>#DIV/0!</v>
      </c>
      <c r="AJ267" s="580" t="e">
        <f t="shared" si="513"/>
        <v>#DIV/0!</v>
      </c>
      <c r="AK267" s="580" t="e">
        <f t="shared" si="513"/>
        <v>#DIV/0!</v>
      </c>
      <c r="AL267" s="580" t="e">
        <f t="shared" si="513"/>
        <v>#DIV/0!</v>
      </c>
      <c r="AM267" s="580" t="e">
        <f t="shared" si="513"/>
        <v>#DIV/0!</v>
      </c>
      <c r="AN267" s="580" t="e">
        <f t="shared" si="513"/>
        <v>#DIV/0!</v>
      </c>
      <c r="AO267" s="580" t="e">
        <f t="shared" si="513"/>
        <v>#DIV/0!</v>
      </c>
      <c r="AP267" s="580" t="e">
        <f t="shared" si="513"/>
        <v>#DIV/0!</v>
      </c>
      <c r="AQ267" s="580" t="e">
        <f t="shared" si="513"/>
        <v>#DIV/0!</v>
      </c>
      <c r="AR267" s="580" t="e">
        <f t="shared" si="513"/>
        <v>#DIV/0!</v>
      </c>
      <c r="AS267" s="580" t="e">
        <f t="shared" si="513"/>
        <v>#DIV/0!</v>
      </c>
      <c r="AT267" s="580" t="e">
        <f t="shared" si="513"/>
        <v>#DIV/0!</v>
      </c>
      <c r="AU267" s="580" t="e">
        <f t="shared" si="513"/>
        <v>#DIV/0!</v>
      </c>
      <c r="AV267" s="580" t="e">
        <f t="shared" si="513"/>
        <v>#DIV/0!</v>
      </c>
      <c r="AW267" s="580" t="e">
        <f t="shared" si="513"/>
        <v>#DIV/0!</v>
      </c>
      <c r="AX267" s="580" t="e">
        <f t="shared" si="513"/>
        <v>#DIV/0!</v>
      </c>
      <c r="AY267" s="580" t="e">
        <f t="shared" si="513"/>
        <v>#DIV/0!</v>
      </c>
      <c r="AZ267" s="580" t="e">
        <f t="shared" si="513"/>
        <v>#DIV/0!</v>
      </c>
      <c r="BA267" s="580" t="e">
        <f t="shared" si="513"/>
        <v>#DIV/0!</v>
      </c>
      <c r="BB267" s="580" t="e">
        <f t="shared" si="513"/>
        <v>#DIV/0!</v>
      </c>
      <c r="BC267" s="580" t="e">
        <f t="shared" si="513"/>
        <v>#DIV/0!</v>
      </c>
      <c r="BD267" s="580" t="e">
        <f t="shared" si="513"/>
        <v>#DIV/0!</v>
      </c>
      <c r="BE267" s="580" t="e">
        <f t="shared" si="513"/>
        <v>#DIV/0!</v>
      </c>
      <c r="BF267" s="580" t="e">
        <f t="shared" si="513"/>
        <v>#DIV/0!</v>
      </c>
      <c r="BG267" s="580" t="e">
        <f t="shared" si="513"/>
        <v>#DIV/0!</v>
      </c>
      <c r="BH267" s="580" t="e">
        <f t="shared" si="513"/>
        <v>#DIV/0!</v>
      </c>
      <c r="BI267" s="580" t="e">
        <f t="shared" si="513"/>
        <v>#DIV/0!</v>
      </c>
      <c r="BJ267" s="580" t="e">
        <f t="shared" si="513"/>
        <v>#DIV/0!</v>
      </c>
      <c r="BK267" s="580" t="e">
        <f t="shared" si="513"/>
        <v>#DIV/0!</v>
      </c>
    </row>
    <row r="268" spans="1:63" s="245" customFormat="1">
      <c r="A268" s="243"/>
      <c r="B268" s="246"/>
      <c r="C268" s="252"/>
      <c r="D268" s="243"/>
      <c r="AF268" s="580"/>
      <c r="AG268" s="580"/>
      <c r="AH268" s="580"/>
      <c r="AI268" s="580"/>
      <c r="AJ268" s="580"/>
      <c r="AK268" s="580"/>
      <c r="AL268" s="580"/>
      <c r="AM268" s="580"/>
      <c r="AN268" s="580"/>
      <c r="AO268" s="580"/>
      <c r="AP268" s="580"/>
      <c r="AQ268" s="580"/>
      <c r="AR268" s="580"/>
      <c r="AS268" s="580"/>
      <c r="AT268" s="580"/>
      <c r="AU268" s="580"/>
      <c r="AV268" s="580"/>
      <c r="AW268" s="580"/>
      <c r="AX268" s="580"/>
      <c r="AY268" s="580"/>
      <c r="AZ268" s="580"/>
      <c r="BA268" s="580"/>
      <c r="BB268" s="580"/>
      <c r="BC268" s="580"/>
      <c r="BD268" s="580"/>
      <c r="BE268" s="580"/>
      <c r="BF268" s="580"/>
      <c r="BG268" s="580"/>
      <c r="BH268" s="580"/>
      <c r="BI268" s="580"/>
      <c r="BJ268" s="580"/>
      <c r="BK268" s="580"/>
    </row>
    <row r="269" spans="1:63" s="240" customFormat="1">
      <c r="A269" s="209"/>
      <c r="B269" s="209"/>
      <c r="C269" s="209"/>
      <c r="D269" s="209"/>
      <c r="AF269" s="579"/>
      <c r="AG269" s="579"/>
      <c r="AH269" s="579"/>
      <c r="AI269" s="579"/>
      <c r="AJ269" s="579"/>
      <c r="AK269" s="579"/>
      <c r="AL269" s="579"/>
      <c r="AM269" s="579"/>
      <c r="AN269" s="579"/>
      <c r="AO269" s="579"/>
      <c r="AP269" s="579"/>
      <c r="AQ269" s="579"/>
      <c r="AR269" s="579"/>
      <c r="AS269" s="579"/>
      <c r="AT269" s="579"/>
      <c r="AU269" s="579"/>
      <c r="AV269" s="579"/>
      <c r="AW269" s="579"/>
      <c r="AX269" s="579"/>
      <c r="AY269" s="579"/>
      <c r="AZ269" s="579"/>
      <c r="BA269" s="579"/>
      <c r="BB269" s="579"/>
      <c r="BC269" s="579"/>
      <c r="BD269" s="579"/>
      <c r="BE269" s="579"/>
      <c r="BF269" s="579"/>
      <c r="BG269" s="579"/>
      <c r="BH269" s="579"/>
      <c r="BI269" s="579"/>
      <c r="BJ269" s="579"/>
      <c r="BK269" s="579"/>
    </row>
    <row r="270" spans="1:63" s="240" customFormat="1">
      <c r="A270" s="209"/>
      <c r="B270" s="209"/>
      <c r="C270" s="275" t="s">
        <v>1413</v>
      </c>
      <c r="D270" s="209"/>
      <c r="AF270" s="579"/>
      <c r="AG270" s="579"/>
      <c r="AH270" s="579"/>
      <c r="AI270" s="579"/>
      <c r="AJ270" s="579"/>
      <c r="AK270" s="579"/>
      <c r="AL270" s="579"/>
      <c r="AM270" s="579"/>
      <c r="AN270" s="579"/>
      <c r="AO270" s="579"/>
      <c r="AP270" s="579"/>
      <c r="AQ270" s="579"/>
      <c r="AR270" s="579"/>
      <c r="AS270" s="579"/>
      <c r="AT270" s="579"/>
      <c r="AU270" s="579"/>
      <c r="AV270" s="579"/>
      <c r="AW270" s="579"/>
      <c r="AX270" s="579"/>
      <c r="AY270" s="579"/>
      <c r="AZ270" s="579"/>
      <c r="BA270" s="579"/>
      <c r="BB270" s="579"/>
      <c r="BC270" s="579"/>
      <c r="BD270" s="579"/>
      <c r="BE270" s="579"/>
      <c r="BF270" s="579"/>
      <c r="BG270" s="579"/>
      <c r="BH270" s="579"/>
      <c r="BI270" s="579"/>
      <c r="BJ270" s="579"/>
      <c r="BK270" s="579"/>
    </row>
    <row r="271" spans="1:63" s="245" customFormat="1">
      <c r="A271" s="243"/>
      <c r="B271" s="243" t="s">
        <v>1414</v>
      </c>
      <c r="C271" s="243" t="s">
        <v>1415</v>
      </c>
      <c r="D271" s="243"/>
      <c r="F271" s="245" t="e">
        <f t="shared" ref="F271:X271" si="514">(F40*12/F4)/F340</f>
        <v>#DIV/0!</v>
      </c>
      <c r="G271" s="245" t="e">
        <f t="shared" si="514"/>
        <v>#DIV/0!</v>
      </c>
      <c r="H271" s="245" t="e">
        <f t="shared" si="514"/>
        <v>#DIV/0!</v>
      </c>
      <c r="I271" s="245" t="e">
        <f t="shared" si="514"/>
        <v>#DIV/0!</v>
      </c>
      <c r="J271" s="245" t="e">
        <f t="shared" si="514"/>
        <v>#DIV/0!</v>
      </c>
      <c r="K271" s="245" t="e">
        <f t="shared" si="514"/>
        <v>#DIV/0!</v>
      </c>
      <c r="M271" s="245">
        <f t="shared" si="514"/>
        <v>2.0383257168730728</v>
      </c>
      <c r="N271" s="245">
        <f t="shared" si="514"/>
        <v>1.1034188623552035</v>
      </c>
      <c r="O271" s="245">
        <f t="shared" si="514"/>
        <v>1.1563557174241441</v>
      </c>
      <c r="P271" s="245">
        <f t="shared" si="514"/>
        <v>1.3129504098510116</v>
      </c>
      <c r="Q271" s="245">
        <f t="shared" si="514"/>
        <v>1.4185959017313008</v>
      </c>
      <c r="R271" s="245">
        <f t="shared" si="514"/>
        <v>1.8268565163558328</v>
      </c>
      <c r="S271" s="245">
        <f t="shared" si="514"/>
        <v>3.2108865672555496</v>
      </c>
      <c r="T271" s="245">
        <f t="shared" si="514"/>
        <v>3.3463892439309277</v>
      </c>
      <c r="U271" s="245">
        <f t="shared" si="514"/>
        <v>3.440062827446138</v>
      </c>
      <c r="V271" s="245">
        <f t="shared" si="514"/>
        <v>3.4105607394071114</v>
      </c>
      <c r="W271" s="245">
        <f t="shared" si="514"/>
        <v>2.8016566153641098</v>
      </c>
      <c r="X271" s="245">
        <f t="shared" si="514"/>
        <v>2.251687320855619</v>
      </c>
      <c r="Y271" s="245">
        <f>(Y40*12/Y4)/Y340</f>
        <v>2.0826381592938596</v>
      </c>
      <c r="Z271" s="245">
        <f>(Z40*12/Z4)/Z340</f>
        <v>1.9150933481247334</v>
      </c>
      <c r="AA271" s="245">
        <f>(AA40*12/AA4)/AA340</f>
        <v>1.6176370676407867</v>
      </c>
      <c r="AB271" s="245">
        <f>(AB40*12/AB4)/AB340</f>
        <v>1.7261864331780954</v>
      </c>
      <c r="AC271" s="245">
        <f t="shared" ref="AC271:AD271" si="515">(AC40*12/AC4)/AC340</f>
        <v>1.745423719331189</v>
      </c>
      <c r="AD271" s="245">
        <f t="shared" si="515"/>
        <v>1.6448458861647</v>
      </c>
      <c r="AF271" s="580" t="e">
        <f t="shared" ref="AF271:BK271" si="516">(AF40*12/AF4)/AF340</f>
        <v>#DIV/0!</v>
      </c>
      <c r="AG271" s="580" t="e">
        <f t="shared" si="516"/>
        <v>#DIV/0!</v>
      </c>
      <c r="AH271" s="580" t="e">
        <f t="shared" si="516"/>
        <v>#DIV/0!</v>
      </c>
      <c r="AI271" s="580" t="e">
        <f t="shared" si="516"/>
        <v>#DIV/0!</v>
      </c>
      <c r="AJ271" s="580" t="e">
        <f t="shared" si="516"/>
        <v>#DIV/0!</v>
      </c>
      <c r="AK271" s="580" t="e">
        <f t="shared" si="516"/>
        <v>#DIV/0!</v>
      </c>
      <c r="AL271" s="580" t="e">
        <f t="shared" si="516"/>
        <v>#DIV/0!</v>
      </c>
      <c r="AM271" s="580" t="e">
        <f t="shared" si="516"/>
        <v>#DIV/0!</v>
      </c>
      <c r="AN271" s="580" t="e">
        <f t="shared" si="516"/>
        <v>#DIV/0!</v>
      </c>
      <c r="AO271" s="580" t="e">
        <f t="shared" si="516"/>
        <v>#DIV/0!</v>
      </c>
      <c r="AP271" s="580" t="e">
        <f t="shared" si="516"/>
        <v>#DIV/0!</v>
      </c>
      <c r="AQ271" s="580" t="e">
        <f t="shared" si="516"/>
        <v>#DIV/0!</v>
      </c>
      <c r="AR271" s="580" t="e">
        <f t="shared" si="516"/>
        <v>#DIV/0!</v>
      </c>
      <c r="AS271" s="580" t="e">
        <f t="shared" si="516"/>
        <v>#DIV/0!</v>
      </c>
      <c r="AT271" s="580" t="e">
        <f t="shared" si="516"/>
        <v>#DIV/0!</v>
      </c>
      <c r="AU271" s="580" t="e">
        <f t="shared" si="516"/>
        <v>#DIV/0!</v>
      </c>
      <c r="AV271" s="580" t="e">
        <f t="shared" si="516"/>
        <v>#DIV/0!</v>
      </c>
      <c r="AW271" s="580" t="e">
        <f t="shared" si="516"/>
        <v>#DIV/0!</v>
      </c>
      <c r="AX271" s="580" t="e">
        <f t="shared" si="516"/>
        <v>#DIV/0!</v>
      </c>
      <c r="AY271" s="580" t="e">
        <f t="shared" si="516"/>
        <v>#DIV/0!</v>
      </c>
      <c r="AZ271" s="580" t="e">
        <f t="shared" si="516"/>
        <v>#DIV/0!</v>
      </c>
      <c r="BA271" s="580" t="e">
        <f t="shared" si="516"/>
        <v>#DIV/0!</v>
      </c>
      <c r="BB271" s="580" t="e">
        <f t="shared" si="516"/>
        <v>#DIV/0!</v>
      </c>
      <c r="BC271" s="580" t="e">
        <f t="shared" si="516"/>
        <v>#DIV/0!</v>
      </c>
      <c r="BD271" s="580" t="e">
        <f t="shared" si="516"/>
        <v>#DIV/0!</v>
      </c>
      <c r="BE271" s="580" t="e">
        <f t="shared" si="516"/>
        <v>#DIV/0!</v>
      </c>
      <c r="BF271" s="580" t="e">
        <f t="shared" si="516"/>
        <v>#DIV/0!</v>
      </c>
      <c r="BG271" s="580" t="e">
        <f t="shared" si="516"/>
        <v>#DIV/0!</v>
      </c>
      <c r="BH271" s="580" t="e">
        <f t="shared" si="516"/>
        <v>#DIV/0!</v>
      </c>
      <c r="BI271" s="580" t="e">
        <f t="shared" si="516"/>
        <v>#DIV/0!</v>
      </c>
      <c r="BJ271" s="580" t="e">
        <f t="shared" si="516"/>
        <v>#DIV/0!</v>
      </c>
      <c r="BK271" s="580" t="e">
        <f t="shared" si="516"/>
        <v>#DIV/0!</v>
      </c>
    </row>
    <row r="272" spans="1:63" s="245" customFormat="1">
      <c r="A272" s="243"/>
      <c r="B272" s="246" t="s">
        <v>1416</v>
      </c>
      <c r="C272" s="265" t="s">
        <v>1417</v>
      </c>
      <c r="D272" s="243"/>
      <c r="F272" s="245" t="e">
        <f t="shared" ref="F272:X272" si="517">(F40*12/F4)/F336</f>
        <v>#DIV/0!</v>
      </c>
      <c r="G272" s="245" t="e">
        <f t="shared" si="517"/>
        <v>#DIV/0!</v>
      </c>
      <c r="H272" s="245" t="e">
        <f t="shared" si="517"/>
        <v>#DIV/0!</v>
      </c>
      <c r="I272" s="245" t="e">
        <f t="shared" si="517"/>
        <v>#DIV/0!</v>
      </c>
      <c r="J272" s="245" t="e">
        <f t="shared" si="517"/>
        <v>#DIV/0!</v>
      </c>
      <c r="K272" s="245" t="e">
        <f t="shared" si="517"/>
        <v>#DIV/0!</v>
      </c>
      <c r="M272" s="245">
        <f t="shared" si="517"/>
        <v>1.397866921485948</v>
      </c>
      <c r="N272" s="245">
        <f t="shared" si="517"/>
        <v>0.74962360568238284</v>
      </c>
      <c r="O272" s="245">
        <f t="shared" si="517"/>
        <v>0.77211328378789945</v>
      </c>
      <c r="P272" s="245">
        <f t="shared" si="517"/>
        <v>0.85391915424303577</v>
      </c>
      <c r="Q272" s="245">
        <f t="shared" si="517"/>
        <v>0.89644534863510483</v>
      </c>
      <c r="R272" s="245">
        <f t="shared" si="517"/>
        <v>1.1209439587430863</v>
      </c>
      <c r="S272" s="245">
        <f t="shared" si="517"/>
        <v>1.7929933804410347</v>
      </c>
      <c r="T272" s="245">
        <f t="shared" si="517"/>
        <v>1.7180546196937347</v>
      </c>
      <c r="U272" s="245">
        <f t="shared" si="517"/>
        <v>1.8462389246914037</v>
      </c>
      <c r="V272" s="245">
        <f t="shared" si="517"/>
        <v>1.9239024771387412</v>
      </c>
      <c r="W272" s="245">
        <f t="shared" si="517"/>
        <v>1.6975821887974689</v>
      </c>
      <c r="X272" s="245">
        <f t="shared" si="517"/>
        <v>1.4801551159773372</v>
      </c>
      <c r="Y272" s="245">
        <f>(Y40*12/Y4)/Y336</f>
        <v>1.4260704512749618</v>
      </c>
      <c r="Z272" s="245">
        <f>(Z40*12/Z4)/Z336</f>
        <v>1.4462297570217513</v>
      </c>
      <c r="AA272" s="245">
        <f>(AA40*12/AA4)/AA336</f>
        <v>1.2502436457338855</v>
      </c>
      <c r="AB272" s="245">
        <f>(AB40*12/AB4)/AB336</f>
        <v>1.3136541210351043</v>
      </c>
      <c r="AC272" s="245">
        <f t="shared" ref="AC272:AD272" si="518">(AC40*12/AC4)/AC336</f>
        <v>1.3751799513453695</v>
      </c>
      <c r="AD272" s="245">
        <f t="shared" si="518"/>
        <v>1.3478510842605222</v>
      </c>
      <c r="AF272" s="580" t="e">
        <f t="shared" ref="AF272:BK272" si="519">(AF40*12/AF4)/AF336</f>
        <v>#DIV/0!</v>
      </c>
      <c r="AG272" s="580" t="e">
        <f t="shared" si="519"/>
        <v>#DIV/0!</v>
      </c>
      <c r="AH272" s="580" t="e">
        <f t="shared" si="519"/>
        <v>#DIV/0!</v>
      </c>
      <c r="AI272" s="580" t="e">
        <f t="shared" si="519"/>
        <v>#DIV/0!</v>
      </c>
      <c r="AJ272" s="580" t="e">
        <f t="shared" si="519"/>
        <v>#DIV/0!</v>
      </c>
      <c r="AK272" s="580" t="e">
        <f t="shared" si="519"/>
        <v>#DIV/0!</v>
      </c>
      <c r="AL272" s="580" t="e">
        <f t="shared" si="519"/>
        <v>#DIV/0!</v>
      </c>
      <c r="AM272" s="580" t="e">
        <f t="shared" si="519"/>
        <v>#DIV/0!</v>
      </c>
      <c r="AN272" s="580" t="e">
        <f t="shared" si="519"/>
        <v>#DIV/0!</v>
      </c>
      <c r="AO272" s="580" t="e">
        <f t="shared" si="519"/>
        <v>#DIV/0!</v>
      </c>
      <c r="AP272" s="580" t="e">
        <f t="shared" si="519"/>
        <v>#DIV/0!</v>
      </c>
      <c r="AQ272" s="580" t="e">
        <f t="shared" si="519"/>
        <v>#DIV/0!</v>
      </c>
      <c r="AR272" s="580" t="e">
        <f t="shared" si="519"/>
        <v>#DIV/0!</v>
      </c>
      <c r="AS272" s="580" t="e">
        <f t="shared" si="519"/>
        <v>#DIV/0!</v>
      </c>
      <c r="AT272" s="580" t="e">
        <f t="shared" si="519"/>
        <v>#DIV/0!</v>
      </c>
      <c r="AU272" s="580" t="e">
        <f t="shared" si="519"/>
        <v>#DIV/0!</v>
      </c>
      <c r="AV272" s="580" t="e">
        <f t="shared" si="519"/>
        <v>#DIV/0!</v>
      </c>
      <c r="AW272" s="580" t="e">
        <f t="shared" si="519"/>
        <v>#DIV/0!</v>
      </c>
      <c r="AX272" s="580" t="e">
        <f t="shared" si="519"/>
        <v>#DIV/0!</v>
      </c>
      <c r="AY272" s="580" t="e">
        <f t="shared" si="519"/>
        <v>#DIV/0!</v>
      </c>
      <c r="AZ272" s="580" t="e">
        <f t="shared" si="519"/>
        <v>#DIV/0!</v>
      </c>
      <c r="BA272" s="580" t="e">
        <f t="shared" si="519"/>
        <v>#DIV/0!</v>
      </c>
      <c r="BB272" s="580" t="e">
        <f t="shared" si="519"/>
        <v>#DIV/0!</v>
      </c>
      <c r="BC272" s="580" t="e">
        <f t="shared" si="519"/>
        <v>#DIV/0!</v>
      </c>
      <c r="BD272" s="580" t="e">
        <f t="shared" si="519"/>
        <v>#DIV/0!</v>
      </c>
      <c r="BE272" s="580" t="e">
        <f t="shared" si="519"/>
        <v>#DIV/0!</v>
      </c>
      <c r="BF272" s="580" t="e">
        <f t="shared" si="519"/>
        <v>#DIV/0!</v>
      </c>
      <c r="BG272" s="580" t="e">
        <f t="shared" si="519"/>
        <v>#DIV/0!</v>
      </c>
      <c r="BH272" s="580" t="e">
        <f t="shared" si="519"/>
        <v>#DIV/0!</v>
      </c>
      <c r="BI272" s="580" t="e">
        <f t="shared" si="519"/>
        <v>#DIV/0!</v>
      </c>
      <c r="BJ272" s="580" t="e">
        <f t="shared" si="519"/>
        <v>#DIV/0!</v>
      </c>
      <c r="BK272" s="580" t="e">
        <f t="shared" si="519"/>
        <v>#DIV/0!</v>
      </c>
    </row>
    <row r="273" spans="1:63" s="245" customFormat="1">
      <c r="A273" s="243"/>
      <c r="B273" s="246" t="s">
        <v>1418</v>
      </c>
      <c r="C273" s="265" t="s">
        <v>1420</v>
      </c>
      <c r="D273" s="243"/>
      <c r="F273" s="245" t="e">
        <f t="shared" ref="F273:X273" si="520">(F40*12/F4)/F333</f>
        <v>#DIV/0!</v>
      </c>
      <c r="G273" s="245" t="e">
        <f t="shared" si="520"/>
        <v>#DIV/0!</v>
      </c>
      <c r="H273" s="245" t="e">
        <f t="shared" si="520"/>
        <v>#DIV/0!</v>
      </c>
      <c r="I273" s="245" t="e">
        <f t="shared" si="520"/>
        <v>#DIV/0!</v>
      </c>
      <c r="J273" s="245" t="e">
        <f t="shared" si="520"/>
        <v>#DIV/0!</v>
      </c>
      <c r="K273" s="245" t="e">
        <f t="shared" si="520"/>
        <v>#DIV/0!</v>
      </c>
      <c r="M273" s="245">
        <f t="shared" si="520"/>
        <v>3.2792489776744751</v>
      </c>
      <c r="N273" s="245">
        <f t="shared" si="520"/>
        <v>1.8668131366343974</v>
      </c>
      <c r="O273" s="245">
        <f t="shared" si="520"/>
        <v>2.1796169548413151</v>
      </c>
      <c r="P273" s="245">
        <f t="shared" si="520"/>
        <v>2.7441029265471886</v>
      </c>
      <c r="Q273" s="245">
        <f t="shared" si="520"/>
        <v>3.1592949499074554</v>
      </c>
      <c r="R273" s="245">
        <f t="shared" si="520"/>
        <v>2.9187585577361936</v>
      </c>
      <c r="S273" s="245">
        <f t="shared" si="520"/>
        <v>2.7737627539982856</v>
      </c>
      <c r="T273" s="245">
        <f t="shared" si="520"/>
        <v>3.5297504684470127</v>
      </c>
      <c r="U273" s="245">
        <f t="shared" si="520"/>
        <v>4.8412275017307769</v>
      </c>
      <c r="V273" s="245">
        <f t="shared" si="520"/>
        <v>5.751243517365066</v>
      </c>
      <c r="W273" s="245">
        <f t="shared" si="520"/>
        <v>5.5356398903238926</v>
      </c>
      <c r="X273" s="245">
        <f t="shared" si="520"/>
        <v>5.0973413492978024</v>
      </c>
      <c r="Y273" s="245">
        <f>(Y40*12/Y4)/Y333</f>
        <v>5.285434613809084</v>
      </c>
      <c r="Z273" s="245">
        <f>(Z40*12/Z4)/Z333</f>
        <v>5.3200081025442936</v>
      </c>
      <c r="AA273" s="245">
        <f>(AA40*12/AA4)/AA333</f>
        <v>4.7941589119541881</v>
      </c>
      <c r="AB273" s="245">
        <f>(AB40*12/AB4)/AB333</f>
        <v>5.3650350986687121</v>
      </c>
      <c r="AC273" s="245">
        <f t="shared" ref="AC273:AD273" si="521">(AC40*12/AC4)/AC333</f>
        <v>5.7429657391347666</v>
      </c>
      <c r="AD273" s="245">
        <f t="shared" si="521"/>
        <v>6.1904602316029411</v>
      </c>
      <c r="AF273" s="580" t="e">
        <f t="shared" ref="AF273:BK273" si="522">(AF40*12/AF4)/AF333</f>
        <v>#DIV/0!</v>
      </c>
      <c r="AG273" s="580" t="e">
        <f t="shared" si="522"/>
        <v>#DIV/0!</v>
      </c>
      <c r="AH273" s="580" t="e">
        <f t="shared" si="522"/>
        <v>#DIV/0!</v>
      </c>
      <c r="AI273" s="580" t="e">
        <f t="shared" si="522"/>
        <v>#DIV/0!</v>
      </c>
      <c r="AJ273" s="580" t="e">
        <f t="shared" si="522"/>
        <v>#DIV/0!</v>
      </c>
      <c r="AK273" s="580" t="e">
        <f t="shared" si="522"/>
        <v>#DIV/0!</v>
      </c>
      <c r="AL273" s="580" t="e">
        <f t="shared" si="522"/>
        <v>#DIV/0!</v>
      </c>
      <c r="AM273" s="580" t="e">
        <f t="shared" si="522"/>
        <v>#DIV/0!</v>
      </c>
      <c r="AN273" s="580" t="e">
        <f t="shared" si="522"/>
        <v>#DIV/0!</v>
      </c>
      <c r="AO273" s="580" t="e">
        <f t="shared" si="522"/>
        <v>#DIV/0!</v>
      </c>
      <c r="AP273" s="580" t="e">
        <f t="shared" si="522"/>
        <v>#DIV/0!</v>
      </c>
      <c r="AQ273" s="580" t="e">
        <f t="shared" si="522"/>
        <v>#DIV/0!</v>
      </c>
      <c r="AR273" s="580" t="e">
        <f t="shared" si="522"/>
        <v>#DIV/0!</v>
      </c>
      <c r="AS273" s="580" t="e">
        <f t="shared" si="522"/>
        <v>#DIV/0!</v>
      </c>
      <c r="AT273" s="580" t="e">
        <f t="shared" si="522"/>
        <v>#DIV/0!</v>
      </c>
      <c r="AU273" s="580" t="e">
        <f t="shared" si="522"/>
        <v>#DIV/0!</v>
      </c>
      <c r="AV273" s="580" t="e">
        <f t="shared" si="522"/>
        <v>#DIV/0!</v>
      </c>
      <c r="AW273" s="580" t="e">
        <f t="shared" si="522"/>
        <v>#DIV/0!</v>
      </c>
      <c r="AX273" s="580" t="e">
        <f t="shared" si="522"/>
        <v>#DIV/0!</v>
      </c>
      <c r="AY273" s="580" t="e">
        <f t="shared" si="522"/>
        <v>#DIV/0!</v>
      </c>
      <c r="AZ273" s="580" t="e">
        <f t="shared" si="522"/>
        <v>#DIV/0!</v>
      </c>
      <c r="BA273" s="580" t="e">
        <f t="shared" si="522"/>
        <v>#DIV/0!</v>
      </c>
      <c r="BB273" s="580" t="e">
        <f t="shared" si="522"/>
        <v>#DIV/0!</v>
      </c>
      <c r="BC273" s="580" t="e">
        <f t="shared" si="522"/>
        <v>#DIV/0!</v>
      </c>
      <c r="BD273" s="580" t="e">
        <f t="shared" si="522"/>
        <v>#DIV/0!</v>
      </c>
      <c r="BE273" s="580" t="e">
        <f t="shared" si="522"/>
        <v>#DIV/0!</v>
      </c>
      <c r="BF273" s="580" t="e">
        <f t="shared" si="522"/>
        <v>#DIV/0!</v>
      </c>
      <c r="BG273" s="580" t="e">
        <f t="shared" si="522"/>
        <v>#DIV/0!</v>
      </c>
      <c r="BH273" s="580" t="e">
        <f t="shared" si="522"/>
        <v>#DIV/0!</v>
      </c>
      <c r="BI273" s="580" t="e">
        <f t="shared" si="522"/>
        <v>#DIV/0!</v>
      </c>
      <c r="BJ273" s="580" t="e">
        <f t="shared" si="522"/>
        <v>#DIV/0!</v>
      </c>
      <c r="BK273" s="580" t="e">
        <f t="shared" si="522"/>
        <v>#DIV/0!</v>
      </c>
    </row>
    <row r="274" spans="1:63" s="245" customFormat="1">
      <c r="A274" s="243"/>
      <c r="B274" s="246" t="s">
        <v>1422</v>
      </c>
      <c r="C274" s="265" t="s">
        <v>1423</v>
      </c>
      <c r="D274" s="243"/>
      <c r="F274" s="245" t="e">
        <f t="shared" ref="F274:X274" si="523">F334/(F40*12/F4)</f>
        <v>#DIV/0!</v>
      </c>
      <c r="G274" s="245" t="e">
        <f t="shared" si="523"/>
        <v>#DIV/0!</v>
      </c>
      <c r="H274" s="245" t="e">
        <f t="shared" si="523"/>
        <v>#DIV/0!</v>
      </c>
      <c r="I274" s="245" t="e">
        <f t="shared" si="523"/>
        <v>#DIV/0!</v>
      </c>
      <c r="J274" s="245" t="e">
        <f t="shared" si="523"/>
        <v>#DIV/0!</v>
      </c>
      <c r="K274" s="245" t="e">
        <f t="shared" si="523"/>
        <v>#DIV/0!</v>
      </c>
      <c r="M274" s="245">
        <f t="shared" si="523"/>
        <v>4.2719537073418481E-2</v>
      </c>
      <c r="N274" s="245">
        <f t="shared" si="523"/>
        <v>-7.0652302490573679E-2</v>
      </c>
      <c r="O274" s="245">
        <f t="shared" si="523"/>
        <v>-5.2602489239445521E-2</v>
      </c>
      <c r="P274" s="245">
        <f t="shared" si="523"/>
        <v>-9.9567753870321005E-2</v>
      </c>
      <c r="Q274" s="245">
        <f t="shared" si="523"/>
        <v>-6.2297635106256646E-2</v>
      </c>
      <c r="R274" s="245">
        <f t="shared" si="523"/>
        <v>-3.1831162421883184E-2</v>
      </c>
      <c r="S274" s="245">
        <f t="shared" si="523"/>
        <v>-3.3899766415838785E-2</v>
      </c>
      <c r="T274" s="245">
        <f t="shared" si="523"/>
        <v>-0.1157139167473606</v>
      </c>
      <c r="U274" s="245">
        <f t="shared" si="523"/>
        <v>-9.996078845094869E-2</v>
      </c>
      <c r="V274" s="245">
        <f t="shared" si="523"/>
        <v>-9.5910283076740363E-2</v>
      </c>
      <c r="W274" s="245">
        <f t="shared" si="523"/>
        <v>-4.9954868794459269E-2</v>
      </c>
      <c r="X274" s="245">
        <f t="shared" si="523"/>
        <v>-6.8799191642873694E-2</v>
      </c>
      <c r="Y274" s="245">
        <f>Y334/(Y40*12/Y4)</f>
        <v>-4.4703477372072337E-2</v>
      </c>
      <c r="Z274" s="245">
        <f>Z334/(Z40*12/Z4)</f>
        <v>8.5130422924823979E-3</v>
      </c>
      <c r="AA274" s="245">
        <f>AA334/(AA40*12/AA4)</f>
        <v>-8.5944941503351233E-2</v>
      </c>
      <c r="AB274" s="245">
        <f>AB334/(AB40*12/AB4)</f>
        <v>-5.198143916806864E-2</v>
      </c>
      <c r="AC274" s="245">
        <f t="shared" ref="AC274:AD274" si="524">AC334/(AC40*12/AC4)</f>
        <v>-2.9351045310579863E-2</v>
      </c>
      <c r="AD274" s="245">
        <f t="shared" si="524"/>
        <v>-9.0373792719869016E-3</v>
      </c>
      <c r="AF274" s="580">
        <f t="shared" ref="AF274:BK274" si="525">AF334/(AF40*12/AF4)</f>
        <v>0</v>
      </c>
      <c r="AG274" s="580">
        <f t="shared" si="525"/>
        <v>0</v>
      </c>
      <c r="AH274" s="580">
        <f t="shared" si="525"/>
        <v>0</v>
      </c>
      <c r="AI274" s="580">
        <f t="shared" si="525"/>
        <v>0</v>
      </c>
      <c r="AJ274" s="580">
        <f t="shared" si="525"/>
        <v>0</v>
      </c>
      <c r="AK274" s="580">
        <f t="shared" si="525"/>
        <v>0</v>
      </c>
      <c r="AL274" s="580">
        <f t="shared" si="525"/>
        <v>0</v>
      </c>
      <c r="AM274" s="580">
        <f t="shared" si="525"/>
        <v>0</v>
      </c>
      <c r="AN274" s="580">
        <f t="shared" si="525"/>
        <v>0</v>
      </c>
      <c r="AO274" s="580">
        <f t="shared" si="525"/>
        <v>0</v>
      </c>
      <c r="AP274" s="580">
        <f t="shared" si="525"/>
        <v>0</v>
      </c>
      <c r="AQ274" s="580">
        <f t="shared" si="525"/>
        <v>0</v>
      </c>
      <c r="AR274" s="580">
        <f t="shared" si="525"/>
        <v>0</v>
      </c>
      <c r="AS274" s="580">
        <f t="shared" si="525"/>
        <v>0</v>
      </c>
      <c r="AT274" s="580">
        <f t="shared" si="525"/>
        <v>0</v>
      </c>
      <c r="AU274" s="580">
        <f t="shared" si="525"/>
        <v>0</v>
      </c>
      <c r="AV274" s="580">
        <f t="shared" si="525"/>
        <v>0</v>
      </c>
      <c r="AW274" s="580">
        <f t="shared" si="525"/>
        <v>0</v>
      </c>
      <c r="AX274" s="580">
        <f t="shared" si="525"/>
        <v>0</v>
      </c>
      <c r="AY274" s="580">
        <f t="shared" si="525"/>
        <v>0</v>
      </c>
      <c r="AZ274" s="580">
        <f t="shared" si="525"/>
        <v>0</v>
      </c>
      <c r="BA274" s="580">
        <f t="shared" si="525"/>
        <v>0</v>
      </c>
      <c r="BB274" s="580">
        <f t="shared" si="525"/>
        <v>0</v>
      </c>
      <c r="BC274" s="580">
        <f t="shared" si="525"/>
        <v>0</v>
      </c>
      <c r="BD274" s="580">
        <f t="shared" si="525"/>
        <v>0</v>
      </c>
      <c r="BE274" s="580">
        <f t="shared" si="525"/>
        <v>0</v>
      </c>
      <c r="BF274" s="580">
        <f t="shared" si="525"/>
        <v>0</v>
      </c>
      <c r="BG274" s="580">
        <f t="shared" si="525"/>
        <v>0</v>
      </c>
      <c r="BH274" s="580">
        <f t="shared" si="525"/>
        <v>0</v>
      </c>
      <c r="BI274" s="580">
        <f t="shared" si="525"/>
        <v>0</v>
      </c>
      <c r="BJ274" s="580">
        <f t="shared" si="525"/>
        <v>0</v>
      </c>
      <c r="BK274" s="580">
        <f t="shared" si="525"/>
        <v>0</v>
      </c>
    </row>
    <row r="275" spans="1:63" s="245" customFormat="1">
      <c r="A275" s="243"/>
      <c r="B275" s="246" t="s">
        <v>1424</v>
      </c>
      <c r="C275" s="265" t="s">
        <v>1425</v>
      </c>
      <c r="D275" s="243"/>
      <c r="F275" s="245" t="e">
        <f t="shared" ref="F275:X275" si="526">F160/(F40*12/F4)*365</f>
        <v>#DIV/0!</v>
      </c>
      <c r="G275" s="245" t="e">
        <f t="shared" si="526"/>
        <v>#DIV/0!</v>
      </c>
      <c r="H275" s="245" t="e">
        <f t="shared" si="526"/>
        <v>#DIV/0!</v>
      </c>
      <c r="I275" s="245" t="e">
        <f t="shared" si="526"/>
        <v>#DIV/0!</v>
      </c>
      <c r="J275" s="245" t="e">
        <f t="shared" si="526"/>
        <v>#DIV/0!</v>
      </c>
      <c r="K275" s="245" t="e">
        <f t="shared" si="526"/>
        <v>#DIV/0!</v>
      </c>
      <c r="M275" s="245">
        <f t="shared" si="526"/>
        <v>14.123401538940582</v>
      </c>
      <c r="N275" s="245">
        <f t="shared" si="526"/>
        <v>9.8023452157974624</v>
      </c>
      <c r="O275" s="245">
        <f t="shared" si="526"/>
        <v>10.820478676771973</v>
      </c>
      <c r="P275" s="245">
        <f t="shared" si="526"/>
        <v>14.21861758748269</v>
      </c>
      <c r="Q275" s="245">
        <f t="shared" si="526"/>
        <v>20.159655867617655</v>
      </c>
      <c r="R275" s="245">
        <f t="shared" si="526"/>
        <v>10.235195936541736</v>
      </c>
      <c r="S275" s="245">
        <f t="shared" si="526"/>
        <v>11.633047110487915</v>
      </c>
      <c r="T275" s="245">
        <f t="shared" si="526"/>
        <v>8.3781475913370418</v>
      </c>
      <c r="U275" s="245">
        <f t="shared" si="526"/>
        <v>8.0744934056907365</v>
      </c>
      <c r="V275" s="245">
        <f t="shared" si="526"/>
        <v>7.9020179241312158</v>
      </c>
      <c r="W275" s="245">
        <f t="shared" si="526"/>
        <v>14.010261410944004</v>
      </c>
      <c r="X275" s="245">
        <f t="shared" si="526"/>
        <v>14.423013264342408</v>
      </c>
      <c r="Y275" s="245">
        <f>Y160/(Y40*12/Y4)*365</f>
        <v>12.108563710640519</v>
      </c>
      <c r="Z275" s="245">
        <f>Z160/(Z40*12/Z4)*365</f>
        <v>11.60180718410804</v>
      </c>
      <c r="AA275" s="245">
        <f>AA160/(AA40*12/AA4)*365</f>
        <v>11</v>
      </c>
      <c r="AB275" s="245">
        <f>AB160/(AB40*12/AB4)*365</f>
        <v>10</v>
      </c>
      <c r="AC275" s="245">
        <f t="shared" ref="AC275:AD275" si="527">AC160/(AC40*12/AC4)*365</f>
        <v>10</v>
      </c>
      <c r="AD275" s="245">
        <f t="shared" si="527"/>
        <v>10</v>
      </c>
      <c r="AF275" s="580">
        <f t="shared" ref="AF275:BK275" si="528">AF160/(AF40*12/AF4)*365</f>
        <v>0</v>
      </c>
      <c r="AG275" s="580">
        <f t="shared" si="528"/>
        <v>0</v>
      </c>
      <c r="AH275" s="580">
        <f t="shared" si="528"/>
        <v>0</v>
      </c>
      <c r="AI275" s="580">
        <f t="shared" si="528"/>
        <v>0</v>
      </c>
      <c r="AJ275" s="580">
        <f t="shared" si="528"/>
        <v>0</v>
      </c>
      <c r="AK275" s="580">
        <f t="shared" si="528"/>
        <v>0</v>
      </c>
      <c r="AL275" s="580">
        <f t="shared" si="528"/>
        <v>0</v>
      </c>
      <c r="AM275" s="580">
        <f t="shared" si="528"/>
        <v>0</v>
      </c>
      <c r="AN275" s="580">
        <f t="shared" si="528"/>
        <v>0</v>
      </c>
      <c r="AO275" s="580">
        <f t="shared" si="528"/>
        <v>0</v>
      </c>
      <c r="AP275" s="580">
        <f t="shared" si="528"/>
        <v>0</v>
      </c>
      <c r="AQ275" s="580">
        <f t="shared" si="528"/>
        <v>0</v>
      </c>
      <c r="AR275" s="580">
        <f t="shared" si="528"/>
        <v>0</v>
      </c>
      <c r="AS275" s="580">
        <f t="shared" si="528"/>
        <v>0</v>
      </c>
      <c r="AT275" s="580">
        <f t="shared" si="528"/>
        <v>0</v>
      </c>
      <c r="AU275" s="580">
        <f t="shared" si="528"/>
        <v>0</v>
      </c>
      <c r="AV275" s="580">
        <f t="shared" si="528"/>
        <v>0</v>
      </c>
      <c r="AW275" s="580">
        <f t="shared" si="528"/>
        <v>0</v>
      </c>
      <c r="AX275" s="580">
        <f t="shared" si="528"/>
        <v>0</v>
      </c>
      <c r="AY275" s="580">
        <f t="shared" si="528"/>
        <v>0</v>
      </c>
      <c r="AZ275" s="580">
        <f t="shared" si="528"/>
        <v>0</v>
      </c>
      <c r="BA275" s="580">
        <f t="shared" si="528"/>
        <v>0</v>
      </c>
      <c r="BB275" s="580">
        <f t="shared" si="528"/>
        <v>0</v>
      </c>
      <c r="BC275" s="580">
        <f t="shared" si="528"/>
        <v>0</v>
      </c>
      <c r="BD275" s="580">
        <f t="shared" si="528"/>
        <v>0</v>
      </c>
      <c r="BE275" s="580">
        <f t="shared" si="528"/>
        <v>0</v>
      </c>
      <c r="BF275" s="580">
        <f t="shared" si="528"/>
        <v>0</v>
      </c>
      <c r="BG275" s="580">
        <f t="shared" si="528"/>
        <v>0</v>
      </c>
      <c r="BH275" s="580">
        <f t="shared" si="528"/>
        <v>0</v>
      </c>
      <c r="BI275" s="580">
        <f t="shared" si="528"/>
        <v>0</v>
      </c>
      <c r="BJ275" s="580">
        <f t="shared" si="528"/>
        <v>0</v>
      </c>
      <c r="BK275" s="580">
        <f t="shared" si="528"/>
        <v>0</v>
      </c>
    </row>
    <row r="276" spans="1:63" s="245" customFormat="1">
      <c r="A276" s="243"/>
      <c r="B276" s="246" t="s">
        <v>1426</v>
      </c>
      <c r="C276" s="265" t="s">
        <v>1427</v>
      </c>
      <c r="D276" s="243"/>
      <c r="F276" s="245" t="e">
        <f t="shared" ref="F276:X276" si="529">F159/(F40*12/F4)*365</f>
        <v>#DIV/0!</v>
      </c>
      <c r="G276" s="245" t="e">
        <f t="shared" si="529"/>
        <v>#DIV/0!</v>
      </c>
      <c r="H276" s="245" t="e">
        <f t="shared" si="529"/>
        <v>#DIV/0!</v>
      </c>
      <c r="I276" s="245" t="e">
        <f t="shared" si="529"/>
        <v>#DIV/0!</v>
      </c>
      <c r="J276" s="245" t="e">
        <f t="shared" si="529"/>
        <v>#DIV/0!</v>
      </c>
      <c r="K276" s="245" t="e">
        <f t="shared" si="529"/>
        <v>#DIV/0!</v>
      </c>
      <c r="M276" s="245">
        <f t="shared" si="529"/>
        <v>17.585015169851044</v>
      </c>
      <c r="N276" s="245">
        <f t="shared" si="529"/>
        <v>14.823423627710323</v>
      </c>
      <c r="O276" s="245">
        <f t="shared" si="529"/>
        <v>13.755183253790456</v>
      </c>
      <c r="P276" s="245">
        <f t="shared" si="529"/>
        <v>12.869133802525784</v>
      </c>
      <c r="Q276" s="245">
        <f t="shared" si="529"/>
        <v>11.783865432688199</v>
      </c>
      <c r="R276" s="245">
        <f t="shared" si="529"/>
        <v>14.820693249934846</v>
      </c>
      <c r="S276" s="245">
        <f t="shared" si="529"/>
        <v>15.393684038566908</v>
      </c>
      <c r="T276" s="245">
        <f t="shared" si="529"/>
        <v>13.701851769280537</v>
      </c>
      <c r="U276" s="245">
        <f t="shared" si="529"/>
        <v>12.181631798066011</v>
      </c>
      <c r="V276" s="245">
        <f t="shared" si="529"/>
        <v>12.681842574471379</v>
      </c>
      <c r="W276" s="245">
        <f t="shared" si="529"/>
        <v>11.613706884696647</v>
      </c>
      <c r="X276" s="245">
        <f t="shared" si="529"/>
        <v>11.588261947809153</v>
      </c>
      <c r="Y276" s="245">
        <f>Y159/(Y40*12/Y4)*365</f>
        <v>13.749982070154511</v>
      </c>
      <c r="Z276" s="245">
        <f>Z159/(Z40*12/Z4)*365</f>
        <v>11.620229676816081</v>
      </c>
      <c r="AA276" s="245">
        <f>AA159/(AA40*12/AA4)*365</f>
        <v>11.421610920912146</v>
      </c>
      <c r="AB276" s="245">
        <f>AB159/(AB40*12/AB4)*365</f>
        <v>10.895999999999997</v>
      </c>
      <c r="AC276" s="245">
        <f t="shared" ref="AC276:AD276" si="530">AC159/(AC40*12/AC4)*365</f>
        <v>10.927999999999999</v>
      </c>
      <c r="AD276" s="245">
        <f t="shared" si="530"/>
        <v>11.055999999999999</v>
      </c>
      <c r="AF276" s="580">
        <f t="shared" ref="AF276:BK276" si="531">AF159/(AF40*12/AF4)*365</f>
        <v>0</v>
      </c>
      <c r="AG276" s="580">
        <f t="shared" si="531"/>
        <v>0</v>
      </c>
      <c r="AH276" s="580">
        <f t="shared" si="531"/>
        <v>0</v>
      </c>
      <c r="AI276" s="580">
        <f t="shared" si="531"/>
        <v>0</v>
      </c>
      <c r="AJ276" s="580">
        <f t="shared" si="531"/>
        <v>0</v>
      </c>
      <c r="AK276" s="580">
        <f t="shared" si="531"/>
        <v>0</v>
      </c>
      <c r="AL276" s="580">
        <f t="shared" si="531"/>
        <v>0</v>
      </c>
      <c r="AM276" s="580">
        <f t="shared" si="531"/>
        <v>0</v>
      </c>
      <c r="AN276" s="580">
        <f t="shared" si="531"/>
        <v>0</v>
      </c>
      <c r="AO276" s="580">
        <f t="shared" si="531"/>
        <v>0</v>
      </c>
      <c r="AP276" s="580">
        <f t="shared" si="531"/>
        <v>0</v>
      </c>
      <c r="AQ276" s="580">
        <f t="shared" si="531"/>
        <v>0</v>
      </c>
      <c r="AR276" s="580">
        <f t="shared" si="531"/>
        <v>0</v>
      </c>
      <c r="AS276" s="580">
        <f t="shared" si="531"/>
        <v>0</v>
      </c>
      <c r="AT276" s="580">
        <f t="shared" si="531"/>
        <v>0</v>
      </c>
      <c r="AU276" s="580">
        <f t="shared" si="531"/>
        <v>0</v>
      </c>
      <c r="AV276" s="580">
        <f t="shared" si="531"/>
        <v>0</v>
      </c>
      <c r="AW276" s="580">
        <f t="shared" si="531"/>
        <v>0</v>
      </c>
      <c r="AX276" s="580">
        <f t="shared" si="531"/>
        <v>0</v>
      </c>
      <c r="AY276" s="580">
        <f t="shared" si="531"/>
        <v>0</v>
      </c>
      <c r="AZ276" s="580">
        <f t="shared" si="531"/>
        <v>0</v>
      </c>
      <c r="BA276" s="580">
        <f t="shared" si="531"/>
        <v>0</v>
      </c>
      <c r="BB276" s="580">
        <f t="shared" si="531"/>
        <v>0</v>
      </c>
      <c r="BC276" s="580">
        <f t="shared" si="531"/>
        <v>0</v>
      </c>
      <c r="BD276" s="580">
        <f t="shared" si="531"/>
        <v>0</v>
      </c>
      <c r="BE276" s="580">
        <f t="shared" si="531"/>
        <v>0</v>
      </c>
      <c r="BF276" s="580">
        <f t="shared" si="531"/>
        <v>0</v>
      </c>
      <c r="BG276" s="580">
        <f t="shared" si="531"/>
        <v>0</v>
      </c>
      <c r="BH276" s="580">
        <f t="shared" si="531"/>
        <v>0</v>
      </c>
      <c r="BI276" s="580">
        <f t="shared" si="531"/>
        <v>0</v>
      </c>
      <c r="BJ276" s="580">
        <f t="shared" si="531"/>
        <v>0</v>
      </c>
      <c r="BK276" s="580">
        <f t="shared" si="531"/>
        <v>0</v>
      </c>
    </row>
    <row r="277" spans="1:63" s="245" customFormat="1">
      <c r="A277" s="243"/>
      <c r="B277" s="246" t="s">
        <v>1428</v>
      </c>
      <c r="C277" s="276" t="s">
        <v>1429</v>
      </c>
      <c r="D277" s="243"/>
      <c r="F277" s="245" t="e">
        <f t="shared" ref="F277:X277" si="532">F167/(F42*12/F4)*365</f>
        <v>#DIV/0!</v>
      </c>
      <c r="G277" s="245" t="e">
        <f t="shared" si="532"/>
        <v>#DIV/0!</v>
      </c>
      <c r="H277" s="245" t="e">
        <f t="shared" si="532"/>
        <v>#DIV/0!</v>
      </c>
      <c r="I277" s="245" t="e">
        <f t="shared" si="532"/>
        <v>#DIV/0!</v>
      </c>
      <c r="J277" s="245" t="e">
        <f t="shared" si="532"/>
        <v>#DIV/0!</v>
      </c>
      <c r="K277" s="245" t="e">
        <f t="shared" si="532"/>
        <v>#DIV/0!</v>
      </c>
      <c r="M277" s="245">
        <f t="shared" si="532"/>
        <v>47.164902065779927</v>
      </c>
      <c r="N277" s="245">
        <f t="shared" si="532"/>
        <v>60.408192336042696</v>
      </c>
      <c r="O277" s="245">
        <f t="shared" si="532"/>
        <v>57.15371514007338</v>
      </c>
      <c r="P277" s="245">
        <f t="shared" si="532"/>
        <v>71.065247804449882</v>
      </c>
      <c r="Q277" s="245">
        <f t="shared" si="532"/>
        <v>67.517504911494385</v>
      </c>
      <c r="R277" s="245">
        <f t="shared" si="532"/>
        <v>49.199485328392072</v>
      </c>
      <c r="S277" s="245">
        <f t="shared" si="532"/>
        <v>58.564690202197518</v>
      </c>
      <c r="T277" s="245">
        <f t="shared" si="532"/>
        <v>79.282584832158051</v>
      </c>
      <c r="U277" s="245">
        <f t="shared" si="532"/>
        <v>66.978719011857976</v>
      </c>
      <c r="V277" s="245">
        <f t="shared" si="532"/>
        <v>62.781009412998557</v>
      </c>
      <c r="W277" s="245">
        <f t="shared" si="532"/>
        <v>59.077335688786732</v>
      </c>
      <c r="X277" s="245">
        <f t="shared" si="532"/>
        <v>68.050166696220501</v>
      </c>
      <c r="Y277" s="245">
        <f>Y167/(Y42*12/Y4)*365</f>
        <v>54.916669532778002</v>
      </c>
      <c r="Z277" s="245">
        <f>Z167/(Z42*12/Z4)*365</f>
        <v>54.558588295820506</v>
      </c>
      <c r="AA277" s="245">
        <f>AA167/(AA42*12/AA4)*365</f>
        <v>52.2385153569547</v>
      </c>
      <c r="AB277" s="245">
        <f>AB167/(AB42*12/AB4)*365</f>
        <v>33.555</v>
      </c>
      <c r="AC277" s="245">
        <f t="shared" ref="AC277:AD277" si="533">AC167/(AC42*12/AC4)*365</f>
        <v>29.554999999999996</v>
      </c>
      <c r="AD277" s="245">
        <f t="shared" si="533"/>
        <v>25.555</v>
      </c>
      <c r="AF277" s="580">
        <f t="shared" ref="AF277:BK277" si="534">AF167/(AF42*12/AF4)*365</f>
        <v>0</v>
      </c>
      <c r="AG277" s="580">
        <f t="shared" si="534"/>
        <v>0</v>
      </c>
      <c r="AH277" s="580">
        <f t="shared" si="534"/>
        <v>0</v>
      </c>
      <c r="AI277" s="580">
        <f t="shared" si="534"/>
        <v>0</v>
      </c>
      <c r="AJ277" s="580">
        <f t="shared" si="534"/>
        <v>0</v>
      </c>
      <c r="AK277" s="580">
        <f t="shared" si="534"/>
        <v>0</v>
      </c>
      <c r="AL277" s="580">
        <f t="shared" si="534"/>
        <v>0</v>
      </c>
      <c r="AM277" s="580">
        <f t="shared" si="534"/>
        <v>0</v>
      </c>
      <c r="AN277" s="580">
        <f t="shared" si="534"/>
        <v>0</v>
      </c>
      <c r="AO277" s="580">
        <f t="shared" si="534"/>
        <v>0</v>
      </c>
      <c r="AP277" s="580">
        <f t="shared" si="534"/>
        <v>0</v>
      </c>
      <c r="AQ277" s="580">
        <f t="shared" si="534"/>
        <v>0</v>
      </c>
      <c r="AR277" s="580">
        <f t="shared" si="534"/>
        <v>0</v>
      </c>
      <c r="AS277" s="580">
        <f t="shared" si="534"/>
        <v>0</v>
      </c>
      <c r="AT277" s="580">
        <f t="shared" si="534"/>
        <v>0</v>
      </c>
      <c r="AU277" s="580">
        <f t="shared" si="534"/>
        <v>0</v>
      </c>
      <c r="AV277" s="580">
        <f t="shared" si="534"/>
        <v>0</v>
      </c>
      <c r="AW277" s="580">
        <f t="shared" si="534"/>
        <v>0</v>
      </c>
      <c r="AX277" s="580">
        <f t="shared" si="534"/>
        <v>0</v>
      </c>
      <c r="AY277" s="580">
        <f t="shared" si="534"/>
        <v>0</v>
      </c>
      <c r="AZ277" s="580">
        <f t="shared" si="534"/>
        <v>0</v>
      </c>
      <c r="BA277" s="580">
        <f t="shared" si="534"/>
        <v>0</v>
      </c>
      <c r="BB277" s="580">
        <f t="shared" si="534"/>
        <v>0</v>
      </c>
      <c r="BC277" s="580">
        <f t="shared" si="534"/>
        <v>0</v>
      </c>
      <c r="BD277" s="580">
        <f t="shared" si="534"/>
        <v>0</v>
      </c>
      <c r="BE277" s="580">
        <f t="shared" si="534"/>
        <v>0</v>
      </c>
      <c r="BF277" s="580">
        <f t="shared" si="534"/>
        <v>0</v>
      </c>
      <c r="BG277" s="580">
        <f t="shared" si="534"/>
        <v>0</v>
      </c>
      <c r="BH277" s="580">
        <f t="shared" si="534"/>
        <v>0</v>
      </c>
      <c r="BI277" s="580">
        <f t="shared" si="534"/>
        <v>0</v>
      </c>
      <c r="BJ277" s="580">
        <f t="shared" si="534"/>
        <v>0</v>
      </c>
      <c r="BK277" s="580">
        <f t="shared" si="534"/>
        <v>0</v>
      </c>
    </row>
    <row r="278" spans="1:63" s="245" customFormat="1">
      <c r="A278" s="243"/>
      <c r="B278" s="243" t="s">
        <v>1430</v>
      </c>
      <c r="C278" s="243" t="s">
        <v>1431</v>
      </c>
      <c r="D278" s="243"/>
      <c r="F278" s="245" t="e">
        <f>(F173-F161)/(F40*12/F4)*365</f>
        <v>#DIV/0!</v>
      </c>
      <c r="G278" s="245" t="e">
        <f>(G173-G161)/(G40*12/G4)*365</f>
        <v>#DIV/0!</v>
      </c>
      <c r="H278" s="245" t="e">
        <f>(H173-H161)/(H40*12/H4)*365</f>
        <v>#DIV/0!</v>
      </c>
      <c r="I278" s="245" t="e">
        <f>(I173-I161)/(I40*12/I4)*365</f>
        <v>#DIV/0!</v>
      </c>
      <c r="J278" s="245" t="e">
        <f>(J173-J161)/(J40*12/J4)*365</f>
        <v>#DIV/0!</v>
      </c>
      <c r="K278" s="245" t="e">
        <f t="shared" ref="K278:X278" si="535">(K173-K161-K164-K165+K171)/(K40*12/K4)*365</f>
        <v>#DIV/0!</v>
      </c>
      <c r="M278" s="245">
        <f t="shared" si="535"/>
        <v>-6.7541504959858383</v>
      </c>
      <c r="N278" s="245">
        <f t="shared" si="535"/>
        <v>-24.594974603453355</v>
      </c>
      <c r="O278" s="245">
        <f t="shared" si="535"/>
        <v>-23.595992073203668</v>
      </c>
      <c r="P278" s="245">
        <f t="shared" si="535"/>
        <v>-30.855649686860566</v>
      </c>
      <c r="Q278" s="245">
        <f t="shared" si="535"/>
        <v>-25.09122447830774</v>
      </c>
      <c r="R278" s="245">
        <f t="shared" si="535"/>
        <v>-17.435252496686775</v>
      </c>
      <c r="S278" s="245">
        <f t="shared" si="535"/>
        <v>-24.068159154876845</v>
      </c>
      <c r="T278" s="245">
        <f t="shared" si="535"/>
        <v>-40.140428571308355</v>
      </c>
      <c r="U278" s="245">
        <f t="shared" si="535"/>
        <v>-33.757463457946393</v>
      </c>
      <c r="V278" s="245">
        <f t="shared" si="535"/>
        <v>-30.238268972573081</v>
      </c>
      <c r="W278" s="245">
        <f t="shared" si="535"/>
        <v>-22.705574516496025</v>
      </c>
      <c r="X278" s="245">
        <f t="shared" si="535"/>
        <v>-27.697924167882995</v>
      </c>
      <c r="Y278" s="245">
        <f>(Y173-Y161-Y164-Y165+Y171)/(Y40*12/Y4)*365</f>
        <v>-18.47025473336355</v>
      </c>
      <c r="Z278" s="245">
        <f>(Z173-Z161-Z164-Z165+Z171)/(Z40*12/Z4)*365</f>
        <v>-19.785595567621751</v>
      </c>
      <c r="AA278" s="245">
        <f>(AA173-AA161-AA164-AA165+AA171)/(AA40*12/AA4)*365</f>
        <v>-19.203572573359374</v>
      </c>
      <c r="AB278" s="245">
        <f>(AB173-AB161-AB164-AB165+AB171)/(AB40*12/AB4)*365</f>
        <v>-6.0113559555434977</v>
      </c>
      <c r="AC278" s="245">
        <f t="shared" ref="AC278:AD278" si="536">(AC173-AC161-AC164-AC165+AC171)/(AC40*12/AC4)*365</f>
        <v>-2.7454966177360558</v>
      </c>
      <c r="AD278" s="245">
        <f t="shared" si="536"/>
        <v>0.34259926246885597</v>
      </c>
      <c r="AF278" s="580">
        <f t="shared" ref="AF278:BK278" si="537">(AF173-AF161)/(AF40*12/AF4)*365</f>
        <v>0</v>
      </c>
      <c r="AG278" s="580">
        <f t="shared" si="537"/>
        <v>0</v>
      </c>
      <c r="AH278" s="580">
        <f t="shared" si="537"/>
        <v>0</v>
      </c>
      <c r="AI278" s="580">
        <f t="shared" si="537"/>
        <v>0</v>
      </c>
      <c r="AJ278" s="580">
        <f t="shared" si="537"/>
        <v>0</v>
      </c>
      <c r="AK278" s="580">
        <f t="shared" si="537"/>
        <v>0</v>
      </c>
      <c r="AL278" s="580">
        <f t="shared" si="537"/>
        <v>0</v>
      </c>
      <c r="AM278" s="580">
        <f t="shared" si="537"/>
        <v>0</v>
      </c>
      <c r="AN278" s="580">
        <f t="shared" si="537"/>
        <v>0</v>
      </c>
      <c r="AO278" s="580">
        <f t="shared" si="537"/>
        <v>0</v>
      </c>
      <c r="AP278" s="580">
        <f t="shared" si="537"/>
        <v>0</v>
      </c>
      <c r="AQ278" s="580">
        <f t="shared" si="537"/>
        <v>0</v>
      </c>
      <c r="AR278" s="580">
        <f t="shared" si="537"/>
        <v>0</v>
      </c>
      <c r="AS278" s="580">
        <f t="shared" si="537"/>
        <v>0</v>
      </c>
      <c r="AT278" s="580">
        <f t="shared" si="537"/>
        <v>0</v>
      </c>
      <c r="AU278" s="580">
        <f t="shared" si="537"/>
        <v>0</v>
      </c>
      <c r="AV278" s="580">
        <f t="shared" si="537"/>
        <v>0</v>
      </c>
      <c r="AW278" s="580">
        <f t="shared" si="537"/>
        <v>0</v>
      </c>
      <c r="AX278" s="580">
        <f t="shared" si="537"/>
        <v>0</v>
      </c>
      <c r="AY278" s="580">
        <f t="shared" si="537"/>
        <v>0</v>
      </c>
      <c r="AZ278" s="580">
        <f t="shared" si="537"/>
        <v>0</v>
      </c>
      <c r="BA278" s="580">
        <f t="shared" si="537"/>
        <v>0</v>
      </c>
      <c r="BB278" s="580">
        <f t="shared" si="537"/>
        <v>0</v>
      </c>
      <c r="BC278" s="580">
        <f t="shared" si="537"/>
        <v>0</v>
      </c>
      <c r="BD278" s="580">
        <f t="shared" si="537"/>
        <v>0</v>
      </c>
      <c r="BE278" s="580">
        <f t="shared" si="537"/>
        <v>0</v>
      </c>
      <c r="BF278" s="580">
        <f t="shared" si="537"/>
        <v>0</v>
      </c>
      <c r="BG278" s="580">
        <f t="shared" si="537"/>
        <v>0</v>
      </c>
      <c r="BH278" s="580">
        <f t="shared" si="537"/>
        <v>0</v>
      </c>
      <c r="BI278" s="580">
        <f t="shared" si="537"/>
        <v>0</v>
      </c>
      <c r="BJ278" s="580">
        <f t="shared" si="537"/>
        <v>0</v>
      </c>
      <c r="BK278" s="580">
        <f t="shared" si="537"/>
        <v>0</v>
      </c>
    </row>
    <row r="279" spans="1:63" s="245" customFormat="1">
      <c r="A279" s="243"/>
      <c r="B279" s="243" t="s">
        <v>1432</v>
      </c>
      <c r="C279" s="243" t="s">
        <v>1433</v>
      </c>
      <c r="D279" s="243"/>
      <c r="F279" s="245" t="e">
        <f t="shared" ref="F279:X279" si="538">-F195/F332</f>
        <v>#DIV/0!</v>
      </c>
      <c r="G279" s="245" t="e">
        <f t="shared" si="538"/>
        <v>#DIV/0!</v>
      </c>
      <c r="H279" s="245" t="e">
        <f t="shared" si="538"/>
        <v>#DIV/0!</v>
      </c>
      <c r="I279" s="245" t="e">
        <f t="shared" si="538"/>
        <v>#DIV/0!</v>
      </c>
      <c r="J279" s="245" t="e">
        <f t="shared" si="538"/>
        <v>#DIV/0!</v>
      </c>
      <c r="K279" s="245" t="e">
        <f t="shared" si="538"/>
        <v>#DIV/0!</v>
      </c>
      <c r="M279" s="245">
        <f t="shared" si="538"/>
        <v>0.55550364093203553</v>
      </c>
      <c r="N279" s="245">
        <f t="shared" si="538"/>
        <v>4.0850800849180642E-2</v>
      </c>
      <c r="O279" s="245">
        <f t="shared" si="538"/>
        <v>3.2936590762892327E-2</v>
      </c>
      <c r="P279" s="245">
        <f t="shared" si="538"/>
        <v>7.0242483294290142E-2</v>
      </c>
      <c r="Q279" s="245">
        <f t="shared" si="538"/>
        <v>0.10495699283318732</v>
      </c>
      <c r="R279" s="245">
        <f t="shared" si="538"/>
        <v>6.6534892402869458E-2</v>
      </c>
      <c r="S279" s="245">
        <f t="shared" si="538"/>
        <v>0.11652467242987437</v>
      </c>
      <c r="T279" s="245">
        <f t="shared" si="538"/>
        <v>2.637271583931362E-2</v>
      </c>
      <c r="U279" s="245">
        <f t="shared" si="538"/>
        <v>4.5447048150897257E-2</v>
      </c>
      <c r="V279" s="245">
        <f t="shared" si="538"/>
        <v>3.4283846575148651E-2</v>
      </c>
      <c r="W279" s="245">
        <f t="shared" si="538"/>
        <v>0.19362732935476709</v>
      </c>
      <c r="X279" s="245">
        <f t="shared" si="538"/>
        <v>5.6837803896944893E-2</v>
      </c>
      <c r="Y279" s="245">
        <f>-Y195/Y332</f>
        <v>7.0589210687383969E-2</v>
      </c>
      <c r="Z279" s="245">
        <f>-Z195/Z332</f>
        <v>4.8491543761744811E-2</v>
      </c>
      <c r="AA279" s="245">
        <f>-AA195/AA332</f>
        <v>6.3962475347795908E-2</v>
      </c>
      <c r="AB279" s="245">
        <f>-AB195/AB332</f>
        <v>7.8581602082412452E-2</v>
      </c>
      <c r="AC279" s="245">
        <f t="shared" ref="AC279:AD279" si="539">-AC195/AC332</f>
        <v>7.2856427302946072E-2</v>
      </c>
      <c r="AD279" s="245">
        <f t="shared" si="539"/>
        <v>6.7908832392512983E-2</v>
      </c>
      <c r="AF279" s="580" t="e">
        <f t="shared" ref="AF279:BK279" si="540">-AF195/AF332</f>
        <v>#DIV/0!</v>
      </c>
      <c r="AG279" s="580" t="e">
        <f t="shared" si="540"/>
        <v>#DIV/0!</v>
      </c>
      <c r="AH279" s="580" t="e">
        <f t="shared" si="540"/>
        <v>#DIV/0!</v>
      </c>
      <c r="AI279" s="580" t="e">
        <f t="shared" si="540"/>
        <v>#DIV/0!</v>
      </c>
      <c r="AJ279" s="580" t="e">
        <f t="shared" si="540"/>
        <v>#DIV/0!</v>
      </c>
      <c r="AK279" s="580" t="e">
        <f t="shared" si="540"/>
        <v>#DIV/0!</v>
      </c>
      <c r="AL279" s="580" t="e">
        <f t="shared" si="540"/>
        <v>#DIV/0!</v>
      </c>
      <c r="AM279" s="580" t="e">
        <f t="shared" si="540"/>
        <v>#DIV/0!</v>
      </c>
      <c r="AN279" s="580" t="e">
        <f t="shared" si="540"/>
        <v>#DIV/0!</v>
      </c>
      <c r="AO279" s="580" t="e">
        <f t="shared" si="540"/>
        <v>#DIV/0!</v>
      </c>
      <c r="AP279" s="580" t="e">
        <f t="shared" si="540"/>
        <v>#DIV/0!</v>
      </c>
      <c r="AQ279" s="580" t="e">
        <f t="shared" si="540"/>
        <v>#DIV/0!</v>
      </c>
      <c r="AR279" s="580" t="e">
        <f t="shared" si="540"/>
        <v>#DIV/0!</v>
      </c>
      <c r="AS279" s="580" t="e">
        <f t="shared" si="540"/>
        <v>#DIV/0!</v>
      </c>
      <c r="AT279" s="580" t="e">
        <f t="shared" si="540"/>
        <v>#DIV/0!</v>
      </c>
      <c r="AU279" s="580" t="e">
        <f t="shared" si="540"/>
        <v>#DIV/0!</v>
      </c>
      <c r="AV279" s="580" t="e">
        <f t="shared" si="540"/>
        <v>#DIV/0!</v>
      </c>
      <c r="AW279" s="580" t="e">
        <f t="shared" si="540"/>
        <v>#DIV/0!</v>
      </c>
      <c r="AX279" s="580" t="e">
        <f t="shared" si="540"/>
        <v>#DIV/0!</v>
      </c>
      <c r="AY279" s="580" t="e">
        <f t="shared" si="540"/>
        <v>#DIV/0!</v>
      </c>
      <c r="AZ279" s="580" t="e">
        <f t="shared" si="540"/>
        <v>#DIV/0!</v>
      </c>
      <c r="BA279" s="580" t="e">
        <f t="shared" si="540"/>
        <v>#DIV/0!</v>
      </c>
      <c r="BB279" s="580" t="e">
        <f t="shared" si="540"/>
        <v>#DIV/0!</v>
      </c>
      <c r="BC279" s="580" t="e">
        <f t="shared" si="540"/>
        <v>#DIV/0!</v>
      </c>
      <c r="BD279" s="580" t="e">
        <f t="shared" si="540"/>
        <v>#DIV/0!</v>
      </c>
      <c r="BE279" s="580" t="e">
        <f t="shared" si="540"/>
        <v>#DIV/0!</v>
      </c>
      <c r="BF279" s="580" t="e">
        <f t="shared" si="540"/>
        <v>#DIV/0!</v>
      </c>
      <c r="BG279" s="580" t="e">
        <f t="shared" si="540"/>
        <v>#DIV/0!</v>
      </c>
      <c r="BH279" s="580" t="e">
        <f t="shared" si="540"/>
        <v>#DIV/0!</v>
      </c>
      <c r="BI279" s="580" t="e">
        <f t="shared" si="540"/>
        <v>#DIV/0!</v>
      </c>
      <c r="BJ279" s="580" t="e">
        <f t="shared" si="540"/>
        <v>#DIV/0!</v>
      </c>
      <c r="BK279" s="580" t="e">
        <f t="shared" si="540"/>
        <v>#DIV/0!</v>
      </c>
    </row>
    <row r="280" spans="1:63" s="245" customFormat="1">
      <c r="A280" s="243"/>
      <c r="B280" s="243" t="s">
        <v>1434</v>
      </c>
      <c r="C280" s="243" t="s">
        <v>1435</v>
      </c>
      <c r="D280" s="243"/>
      <c r="F280" s="245" t="e">
        <f t="shared" ref="F280:X280" si="541">-F195/F40</f>
        <v>#DIV/0!</v>
      </c>
      <c r="G280" s="245" t="e">
        <f t="shared" si="541"/>
        <v>#DIV/0!</v>
      </c>
      <c r="H280" s="245" t="e">
        <f t="shared" si="541"/>
        <v>#DIV/0!</v>
      </c>
      <c r="I280" s="245" t="e">
        <f t="shared" si="541"/>
        <v>#DIV/0!</v>
      </c>
      <c r="J280" s="245" t="e">
        <f t="shared" si="541"/>
        <v>#DIV/0!</v>
      </c>
      <c r="K280" s="245" t="e">
        <f t="shared" si="541"/>
        <v>#DIV/0!</v>
      </c>
      <c r="M280" s="245">
        <f t="shared" si="541"/>
        <v>0.33879930722794865</v>
      </c>
      <c r="N280" s="245">
        <f t="shared" si="541"/>
        <v>2.2201205127989246E-2</v>
      </c>
      <c r="O280" s="245">
        <f t="shared" si="541"/>
        <v>1.5213636413610407E-2</v>
      </c>
      <c r="P280" s="245">
        <f t="shared" si="541"/>
        <v>2.6262530745540656E-2</v>
      </c>
      <c r="Q280" s="245">
        <f t="shared" si="541"/>
        <v>3.477705200347752E-2</v>
      </c>
      <c r="R280" s="245">
        <f t="shared" si="541"/>
        <v>2.2137197167556723E-2</v>
      </c>
      <c r="S280" s="245">
        <f t="shared" si="541"/>
        <v>4.4360570449051021E-2</v>
      </c>
      <c r="T280" s="245">
        <f t="shared" si="541"/>
        <v>7.4976002126788321E-3</v>
      </c>
      <c r="U280" s="245">
        <f t="shared" si="541"/>
        <v>9.4095521284919392E-3</v>
      </c>
      <c r="V280" s="245">
        <f t="shared" si="541"/>
        <v>5.9619089169019234E-3</v>
      </c>
      <c r="W280" s="245">
        <f t="shared" si="541"/>
        <v>3.7073597619672702E-2</v>
      </c>
      <c r="X280" s="245">
        <f t="shared" si="541"/>
        <v>1.150052780439823E-2</v>
      </c>
      <c r="Y280" s="245">
        <f>-Y195/Y40</f>
        <v>1.3394404315008173E-2</v>
      </c>
      <c r="Z280" s="245">
        <f>-Z195/Z40</f>
        <v>9.425533459780441E-3</v>
      </c>
      <c r="AA280" s="245">
        <f>-AA195/AA40</f>
        <v>1.3782533670729744E-2</v>
      </c>
      <c r="AB280" s="245">
        <f>-AB195/AB40</f>
        <v>1.5246015678994097E-2</v>
      </c>
      <c r="AC280" s="245">
        <f t="shared" ref="AC280:AD280" si="542">-AC195/AC40</f>
        <v>1.3165809596516085E-2</v>
      </c>
      <c r="AD280" s="245">
        <f t="shared" si="542"/>
        <v>1.135548546943552E-2</v>
      </c>
      <c r="AF280" s="580">
        <f t="shared" ref="AF280:BK280" si="543">-AF195/AF40</f>
        <v>2.1846313094167961E-2</v>
      </c>
      <c r="AG280" s="580">
        <f t="shared" si="543"/>
        <v>2.0184977647507974E-2</v>
      </c>
      <c r="AH280" s="580">
        <f t="shared" si="543"/>
        <v>1.8382309995600084E-2</v>
      </c>
      <c r="AI280" s="580">
        <f t="shared" si="543"/>
        <v>1.9779127315165006E-2</v>
      </c>
      <c r="AJ280" s="580">
        <f t="shared" si="543"/>
        <v>2.3247101225902827E-2</v>
      </c>
      <c r="AK280" s="580">
        <f t="shared" si="543"/>
        <v>2.0628159639599967E-2</v>
      </c>
      <c r="AL280" s="580">
        <f t="shared" si="543"/>
        <v>1.6723638180909547E-2</v>
      </c>
      <c r="AM280" s="580">
        <f t="shared" si="543"/>
        <v>1.9952276507025957E-2</v>
      </c>
      <c r="AN280" s="580">
        <f t="shared" si="543"/>
        <v>1.4510314743570325E-2</v>
      </c>
      <c r="AO280" s="580">
        <f t="shared" si="543"/>
        <v>1.2980540960512944E-2</v>
      </c>
      <c r="AP280" s="580">
        <f t="shared" si="543"/>
        <v>1.5163330321905756E-2</v>
      </c>
      <c r="AQ280" s="580">
        <f t="shared" si="543"/>
        <v>1.6613482990957888E-2</v>
      </c>
      <c r="AR280" s="580">
        <f t="shared" si="543"/>
        <v>1.4146001445389508E-2</v>
      </c>
      <c r="AS280" s="580">
        <f t="shared" si="543"/>
        <v>1.1629396954469422E-2</v>
      </c>
      <c r="AT280" s="580">
        <f t="shared" si="543"/>
        <v>1.082672088118827E-2</v>
      </c>
      <c r="AU280" s="580">
        <f t="shared" si="543"/>
        <v>1.003397608436659E-2</v>
      </c>
      <c r="AV280" s="580">
        <f t="shared" si="543"/>
        <v>8.1798224191914782E-3</v>
      </c>
      <c r="AW280" s="580">
        <f t="shared" si="543"/>
        <v>6.8980289371738121E-3</v>
      </c>
      <c r="AX280" s="580">
        <f t="shared" si="543"/>
        <v>7.4262403401419161E-3</v>
      </c>
      <c r="AY280" s="580">
        <f t="shared" si="543"/>
        <v>7.2500657451885376E-3</v>
      </c>
      <c r="AZ280" s="580">
        <f t="shared" si="543"/>
        <v>6.5104360334785989E-3</v>
      </c>
      <c r="BA280" s="580">
        <f t="shared" si="543"/>
        <v>7.483966996123222E-3</v>
      </c>
      <c r="BB280" s="580">
        <f t="shared" si="543"/>
        <v>6.446191151429333E-3</v>
      </c>
      <c r="BC280" s="580">
        <f t="shared" si="543"/>
        <v>6.3249230345871384E-3</v>
      </c>
      <c r="BD280" s="580">
        <f t="shared" si="543"/>
        <v>7.2425940160224921E-3</v>
      </c>
      <c r="BE280" s="580">
        <f t="shared" si="543"/>
        <v>8.2535596492639366E-3</v>
      </c>
      <c r="BF280" s="580">
        <f t="shared" si="543"/>
        <v>7.5895438698914226E-3</v>
      </c>
      <c r="BG280" s="580">
        <f t="shared" si="543"/>
        <v>9.8199086480929027E-3</v>
      </c>
      <c r="BH280" s="580">
        <f t="shared" si="543"/>
        <v>9.0387266370602036E-3</v>
      </c>
      <c r="BI280" s="580">
        <f t="shared" si="543"/>
        <v>8.5586360289783923E-3</v>
      </c>
      <c r="BJ280" s="580">
        <f t="shared" si="543"/>
        <v>8.9549504603175841E-3</v>
      </c>
      <c r="BK280" s="580">
        <f t="shared" si="543"/>
        <v>9.0181234274545902E-3</v>
      </c>
    </row>
    <row r="281" spans="1:63" s="245" customFormat="1">
      <c r="A281" s="243"/>
      <c r="B281" s="243" t="s">
        <v>1436</v>
      </c>
      <c r="C281" s="243" t="s">
        <v>1437</v>
      </c>
      <c r="D281" s="243"/>
      <c r="F281" s="245" t="e">
        <f t="shared" ref="F281:X281" si="544">-F195/F77</f>
        <v>#DIV/0!</v>
      </c>
      <c r="G281" s="245" t="e">
        <f t="shared" si="544"/>
        <v>#DIV/0!</v>
      </c>
      <c r="H281" s="245" t="e">
        <f t="shared" si="544"/>
        <v>#DIV/0!</v>
      </c>
      <c r="I281" s="245" t="e">
        <f t="shared" si="544"/>
        <v>#DIV/0!</v>
      </c>
      <c r="J281" s="245" t="e">
        <f t="shared" si="544"/>
        <v>#DIV/0!</v>
      </c>
      <c r="K281" s="245" t="e">
        <f t="shared" si="544"/>
        <v>#DIV/0!</v>
      </c>
      <c r="M281" s="245">
        <f t="shared" si="544"/>
        <v>1.8362240020168015</v>
      </c>
      <c r="N281" s="245">
        <f t="shared" si="544"/>
        <v>0.11987850695545101</v>
      </c>
      <c r="O281" s="245">
        <f t="shared" si="544"/>
        <v>9.680582537045776E-2</v>
      </c>
      <c r="P281" s="245">
        <f t="shared" si="544"/>
        <v>0.14223251453478228</v>
      </c>
      <c r="Q281" s="245">
        <f t="shared" si="544"/>
        <v>0.22399253380601267</v>
      </c>
      <c r="R281" s="245">
        <f t="shared" si="544"/>
        <v>0.16235583101524287</v>
      </c>
      <c r="S281" s="245">
        <f t="shared" si="544"/>
        <v>0.34779553681813669</v>
      </c>
      <c r="T281" s="245">
        <f t="shared" si="544"/>
        <v>3.4839037548132598E-2</v>
      </c>
      <c r="U281" s="245">
        <f t="shared" si="544"/>
        <v>4.8610367271329794E-2</v>
      </c>
      <c r="V281" s="245">
        <f t="shared" si="544"/>
        <v>3.1298471232449367E-2</v>
      </c>
      <c r="W281" s="245">
        <f t="shared" si="544"/>
        <v>0.20378224598342501</v>
      </c>
      <c r="X281" s="245">
        <f t="shared" si="544"/>
        <v>5.4571830262838794E-2</v>
      </c>
      <c r="Y281" s="245">
        <f>-Y195/Y77</f>
        <v>6.9473477057768893E-2</v>
      </c>
      <c r="Z281" s="245">
        <f>-Z195/Z77</f>
        <v>4.451958828425287E-2</v>
      </c>
      <c r="AA281" s="245">
        <f>-AA195/AA77</f>
        <v>6.7837235858762807E-2</v>
      </c>
      <c r="AB281" s="245">
        <f>-AB195/AB77</f>
        <v>7.6956595853723025E-2</v>
      </c>
      <c r="AC281" s="245">
        <f t="shared" ref="AC281:AD281" si="545">-AC195/AC77</f>
        <v>6.6159190488342887E-2</v>
      </c>
      <c r="AD281" s="245">
        <f t="shared" si="545"/>
        <v>5.9936689395364971E-2</v>
      </c>
      <c r="AF281" s="580">
        <f t="shared" ref="AF281:BK281" si="546">-AF195/AF77</f>
        <v>0.13341096232221583</v>
      </c>
      <c r="AG281" s="580">
        <f t="shared" si="546"/>
        <v>0.13464224102521982</v>
      </c>
      <c r="AH281" s="580">
        <f t="shared" si="546"/>
        <v>0.12983334250041251</v>
      </c>
      <c r="AI281" s="580">
        <f t="shared" si="546"/>
        <v>0.14024334181249817</v>
      </c>
      <c r="AJ281" s="580">
        <f t="shared" si="546"/>
        <v>0.17831938886867951</v>
      </c>
      <c r="AK281" s="580">
        <f t="shared" si="546"/>
        <v>0.12887184234889565</v>
      </c>
      <c r="AL281" s="580">
        <f t="shared" si="546"/>
        <v>0.11398441331952698</v>
      </c>
      <c r="AM281" s="580">
        <f t="shared" si="546"/>
        <v>0.15823680085636727</v>
      </c>
      <c r="AN281" s="580">
        <f t="shared" si="546"/>
        <v>0.12567937328985337</v>
      </c>
      <c r="AO281" s="580">
        <f t="shared" si="546"/>
        <v>9.621313477982664E-2</v>
      </c>
      <c r="AP281" s="580">
        <f t="shared" si="546"/>
        <v>0.10427020664399693</v>
      </c>
      <c r="AQ281" s="580">
        <f t="shared" si="546"/>
        <v>0.10332188614449869</v>
      </c>
      <c r="AR281" s="580">
        <f t="shared" si="546"/>
        <v>7.263624785911911E-2</v>
      </c>
      <c r="AS281" s="580">
        <f t="shared" si="546"/>
        <v>5.275643744795841E-2</v>
      </c>
      <c r="AT281" s="580">
        <f t="shared" si="546"/>
        <v>4.9313781045706447E-2</v>
      </c>
      <c r="AU281" s="580">
        <f t="shared" si="546"/>
        <v>4.3893964740702618E-2</v>
      </c>
      <c r="AV281" s="580">
        <f t="shared" si="546"/>
        <v>4.0956070688479035E-2</v>
      </c>
      <c r="AW281" s="580">
        <f t="shared" si="546"/>
        <v>3.3382747974185507E-2</v>
      </c>
      <c r="AX281" s="580">
        <f t="shared" si="546"/>
        <v>3.6523336316111696E-2</v>
      </c>
      <c r="AY281" s="580">
        <f t="shared" si="546"/>
        <v>3.7403069416611701E-2</v>
      </c>
      <c r="AZ281" s="580">
        <f t="shared" si="546"/>
        <v>3.6483139645646749E-2</v>
      </c>
      <c r="BA281" s="580">
        <f t="shared" si="546"/>
        <v>3.7281178773749972E-2</v>
      </c>
      <c r="BB281" s="580">
        <f t="shared" si="546"/>
        <v>3.2658287014926901E-2</v>
      </c>
      <c r="BC281" s="580">
        <f t="shared" si="546"/>
        <v>3.1957766215144658E-2</v>
      </c>
      <c r="BD281" s="580">
        <f t="shared" si="546"/>
        <v>4.0426752323046954E-2</v>
      </c>
      <c r="BE281" s="580">
        <f t="shared" si="546"/>
        <v>4.4842167371422957E-2</v>
      </c>
      <c r="BF281" s="580">
        <f t="shared" si="546"/>
        <v>4.0602915740054389E-2</v>
      </c>
      <c r="BG281" s="580">
        <f t="shared" si="546"/>
        <v>5.5714268638162055E-2</v>
      </c>
      <c r="BH281" s="580">
        <f t="shared" si="546"/>
        <v>4.4270028223514252E-2</v>
      </c>
      <c r="BI281" s="580">
        <f t="shared" si="546"/>
        <v>3.7812041116005883E-2</v>
      </c>
      <c r="BJ281" s="580">
        <f t="shared" si="546"/>
        <v>4.4197141373141229E-2</v>
      </c>
      <c r="BK281" s="580">
        <f t="shared" si="546"/>
        <v>4.5933330579536545E-2</v>
      </c>
    </row>
    <row r="282" spans="1:63" s="245" customFormat="1">
      <c r="A282" s="243"/>
      <c r="B282" s="243" t="s">
        <v>1438</v>
      </c>
      <c r="C282" s="243" t="s">
        <v>1439</v>
      </c>
      <c r="D282" s="243"/>
      <c r="F282" s="245" t="e">
        <f t="shared" ref="F282:X282" si="547">F366/F367*100</f>
        <v>#DIV/0!</v>
      </c>
      <c r="G282" s="245" t="e">
        <f t="shared" si="547"/>
        <v>#DIV/0!</v>
      </c>
      <c r="H282" s="245" t="e">
        <f t="shared" si="547"/>
        <v>#DIV/0!</v>
      </c>
      <c r="I282" s="245" t="e">
        <f t="shared" si="547"/>
        <v>#DIV/0!</v>
      </c>
      <c r="J282" s="245" t="e">
        <f t="shared" si="547"/>
        <v>#DIV/0!</v>
      </c>
      <c r="K282" s="245" t="e">
        <f t="shared" si="547"/>
        <v>#DIV/0!</v>
      </c>
      <c r="M282" s="245" t="e">
        <f t="shared" si="547"/>
        <v>#DIV/0!</v>
      </c>
      <c r="N282" s="245" t="e">
        <f t="shared" si="547"/>
        <v>#DIV/0!</v>
      </c>
      <c r="O282" s="245" t="e">
        <f t="shared" si="547"/>
        <v>#DIV/0!</v>
      </c>
      <c r="P282" s="245" t="e">
        <f t="shared" si="547"/>
        <v>#DIV/0!</v>
      </c>
      <c r="Q282" s="245" t="e">
        <f t="shared" si="547"/>
        <v>#DIV/0!</v>
      </c>
      <c r="R282" s="245" t="e">
        <f t="shared" si="547"/>
        <v>#DIV/0!</v>
      </c>
      <c r="S282" s="245" t="e">
        <f t="shared" si="547"/>
        <v>#DIV/0!</v>
      </c>
      <c r="T282" s="245" t="e">
        <f t="shared" si="547"/>
        <v>#DIV/0!</v>
      </c>
      <c r="U282" s="245" t="e">
        <f t="shared" si="547"/>
        <v>#DIV/0!</v>
      </c>
      <c r="V282" s="245" t="e">
        <f t="shared" si="547"/>
        <v>#DIV/0!</v>
      </c>
      <c r="W282" s="245" t="e">
        <f t="shared" si="547"/>
        <v>#DIV/0!</v>
      </c>
      <c r="X282" s="245" t="e">
        <f t="shared" si="547"/>
        <v>#DIV/0!</v>
      </c>
      <c r="Y282" s="245" t="e">
        <f>Y366/Y367*100</f>
        <v>#DIV/0!</v>
      </c>
      <c r="Z282" s="245" t="e">
        <f>Z366/Z367*100</f>
        <v>#DIV/0!</v>
      </c>
      <c r="AA282" s="245" t="e">
        <f>AA366/AA367*100</f>
        <v>#DIV/0!</v>
      </c>
      <c r="AB282" s="245" t="e">
        <f>AB366/AB367*100</f>
        <v>#DIV/0!</v>
      </c>
      <c r="AC282" s="245" t="e">
        <f t="shared" ref="AC282:AD282" si="548">AC366/AC367*100</f>
        <v>#DIV/0!</v>
      </c>
      <c r="AD282" s="245" t="e">
        <f t="shared" si="548"/>
        <v>#DIV/0!</v>
      </c>
      <c r="AF282" s="580" t="e">
        <f t="shared" ref="AF282:BK282" si="549">AF366/AF367*100</f>
        <v>#DIV/0!</v>
      </c>
      <c r="AG282" s="580" t="e">
        <f t="shared" si="549"/>
        <v>#DIV/0!</v>
      </c>
      <c r="AH282" s="580" t="e">
        <f t="shared" si="549"/>
        <v>#DIV/0!</v>
      </c>
      <c r="AI282" s="580" t="e">
        <f t="shared" si="549"/>
        <v>#DIV/0!</v>
      </c>
      <c r="AJ282" s="580" t="e">
        <f t="shared" si="549"/>
        <v>#DIV/0!</v>
      </c>
      <c r="AK282" s="580" t="e">
        <f t="shared" si="549"/>
        <v>#DIV/0!</v>
      </c>
      <c r="AL282" s="580" t="e">
        <f t="shared" si="549"/>
        <v>#DIV/0!</v>
      </c>
      <c r="AM282" s="580" t="e">
        <f t="shared" si="549"/>
        <v>#DIV/0!</v>
      </c>
      <c r="AN282" s="580" t="e">
        <f t="shared" si="549"/>
        <v>#DIV/0!</v>
      </c>
      <c r="AO282" s="580" t="e">
        <f t="shared" si="549"/>
        <v>#DIV/0!</v>
      </c>
      <c r="AP282" s="580" t="e">
        <f t="shared" si="549"/>
        <v>#DIV/0!</v>
      </c>
      <c r="AQ282" s="580" t="e">
        <f t="shared" si="549"/>
        <v>#DIV/0!</v>
      </c>
      <c r="AR282" s="580" t="e">
        <f t="shared" si="549"/>
        <v>#DIV/0!</v>
      </c>
      <c r="AS282" s="580" t="e">
        <f t="shared" si="549"/>
        <v>#DIV/0!</v>
      </c>
      <c r="AT282" s="580" t="e">
        <f t="shared" si="549"/>
        <v>#DIV/0!</v>
      </c>
      <c r="AU282" s="580" t="e">
        <f t="shared" si="549"/>
        <v>#DIV/0!</v>
      </c>
      <c r="AV282" s="580" t="e">
        <f t="shared" si="549"/>
        <v>#DIV/0!</v>
      </c>
      <c r="AW282" s="580" t="e">
        <f t="shared" si="549"/>
        <v>#DIV/0!</v>
      </c>
      <c r="AX282" s="580" t="e">
        <f t="shared" si="549"/>
        <v>#DIV/0!</v>
      </c>
      <c r="AY282" s="580" t="e">
        <f t="shared" si="549"/>
        <v>#DIV/0!</v>
      </c>
      <c r="AZ282" s="580" t="e">
        <f t="shared" si="549"/>
        <v>#DIV/0!</v>
      </c>
      <c r="BA282" s="580" t="e">
        <f t="shared" si="549"/>
        <v>#DIV/0!</v>
      </c>
      <c r="BB282" s="580" t="e">
        <f t="shared" si="549"/>
        <v>#DIV/0!</v>
      </c>
      <c r="BC282" s="580" t="e">
        <f t="shared" si="549"/>
        <v>#DIV/0!</v>
      </c>
      <c r="BD282" s="580" t="e">
        <f t="shared" si="549"/>
        <v>#DIV/0!</v>
      </c>
      <c r="BE282" s="580" t="e">
        <f t="shared" si="549"/>
        <v>#DIV/0!</v>
      </c>
      <c r="BF282" s="580" t="e">
        <f t="shared" si="549"/>
        <v>#DIV/0!</v>
      </c>
      <c r="BG282" s="580" t="e">
        <f t="shared" si="549"/>
        <v>#DIV/0!</v>
      </c>
      <c r="BH282" s="580" t="e">
        <f t="shared" si="549"/>
        <v>#DIV/0!</v>
      </c>
      <c r="BI282" s="580" t="e">
        <f t="shared" si="549"/>
        <v>#DIV/0!</v>
      </c>
      <c r="BJ282" s="580" t="e">
        <f t="shared" si="549"/>
        <v>#DIV/0!</v>
      </c>
      <c r="BK282" s="580" t="e">
        <f t="shared" si="549"/>
        <v>#DIV/0!</v>
      </c>
    </row>
    <row r="283" spans="1:63" s="245" customFormat="1">
      <c r="A283" s="243"/>
      <c r="B283" s="246" t="s">
        <v>1440</v>
      </c>
      <c r="C283" s="252" t="s">
        <v>1441</v>
      </c>
      <c r="D283" s="243"/>
      <c r="F283" s="245" t="e">
        <f t="shared" ref="F283:X283" si="550">F370/F37*100</f>
        <v>#DIV/0!</v>
      </c>
      <c r="G283" s="245" t="e">
        <f t="shared" si="550"/>
        <v>#DIV/0!</v>
      </c>
      <c r="H283" s="245" t="e">
        <f t="shared" si="550"/>
        <v>#DIV/0!</v>
      </c>
      <c r="I283" s="245" t="e">
        <f t="shared" si="550"/>
        <v>#DIV/0!</v>
      </c>
      <c r="J283" s="245" t="e">
        <f t="shared" si="550"/>
        <v>#DIV/0!</v>
      </c>
      <c r="K283" s="245" t="e">
        <f t="shared" si="550"/>
        <v>#DIV/0!</v>
      </c>
      <c r="M283" s="245">
        <f t="shared" si="550"/>
        <v>0</v>
      </c>
      <c r="N283" s="245">
        <f t="shared" si="550"/>
        <v>0</v>
      </c>
      <c r="O283" s="245">
        <f t="shared" si="550"/>
        <v>0</v>
      </c>
      <c r="P283" s="245">
        <f t="shared" si="550"/>
        <v>0</v>
      </c>
      <c r="Q283" s="245">
        <f t="shared" si="550"/>
        <v>0</v>
      </c>
      <c r="R283" s="245">
        <f t="shared" si="550"/>
        <v>0</v>
      </c>
      <c r="S283" s="245">
        <f t="shared" si="550"/>
        <v>0</v>
      </c>
      <c r="T283" s="245">
        <f t="shared" si="550"/>
        <v>0</v>
      </c>
      <c r="U283" s="245">
        <f t="shared" si="550"/>
        <v>0</v>
      </c>
      <c r="V283" s="245">
        <f t="shared" si="550"/>
        <v>0</v>
      </c>
      <c r="W283" s="245">
        <f t="shared" si="550"/>
        <v>0</v>
      </c>
      <c r="X283" s="245">
        <f t="shared" si="550"/>
        <v>0</v>
      </c>
      <c r="Y283" s="245">
        <f>Y370/Y37*100</f>
        <v>0</v>
      </c>
      <c r="Z283" s="245">
        <f>Z370/Z37*100</f>
        <v>0</v>
      </c>
      <c r="AA283" s="245">
        <f>AA370/AA37*100</f>
        <v>0</v>
      </c>
      <c r="AB283" s="245">
        <f>AB370/AB37*100</f>
        <v>0</v>
      </c>
      <c r="AC283" s="245">
        <f t="shared" ref="AC283:AD283" si="551">AC370/AC37*100</f>
        <v>0</v>
      </c>
      <c r="AD283" s="245">
        <f t="shared" si="551"/>
        <v>0</v>
      </c>
      <c r="AF283" s="580">
        <f t="shared" ref="AF283:BK283" si="552">AF370/AF37*100</f>
        <v>0</v>
      </c>
      <c r="AG283" s="580">
        <f t="shared" si="552"/>
        <v>0</v>
      </c>
      <c r="AH283" s="580">
        <f t="shared" si="552"/>
        <v>0</v>
      </c>
      <c r="AI283" s="580">
        <f t="shared" si="552"/>
        <v>0</v>
      </c>
      <c r="AJ283" s="580">
        <f t="shared" si="552"/>
        <v>0</v>
      </c>
      <c r="AK283" s="580">
        <f t="shared" si="552"/>
        <v>0</v>
      </c>
      <c r="AL283" s="580">
        <f t="shared" si="552"/>
        <v>0</v>
      </c>
      <c r="AM283" s="580">
        <f t="shared" si="552"/>
        <v>0</v>
      </c>
      <c r="AN283" s="580">
        <f t="shared" si="552"/>
        <v>0</v>
      </c>
      <c r="AO283" s="580">
        <f t="shared" si="552"/>
        <v>0</v>
      </c>
      <c r="AP283" s="580">
        <f t="shared" si="552"/>
        <v>0</v>
      </c>
      <c r="AQ283" s="580">
        <f t="shared" si="552"/>
        <v>0</v>
      </c>
      <c r="AR283" s="580">
        <f t="shared" si="552"/>
        <v>0</v>
      </c>
      <c r="AS283" s="580">
        <f t="shared" si="552"/>
        <v>0</v>
      </c>
      <c r="AT283" s="580">
        <f t="shared" si="552"/>
        <v>0</v>
      </c>
      <c r="AU283" s="580">
        <f t="shared" si="552"/>
        <v>0</v>
      </c>
      <c r="AV283" s="580">
        <f t="shared" si="552"/>
        <v>0</v>
      </c>
      <c r="AW283" s="580">
        <f t="shared" si="552"/>
        <v>0</v>
      </c>
      <c r="AX283" s="580">
        <f t="shared" si="552"/>
        <v>0</v>
      </c>
      <c r="AY283" s="580">
        <f t="shared" si="552"/>
        <v>0</v>
      </c>
      <c r="AZ283" s="580">
        <f t="shared" si="552"/>
        <v>0</v>
      </c>
      <c r="BA283" s="580">
        <f t="shared" si="552"/>
        <v>0</v>
      </c>
      <c r="BB283" s="580">
        <f t="shared" si="552"/>
        <v>0</v>
      </c>
      <c r="BC283" s="580">
        <f t="shared" si="552"/>
        <v>0</v>
      </c>
      <c r="BD283" s="580">
        <f t="shared" si="552"/>
        <v>0</v>
      </c>
      <c r="BE283" s="580">
        <f t="shared" si="552"/>
        <v>0</v>
      </c>
      <c r="BF283" s="580">
        <f t="shared" si="552"/>
        <v>0</v>
      </c>
      <c r="BG283" s="580">
        <f t="shared" si="552"/>
        <v>0</v>
      </c>
      <c r="BH283" s="580">
        <f t="shared" si="552"/>
        <v>0</v>
      </c>
      <c r="BI283" s="580">
        <f t="shared" si="552"/>
        <v>0</v>
      </c>
      <c r="BJ283" s="580">
        <f t="shared" si="552"/>
        <v>0</v>
      </c>
      <c r="BK283" s="580">
        <f t="shared" si="552"/>
        <v>0</v>
      </c>
    </row>
    <row r="284" spans="1:63" s="248" customFormat="1">
      <c r="A284" s="247"/>
      <c r="B284" s="220"/>
      <c r="C284" s="253"/>
      <c r="D284" s="247"/>
      <c r="AF284" s="581"/>
      <c r="AG284" s="581"/>
      <c r="AH284" s="581"/>
      <c r="AI284" s="581"/>
      <c r="AJ284" s="581"/>
      <c r="AK284" s="581"/>
      <c r="AL284" s="581"/>
      <c r="AM284" s="581"/>
      <c r="AN284" s="581"/>
      <c r="AO284" s="581"/>
      <c r="AP284" s="581"/>
      <c r="AQ284" s="581"/>
      <c r="AR284" s="581"/>
      <c r="AS284" s="581"/>
      <c r="AT284" s="581"/>
      <c r="AU284" s="581"/>
      <c r="AV284" s="581"/>
      <c r="AW284" s="581"/>
      <c r="AX284" s="581"/>
      <c r="AY284" s="581"/>
      <c r="AZ284" s="581"/>
      <c r="BA284" s="581"/>
      <c r="BB284" s="581"/>
      <c r="BC284" s="581"/>
      <c r="BD284" s="581"/>
      <c r="BE284" s="581"/>
      <c r="BF284" s="581"/>
      <c r="BG284" s="581"/>
      <c r="BH284" s="581"/>
      <c r="BI284" s="581"/>
      <c r="BJ284" s="581"/>
      <c r="BK284" s="581"/>
    </row>
    <row r="285" spans="1:63" s="248" customFormat="1">
      <c r="A285" s="247"/>
      <c r="B285" s="220"/>
      <c r="C285" s="253"/>
      <c r="D285" s="247"/>
      <c r="AF285" s="581"/>
      <c r="AG285" s="581"/>
      <c r="AH285" s="581"/>
      <c r="AI285" s="581"/>
      <c r="AJ285" s="581"/>
      <c r="AK285" s="581"/>
      <c r="AL285" s="581"/>
      <c r="AM285" s="581"/>
      <c r="AN285" s="581"/>
      <c r="AO285" s="581"/>
      <c r="AP285" s="581"/>
      <c r="AQ285" s="581"/>
      <c r="AR285" s="581"/>
      <c r="AS285" s="581"/>
      <c r="AT285" s="581"/>
      <c r="AU285" s="581"/>
      <c r="AV285" s="581"/>
      <c r="AW285" s="581"/>
      <c r="AX285" s="581"/>
      <c r="AY285" s="581"/>
      <c r="AZ285" s="581"/>
      <c r="BA285" s="581"/>
      <c r="BB285" s="581"/>
      <c r="BC285" s="581"/>
      <c r="BD285" s="581"/>
      <c r="BE285" s="581"/>
      <c r="BF285" s="581"/>
      <c r="BG285" s="581"/>
      <c r="BH285" s="581"/>
      <c r="BI285" s="581"/>
      <c r="BJ285" s="581"/>
      <c r="BK285" s="581"/>
    </row>
    <row r="286" spans="1:63" s="248" customFormat="1">
      <c r="A286" s="247"/>
      <c r="B286" s="220"/>
      <c r="C286" s="277" t="s">
        <v>1442</v>
      </c>
      <c r="D286" s="247"/>
      <c r="AF286" s="581"/>
      <c r="AG286" s="581"/>
      <c r="AH286" s="581"/>
      <c r="AI286" s="581"/>
      <c r="AJ286" s="581"/>
      <c r="AK286" s="581"/>
      <c r="AL286" s="581"/>
      <c r="AM286" s="581"/>
      <c r="AN286" s="581"/>
      <c r="AO286" s="581"/>
      <c r="AP286" s="581"/>
      <c r="AQ286" s="581"/>
      <c r="AR286" s="581"/>
      <c r="AS286" s="581"/>
      <c r="AT286" s="581"/>
      <c r="AU286" s="581"/>
      <c r="AV286" s="581"/>
      <c r="AW286" s="581"/>
      <c r="AX286" s="581"/>
      <c r="AY286" s="581"/>
      <c r="AZ286" s="581"/>
      <c r="BA286" s="581"/>
      <c r="BB286" s="581"/>
      <c r="BC286" s="581"/>
      <c r="BD286" s="581"/>
      <c r="BE286" s="581"/>
      <c r="BF286" s="581"/>
      <c r="BG286" s="581"/>
      <c r="BH286" s="581"/>
      <c r="BI286" s="581"/>
      <c r="BJ286" s="581"/>
      <c r="BK286" s="581"/>
    </row>
    <row r="287" spans="1:63" s="245" customFormat="1">
      <c r="A287" s="243"/>
      <c r="B287" s="246" t="s">
        <v>1443</v>
      </c>
      <c r="C287" s="252" t="s">
        <v>1444</v>
      </c>
      <c r="D287" s="243"/>
      <c r="F287" s="245" t="e">
        <f t="shared" ref="F287:X287" si="553">(F92-F99)/F$40</f>
        <v>#DIV/0!</v>
      </c>
      <c r="G287" s="245" t="e">
        <f t="shared" si="553"/>
        <v>#DIV/0!</v>
      </c>
      <c r="H287" s="245" t="e">
        <f t="shared" si="553"/>
        <v>#DIV/0!</v>
      </c>
      <c r="I287" s="245" t="e">
        <f t="shared" si="553"/>
        <v>#DIV/0!</v>
      </c>
      <c r="J287" s="245" t="e">
        <f t="shared" si="553"/>
        <v>#DIV/0!</v>
      </c>
      <c r="K287" s="245" t="e">
        <f t="shared" si="553"/>
        <v>#DIV/0!</v>
      </c>
      <c r="M287" s="245">
        <f t="shared" si="553"/>
        <v>0.12472384811218784</v>
      </c>
      <c r="N287" s="245">
        <f t="shared" si="553"/>
        <v>0.15970305668801124</v>
      </c>
      <c r="O287" s="245">
        <f t="shared" si="553"/>
        <v>0.13714836323141116</v>
      </c>
      <c r="P287" s="245">
        <f t="shared" si="553"/>
        <v>0.14523521630392097</v>
      </c>
      <c r="Q287" s="245">
        <f t="shared" si="553"/>
        <v>0.1341503332700916</v>
      </c>
      <c r="R287" s="245">
        <f t="shared" si="553"/>
        <v>9.1862547757279395E-2</v>
      </c>
      <c r="S287" s="245">
        <f t="shared" si="553"/>
        <v>9.1303159115170993E-2</v>
      </c>
      <c r="T287" s="245">
        <f t="shared" si="553"/>
        <v>0.15691201845459574</v>
      </c>
      <c r="U287" s="245">
        <f t="shared" si="553"/>
        <v>0.15947940722870688</v>
      </c>
      <c r="V287" s="245">
        <f t="shared" si="553"/>
        <v>0.15382523818448277</v>
      </c>
      <c r="W287" s="245">
        <f t="shared" si="553"/>
        <v>0.13978322019277667</v>
      </c>
      <c r="X287" s="245">
        <f t="shared" si="553"/>
        <v>0.16317518391266086</v>
      </c>
      <c r="Y287" s="245">
        <f>(Y92-Y99)/Y$40</f>
        <v>0.14781642244289175</v>
      </c>
      <c r="Z287" s="245">
        <f>(Z92-Z99)/Z$40</f>
        <v>0.17398297745735064</v>
      </c>
      <c r="AA287" s="245">
        <f>(AA92-AA99)/AA$40</f>
        <v>0.17584491525579465</v>
      </c>
      <c r="AB287" s="245">
        <f>(AB92-AB99)/AB$40</f>
        <v>0.16765425974425538</v>
      </c>
      <c r="AC287" s="245">
        <f t="shared" ref="AC287:AD287" si="554">(AC92-AC99)/AC$40</f>
        <v>0.16768951417157274</v>
      </c>
      <c r="AD287" s="245">
        <f t="shared" si="554"/>
        <v>0.15507549767998841</v>
      </c>
      <c r="AF287" s="580">
        <f t="shared" ref="AF287:BK287" si="555">(AF92-AF99)/AF$40</f>
        <v>0.12548464129734038</v>
      </c>
      <c r="AG287" s="580">
        <f t="shared" si="555"/>
        <v>0.13606489406683983</v>
      </c>
      <c r="AH287" s="580">
        <f t="shared" si="555"/>
        <v>0.13906075390444006</v>
      </c>
      <c r="AI287" s="580">
        <f t="shared" si="555"/>
        <v>0.13863975276090845</v>
      </c>
      <c r="AJ287" s="580">
        <f t="shared" si="555"/>
        <v>0.10718232044198897</v>
      </c>
      <c r="AK287" s="580">
        <f t="shared" si="555"/>
        <v>0.14552336757246528</v>
      </c>
      <c r="AL287" s="580">
        <f t="shared" si="555"/>
        <v>0.10589105447276358</v>
      </c>
      <c r="AM287" s="580">
        <f t="shared" si="555"/>
        <v>8.2841235026151552E-2</v>
      </c>
      <c r="AN287" s="580">
        <f t="shared" si="555"/>
        <v>7.5784262388727638E-2</v>
      </c>
      <c r="AO287" s="580">
        <f t="shared" si="555"/>
        <v>9.6518248490246969E-2</v>
      </c>
      <c r="AP287" s="580">
        <f t="shared" si="555"/>
        <v>0.10808330559650031</v>
      </c>
      <c r="AQ287" s="580">
        <f t="shared" si="555"/>
        <v>0.12219856536813552</v>
      </c>
      <c r="AR287" s="580">
        <f t="shared" si="555"/>
        <v>0.13577681133390623</v>
      </c>
      <c r="AS287" s="580">
        <f t="shared" si="555"/>
        <v>0.15537954846909616</v>
      </c>
      <c r="AT287" s="580">
        <f t="shared" si="555"/>
        <v>0.15808529683967781</v>
      </c>
      <c r="AU287" s="580">
        <f t="shared" si="555"/>
        <v>0.17002750444924913</v>
      </c>
      <c r="AV287" s="580">
        <f t="shared" si="555"/>
        <v>0.15170717161174882</v>
      </c>
      <c r="AW287" s="580">
        <f t="shared" si="555"/>
        <v>0.15709541160158638</v>
      </c>
      <c r="AX287" s="580">
        <f t="shared" si="555"/>
        <v>0.15970725961676585</v>
      </c>
      <c r="AY287" s="580">
        <f t="shared" si="555"/>
        <v>0.16307943225109109</v>
      </c>
      <c r="AZ287" s="580">
        <f t="shared" si="555"/>
        <v>0.15108716207458547</v>
      </c>
      <c r="BA287" s="580">
        <f t="shared" si="555"/>
        <v>0.15590838500472723</v>
      </c>
      <c r="BB287" s="580">
        <f t="shared" si="555"/>
        <v>0.1712933899464287</v>
      </c>
      <c r="BC287" s="580">
        <f t="shared" si="555"/>
        <v>0.16463073800801456</v>
      </c>
      <c r="BD287" s="580">
        <f t="shared" si="555"/>
        <v>0.14764492381300778</v>
      </c>
      <c r="BE287" s="580">
        <f t="shared" si="555"/>
        <v>0.14895623843616762</v>
      </c>
      <c r="BF287" s="580">
        <f t="shared" si="555"/>
        <v>0.15126249143220297</v>
      </c>
      <c r="BG287" s="580">
        <f t="shared" si="555"/>
        <v>0.1613342940452715</v>
      </c>
      <c r="BH287" s="580">
        <f t="shared" si="555"/>
        <v>0.16975457586808643</v>
      </c>
      <c r="BI287" s="580">
        <f t="shared" si="555"/>
        <v>0.16937944574667282</v>
      </c>
      <c r="BJ287" s="580">
        <f t="shared" si="555"/>
        <v>0.15766754234843816</v>
      </c>
      <c r="BK287" s="580">
        <f t="shared" si="555"/>
        <v>0.16210117409965755</v>
      </c>
    </row>
    <row r="288" spans="1:63" s="245" customFormat="1">
      <c r="A288" s="243"/>
      <c r="B288" s="246" t="s">
        <v>1445</v>
      </c>
      <c r="C288" s="252" t="s">
        <v>1446</v>
      </c>
      <c r="D288" s="243"/>
      <c r="F288" s="245" t="e">
        <f t="shared" ref="F288:X288" si="556">F271</f>
        <v>#DIV/0!</v>
      </c>
      <c r="G288" s="245" t="e">
        <f t="shared" si="556"/>
        <v>#DIV/0!</v>
      </c>
      <c r="H288" s="245" t="e">
        <f t="shared" si="556"/>
        <v>#DIV/0!</v>
      </c>
      <c r="I288" s="245" t="e">
        <f t="shared" si="556"/>
        <v>#DIV/0!</v>
      </c>
      <c r="J288" s="245" t="e">
        <f t="shared" si="556"/>
        <v>#DIV/0!</v>
      </c>
      <c r="K288" s="245" t="e">
        <f t="shared" si="556"/>
        <v>#DIV/0!</v>
      </c>
      <c r="M288" s="245">
        <f t="shared" si="556"/>
        <v>2.0383257168730728</v>
      </c>
      <c r="N288" s="245">
        <f t="shared" si="556"/>
        <v>1.1034188623552035</v>
      </c>
      <c r="O288" s="245">
        <f t="shared" si="556"/>
        <v>1.1563557174241441</v>
      </c>
      <c r="P288" s="245">
        <f t="shared" si="556"/>
        <v>1.3129504098510116</v>
      </c>
      <c r="Q288" s="245">
        <f t="shared" si="556"/>
        <v>1.4185959017313008</v>
      </c>
      <c r="R288" s="245">
        <f t="shared" si="556"/>
        <v>1.8268565163558328</v>
      </c>
      <c r="S288" s="245">
        <f t="shared" si="556"/>
        <v>3.2108865672555496</v>
      </c>
      <c r="T288" s="245">
        <f t="shared" si="556"/>
        <v>3.3463892439309277</v>
      </c>
      <c r="U288" s="245">
        <f t="shared" si="556"/>
        <v>3.440062827446138</v>
      </c>
      <c r="V288" s="245">
        <f t="shared" si="556"/>
        <v>3.4105607394071114</v>
      </c>
      <c r="W288" s="245">
        <f t="shared" si="556"/>
        <v>2.8016566153641098</v>
      </c>
      <c r="X288" s="245">
        <f t="shared" si="556"/>
        <v>2.251687320855619</v>
      </c>
      <c r="Y288" s="245">
        <f>Y271</f>
        <v>2.0826381592938596</v>
      </c>
      <c r="Z288" s="245">
        <f>Z271</f>
        <v>1.9150933481247334</v>
      </c>
      <c r="AA288" s="245">
        <f>AA271</f>
        <v>1.6176370676407867</v>
      </c>
      <c r="AB288" s="245">
        <f>AB271</f>
        <v>1.7261864331780954</v>
      </c>
      <c r="AC288" s="245">
        <f t="shared" ref="AC288:AD288" si="557">AC271</f>
        <v>1.745423719331189</v>
      </c>
      <c r="AD288" s="245">
        <f t="shared" si="557"/>
        <v>1.6448458861647</v>
      </c>
      <c r="AF288" s="580" t="e">
        <f t="shared" ref="AF288:BK288" si="558">AF271</f>
        <v>#DIV/0!</v>
      </c>
      <c r="AG288" s="580" t="e">
        <f t="shared" si="558"/>
        <v>#DIV/0!</v>
      </c>
      <c r="AH288" s="580" t="e">
        <f t="shared" si="558"/>
        <v>#DIV/0!</v>
      </c>
      <c r="AI288" s="580" t="e">
        <f t="shared" si="558"/>
        <v>#DIV/0!</v>
      </c>
      <c r="AJ288" s="580" t="e">
        <f t="shared" si="558"/>
        <v>#DIV/0!</v>
      </c>
      <c r="AK288" s="580" t="e">
        <f t="shared" si="558"/>
        <v>#DIV/0!</v>
      </c>
      <c r="AL288" s="580" t="e">
        <f t="shared" si="558"/>
        <v>#DIV/0!</v>
      </c>
      <c r="AM288" s="580" t="e">
        <f t="shared" si="558"/>
        <v>#DIV/0!</v>
      </c>
      <c r="AN288" s="580" t="e">
        <f t="shared" si="558"/>
        <v>#DIV/0!</v>
      </c>
      <c r="AO288" s="580" t="e">
        <f t="shared" si="558"/>
        <v>#DIV/0!</v>
      </c>
      <c r="AP288" s="580" t="e">
        <f t="shared" si="558"/>
        <v>#DIV/0!</v>
      </c>
      <c r="AQ288" s="580" t="e">
        <f t="shared" si="558"/>
        <v>#DIV/0!</v>
      </c>
      <c r="AR288" s="580" t="e">
        <f t="shared" si="558"/>
        <v>#DIV/0!</v>
      </c>
      <c r="AS288" s="580" t="e">
        <f t="shared" si="558"/>
        <v>#DIV/0!</v>
      </c>
      <c r="AT288" s="580" t="e">
        <f t="shared" si="558"/>
        <v>#DIV/0!</v>
      </c>
      <c r="AU288" s="580" t="e">
        <f t="shared" si="558"/>
        <v>#DIV/0!</v>
      </c>
      <c r="AV288" s="580" t="e">
        <f t="shared" si="558"/>
        <v>#DIV/0!</v>
      </c>
      <c r="AW288" s="580" t="e">
        <f t="shared" si="558"/>
        <v>#DIV/0!</v>
      </c>
      <c r="AX288" s="580" t="e">
        <f t="shared" si="558"/>
        <v>#DIV/0!</v>
      </c>
      <c r="AY288" s="580" t="e">
        <f t="shared" si="558"/>
        <v>#DIV/0!</v>
      </c>
      <c r="AZ288" s="580" t="e">
        <f t="shared" si="558"/>
        <v>#DIV/0!</v>
      </c>
      <c r="BA288" s="580" t="e">
        <f t="shared" si="558"/>
        <v>#DIV/0!</v>
      </c>
      <c r="BB288" s="580" t="e">
        <f t="shared" si="558"/>
        <v>#DIV/0!</v>
      </c>
      <c r="BC288" s="580" t="e">
        <f t="shared" si="558"/>
        <v>#DIV/0!</v>
      </c>
      <c r="BD288" s="580" t="e">
        <f t="shared" si="558"/>
        <v>#DIV/0!</v>
      </c>
      <c r="BE288" s="580" t="e">
        <f t="shared" si="558"/>
        <v>#DIV/0!</v>
      </c>
      <c r="BF288" s="580" t="e">
        <f t="shared" si="558"/>
        <v>#DIV/0!</v>
      </c>
      <c r="BG288" s="580" t="e">
        <f t="shared" si="558"/>
        <v>#DIV/0!</v>
      </c>
      <c r="BH288" s="580" t="e">
        <f t="shared" si="558"/>
        <v>#DIV/0!</v>
      </c>
      <c r="BI288" s="580" t="e">
        <f t="shared" si="558"/>
        <v>#DIV/0!</v>
      </c>
      <c r="BJ288" s="580" t="e">
        <f t="shared" si="558"/>
        <v>#DIV/0!</v>
      </c>
      <c r="BK288" s="580" t="e">
        <f t="shared" si="558"/>
        <v>#DIV/0!</v>
      </c>
    </row>
    <row r="289" spans="1:63" s="245" customFormat="1">
      <c r="A289" s="243"/>
      <c r="B289" s="246" t="s">
        <v>1447</v>
      </c>
      <c r="C289" s="252" t="s">
        <v>1448</v>
      </c>
      <c r="D289" s="243"/>
      <c r="F289" s="245" t="e">
        <f t="shared" ref="F289:X289" si="559">F340/F338</f>
        <v>#DIV/0!</v>
      </c>
      <c r="G289" s="245" t="e">
        <f t="shared" si="559"/>
        <v>#DIV/0!</v>
      </c>
      <c r="H289" s="245" t="e">
        <f t="shared" si="559"/>
        <v>#DIV/0!</v>
      </c>
      <c r="I289" s="245" t="e">
        <f t="shared" si="559"/>
        <v>#DIV/0!</v>
      </c>
      <c r="J289" s="245" t="e">
        <f t="shared" si="559"/>
        <v>#DIV/0!</v>
      </c>
      <c r="K289" s="245" t="e">
        <f t="shared" si="559"/>
        <v>#DIV/0!</v>
      </c>
      <c r="M289" s="245">
        <f t="shared" si="559"/>
        <v>1.3141824101022119</v>
      </c>
      <c r="N289" s="245">
        <f t="shared" si="559"/>
        <v>1.3103520742327563</v>
      </c>
      <c r="O289" s="245">
        <f t="shared" si="559"/>
        <v>1.3202161682278819</v>
      </c>
      <c r="P289" s="245">
        <f t="shared" si="559"/>
        <v>1.3293789915395855</v>
      </c>
      <c r="Q289" s="245">
        <f t="shared" si="559"/>
        <v>1.3168755532381653</v>
      </c>
      <c r="R289" s="245">
        <f t="shared" si="559"/>
        <v>1.448590646950165</v>
      </c>
      <c r="S289" s="245">
        <f t="shared" si="559"/>
        <v>2.1447340114402382</v>
      </c>
      <c r="T289" s="245">
        <f t="shared" si="559"/>
        <v>1.6952293626679344</v>
      </c>
      <c r="U289" s="245">
        <f t="shared" si="559"/>
        <v>1.2162524395886249</v>
      </c>
      <c r="V289" s="245">
        <f t="shared" si="559"/>
        <v>1.0457279710918721</v>
      </c>
      <c r="W289" s="245">
        <f t="shared" si="559"/>
        <v>1.0238320064117212</v>
      </c>
      <c r="X289" s="245">
        <f t="shared" si="559"/>
        <v>1.0221182635849662</v>
      </c>
      <c r="Y289" s="245">
        <f>Y340/Y338</f>
        <v>1.0223805496168761</v>
      </c>
      <c r="Z289" s="245">
        <f>Z340/Z338</f>
        <v>1.0262854213356014</v>
      </c>
      <c r="AA289" s="245">
        <f>AA340/AA338</f>
        <v>1.0267628246617528</v>
      </c>
      <c r="AB289" s="245">
        <f>AB340/AB338</f>
        <v>1.0236208826599549</v>
      </c>
      <c r="AC289" s="245">
        <f t="shared" ref="AC289:AD289" si="560">AC340/AC338</f>
        <v>1.0205637108764933</v>
      </c>
      <c r="AD289" s="245">
        <f t="shared" si="560"/>
        <v>1.0166500417016178</v>
      </c>
      <c r="AF289" s="580" t="e">
        <f t="shared" ref="AF289:BK289" si="561">AF340/AF338</f>
        <v>#DIV/0!</v>
      </c>
      <c r="AG289" s="580" t="e">
        <f t="shared" si="561"/>
        <v>#DIV/0!</v>
      </c>
      <c r="AH289" s="580" t="e">
        <f t="shared" si="561"/>
        <v>#DIV/0!</v>
      </c>
      <c r="AI289" s="580" t="e">
        <f t="shared" si="561"/>
        <v>#DIV/0!</v>
      </c>
      <c r="AJ289" s="580" t="e">
        <f t="shared" si="561"/>
        <v>#DIV/0!</v>
      </c>
      <c r="AK289" s="580" t="e">
        <f t="shared" si="561"/>
        <v>#DIV/0!</v>
      </c>
      <c r="AL289" s="580" t="e">
        <f t="shared" si="561"/>
        <v>#DIV/0!</v>
      </c>
      <c r="AM289" s="580" t="e">
        <f t="shared" si="561"/>
        <v>#DIV/0!</v>
      </c>
      <c r="AN289" s="580" t="e">
        <f t="shared" si="561"/>
        <v>#DIV/0!</v>
      </c>
      <c r="AO289" s="580" t="e">
        <f t="shared" si="561"/>
        <v>#DIV/0!</v>
      </c>
      <c r="AP289" s="580" t="e">
        <f t="shared" si="561"/>
        <v>#DIV/0!</v>
      </c>
      <c r="AQ289" s="580" t="e">
        <f t="shared" si="561"/>
        <v>#DIV/0!</v>
      </c>
      <c r="AR289" s="580" t="e">
        <f t="shared" si="561"/>
        <v>#DIV/0!</v>
      </c>
      <c r="AS289" s="580" t="e">
        <f t="shared" si="561"/>
        <v>#DIV/0!</v>
      </c>
      <c r="AT289" s="580" t="e">
        <f t="shared" si="561"/>
        <v>#DIV/0!</v>
      </c>
      <c r="AU289" s="580" t="e">
        <f t="shared" si="561"/>
        <v>#DIV/0!</v>
      </c>
      <c r="AV289" s="580" t="e">
        <f t="shared" si="561"/>
        <v>#DIV/0!</v>
      </c>
      <c r="AW289" s="580" t="e">
        <f t="shared" si="561"/>
        <v>#DIV/0!</v>
      </c>
      <c r="AX289" s="580" t="e">
        <f t="shared" si="561"/>
        <v>#DIV/0!</v>
      </c>
      <c r="AY289" s="580" t="e">
        <f t="shared" si="561"/>
        <v>#DIV/0!</v>
      </c>
      <c r="AZ289" s="580" t="e">
        <f t="shared" si="561"/>
        <v>#DIV/0!</v>
      </c>
      <c r="BA289" s="580" t="e">
        <f t="shared" si="561"/>
        <v>#DIV/0!</v>
      </c>
      <c r="BB289" s="580" t="e">
        <f t="shared" si="561"/>
        <v>#DIV/0!</v>
      </c>
      <c r="BC289" s="580" t="e">
        <f t="shared" si="561"/>
        <v>#DIV/0!</v>
      </c>
      <c r="BD289" s="580" t="e">
        <f t="shared" si="561"/>
        <v>#DIV/0!</v>
      </c>
      <c r="BE289" s="580" t="e">
        <f t="shared" si="561"/>
        <v>#DIV/0!</v>
      </c>
      <c r="BF289" s="580" t="e">
        <f t="shared" si="561"/>
        <v>#DIV/0!</v>
      </c>
      <c r="BG289" s="580" t="e">
        <f t="shared" si="561"/>
        <v>#DIV/0!</v>
      </c>
      <c r="BH289" s="580" t="e">
        <f t="shared" si="561"/>
        <v>#DIV/0!</v>
      </c>
      <c r="BI289" s="580" t="e">
        <f t="shared" si="561"/>
        <v>#DIV/0!</v>
      </c>
      <c r="BJ289" s="580" t="e">
        <f t="shared" si="561"/>
        <v>#DIV/0!</v>
      </c>
      <c r="BK289" s="580" t="e">
        <f t="shared" si="561"/>
        <v>#DIV/0!</v>
      </c>
    </row>
    <row r="290" spans="1:63" s="245" customFormat="1">
      <c r="A290" s="243"/>
      <c r="B290" s="246" t="s">
        <v>1449</v>
      </c>
      <c r="C290" s="252" t="s">
        <v>1450</v>
      </c>
      <c r="D290" s="243"/>
      <c r="F290" s="245" t="e">
        <f t="shared" ref="F290:Y290" si="562">F287*F288*F289*100</f>
        <v>#DIV/0!</v>
      </c>
      <c r="G290" s="245" t="e">
        <f t="shared" si="562"/>
        <v>#DIV/0!</v>
      </c>
      <c r="H290" s="245" t="e">
        <f t="shared" si="562"/>
        <v>#DIV/0!</v>
      </c>
      <c r="I290" s="245" t="e">
        <f t="shared" si="562"/>
        <v>#DIV/0!</v>
      </c>
      <c r="J290" s="245" t="e">
        <f t="shared" si="562"/>
        <v>#DIV/0!</v>
      </c>
      <c r="K290" s="245" t="e">
        <f t="shared" si="562"/>
        <v>#DIV/0!</v>
      </c>
      <c r="M290" s="245">
        <f t="shared" si="562"/>
        <v>33.410173855230788</v>
      </c>
      <c r="N290" s="245">
        <f t="shared" si="562"/>
        <v>23.090941061196077</v>
      </c>
      <c r="O290" s="245">
        <f t="shared" si="562"/>
        <v>20.937611063970795</v>
      </c>
      <c r="P290" s="245">
        <f t="shared" si="562"/>
        <v>25.34948088907516</v>
      </c>
      <c r="Q290" s="245">
        <f t="shared" si="562"/>
        <v>25.06081509564979</v>
      </c>
      <c r="R290" s="245">
        <f t="shared" si="562"/>
        <v>24.31020390726481</v>
      </c>
      <c r="S290" s="245">
        <f t="shared" si="562"/>
        <v>62.875898864536254</v>
      </c>
      <c r="T290" s="245">
        <f t="shared" si="562"/>
        <v>89.014576664893994</v>
      </c>
      <c r="U290" s="245">
        <f t="shared" si="562"/>
        <v>66.725941674980319</v>
      </c>
      <c r="V290" s="245">
        <f t="shared" si="562"/>
        <v>54.862059810111539</v>
      </c>
      <c r="W290" s="245">
        <f t="shared" si="562"/>
        <v>40.095778315661839</v>
      </c>
      <c r="X290" s="245">
        <f t="shared" si="562"/>
        <v>37.554617388009206</v>
      </c>
      <c r="Y290" s="245">
        <f t="shared" si="562"/>
        <v>31.473793211762878</v>
      </c>
      <c r="Z290" s="245">
        <f>Z287*Z288*Z289*100</f>
        <v>34.195177810325717</v>
      </c>
      <c r="AA290" s="245">
        <f>AA287*AA288*AA289*100</f>
        <v>29.206602561040899</v>
      </c>
      <c r="AB290" s="245">
        <f>AB287*AB288*AB289*100</f>
        <v>29.623845133301526</v>
      </c>
      <c r="AC290" s="245">
        <f t="shared" ref="AC290:AD290" si="563">AC287*AC288*AC289*100</f>
        <v>29.87080327453187</v>
      </c>
      <c r="AD290" s="245">
        <f t="shared" si="563"/>
        <v>25.932230869274932</v>
      </c>
      <c r="AF290" s="580" t="e">
        <f t="shared" ref="AF290:BK290" si="564">AF287*AF288*AF289*100</f>
        <v>#DIV/0!</v>
      </c>
      <c r="AG290" s="580" t="e">
        <f t="shared" si="564"/>
        <v>#DIV/0!</v>
      </c>
      <c r="AH290" s="580" t="e">
        <f t="shared" si="564"/>
        <v>#DIV/0!</v>
      </c>
      <c r="AI290" s="580" t="e">
        <f t="shared" si="564"/>
        <v>#DIV/0!</v>
      </c>
      <c r="AJ290" s="580" t="e">
        <f t="shared" si="564"/>
        <v>#DIV/0!</v>
      </c>
      <c r="AK290" s="580" t="e">
        <f t="shared" si="564"/>
        <v>#DIV/0!</v>
      </c>
      <c r="AL290" s="580" t="e">
        <f t="shared" si="564"/>
        <v>#DIV/0!</v>
      </c>
      <c r="AM290" s="580" t="e">
        <f t="shared" si="564"/>
        <v>#DIV/0!</v>
      </c>
      <c r="AN290" s="580" t="e">
        <f t="shared" si="564"/>
        <v>#DIV/0!</v>
      </c>
      <c r="AO290" s="580" t="e">
        <f t="shared" si="564"/>
        <v>#DIV/0!</v>
      </c>
      <c r="AP290" s="580" t="e">
        <f t="shared" si="564"/>
        <v>#DIV/0!</v>
      </c>
      <c r="AQ290" s="580" t="e">
        <f t="shared" si="564"/>
        <v>#DIV/0!</v>
      </c>
      <c r="AR290" s="580" t="e">
        <f t="shared" si="564"/>
        <v>#DIV/0!</v>
      </c>
      <c r="AS290" s="580" t="e">
        <f t="shared" si="564"/>
        <v>#DIV/0!</v>
      </c>
      <c r="AT290" s="580" t="e">
        <f t="shared" si="564"/>
        <v>#DIV/0!</v>
      </c>
      <c r="AU290" s="580" t="e">
        <f t="shared" si="564"/>
        <v>#DIV/0!</v>
      </c>
      <c r="AV290" s="580" t="e">
        <f t="shared" si="564"/>
        <v>#DIV/0!</v>
      </c>
      <c r="AW290" s="580" t="e">
        <f t="shared" si="564"/>
        <v>#DIV/0!</v>
      </c>
      <c r="AX290" s="580" t="e">
        <f t="shared" si="564"/>
        <v>#DIV/0!</v>
      </c>
      <c r="AY290" s="580" t="e">
        <f t="shared" si="564"/>
        <v>#DIV/0!</v>
      </c>
      <c r="AZ290" s="580" t="e">
        <f t="shared" si="564"/>
        <v>#DIV/0!</v>
      </c>
      <c r="BA290" s="580" t="e">
        <f t="shared" si="564"/>
        <v>#DIV/0!</v>
      </c>
      <c r="BB290" s="580" t="e">
        <f t="shared" si="564"/>
        <v>#DIV/0!</v>
      </c>
      <c r="BC290" s="580" t="e">
        <f t="shared" si="564"/>
        <v>#DIV/0!</v>
      </c>
      <c r="BD290" s="580" t="e">
        <f t="shared" si="564"/>
        <v>#DIV/0!</v>
      </c>
      <c r="BE290" s="580" t="e">
        <f t="shared" si="564"/>
        <v>#DIV/0!</v>
      </c>
      <c r="BF290" s="580" t="e">
        <f t="shared" si="564"/>
        <v>#DIV/0!</v>
      </c>
      <c r="BG290" s="580" t="e">
        <f t="shared" si="564"/>
        <v>#DIV/0!</v>
      </c>
      <c r="BH290" s="580" t="e">
        <f t="shared" si="564"/>
        <v>#DIV/0!</v>
      </c>
      <c r="BI290" s="580" t="e">
        <f t="shared" si="564"/>
        <v>#DIV/0!</v>
      </c>
      <c r="BJ290" s="580" t="e">
        <f t="shared" si="564"/>
        <v>#DIV/0!</v>
      </c>
      <c r="BK290" s="580" t="e">
        <f t="shared" si="564"/>
        <v>#DIV/0!</v>
      </c>
    </row>
    <row r="291" spans="1:63" s="245" customFormat="1">
      <c r="A291" s="243"/>
      <c r="B291" s="243"/>
      <c r="C291" s="243" t="s">
        <v>1179</v>
      </c>
      <c r="D291" s="278"/>
      <c r="E291" s="279"/>
      <c r="F291" s="245" t="e">
        <f t="shared" ref="F291:Y291" si="565">F290-F262</f>
        <v>#DIV/0!</v>
      </c>
      <c r="G291" s="245" t="e">
        <f t="shared" si="565"/>
        <v>#DIV/0!</v>
      </c>
      <c r="H291" s="245" t="e">
        <f t="shared" si="565"/>
        <v>#DIV/0!</v>
      </c>
      <c r="I291" s="245" t="e">
        <f t="shared" si="565"/>
        <v>#DIV/0!</v>
      </c>
      <c r="J291" s="245" t="e">
        <f t="shared" si="565"/>
        <v>#DIV/0!</v>
      </c>
      <c r="K291" s="245" t="e">
        <f t="shared" si="565"/>
        <v>#DIV/0!</v>
      </c>
      <c r="M291" s="245">
        <f t="shared" si="565"/>
        <v>0</v>
      </c>
      <c r="N291" s="245">
        <f t="shared" si="565"/>
        <v>0</v>
      </c>
      <c r="O291" s="245">
        <f t="shared" si="565"/>
        <v>0</v>
      </c>
      <c r="P291" s="245">
        <f t="shared" si="565"/>
        <v>0</v>
      </c>
      <c r="Q291" s="245">
        <f t="shared" si="565"/>
        <v>0</v>
      </c>
      <c r="R291" s="245">
        <f t="shared" si="565"/>
        <v>0</v>
      </c>
      <c r="S291" s="245">
        <f t="shared" si="565"/>
        <v>0</v>
      </c>
      <c r="T291" s="245">
        <f t="shared" si="565"/>
        <v>14.045361725847499</v>
      </c>
      <c r="U291" s="245">
        <f t="shared" si="565"/>
        <v>-5.5460367210601476</v>
      </c>
      <c r="V291" s="245">
        <f t="shared" si="565"/>
        <v>0</v>
      </c>
      <c r="W291" s="245">
        <f t="shared" si="565"/>
        <v>-1.0684490424568054</v>
      </c>
      <c r="X291" s="245">
        <f t="shared" si="565"/>
        <v>0.15293006849602619</v>
      </c>
      <c r="Y291" s="245">
        <f t="shared" si="565"/>
        <v>1.1257768928311265</v>
      </c>
      <c r="Z291" s="245">
        <f>Z290-Z262</f>
        <v>5.9511773272902246E-5</v>
      </c>
      <c r="AA291" s="245">
        <f>AA290-AA262</f>
        <v>0</v>
      </c>
      <c r="AB291" s="245">
        <f>AB290-AB262</f>
        <v>29.623845133301526</v>
      </c>
      <c r="AC291" s="245">
        <f t="shared" ref="AC291:AD291" si="566">AC290-AC262</f>
        <v>29.87080327453187</v>
      </c>
      <c r="AD291" s="245">
        <f t="shared" si="566"/>
        <v>25.932230869274932</v>
      </c>
      <c r="AF291" s="580" t="e">
        <f t="shared" ref="AF291:BK291" si="567">AF290-AF262</f>
        <v>#DIV/0!</v>
      </c>
      <c r="AG291" s="580" t="e">
        <f t="shared" si="567"/>
        <v>#DIV/0!</v>
      </c>
      <c r="AH291" s="580" t="e">
        <f t="shared" si="567"/>
        <v>#DIV/0!</v>
      </c>
      <c r="AI291" s="580" t="e">
        <f t="shared" si="567"/>
        <v>#DIV/0!</v>
      </c>
      <c r="AJ291" s="580" t="e">
        <f t="shared" si="567"/>
        <v>#DIV/0!</v>
      </c>
      <c r="AK291" s="580" t="e">
        <f t="shared" si="567"/>
        <v>#DIV/0!</v>
      </c>
      <c r="AL291" s="580" t="e">
        <f t="shared" si="567"/>
        <v>#DIV/0!</v>
      </c>
      <c r="AM291" s="580" t="e">
        <f t="shared" si="567"/>
        <v>#DIV/0!</v>
      </c>
      <c r="AN291" s="580" t="e">
        <f t="shared" si="567"/>
        <v>#DIV/0!</v>
      </c>
      <c r="AO291" s="580" t="e">
        <f t="shared" si="567"/>
        <v>#DIV/0!</v>
      </c>
      <c r="AP291" s="580" t="e">
        <f t="shared" si="567"/>
        <v>#DIV/0!</v>
      </c>
      <c r="AQ291" s="580" t="e">
        <f t="shared" si="567"/>
        <v>#DIV/0!</v>
      </c>
      <c r="AR291" s="580" t="e">
        <f t="shared" si="567"/>
        <v>#DIV/0!</v>
      </c>
      <c r="AS291" s="580" t="e">
        <f t="shared" si="567"/>
        <v>#DIV/0!</v>
      </c>
      <c r="AT291" s="580" t="e">
        <f t="shared" si="567"/>
        <v>#DIV/0!</v>
      </c>
      <c r="AU291" s="580" t="e">
        <f t="shared" si="567"/>
        <v>#DIV/0!</v>
      </c>
      <c r="AV291" s="580" t="e">
        <f t="shared" si="567"/>
        <v>#DIV/0!</v>
      </c>
      <c r="AW291" s="580" t="e">
        <f t="shared" si="567"/>
        <v>#DIV/0!</v>
      </c>
      <c r="AX291" s="580" t="e">
        <f t="shared" si="567"/>
        <v>#DIV/0!</v>
      </c>
      <c r="AY291" s="580" t="e">
        <f t="shared" si="567"/>
        <v>#DIV/0!</v>
      </c>
      <c r="AZ291" s="580" t="e">
        <f t="shared" si="567"/>
        <v>#DIV/0!</v>
      </c>
      <c r="BA291" s="580" t="e">
        <f t="shared" si="567"/>
        <v>#DIV/0!</v>
      </c>
      <c r="BB291" s="580" t="e">
        <f t="shared" si="567"/>
        <v>#DIV/0!</v>
      </c>
      <c r="BC291" s="580" t="e">
        <f t="shared" si="567"/>
        <v>#DIV/0!</v>
      </c>
      <c r="BD291" s="580" t="e">
        <f t="shared" si="567"/>
        <v>#DIV/0!</v>
      </c>
      <c r="BE291" s="580" t="e">
        <f t="shared" si="567"/>
        <v>#DIV/0!</v>
      </c>
      <c r="BF291" s="580" t="e">
        <f t="shared" si="567"/>
        <v>#DIV/0!</v>
      </c>
      <c r="BG291" s="580" t="e">
        <f t="shared" si="567"/>
        <v>#DIV/0!</v>
      </c>
      <c r="BH291" s="580" t="e">
        <f t="shared" si="567"/>
        <v>#DIV/0!</v>
      </c>
      <c r="BI291" s="580" t="e">
        <f t="shared" si="567"/>
        <v>#DIV/0!</v>
      </c>
      <c r="BJ291" s="580" t="e">
        <f t="shared" si="567"/>
        <v>#DIV/0!</v>
      </c>
      <c r="BK291" s="580" t="e">
        <f t="shared" si="567"/>
        <v>#DIV/0!</v>
      </c>
    </row>
    <row r="292" spans="1:63" s="248" customFormat="1">
      <c r="A292" s="247"/>
      <c r="B292" s="220"/>
      <c r="C292" s="253"/>
      <c r="D292" s="247"/>
      <c r="AF292" s="581"/>
      <c r="AG292" s="581"/>
      <c r="AH292" s="581"/>
      <c r="AI292" s="581"/>
      <c r="AJ292" s="581"/>
      <c r="AK292" s="581"/>
      <c r="AL292" s="581"/>
      <c r="AM292" s="581"/>
      <c r="AN292" s="581"/>
      <c r="AO292" s="581"/>
      <c r="AP292" s="581"/>
      <c r="AQ292" s="581"/>
      <c r="AR292" s="581"/>
      <c r="AS292" s="581"/>
      <c r="AT292" s="581"/>
      <c r="AU292" s="581"/>
      <c r="AV292" s="581"/>
      <c r="AW292" s="581"/>
      <c r="AX292" s="581"/>
      <c r="AY292" s="581"/>
      <c r="AZ292" s="581"/>
      <c r="BA292" s="581"/>
      <c r="BB292" s="581"/>
      <c r="BC292" s="581"/>
      <c r="BD292" s="581"/>
      <c r="BE292" s="581"/>
      <c r="BF292" s="581"/>
      <c r="BG292" s="581"/>
      <c r="BH292" s="581"/>
      <c r="BI292" s="581"/>
      <c r="BJ292" s="581"/>
      <c r="BK292" s="581"/>
    </row>
    <row r="293" spans="1:63" s="248" customFormat="1">
      <c r="A293" s="247"/>
      <c r="B293" s="220"/>
      <c r="C293" s="271" t="s">
        <v>1451</v>
      </c>
      <c r="D293" s="247"/>
      <c r="AF293" s="581"/>
      <c r="AG293" s="581"/>
      <c r="AH293" s="581"/>
      <c r="AI293" s="581"/>
      <c r="AJ293" s="581"/>
      <c r="AK293" s="581"/>
      <c r="AL293" s="581"/>
      <c r="AM293" s="581"/>
      <c r="AN293" s="581"/>
      <c r="AO293" s="581"/>
      <c r="AP293" s="581"/>
      <c r="AQ293" s="581"/>
      <c r="AR293" s="581"/>
      <c r="AS293" s="581"/>
      <c r="AT293" s="581"/>
      <c r="AU293" s="581"/>
      <c r="AV293" s="581"/>
      <c r="AW293" s="581"/>
      <c r="AX293" s="581"/>
      <c r="AY293" s="581"/>
      <c r="AZ293" s="581"/>
      <c r="BA293" s="581"/>
      <c r="BB293" s="581"/>
      <c r="BC293" s="581"/>
      <c r="BD293" s="581"/>
      <c r="BE293" s="581"/>
      <c r="BF293" s="581"/>
      <c r="BG293" s="581"/>
      <c r="BH293" s="581"/>
      <c r="BI293" s="581"/>
      <c r="BJ293" s="581"/>
      <c r="BK293" s="581"/>
    </row>
    <row r="294" spans="1:63" s="245" customFormat="1">
      <c r="A294" s="243"/>
      <c r="B294" s="246" t="s">
        <v>1452</v>
      </c>
      <c r="C294" s="276" t="s">
        <v>1453</v>
      </c>
      <c r="D294" s="243"/>
      <c r="F294" s="245" t="e">
        <f t="shared" ref="F294:X294" si="568">F326/F194</f>
        <v>#DIV/0!</v>
      </c>
      <c r="G294" s="245" t="e">
        <f t="shared" si="568"/>
        <v>#DIV/0!</v>
      </c>
      <c r="H294" s="245" t="e">
        <f t="shared" si="568"/>
        <v>#DIV/0!</v>
      </c>
      <c r="I294" s="245" t="e">
        <f t="shared" si="568"/>
        <v>#DIV/0!</v>
      </c>
      <c r="J294" s="245" t="e">
        <f t="shared" si="568"/>
        <v>#DIV/0!</v>
      </c>
      <c r="K294" s="245" t="e">
        <f t="shared" si="568"/>
        <v>#DIV/0!</v>
      </c>
      <c r="L294" s="245" t="e">
        <f t="shared" si="568"/>
        <v>#DIV/0!</v>
      </c>
      <c r="M294" s="245">
        <f t="shared" si="568"/>
        <v>1.5725691522491816</v>
      </c>
      <c r="N294" s="245">
        <f t="shared" si="568"/>
        <v>1.2012810173223052</v>
      </c>
      <c r="O294" s="245">
        <f t="shared" si="568"/>
        <v>2.6938065123774249</v>
      </c>
      <c r="P294" s="245">
        <f t="shared" si="568"/>
        <v>1.3678189852883591</v>
      </c>
      <c r="Q294" s="245">
        <f t="shared" si="568"/>
        <v>2.3842723658926563</v>
      </c>
      <c r="R294" s="245">
        <f t="shared" si="568"/>
        <v>2.7631654558141436</v>
      </c>
      <c r="S294" s="245">
        <f t="shared" si="568"/>
        <v>4.8695439838837666</v>
      </c>
      <c r="T294" s="245">
        <f t="shared" si="568"/>
        <v>0.48904136114368801</v>
      </c>
      <c r="U294" s="245">
        <f t="shared" si="568"/>
        <v>0.1614673340881552</v>
      </c>
      <c r="V294" s="245">
        <f t="shared" si="568"/>
        <v>3.2933099995270186E-2</v>
      </c>
      <c r="W294" s="245">
        <f t="shared" si="568"/>
        <v>3.3391586276043994E-2</v>
      </c>
      <c r="X294" s="245">
        <f t="shared" si="568"/>
        <v>1.6324015017867646E-2</v>
      </c>
      <c r="Y294" s="245">
        <f>Y326/Y194</f>
        <v>5.2079636744673419E-2</v>
      </c>
      <c r="Z294" s="245">
        <f>Z326/Z194</f>
        <v>4.4397876785685263E-2</v>
      </c>
      <c r="AA294" s="245">
        <f>AA326/AA194</f>
        <v>5.2409223384508437E-2</v>
      </c>
      <c r="AB294" s="245">
        <f>AB326/AB194</f>
        <v>5.9032578596585526E-2</v>
      </c>
      <c r="AC294" s="245">
        <f t="shared" ref="AC294:AD294" si="569">AC326/AC194</f>
        <v>4.8483769826748194E-2</v>
      </c>
      <c r="AD294" s="245">
        <f t="shared" si="569"/>
        <v>4.3591563308536613E-2</v>
      </c>
      <c r="AF294" s="580">
        <f t="shared" ref="AF294:BK294" si="570">AF326/AF194</f>
        <v>0</v>
      </c>
      <c r="AG294" s="580">
        <f t="shared" si="570"/>
        <v>0</v>
      </c>
      <c r="AH294" s="580">
        <f t="shared" si="570"/>
        <v>0</v>
      </c>
      <c r="AI294" s="580">
        <f t="shared" si="570"/>
        <v>0</v>
      </c>
      <c r="AJ294" s="580">
        <f t="shared" si="570"/>
        <v>0</v>
      </c>
      <c r="AK294" s="580">
        <f t="shared" si="570"/>
        <v>0</v>
      </c>
      <c r="AL294" s="580">
        <f t="shared" si="570"/>
        <v>0</v>
      </c>
      <c r="AM294" s="580">
        <f t="shared" si="570"/>
        <v>0</v>
      </c>
      <c r="AN294" s="580">
        <f t="shared" si="570"/>
        <v>0</v>
      </c>
      <c r="AO294" s="580">
        <f t="shared" si="570"/>
        <v>0</v>
      </c>
      <c r="AP294" s="580">
        <f t="shared" si="570"/>
        <v>0</v>
      </c>
      <c r="AQ294" s="580">
        <f t="shared" si="570"/>
        <v>0</v>
      </c>
      <c r="AR294" s="580">
        <f t="shared" si="570"/>
        <v>0</v>
      </c>
      <c r="AS294" s="580">
        <f t="shared" si="570"/>
        <v>0</v>
      </c>
      <c r="AT294" s="580">
        <f t="shared" si="570"/>
        <v>0</v>
      </c>
      <c r="AU294" s="580">
        <f t="shared" si="570"/>
        <v>0</v>
      </c>
      <c r="AV294" s="580">
        <f t="shared" si="570"/>
        <v>0</v>
      </c>
      <c r="AW294" s="580">
        <f t="shared" si="570"/>
        <v>0</v>
      </c>
      <c r="AX294" s="580">
        <f t="shared" si="570"/>
        <v>0</v>
      </c>
      <c r="AY294" s="580">
        <f t="shared" si="570"/>
        <v>0</v>
      </c>
      <c r="AZ294" s="580">
        <f t="shared" si="570"/>
        <v>0</v>
      </c>
      <c r="BA294" s="580">
        <f t="shared" si="570"/>
        <v>0</v>
      </c>
      <c r="BB294" s="580">
        <f t="shared" si="570"/>
        <v>0</v>
      </c>
      <c r="BC294" s="580">
        <f t="shared" si="570"/>
        <v>0</v>
      </c>
      <c r="BD294" s="580">
        <f t="shared" si="570"/>
        <v>0</v>
      </c>
      <c r="BE294" s="580">
        <f t="shared" si="570"/>
        <v>0</v>
      </c>
      <c r="BF294" s="580">
        <f t="shared" si="570"/>
        <v>0</v>
      </c>
      <c r="BG294" s="580">
        <f t="shared" si="570"/>
        <v>0</v>
      </c>
      <c r="BH294" s="580">
        <f t="shared" si="570"/>
        <v>0</v>
      </c>
      <c r="BI294" s="580">
        <f t="shared" si="570"/>
        <v>0</v>
      </c>
      <c r="BJ294" s="580">
        <f t="shared" si="570"/>
        <v>0</v>
      </c>
      <c r="BK294" s="580">
        <f t="shared" si="570"/>
        <v>0</v>
      </c>
    </row>
    <row r="295" spans="1:63" s="245" customFormat="1">
      <c r="A295" s="243"/>
      <c r="B295" s="246" t="s">
        <v>1454</v>
      </c>
      <c r="C295" s="276" t="s">
        <v>1455</v>
      </c>
      <c r="D295" s="243"/>
      <c r="F295" s="245" t="e">
        <f t="shared" ref="F295:X295" si="571">F329/F194</f>
        <v>#DIV/0!</v>
      </c>
      <c r="G295" s="245" t="e">
        <f t="shared" si="571"/>
        <v>#DIV/0!</v>
      </c>
      <c r="H295" s="245" t="e">
        <f t="shared" si="571"/>
        <v>#DIV/0!</v>
      </c>
      <c r="I295" s="245" t="e">
        <f t="shared" si="571"/>
        <v>#DIV/0!</v>
      </c>
      <c r="J295" s="245" t="e">
        <f t="shared" si="571"/>
        <v>#DIV/0!</v>
      </c>
      <c r="K295" s="245" t="e">
        <f t="shared" si="571"/>
        <v>#DIV/0!</v>
      </c>
      <c r="L295" s="245" t="e">
        <f t="shared" si="571"/>
        <v>#DIV/0!</v>
      </c>
      <c r="M295" s="245">
        <f t="shared" si="571"/>
        <v>-3.2322658048026369</v>
      </c>
      <c r="N295" s="245">
        <f t="shared" si="571"/>
        <v>-3.4721625265644347</v>
      </c>
      <c r="O295" s="245">
        <f t="shared" si="571"/>
        <v>-7.5086855483093338</v>
      </c>
      <c r="P295" s="245">
        <f t="shared" si="571"/>
        <v>-4.1072327571740219</v>
      </c>
      <c r="Q295" s="245">
        <f t="shared" si="571"/>
        <v>-6.7433588077391367</v>
      </c>
      <c r="R295" s="245">
        <f t="shared" si="571"/>
        <v>9.0095636826334619E-2</v>
      </c>
      <c r="S295" s="245">
        <f t="shared" si="571"/>
        <v>1.2451010316830473</v>
      </c>
      <c r="T295" s="245">
        <f t="shared" si="571"/>
        <v>-0.70801319640058313</v>
      </c>
      <c r="U295" s="245">
        <f t="shared" si="571"/>
        <v>-1.9714756768567618</v>
      </c>
      <c r="V295" s="245">
        <f t="shared" si="571"/>
        <v>-1.7954789624114005</v>
      </c>
      <c r="W295" s="245">
        <f t="shared" si="571"/>
        <v>-2.6702586711769758</v>
      </c>
      <c r="X295" s="245">
        <f t="shared" si="571"/>
        <v>-2.195189871986249</v>
      </c>
      <c r="Y295" s="245">
        <f>Y329/Y194</f>
        <v>-3.9142726743509142</v>
      </c>
      <c r="Z295" s="245">
        <f>Z329/Z194</f>
        <v>-2.4557042756980412</v>
      </c>
      <c r="AA295" s="245">
        <f>AA329/AA194</f>
        <v>-4.0913933259545434</v>
      </c>
      <c r="AB295" s="245">
        <f>AB329/AB194</f>
        <v>-5.3276320868021116</v>
      </c>
      <c r="AC295" s="245">
        <f t="shared" ref="AC295:AD295" si="572">AC329/AC194</f>
        <v>-4.9798095359606975</v>
      </c>
      <c r="AD295" s="245">
        <f t="shared" si="572"/>
        <v>-5.1004007092548393</v>
      </c>
      <c r="AF295" s="580">
        <f t="shared" ref="AF295:BK295" si="573">AF329/AF194</f>
        <v>0</v>
      </c>
      <c r="AG295" s="580">
        <f t="shared" si="573"/>
        <v>0</v>
      </c>
      <c r="AH295" s="580">
        <f t="shared" si="573"/>
        <v>0</v>
      </c>
      <c r="AI295" s="580">
        <f t="shared" si="573"/>
        <v>0</v>
      </c>
      <c r="AJ295" s="580">
        <f t="shared" si="573"/>
        <v>0</v>
      </c>
      <c r="AK295" s="580">
        <f t="shared" si="573"/>
        <v>0</v>
      </c>
      <c r="AL295" s="580">
        <f t="shared" si="573"/>
        <v>0</v>
      </c>
      <c r="AM295" s="580">
        <f t="shared" si="573"/>
        <v>0</v>
      </c>
      <c r="AN295" s="580">
        <f t="shared" si="573"/>
        <v>0</v>
      </c>
      <c r="AO295" s="580">
        <f t="shared" si="573"/>
        <v>0</v>
      </c>
      <c r="AP295" s="580">
        <f t="shared" si="573"/>
        <v>0</v>
      </c>
      <c r="AQ295" s="580">
        <f t="shared" si="573"/>
        <v>0</v>
      </c>
      <c r="AR295" s="580">
        <f t="shared" si="573"/>
        <v>0</v>
      </c>
      <c r="AS295" s="580">
        <f t="shared" si="573"/>
        <v>0</v>
      </c>
      <c r="AT295" s="580">
        <f t="shared" si="573"/>
        <v>0</v>
      </c>
      <c r="AU295" s="580">
        <f t="shared" si="573"/>
        <v>0</v>
      </c>
      <c r="AV295" s="580">
        <f t="shared" si="573"/>
        <v>0</v>
      </c>
      <c r="AW295" s="580">
        <f t="shared" si="573"/>
        <v>0</v>
      </c>
      <c r="AX295" s="580">
        <f t="shared" si="573"/>
        <v>0</v>
      </c>
      <c r="AY295" s="580">
        <f t="shared" si="573"/>
        <v>0</v>
      </c>
      <c r="AZ295" s="580">
        <f t="shared" si="573"/>
        <v>0</v>
      </c>
      <c r="BA295" s="580">
        <f t="shared" si="573"/>
        <v>0</v>
      </c>
      <c r="BB295" s="580">
        <f t="shared" si="573"/>
        <v>0</v>
      </c>
      <c r="BC295" s="580">
        <f t="shared" si="573"/>
        <v>0</v>
      </c>
      <c r="BD295" s="580">
        <f t="shared" si="573"/>
        <v>0</v>
      </c>
      <c r="BE295" s="580">
        <f t="shared" si="573"/>
        <v>0</v>
      </c>
      <c r="BF295" s="580">
        <f t="shared" si="573"/>
        <v>0</v>
      </c>
      <c r="BG295" s="580">
        <f t="shared" si="573"/>
        <v>0</v>
      </c>
      <c r="BH295" s="580">
        <f t="shared" si="573"/>
        <v>0</v>
      </c>
      <c r="BI295" s="580">
        <f t="shared" si="573"/>
        <v>0</v>
      </c>
      <c r="BJ295" s="580">
        <f t="shared" si="573"/>
        <v>0</v>
      </c>
      <c r="BK295" s="580">
        <f t="shared" si="573"/>
        <v>0</v>
      </c>
    </row>
    <row r="296" spans="1:63" s="245" customFormat="1">
      <c r="A296" s="243"/>
      <c r="B296" s="246" t="s">
        <v>1456</v>
      </c>
      <c r="C296" s="265" t="s">
        <v>1457</v>
      </c>
      <c r="D296" s="243"/>
      <c r="F296" s="245" t="e">
        <f t="shared" ref="F296:X296" si="574">F326/F337</f>
        <v>#DIV/0!</v>
      </c>
      <c r="G296" s="245" t="e">
        <f t="shared" si="574"/>
        <v>#DIV/0!</v>
      </c>
      <c r="H296" s="245" t="e">
        <f t="shared" si="574"/>
        <v>#DIV/0!</v>
      </c>
      <c r="I296" s="245" t="e">
        <f t="shared" si="574"/>
        <v>#DIV/0!</v>
      </c>
      <c r="J296" s="245" t="e">
        <f t="shared" si="574"/>
        <v>#DIV/0!</v>
      </c>
      <c r="K296" s="245" t="e">
        <f t="shared" si="574"/>
        <v>#DIV/0!</v>
      </c>
      <c r="L296" s="245" t="e">
        <f t="shared" si="574"/>
        <v>#DIV/0!</v>
      </c>
      <c r="M296" s="245">
        <f t="shared" si="574"/>
        <v>0.26069027583333637</v>
      </c>
      <c r="N296" s="245">
        <f t="shared" si="574"/>
        <v>0.27358260681366131</v>
      </c>
      <c r="O296" s="245">
        <f t="shared" si="574"/>
        <v>0.29804162066638196</v>
      </c>
      <c r="P296" s="245">
        <f t="shared" si="574"/>
        <v>0.3086635649002652</v>
      </c>
      <c r="Q296" s="245">
        <f t="shared" si="574"/>
        <v>0.29463150254012749</v>
      </c>
      <c r="R296" s="245">
        <f t="shared" si="574"/>
        <v>1.0374617483273205</v>
      </c>
      <c r="S296" s="245">
        <f t="shared" si="574"/>
        <v>1.2638882351910812</v>
      </c>
      <c r="T296" s="245">
        <f t="shared" si="574"/>
        <v>0.45710328190533245</v>
      </c>
      <c r="U296" s="245">
        <f t="shared" si="574"/>
        <v>6.6219069070800454E-2</v>
      </c>
      <c r="V296" s="245">
        <f t="shared" si="574"/>
        <v>1.6136222239759225E-2</v>
      </c>
      <c r="W296" s="245">
        <f t="shared" si="574"/>
        <v>9.0192961076066541E-3</v>
      </c>
      <c r="X296" s="245">
        <f t="shared" si="574"/>
        <v>6.0095647082856647E-3</v>
      </c>
      <c r="Y296" s="245">
        <f>Y326/Y337</f>
        <v>1.0458927190236536E-2</v>
      </c>
      <c r="Z296" s="245">
        <f>Z326/Z337</f>
        <v>1.321872223863923E-2</v>
      </c>
      <c r="AA296" s="245">
        <f>AA326/AA337</f>
        <v>1.1673603936396911E-2</v>
      </c>
      <c r="AB296" s="245">
        <f>AB326/AB337</f>
        <v>1.0297867965963284E-2</v>
      </c>
      <c r="AC296" s="245">
        <f t="shared" ref="AC296:AD296" si="575">AC326/AC337</f>
        <v>8.8624531631364568E-3</v>
      </c>
      <c r="AD296" s="245">
        <f t="shared" si="575"/>
        <v>6.8280096434106966E-3</v>
      </c>
      <c r="AF296" s="580" t="e">
        <f t="shared" ref="AF296:BK296" si="576">AF326/AF337</f>
        <v>#DIV/0!</v>
      </c>
      <c r="AG296" s="580" t="e">
        <f t="shared" si="576"/>
        <v>#DIV/0!</v>
      </c>
      <c r="AH296" s="580" t="e">
        <f t="shared" si="576"/>
        <v>#DIV/0!</v>
      </c>
      <c r="AI296" s="580" t="e">
        <f t="shared" si="576"/>
        <v>#DIV/0!</v>
      </c>
      <c r="AJ296" s="580" t="e">
        <f t="shared" si="576"/>
        <v>#DIV/0!</v>
      </c>
      <c r="AK296" s="580" t="e">
        <f t="shared" si="576"/>
        <v>#DIV/0!</v>
      </c>
      <c r="AL296" s="580" t="e">
        <f t="shared" si="576"/>
        <v>#DIV/0!</v>
      </c>
      <c r="AM296" s="580" t="e">
        <f t="shared" si="576"/>
        <v>#DIV/0!</v>
      </c>
      <c r="AN296" s="580" t="e">
        <f t="shared" si="576"/>
        <v>#DIV/0!</v>
      </c>
      <c r="AO296" s="580" t="e">
        <f t="shared" si="576"/>
        <v>#DIV/0!</v>
      </c>
      <c r="AP296" s="580" t="e">
        <f t="shared" si="576"/>
        <v>#DIV/0!</v>
      </c>
      <c r="AQ296" s="580" t="e">
        <f t="shared" si="576"/>
        <v>#DIV/0!</v>
      </c>
      <c r="AR296" s="580" t="e">
        <f t="shared" si="576"/>
        <v>#DIV/0!</v>
      </c>
      <c r="AS296" s="580" t="e">
        <f t="shared" si="576"/>
        <v>#DIV/0!</v>
      </c>
      <c r="AT296" s="580" t="e">
        <f t="shared" si="576"/>
        <v>#DIV/0!</v>
      </c>
      <c r="AU296" s="580" t="e">
        <f t="shared" si="576"/>
        <v>#DIV/0!</v>
      </c>
      <c r="AV296" s="580" t="e">
        <f t="shared" si="576"/>
        <v>#DIV/0!</v>
      </c>
      <c r="AW296" s="580" t="e">
        <f t="shared" si="576"/>
        <v>#DIV/0!</v>
      </c>
      <c r="AX296" s="580" t="e">
        <f t="shared" si="576"/>
        <v>#DIV/0!</v>
      </c>
      <c r="AY296" s="580" t="e">
        <f t="shared" si="576"/>
        <v>#DIV/0!</v>
      </c>
      <c r="AZ296" s="580" t="e">
        <f t="shared" si="576"/>
        <v>#DIV/0!</v>
      </c>
      <c r="BA296" s="580" t="e">
        <f t="shared" si="576"/>
        <v>#DIV/0!</v>
      </c>
      <c r="BB296" s="580" t="e">
        <f t="shared" si="576"/>
        <v>#DIV/0!</v>
      </c>
      <c r="BC296" s="580" t="e">
        <f t="shared" si="576"/>
        <v>#DIV/0!</v>
      </c>
      <c r="BD296" s="580" t="e">
        <f t="shared" si="576"/>
        <v>#DIV/0!</v>
      </c>
      <c r="BE296" s="580" t="e">
        <f t="shared" si="576"/>
        <v>#DIV/0!</v>
      </c>
      <c r="BF296" s="580" t="e">
        <f t="shared" si="576"/>
        <v>#DIV/0!</v>
      </c>
      <c r="BG296" s="580" t="e">
        <f t="shared" si="576"/>
        <v>#DIV/0!</v>
      </c>
      <c r="BH296" s="580" t="e">
        <f t="shared" si="576"/>
        <v>#DIV/0!</v>
      </c>
      <c r="BI296" s="580" t="e">
        <f t="shared" si="576"/>
        <v>#DIV/0!</v>
      </c>
      <c r="BJ296" s="580" t="e">
        <f t="shared" si="576"/>
        <v>#DIV/0!</v>
      </c>
      <c r="BK296" s="580" t="e">
        <f t="shared" si="576"/>
        <v>#DIV/0!</v>
      </c>
    </row>
    <row r="297" spans="1:63" s="245" customFormat="1">
      <c r="A297" s="243"/>
      <c r="B297" s="246" t="s">
        <v>1458</v>
      </c>
      <c r="C297" s="265" t="s">
        <v>1459</v>
      </c>
      <c r="D297" s="243"/>
      <c r="F297" s="245" t="e">
        <f t="shared" ref="F297:X297" si="577">F329/F337</f>
        <v>#DIV/0!</v>
      </c>
      <c r="G297" s="245" t="e">
        <f t="shared" si="577"/>
        <v>#DIV/0!</v>
      </c>
      <c r="H297" s="245" t="e">
        <f t="shared" si="577"/>
        <v>#DIV/0!</v>
      </c>
      <c r="I297" s="245" t="e">
        <f t="shared" si="577"/>
        <v>#DIV/0!</v>
      </c>
      <c r="J297" s="245" t="e">
        <f t="shared" si="577"/>
        <v>#DIV/0!</v>
      </c>
      <c r="K297" s="245" t="e">
        <f t="shared" si="577"/>
        <v>#DIV/0!</v>
      </c>
      <c r="L297" s="245" t="e">
        <f t="shared" si="577"/>
        <v>#DIV/0!</v>
      </c>
      <c r="M297" s="245">
        <f t="shared" si="577"/>
        <v>-0.53582398142268983</v>
      </c>
      <c r="N297" s="245">
        <f t="shared" si="577"/>
        <v>-0.79075858321279124</v>
      </c>
      <c r="O297" s="245">
        <f t="shared" si="577"/>
        <v>-0.83075781412277094</v>
      </c>
      <c r="P297" s="245">
        <f t="shared" si="577"/>
        <v>-0.92684274625506469</v>
      </c>
      <c r="Q297" s="245">
        <f t="shared" si="577"/>
        <v>-0.833296550391187</v>
      </c>
      <c r="R297" s="245">
        <f t="shared" si="577"/>
        <v>3.3827426693481169E-2</v>
      </c>
      <c r="S297" s="245">
        <f t="shared" si="577"/>
        <v>0.32316548546982871</v>
      </c>
      <c r="T297" s="245">
        <f t="shared" si="577"/>
        <v>-0.66177460930937937</v>
      </c>
      <c r="U297" s="245">
        <f t="shared" si="577"/>
        <v>-0.80851823531009637</v>
      </c>
      <c r="V297" s="245">
        <f t="shared" si="577"/>
        <v>-0.87973034935805083</v>
      </c>
      <c r="W297" s="245">
        <f t="shared" si="577"/>
        <v>-0.72125515212578573</v>
      </c>
      <c r="X297" s="245">
        <f t="shared" si="577"/>
        <v>-0.80814282321077746</v>
      </c>
      <c r="Y297" s="245">
        <f>Y329/Y337</f>
        <v>-0.78608637584162511</v>
      </c>
      <c r="Z297" s="245">
        <f>Z329/Z337</f>
        <v>-0.73114470940550225</v>
      </c>
      <c r="AA297" s="245">
        <f>AA329/AA337</f>
        <v>-0.91131488220694945</v>
      </c>
      <c r="AB297" s="245">
        <f>AB329/AB337</f>
        <v>-0.92937244324087354</v>
      </c>
      <c r="AC297" s="245">
        <f t="shared" ref="AC297:AD297" si="578">AC329/AC337</f>
        <v>-0.91027015703395009</v>
      </c>
      <c r="AD297" s="245">
        <f t="shared" si="578"/>
        <v>-0.79890654486417201</v>
      </c>
      <c r="AF297" s="580" t="e">
        <f t="shared" ref="AF297:BK297" si="579">AF329/AF337</f>
        <v>#DIV/0!</v>
      </c>
      <c r="AG297" s="580" t="e">
        <f t="shared" si="579"/>
        <v>#DIV/0!</v>
      </c>
      <c r="AH297" s="580" t="e">
        <f t="shared" si="579"/>
        <v>#DIV/0!</v>
      </c>
      <c r="AI297" s="580" t="e">
        <f t="shared" si="579"/>
        <v>#DIV/0!</v>
      </c>
      <c r="AJ297" s="580" t="e">
        <f t="shared" si="579"/>
        <v>#DIV/0!</v>
      </c>
      <c r="AK297" s="580" t="e">
        <f t="shared" si="579"/>
        <v>#DIV/0!</v>
      </c>
      <c r="AL297" s="580" t="e">
        <f t="shared" si="579"/>
        <v>#DIV/0!</v>
      </c>
      <c r="AM297" s="580" t="e">
        <f t="shared" si="579"/>
        <v>#DIV/0!</v>
      </c>
      <c r="AN297" s="580" t="e">
        <f t="shared" si="579"/>
        <v>#DIV/0!</v>
      </c>
      <c r="AO297" s="580" t="e">
        <f t="shared" si="579"/>
        <v>#DIV/0!</v>
      </c>
      <c r="AP297" s="580" t="e">
        <f t="shared" si="579"/>
        <v>#DIV/0!</v>
      </c>
      <c r="AQ297" s="580" t="e">
        <f t="shared" si="579"/>
        <v>#DIV/0!</v>
      </c>
      <c r="AR297" s="580" t="e">
        <f t="shared" si="579"/>
        <v>#DIV/0!</v>
      </c>
      <c r="AS297" s="580" t="e">
        <f t="shared" si="579"/>
        <v>#DIV/0!</v>
      </c>
      <c r="AT297" s="580" t="e">
        <f t="shared" si="579"/>
        <v>#DIV/0!</v>
      </c>
      <c r="AU297" s="580" t="e">
        <f t="shared" si="579"/>
        <v>#DIV/0!</v>
      </c>
      <c r="AV297" s="580" t="e">
        <f t="shared" si="579"/>
        <v>#DIV/0!</v>
      </c>
      <c r="AW297" s="580" t="e">
        <f t="shared" si="579"/>
        <v>#DIV/0!</v>
      </c>
      <c r="AX297" s="580" t="e">
        <f t="shared" si="579"/>
        <v>#DIV/0!</v>
      </c>
      <c r="AY297" s="580" t="e">
        <f t="shared" si="579"/>
        <v>#DIV/0!</v>
      </c>
      <c r="AZ297" s="580" t="e">
        <f t="shared" si="579"/>
        <v>#DIV/0!</v>
      </c>
      <c r="BA297" s="580" t="e">
        <f t="shared" si="579"/>
        <v>#DIV/0!</v>
      </c>
      <c r="BB297" s="580" t="e">
        <f t="shared" si="579"/>
        <v>#DIV/0!</v>
      </c>
      <c r="BC297" s="580" t="e">
        <f t="shared" si="579"/>
        <v>#DIV/0!</v>
      </c>
      <c r="BD297" s="580" t="e">
        <f t="shared" si="579"/>
        <v>#DIV/0!</v>
      </c>
      <c r="BE297" s="580" t="e">
        <f t="shared" si="579"/>
        <v>#DIV/0!</v>
      </c>
      <c r="BF297" s="580" t="e">
        <f t="shared" si="579"/>
        <v>#DIV/0!</v>
      </c>
      <c r="BG297" s="580" t="e">
        <f t="shared" si="579"/>
        <v>#DIV/0!</v>
      </c>
      <c r="BH297" s="580" t="e">
        <f t="shared" si="579"/>
        <v>#DIV/0!</v>
      </c>
      <c r="BI297" s="580" t="e">
        <f t="shared" si="579"/>
        <v>#DIV/0!</v>
      </c>
      <c r="BJ297" s="580" t="e">
        <f t="shared" si="579"/>
        <v>#DIV/0!</v>
      </c>
      <c r="BK297" s="580" t="e">
        <f t="shared" si="579"/>
        <v>#DIV/0!</v>
      </c>
    </row>
    <row r="298" spans="1:63" s="245" customFormat="1">
      <c r="A298" s="243"/>
      <c r="B298" s="246" t="s">
        <v>1460</v>
      </c>
      <c r="C298" s="265" t="s">
        <v>1461</v>
      </c>
      <c r="D298" s="243"/>
      <c r="F298" s="245" t="e">
        <f t="shared" ref="F298:X298" si="580">F329/F77</f>
        <v>#DIV/0!</v>
      </c>
      <c r="G298" s="245" t="e">
        <f t="shared" si="580"/>
        <v>#DIV/0!</v>
      </c>
      <c r="H298" s="245" t="e">
        <f t="shared" si="580"/>
        <v>#DIV/0!</v>
      </c>
      <c r="I298" s="245" t="e">
        <f t="shared" si="580"/>
        <v>#DIV/0!</v>
      </c>
      <c r="J298" s="245" t="e">
        <f t="shared" si="580"/>
        <v>#DIV/0!</v>
      </c>
      <c r="K298" s="245" t="e">
        <f t="shared" si="580"/>
        <v>#DIV/0!</v>
      </c>
      <c r="L298" s="245" t="e">
        <f t="shared" si="580"/>
        <v>#DIV/0!</v>
      </c>
      <c r="M298" s="245">
        <f t="shared" si="580"/>
        <v>-2.1682335250742337</v>
      </c>
      <c r="N298" s="245">
        <f t="shared" si="580"/>
        <v>-3.1470229960316418</v>
      </c>
      <c r="O298" s="245">
        <f t="shared" si="580"/>
        <v>-3.6584582082640749</v>
      </c>
      <c r="P298" s="245">
        <f t="shared" si="580"/>
        <v>-3.0822133447139564</v>
      </c>
      <c r="Q298" s="245">
        <f t="shared" si="580"/>
        <v>-3.0866199358122164</v>
      </c>
      <c r="R298" s="245">
        <f t="shared" si="580"/>
        <v>3.5706733037268228E-2</v>
      </c>
      <c r="S298" s="245">
        <f t="shared" si="580"/>
        <v>0.36281808398039672</v>
      </c>
      <c r="T298" s="245">
        <f t="shared" si="580"/>
        <v>-0.75757315142393655</v>
      </c>
      <c r="U298" s="245">
        <f t="shared" si="580"/>
        <v>-1.2507009596058252</v>
      </c>
      <c r="V298" s="245">
        <f t="shared" si="580"/>
        <v>-1.4286355608482819</v>
      </c>
      <c r="W298" s="245">
        <f t="shared" si="580"/>
        <v>-1.5665864955127047</v>
      </c>
      <c r="X298" s="245">
        <f t="shared" si="580"/>
        <v>-1.8285554820280105</v>
      </c>
      <c r="Y298" s="245">
        <f>Y329/Y77</f>
        <v>-2.0171312551448719</v>
      </c>
      <c r="Z298" s="245">
        <f>Z329/Z77</f>
        <v>-1.8793585866823928</v>
      </c>
      <c r="AA298" s="245">
        <f>AA329/AA77</f>
        <v>-2.8682057847574622</v>
      </c>
      <c r="AB298" s="245">
        <f>AB329/AB77</f>
        <v>-2.8211633908910101</v>
      </c>
      <c r="AC298" s="245">
        <f t="shared" ref="AC298:AD298" si="581">AC329/AC77</f>
        <v>-2.760237510242729</v>
      </c>
      <c r="AD298" s="245">
        <f t="shared" si="581"/>
        <v>-2.8486200273969229</v>
      </c>
      <c r="AF298" s="580">
        <f t="shared" ref="AF298:BK298" si="582">AF329/AF77</f>
        <v>0</v>
      </c>
      <c r="AG298" s="580">
        <f t="shared" si="582"/>
        <v>0</v>
      </c>
      <c r="AH298" s="580">
        <f t="shared" si="582"/>
        <v>0</v>
      </c>
      <c r="AI298" s="580">
        <f t="shared" si="582"/>
        <v>0</v>
      </c>
      <c r="AJ298" s="580">
        <f t="shared" si="582"/>
        <v>0</v>
      </c>
      <c r="AK298" s="580">
        <f t="shared" si="582"/>
        <v>0</v>
      </c>
      <c r="AL298" s="580">
        <f t="shared" si="582"/>
        <v>0</v>
      </c>
      <c r="AM298" s="580">
        <f t="shared" si="582"/>
        <v>0</v>
      </c>
      <c r="AN298" s="580">
        <f t="shared" si="582"/>
        <v>0</v>
      </c>
      <c r="AO298" s="580">
        <f t="shared" si="582"/>
        <v>0</v>
      </c>
      <c r="AP298" s="580">
        <f t="shared" si="582"/>
        <v>0</v>
      </c>
      <c r="AQ298" s="580">
        <f t="shared" si="582"/>
        <v>0</v>
      </c>
      <c r="AR298" s="580">
        <f t="shared" si="582"/>
        <v>0</v>
      </c>
      <c r="AS298" s="580">
        <f t="shared" si="582"/>
        <v>0</v>
      </c>
      <c r="AT298" s="580">
        <f t="shared" si="582"/>
        <v>0</v>
      </c>
      <c r="AU298" s="580">
        <f t="shared" si="582"/>
        <v>0</v>
      </c>
      <c r="AV298" s="580">
        <f t="shared" si="582"/>
        <v>0</v>
      </c>
      <c r="AW298" s="580">
        <f t="shared" si="582"/>
        <v>0</v>
      </c>
      <c r="AX298" s="580">
        <f t="shared" si="582"/>
        <v>0</v>
      </c>
      <c r="AY298" s="580">
        <f t="shared" si="582"/>
        <v>0</v>
      </c>
      <c r="AZ298" s="580">
        <f t="shared" si="582"/>
        <v>0</v>
      </c>
      <c r="BA298" s="580">
        <f t="shared" si="582"/>
        <v>0</v>
      </c>
      <c r="BB298" s="580">
        <f t="shared" si="582"/>
        <v>0</v>
      </c>
      <c r="BC298" s="580">
        <f t="shared" si="582"/>
        <v>0</v>
      </c>
      <c r="BD298" s="580">
        <f t="shared" si="582"/>
        <v>0</v>
      </c>
      <c r="BE298" s="580">
        <f t="shared" si="582"/>
        <v>0</v>
      </c>
      <c r="BF298" s="580">
        <f t="shared" si="582"/>
        <v>0</v>
      </c>
      <c r="BG298" s="580">
        <f t="shared" si="582"/>
        <v>0</v>
      </c>
      <c r="BH298" s="580">
        <f t="shared" si="582"/>
        <v>0</v>
      </c>
      <c r="BI298" s="580">
        <f t="shared" si="582"/>
        <v>0</v>
      </c>
      <c r="BJ298" s="580">
        <f t="shared" si="582"/>
        <v>0</v>
      </c>
      <c r="BK298" s="580">
        <f t="shared" si="582"/>
        <v>0</v>
      </c>
    </row>
    <row r="299" spans="1:63" s="245" customFormat="1">
      <c r="A299" s="243"/>
      <c r="B299" s="246" t="s">
        <v>1462</v>
      </c>
      <c r="C299" s="265" t="s">
        <v>442</v>
      </c>
      <c r="D299" s="243"/>
      <c r="F299" s="245" t="e">
        <f t="shared" ref="F299:X299" si="583">F158/F166</f>
        <v>#DIV/0!</v>
      </c>
      <c r="G299" s="245" t="e">
        <f t="shared" si="583"/>
        <v>#DIV/0!</v>
      </c>
      <c r="H299" s="245" t="e">
        <f t="shared" si="583"/>
        <v>#DIV/0!</v>
      </c>
      <c r="I299" s="245" t="e">
        <f t="shared" si="583"/>
        <v>#DIV/0!</v>
      </c>
      <c r="J299" s="245" t="e">
        <f t="shared" si="583"/>
        <v>#DIV/0!</v>
      </c>
      <c r="K299" s="245" t="e">
        <f t="shared" si="583"/>
        <v>#DIV/0!</v>
      </c>
      <c r="L299" s="245" t="e">
        <f t="shared" si="583"/>
        <v>#DIV/0!</v>
      </c>
      <c r="M299" s="245">
        <f t="shared" si="583"/>
        <v>1.1104979320032331</v>
      </c>
      <c r="N299" s="245">
        <f t="shared" si="583"/>
        <v>0.88262534515369573</v>
      </c>
      <c r="O299" s="245">
        <f t="shared" si="583"/>
        <v>0.9269042788877182</v>
      </c>
      <c r="P299" s="245">
        <f t="shared" si="583"/>
        <v>0.80569629537683785</v>
      </c>
      <c r="Q299" s="245">
        <f t="shared" si="583"/>
        <v>0.88133660761269939</v>
      </c>
      <c r="R299" s="245">
        <f t="shared" si="583"/>
        <v>0.88545675565204951</v>
      </c>
      <c r="S299" s="245">
        <f t="shared" si="583"/>
        <v>0.93646312192343684</v>
      </c>
      <c r="T299" s="245">
        <f t="shared" si="583"/>
        <v>0.70198153437334077</v>
      </c>
      <c r="U299" s="245">
        <f t="shared" si="583"/>
        <v>0.72626716692623516</v>
      </c>
      <c r="V299" s="245">
        <f t="shared" si="583"/>
        <v>0.95521119393226084</v>
      </c>
      <c r="W299" s="245">
        <f t="shared" si="583"/>
        <v>0.89975400314329301</v>
      </c>
      <c r="X299" s="245">
        <f t="shared" si="583"/>
        <v>0.81776635767596872</v>
      </c>
      <c r="Y299" s="245">
        <f>Y158/Y166</f>
        <v>0.91529517874215716</v>
      </c>
      <c r="Z299" s="245">
        <f>Z158/Z166</f>
        <v>1.3470863293921203</v>
      </c>
      <c r="AA299" s="245">
        <f>AA158/AA166</f>
        <v>0.73062092509476306</v>
      </c>
      <c r="AB299" s="245">
        <f>AB158/AB166</f>
        <v>0.82271449524311058</v>
      </c>
      <c r="AC299" s="245">
        <f t="shared" ref="AC299:AD299" si="584">AC158/AC166</f>
        <v>1.0359784558667724</v>
      </c>
      <c r="AD299" s="245">
        <f t="shared" si="584"/>
        <v>1.647580894291482</v>
      </c>
      <c r="AF299" s="580" t="e">
        <f t="shared" ref="AF299:BK299" si="585">AF158/AF166</f>
        <v>#DIV/0!</v>
      </c>
      <c r="AG299" s="580" t="e">
        <f t="shared" si="585"/>
        <v>#DIV/0!</v>
      </c>
      <c r="AH299" s="580" t="e">
        <f t="shared" si="585"/>
        <v>#DIV/0!</v>
      </c>
      <c r="AI299" s="580" t="e">
        <f t="shared" si="585"/>
        <v>#DIV/0!</v>
      </c>
      <c r="AJ299" s="580" t="e">
        <f t="shared" si="585"/>
        <v>#DIV/0!</v>
      </c>
      <c r="AK299" s="580" t="e">
        <f t="shared" si="585"/>
        <v>#DIV/0!</v>
      </c>
      <c r="AL299" s="580" t="e">
        <f t="shared" si="585"/>
        <v>#DIV/0!</v>
      </c>
      <c r="AM299" s="580" t="e">
        <f t="shared" si="585"/>
        <v>#DIV/0!</v>
      </c>
      <c r="AN299" s="580" t="e">
        <f t="shared" si="585"/>
        <v>#DIV/0!</v>
      </c>
      <c r="AO299" s="580" t="e">
        <f t="shared" si="585"/>
        <v>#DIV/0!</v>
      </c>
      <c r="AP299" s="580" t="e">
        <f t="shared" si="585"/>
        <v>#DIV/0!</v>
      </c>
      <c r="AQ299" s="580" t="e">
        <f t="shared" si="585"/>
        <v>#DIV/0!</v>
      </c>
      <c r="AR299" s="580" t="e">
        <f t="shared" si="585"/>
        <v>#DIV/0!</v>
      </c>
      <c r="AS299" s="580" t="e">
        <f t="shared" si="585"/>
        <v>#DIV/0!</v>
      </c>
      <c r="AT299" s="580" t="e">
        <f t="shared" si="585"/>
        <v>#DIV/0!</v>
      </c>
      <c r="AU299" s="580" t="e">
        <f t="shared" si="585"/>
        <v>#DIV/0!</v>
      </c>
      <c r="AV299" s="580" t="e">
        <f t="shared" si="585"/>
        <v>#DIV/0!</v>
      </c>
      <c r="AW299" s="580" t="e">
        <f t="shared" si="585"/>
        <v>#DIV/0!</v>
      </c>
      <c r="AX299" s="580" t="e">
        <f t="shared" si="585"/>
        <v>#DIV/0!</v>
      </c>
      <c r="AY299" s="580" t="e">
        <f t="shared" si="585"/>
        <v>#DIV/0!</v>
      </c>
      <c r="AZ299" s="580" t="e">
        <f t="shared" si="585"/>
        <v>#DIV/0!</v>
      </c>
      <c r="BA299" s="580" t="e">
        <f t="shared" si="585"/>
        <v>#DIV/0!</v>
      </c>
      <c r="BB299" s="580" t="e">
        <f t="shared" si="585"/>
        <v>#DIV/0!</v>
      </c>
      <c r="BC299" s="580" t="e">
        <f t="shared" si="585"/>
        <v>#DIV/0!</v>
      </c>
      <c r="BD299" s="580" t="e">
        <f t="shared" si="585"/>
        <v>#DIV/0!</v>
      </c>
      <c r="BE299" s="580" t="e">
        <f t="shared" si="585"/>
        <v>#DIV/0!</v>
      </c>
      <c r="BF299" s="580" t="e">
        <f t="shared" si="585"/>
        <v>#DIV/0!</v>
      </c>
      <c r="BG299" s="580" t="e">
        <f t="shared" si="585"/>
        <v>#DIV/0!</v>
      </c>
      <c r="BH299" s="580" t="e">
        <f t="shared" si="585"/>
        <v>#DIV/0!</v>
      </c>
      <c r="BI299" s="580" t="e">
        <f t="shared" si="585"/>
        <v>#DIV/0!</v>
      </c>
      <c r="BJ299" s="580" t="e">
        <f t="shared" si="585"/>
        <v>#DIV/0!</v>
      </c>
      <c r="BK299" s="580" t="e">
        <f t="shared" si="585"/>
        <v>#DIV/0!</v>
      </c>
    </row>
    <row r="300" spans="1:63" s="245" customFormat="1">
      <c r="A300" s="243"/>
      <c r="B300" s="246" t="s">
        <v>1463</v>
      </c>
      <c r="C300" s="265" t="s">
        <v>1464</v>
      </c>
      <c r="D300" s="243"/>
      <c r="F300" s="245" t="e">
        <f t="shared" ref="F300:X300" si="586">F84/F83</f>
        <v>#DIV/0!</v>
      </c>
      <c r="G300" s="245" t="e">
        <f t="shared" si="586"/>
        <v>#DIV/0!</v>
      </c>
      <c r="H300" s="245" t="e">
        <f t="shared" si="586"/>
        <v>#DIV/0!</v>
      </c>
      <c r="I300" s="245" t="e">
        <f t="shared" si="586"/>
        <v>#DIV/0!</v>
      </c>
      <c r="J300" s="245" t="e">
        <f t="shared" si="586"/>
        <v>#DIV/0!</v>
      </c>
      <c r="K300" s="245" t="e">
        <f t="shared" si="586"/>
        <v>#DIV/0!</v>
      </c>
      <c r="L300" s="245" t="e">
        <f t="shared" si="586"/>
        <v>#DIV/0!</v>
      </c>
      <c r="M300" s="245">
        <f t="shared" si="586"/>
        <v>1.4152798561750494E-3</v>
      </c>
      <c r="N300" s="245">
        <f t="shared" si="586"/>
        <v>9.1105125337990643E-4</v>
      </c>
      <c r="O300" s="245">
        <f t="shared" si="586"/>
        <v>5.8804910989028014E-4</v>
      </c>
      <c r="P300" s="245">
        <f t="shared" si="586"/>
        <v>2.1200840550972432E-4</v>
      </c>
      <c r="Q300" s="245">
        <f t="shared" si="586"/>
        <v>2.9961117875117122E-3</v>
      </c>
      <c r="R300" s="245">
        <f t="shared" si="586"/>
        <v>4.2932024294866445E-3</v>
      </c>
      <c r="S300" s="245">
        <f t="shared" si="586"/>
        <v>1.9621904104554531E-2</v>
      </c>
      <c r="T300" s="245">
        <f t="shared" si="586"/>
        <v>2.3190788835845684E-3</v>
      </c>
      <c r="U300" s="245">
        <f t="shared" si="586"/>
        <v>4.6583551320464534E-4</v>
      </c>
      <c r="V300" s="245">
        <f t="shared" si="586"/>
        <v>5.4935147378847504E-3</v>
      </c>
      <c r="W300" s="245">
        <f t="shared" si="586"/>
        <v>1.3437916824271854E-4</v>
      </c>
      <c r="X300" s="245">
        <f t="shared" si="586"/>
        <v>1.1542062267288515E-4</v>
      </c>
      <c r="Y300" s="245">
        <f>Y84/Y83</f>
        <v>1.4512035598090401E-3</v>
      </c>
      <c r="Z300" s="245">
        <f>Z84/Z83</f>
        <v>1.892447691844632E-4</v>
      </c>
      <c r="AA300" s="245">
        <f>AA84/AA83</f>
        <v>2.6231818071099466E-4</v>
      </c>
      <c r="AB300" s="245">
        <f>AB84/AB83</f>
        <v>1.6138755110412781E-4</v>
      </c>
      <c r="AC300" s="245">
        <f t="shared" ref="AC300:AD300" si="587">AC84/AC83</f>
        <v>1.3934118565256406E-4</v>
      </c>
      <c r="AD300" s="245">
        <f t="shared" si="587"/>
        <v>1.2995842392568685E-4</v>
      </c>
      <c r="AF300" s="580">
        <f t="shared" ref="AF300:BK300" si="588">AF84/AF83</f>
        <v>1.7930390784270389E-3</v>
      </c>
      <c r="AG300" s="580">
        <f t="shared" si="588"/>
        <v>4.362525902497548E-3</v>
      </c>
      <c r="AH300" s="580">
        <f t="shared" si="588"/>
        <v>4.6086810792693146E-4</v>
      </c>
      <c r="AI300" s="580">
        <f t="shared" si="588"/>
        <v>5.4537571594824663E-3</v>
      </c>
      <c r="AJ300" s="580">
        <f t="shared" si="588"/>
        <v>1.8260948960647654E-4</v>
      </c>
      <c r="AK300" s="580">
        <f t="shared" si="588"/>
        <v>2.8537854624811143E-3</v>
      </c>
      <c r="AL300" s="580">
        <f t="shared" si="588"/>
        <v>5.2431404509644137E-3</v>
      </c>
      <c r="AM300" s="580">
        <f t="shared" si="588"/>
        <v>7.5222342282437018E-3</v>
      </c>
      <c r="AN300" s="580">
        <f t="shared" si="588"/>
        <v>3.5109143642192008E-3</v>
      </c>
      <c r="AO300" s="580">
        <f t="shared" si="588"/>
        <v>1.7636101430116572E-2</v>
      </c>
      <c r="AP300" s="580">
        <f t="shared" si="588"/>
        <v>2.8926017381265455E-2</v>
      </c>
      <c r="AQ300" s="580">
        <f t="shared" si="588"/>
        <v>1.7659444406710582E-2</v>
      </c>
      <c r="AR300" s="580">
        <f t="shared" si="588"/>
        <v>1.3401275029182017E-2</v>
      </c>
      <c r="AS300" s="580">
        <f t="shared" si="588"/>
        <v>0</v>
      </c>
      <c r="AT300" s="580">
        <f t="shared" si="588"/>
        <v>2.7663282525104416E-6</v>
      </c>
      <c r="AU300" s="580">
        <f t="shared" si="588"/>
        <v>-1.2730906822492968E-5</v>
      </c>
      <c r="AV300" s="580">
        <f t="shared" si="588"/>
        <v>7.6199230750622932E-4</v>
      </c>
      <c r="AW300" s="580">
        <f t="shared" si="588"/>
        <v>6.8354137528524729E-4</v>
      </c>
      <c r="AX300" s="580">
        <f t="shared" si="588"/>
        <v>3.9225941422594125E-4</v>
      </c>
      <c r="AY300" s="580">
        <f t="shared" si="588"/>
        <v>5.379178276726448E-5</v>
      </c>
      <c r="AZ300" s="580">
        <f t="shared" si="588"/>
        <v>2.4126970806365299E-4</v>
      </c>
      <c r="BA300" s="580">
        <f t="shared" si="588"/>
        <v>1.8509195097168703E-2</v>
      </c>
      <c r="BB300" s="580">
        <f t="shared" si="588"/>
        <v>1.7856026855464399E-5</v>
      </c>
      <c r="BC300" s="580">
        <f t="shared" si="588"/>
        <v>1.7173461665340667E-3</v>
      </c>
      <c r="BD300" s="580">
        <f t="shared" si="588"/>
        <v>3.9276140726412248E-5</v>
      </c>
      <c r="BE300" s="580">
        <f t="shared" si="588"/>
        <v>2.113575882177752E-4</v>
      </c>
      <c r="BF300" s="580">
        <f t="shared" si="588"/>
        <v>8.5189034467483393E-5</v>
      </c>
      <c r="BG300" s="580">
        <f t="shared" si="588"/>
        <v>1.7415029170173859E-4</v>
      </c>
      <c r="BH300" s="580">
        <f t="shared" si="588"/>
        <v>7.9370678707492545E-5</v>
      </c>
      <c r="BI300" s="580">
        <f t="shared" si="588"/>
        <v>3.1969564974144621E-5</v>
      </c>
      <c r="BJ300" s="580">
        <f t="shared" si="588"/>
        <v>1.5630784418575955E-4</v>
      </c>
      <c r="BK300" s="580">
        <f t="shared" si="588"/>
        <v>1.5333411503666491E-4</v>
      </c>
    </row>
    <row r="301" spans="1:63" s="240" customFormat="1">
      <c r="A301" s="209"/>
      <c r="B301" s="209"/>
      <c r="C301" s="209"/>
      <c r="D301" s="209"/>
      <c r="AF301" s="579"/>
      <c r="AG301" s="579"/>
      <c r="AH301" s="579"/>
      <c r="AI301" s="579"/>
      <c r="AJ301" s="579"/>
      <c r="AK301" s="579"/>
      <c r="AL301" s="579"/>
      <c r="AM301" s="579"/>
      <c r="AN301" s="579"/>
      <c r="AO301" s="579"/>
      <c r="AP301" s="579"/>
      <c r="AQ301" s="579"/>
      <c r="AR301" s="579"/>
      <c r="AS301" s="579"/>
      <c r="AT301" s="579"/>
      <c r="AU301" s="579"/>
      <c r="AV301" s="579"/>
      <c r="AW301" s="579"/>
      <c r="AX301" s="579"/>
      <c r="AY301" s="579"/>
      <c r="AZ301" s="579"/>
      <c r="BA301" s="579"/>
      <c r="BB301" s="579"/>
      <c r="BC301" s="579"/>
      <c r="BD301" s="579"/>
      <c r="BE301" s="579"/>
      <c r="BF301" s="579"/>
      <c r="BG301" s="579"/>
      <c r="BH301" s="579"/>
      <c r="BI301" s="579"/>
      <c r="BJ301" s="579"/>
      <c r="BK301" s="579"/>
    </row>
    <row r="302" spans="1:63" s="248" customFormat="1">
      <c r="A302" s="247"/>
      <c r="B302" s="220"/>
      <c r="C302" s="274"/>
      <c r="D302" s="247"/>
      <c r="AF302" s="581"/>
      <c r="AG302" s="581"/>
      <c r="AH302" s="581"/>
      <c r="AI302" s="581"/>
      <c r="AJ302" s="581"/>
      <c r="AK302" s="581"/>
      <c r="AL302" s="581"/>
      <c r="AM302" s="581"/>
      <c r="AN302" s="581"/>
      <c r="AO302" s="581"/>
      <c r="AP302" s="581"/>
      <c r="AQ302" s="581"/>
      <c r="AR302" s="581"/>
      <c r="AS302" s="581"/>
      <c r="AT302" s="581"/>
      <c r="AU302" s="581"/>
      <c r="AV302" s="581"/>
      <c r="AW302" s="581"/>
      <c r="AX302" s="581"/>
      <c r="AY302" s="581"/>
      <c r="AZ302" s="581"/>
      <c r="BA302" s="581"/>
      <c r="BB302" s="581"/>
      <c r="BC302" s="581"/>
      <c r="BD302" s="581"/>
      <c r="BE302" s="581"/>
      <c r="BF302" s="581"/>
      <c r="BG302" s="581"/>
      <c r="BH302" s="581"/>
      <c r="BI302" s="581"/>
      <c r="BJ302" s="581"/>
      <c r="BK302" s="581"/>
    </row>
    <row r="303" spans="1:63" s="248" customFormat="1">
      <c r="A303" s="247"/>
      <c r="B303" s="220"/>
      <c r="C303" s="256" t="s">
        <v>1465</v>
      </c>
      <c r="D303" s="247"/>
      <c r="AF303" s="581"/>
      <c r="AG303" s="581"/>
      <c r="AH303" s="581"/>
      <c r="AI303" s="581"/>
      <c r="AJ303" s="581"/>
      <c r="AK303" s="581"/>
      <c r="AL303" s="581"/>
      <c r="AM303" s="581"/>
      <c r="AN303" s="581"/>
      <c r="AO303" s="581"/>
      <c r="AP303" s="581"/>
      <c r="AQ303" s="581"/>
      <c r="AR303" s="581"/>
      <c r="AS303" s="581"/>
      <c r="AT303" s="581"/>
      <c r="AU303" s="581"/>
      <c r="AV303" s="581"/>
      <c r="AW303" s="581"/>
      <c r="AX303" s="581"/>
      <c r="AY303" s="581"/>
      <c r="AZ303" s="581"/>
      <c r="BA303" s="581"/>
      <c r="BB303" s="581"/>
      <c r="BC303" s="581"/>
      <c r="BD303" s="581"/>
      <c r="BE303" s="581"/>
      <c r="BF303" s="581"/>
      <c r="BG303" s="581"/>
      <c r="BH303" s="581"/>
      <c r="BI303" s="581"/>
      <c r="BJ303" s="581"/>
      <c r="BK303" s="581"/>
    </row>
    <row r="304" spans="1:63" s="245" customFormat="1">
      <c r="A304" s="243"/>
      <c r="B304" s="246" t="s">
        <v>1466</v>
      </c>
      <c r="C304" s="265" t="s">
        <v>1467</v>
      </c>
      <c r="D304" s="243"/>
      <c r="F304" s="245" t="e">
        <f t="shared" ref="F304:X304" ca="1" si="589">$E$11/F223</f>
        <v>#NAME?</v>
      </c>
      <c r="G304" s="245" t="e">
        <f t="shared" ca="1" si="589"/>
        <v>#NAME?</v>
      </c>
      <c r="H304" s="245" t="e">
        <f t="shared" ca="1" si="589"/>
        <v>#NAME?</v>
      </c>
      <c r="I304" s="245" t="e">
        <f t="shared" ca="1" si="589"/>
        <v>#NAME?</v>
      </c>
      <c r="J304" s="245" t="e">
        <f t="shared" ca="1" si="589"/>
        <v>#NAME?</v>
      </c>
      <c r="K304" s="245" t="e">
        <f t="shared" ca="1" si="589"/>
        <v>#NAME?</v>
      </c>
      <c r="L304" s="245" t="e">
        <f t="shared" ca="1" si="589"/>
        <v>#NAME?</v>
      </c>
      <c r="M304" s="245" t="e">
        <f t="shared" ca="1" si="589"/>
        <v>#NAME?</v>
      </c>
      <c r="N304" s="245" t="e">
        <f t="shared" ca="1" si="589"/>
        <v>#NAME?</v>
      </c>
      <c r="O304" s="245" t="e">
        <f t="shared" ca="1" si="589"/>
        <v>#NAME?</v>
      </c>
      <c r="P304" s="245" t="e">
        <f t="shared" ca="1" si="589"/>
        <v>#NAME?</v>
      </c>
      <c r="Q304" s="245" t="e">
        <f t="shared" ca="1" si="589"/>
        <v>#NAME?</v>
      </c>
      <c r="R304" s="245" t="e">
        <f t="shared" ca="1" si="589"/>
        <v>#NAME?</v>
      </c>
      <c r="S304" s="245" t="e">
        <f t="shared" ca="1" si="589"/>
        <v>#NAME?</v>
      </c>
      <c r="T304" s="245" t="e">
        <f t="shared" ca="1" si="589"/>
        <v>#NAME?</v>
      </c>
      <c r="U304" s="245" t="e">
        <f t="shared" ca="1" si="589"/>
        <v>#NAME?</v>
      </c>
      <c r="V304" s="245" t="e">
        <f t="shared" ca="1" si="589"/>
        <v>#NAME?</v>
      </c>
      <c r="W304" s="245" t="e">
        <f t="shared" ca="1" si="589"/>
        <v>#NAME?</v>
      </c>
      <c r="X304" s="245" t="e">
        <f t="shared" ca="1" si="589"/>
        <v>#NAME?</v>
      </c>
      <c r="Y304" s="245" t="e">
        <f ca="1">$E$11/Y223</f>
        <v>#NAME?</v>
      </c>
      <c r="Z304" s="245" t="e">
        <f ca="1">$E$11/Z223</f>
        <v>#NAME?</v>
      </c>
      <c r="AA304" s="245" t="e">
        <f ca="1">$E$11/AA223</f>
        <v>#NAME?</v>
      </c>
      <c r="AB304" s="245" t="e">
        <f ca="1">$E$11/AB223</f>
        <v>#NAME?</v>
      </c>
      <c r="AC304" s="245" t="e">
        <f t="shared" ref="AC304:AD304" ca="1" si="590">$E$11/AC223</f>
        <v>#NAME?</v>
      </c>
      <c r="AD304" s="245" t="e">
        <f t="shared" ca="1" si="590"/>
        <v>#NAME?</v>
      </c>
      <c r="AF304" s="580" t="e">
        <f t="shared" ref="AF304:BK304" ca="1" si="591">$E$11/AF223</f>
        <v>#NAME?</v>
      </c>
      <c r="AG304" s="580" t="e">
        <f t="shared" ca="1" si="591"/>
        <v>#NAME?</v>
      </c>
      <c r="AH304" s="580" t="e">
        <f t="shared" ca="1" si="591"/>
        <v>#NAME?</v>
      </c>
      <c r="AI304" s="580" t="e">
        <f t="shared" ca="1" si="591"/>
        <v>#NAME?</v>
      </c>
      <c r="AJ304" s="580" t="e">
        <f t="shared" ca="1" si="591"/>
        <v>#NAME?</v>
      </c>
      <c r="AK304" s="580" t="e">
        <f t="shared" ca="1" si="591"/>
        <v>#NAME?</v>
      </c>
      <c r="AL304" s="580" t="e">
        <f t="shared" ca="1" si="591"/>
        <v>#NAME?</v>
      </c>
      <c r="AM304" s="580" t="e">
        <f t="shared" ca="1" si="591"/>
        <v>#NAME?</v>
      </c>
      <c r="AN304" s="580" t="e">
        <f t="shared" ca="1" si="591"/>
        <v>#NAME?</v>
      </c>
      <c r="AO304" s="580" t="e">
        <f t="shared" ca="1" si="591"/>
        <v>#NAME?</v>
      </c>
      <c r="AP304" s="580" t="e">
        <f t="shared" ca="1" si="591"/>
        <v>#NAME?</v>
      </c>
      <c r="AQ304" s="580" t="e">
        <f t="shared" ca="1" si="591"/>
        <v>#NAME?</v>
      </c>
      <c r="AR304" s="580" t="e">
        <f t="shared" ca="1" si="591"/>
        <v>#NAME?</v>
      </c>
      <c r="AS304" s="580" t="e">
        <f t="shared" ca="1" si="591"/>
        <v>#NAME?</v>
      </c>
      <c r="AT304" s="580" t="e">
        <f t="shared" ca="1" si="591"/>
        <v>#NAME?</v>
      </c>
      <c r="AU304" s="580" t="e">
        <f t="shared" ca="1" si="591"/>
        <v>#NAME?</v>
      </c>
      <c r="AV304" s="580" t="e">
        <f t="shared" ca="1" si="591"/>
        <v>#NAME?</v>
      </c>
      <c r="AW304" s="580" t="e">
        <f t="shared" ca="1" si="591"/>
        <v>#NAME?</v>
      </c>
      <c r="AX304" s="580" t="e">
        <f t="shared" ca="1" si="591"/>
        <v>#NAME?</v>
      </c>
      <c r="AY304" s="580" t="e">
        <f t="shared" ca="1" si="591"/>
        <v>#NAME?</v>
      </c>
      <c r="AZ304" s="580" t="e">
        <f t="shared" ca="1" si="591"/>
        <v>#NAME?</v>
      </c>
      <c r="BA304" s="580" t="e">
        <f t="shared" ca="1" si="591"/>
        <v>#NAME?</v>
      </c>
      <c r="BB304" s="580" t="e">
        <f t="shared" ca="1" si="591"/>
        <v>#NAME?</v>
      </c>
      <c r="BC304" s="580" t="e">
        <f t="shared" ca="1" si="591"/>
        <v>#NAME?</v>
      </c>
      <c r="BD304" s="580" t="e">
        <f t="shared" ca="1" si="591"/>
        <v>#NAME?</v>
      </c>
      <c r="BE304" s="580" t="e">
        <f t="shared" ca="1" si="591"/>
        <v>#NAME?</v>
      </c>
      <c r="BF304" s="580" t="e">
        <f t="shared" ca="1" si="591"/>
        <v>#NAME?</v>
      </c>
      <c r="BG304" s="580" t="e">
        <f t="shared" ca="1" si="591"/>
        <v>#NAME?</v>
      </c>
      <c r="BH304" s="580" t="e">
        <f t="shared" ca="1" si="591"/>
        <v>#NAME?</v>
      </c>
      <c r="BI304" s="580" t="e">
        <f t="shared" ca="1" si="591"/>
        <v>#NAME?</v>
      </c>
      <c r="BJ304" s="580" t="e">
        <f t="shared" ca="1" si="591"/>
        <v>#NAME?</v>
      </c>
      <c r="BK304" s="580" t="e">
        <f t="shared" ca="1" si="591"/>
        <v>#NAME?</v>
      </c>
    </row>
    <row r="305" spans="1:63" s="245" customFormat="1">
      <c r="A305" s="243"/>
      <c r="B305" s="246" t="s">
        <v>1468</v>
      </c>
      <c r="C305" s="265" t="s">
        <v>1469</v>
      </c>
      <c r="D305" s="243"/>
      <c r="F305" s="245" t="e">
        <f t="shared" ref="F305:X305" ca="1" si="592">$E$11/F240</f>
        <v>#NAME?</v>
      </c>
      <c r="G305" s="245" t="e">
        <f t="shared" ca="1" si="592"/>
        <v>#NAME?</v>
      </c>
      <c r="H305" s="245" t="e">
        <f t="shared" ca="1" si="592"/>
        <v>#NAME?</v>
      </c>
      <c r="I305" s="245" t="e">
        <f t="shared" ca="1" si="592"/>
        <v>#NAME?</v>
      </c>
      <c r="J305" s="245" t="e">
        <f t="shared" ca="1" si="592"/>
        <v>#NAME?</v>
      </c>
      <c r="K305" s="245" t="e">
        <f t="shared" ca="1" si="592"/>
        <v>#NAME?</v>
      </c>
      <c r="L305" s="245" t="e">
        <f t="shared" ca="1" si="592"/>
        <v>#NAME?</v>
      </c>
      <c r="M305" s="245" t="e">
        <f t="shared" ca="1" si="592"/>
        <v>#NAME?</v>
      </c>
      <c r="N305" s="245" t="e">
        <f t="shared" ca="1" si="592"/>
        <v>#NAME?</v>
      </c>
      <c r="O305" s="245" t="e">
        <f t="shared" ca="1" si="592"/>
        <v>#NAME?</v>
      </c>
      <c r="P305" s="245" t="e">
        <f t="shared" ca="1" si="592"/>
        <v>#NAME?</v>
      </c>
      <c r="Q305" s="245" t="e">
        <f t="shared" ca="1" si="592"/>
        <v>#NAME?</v>
      </c>
      <c r="R305" s="245" t="e">
        <f t="shared" ca="1" si="592"/>
        <v>#NAME?</v>
      </c>
      <c r="S305" s="245" t="e">
        <f t="shared" ca="1" si="592"/>
        <v>#NAME?</v>
      </c>
      <c r="T305" s="245" t="e">
        <f t="shared" ca="1" si="592"/>
        <v>#NAME?</v>
      </c>
      <c r="U305" s="245" t="e">
        <f t="shared" ca="1" si="592"/>
        <v>#NAME?</v>
      </c>
      <c r="V305" s="245" t="e">
        <f t="shared" ca="1" si="592"/>
        <v>#NAME?</v>
      </c>
      <c r="W305" s="245" t="e">
        <f t="shared" ca="1" si="592"/>
        <v>#NAME?</v>
      </c>
      <c r="X305" s="245" t="e">
        <f t="shared" ca="1" si="592"/>
        <v>#NAME?</v>
      </c>
      <c r="Y305" s="245" t="e">
        <f ca="1">$E$11/Y240</f>
        <v>#NAME?</v>
      </c>
      <c r="Z305" s="245" t="e">
        <f ca="1">$E$11/Z240</f>
        <v>#NAME?</v>
      </c>
      <c r="AA305" s="245" t="e">
        <f ca="1">$E$11/AA240</f>
        <v>#NAME?</v>
      </c>
      <c r="AB305" s="245" t="e">
        <f ca="1">$E$11/AB240</f>
        <v>#NAME?</v>
      </c>
      <c r="AC305" s="245" t="e">
        <f t="shared" ref="AC305:AD305" ca="1" si="593">$E$11/AC240</f>
        <v>#NAME?</v>
      </c>
      <c r="AD305" s="245" t="e">
        <f t="shared" ca="1" si="593"/>
        <v>#NAME?</v>
      </c>
      <c r="AF305" s="580" t="e">
        <f t="shared" ref="AF305:BK305" ca="1" si="594">$E$11/AF240</f>
        <v>#NAME?</v>
      </c>
      <c r="AG305" s="580" t="e">
        <f t="shared" ca="1" si="594"/>
        <v>#NAME?</v>
      </c>
      <c r="AH305" s="580" t="e">
        <f t="shared" ca="1" si="594"/>
        <v>#NAME?</v>
      </c>
      <c r="AI305" s="580" t="e">
        <f t="shared" ca="1" si="594"/>
        <v>#NAME?</v>
      </c>
      <c r="AJ305" s="580" t="e">
        <f t="shared" ca="1" si="594"/>
        <v>#NAME?</v>
      </c>
      <c r="AK305" s="580" t="e">
        <f t="shared" ca="1" si="594"/>
        <v>#NAME?</v>
      </c>
      <c r="AL305" s="580" t="e">
        <f t="shared" ca="1" si="594"/>
        <v>#NAME?</v>
      </c>
      <c r="AM305" s="580" t="e">
        <f t="shared" ca="1" si="594"/>
        <v>#NAME?</v>
      </c>
      <c r="AN305" s="580" t="e">
        <f t="shared" ca="1" si="594"/>
        <v>#NAME?</v>
      </c>
      <c r="AO305" s="580" t="e">
        <f t="shared" ca="1" si="594"/>
        <v>#NAME?</v>
      </c>
      <c r="AP305" s="580" t="e">
        <f t="shared" ca="1" si="594"/>
        <v>#NAME?</v>
      </c>
      <c r="AQ305" s="580" t="e">
        <f t="shared" ca="1" si="594"/>
        <v>#NAME?</v>
      </c>
      <c r="AR305" s="580" t="e">
        <f t="shared" ca="1" si="594"/>
        <v>#NAME?</v>
      </c>
      <c r="AS305" s="580" t="e">
        <f t="shared" ca="1" si="594"/>
        <v>#NAME?</v>
      </c>
      <c r="AT305" s="580" t="e">
        <f t="shared" ca="1" si="594"/>
        <v>#NAME?</v>
      </c>
      <c r="AU305" s="580" t="e">
        <f t="shared" ca="1" si="594"/>
        <v>#NAME?</v>
      </c>
      <c r="AV305" s="580" t="e">
        <f t="shared" ca="1" si="594"/>
        <v>#NAME?</v>
      </c>
      <c r="AW305" s="580" t="e">
        <f t="shared" ca="1" si="594"/>
        <v>#NAME?</v>
      </c>
      <c r="AX305" s="580" t="e">
        <f t="shared" ca="1" si="594"/>
        <v>#NAME?</v>
      </c>
      <c r="AY305" s="580" t="e">
        <f t="shared" ca="1" si="594"/>
        <v>#NAME?</v>
      </c>
      <c r="AZ305" s="580" t="e">
        <f t="shared" ca="1" si="594"/>
        <v>#NAME?</v>
      </c>
      <c r="BA305" s="580" t="e">
        <f t="shared" ca="1" si="594"/>
        <v>#NAME?</v>
      </c>
      <c r="BB305" s="580" t="e">
        <f t="shared" ca="1" si="594"/>
        <v>#NAME?</v>
      </c>
      <c r="BC305" s="580" t="e">
        <f t="shared" ca="1" si="594"/>
        <v>#NAME?</v>
      </c>
      <c r="BD305" s="580" t="e">
        <f t="shared" ca="1" si="594"/>
        <v>#NAME?</v>
      </c>
      <c r="BE305" s="580" t="e">
        <f t="shared" ca="1" si="594"/>
        <v>#NAME?</v>
      </c>
      <c r="BF305" s="580" t="e">
        <f t="shared" ca="1" si="594"/>
        <v>#NAME?</v>
      </c>
      <c r="BG305" s="580" t="e">
        <f t="shared" ca="1" si="594"/>
        <v>#NAME?</v>
      </c>
      <c r="BH305" s="580" t="e">
        <f t="shared" ca="1" si="594"/>
        <v>#NAME?</v>
      </c>
      <c r="BI305" s="580" t="e">
        <f t="shared" ca="1" si="594"/>
        <v>#NAME?</v>
      </c>
      <c r="BJ305" s="580" t="e">
        <f t="shared" ca="1" si="594"/>
        <v>#NAME?</v>
      </c>
      <c r="BK305" s="580" t="e">
        <f t="shared" ca="1" si="594"/>
        <v>#NAME?</v>
      </c>
    </row>
    <row r="306" spans="1:63" s="245" customFormat="1">
      <c r="A306" s="243"/>
      <c r="B306" s="246" t="s">
        <v>1470</v>
      </c>
      <c r="C306" s="265" t="s">
        <v>1471</v>
      </c>
      <c r="D306" s="243"/>
      <c r="F306" s="245" t="e">
        <f t="shared" ref="F306:X306" ca="1" si="595">$E$11/F224</f>
        <v>#NAME?</v>
      </c>
      <c r="G306" s="245" t="e">
        <f t="shared" ca="1" si="595"/>
        <v>#NAME?</v>
      </c>
      <c r="H306" s="245" t="e">
        <f t="shared" ca="1" si="595"/>
        <v>#NAME?</v>
      </c>
      <c r="I306" s="245" t="e">
        <f t="shared" ca="1" si="595"/>
        <v>#NAME?</v>
      </c>
      <c r="J306" s="245" t="e">
        <f t="shared" ca="1" si="595"/>
        <v>#NAME?</v>
      </c>
      <c r="K306" s="245" t="e">
        <f t="shared" ca="1" si="595"/>
        <v>#NAME?</v>
      </c>
      <c r="L306" s="245" t="e">
        <f t="shared" ca="1" si="595"/>
        <v>#NAME?</v>
      </c>
      <c r="M306" s="245" t="e">
        <f t="shared" ca="1" si="595"/>
        <v>#NAME?</v>
      </c>
      <c r="N306" s="245" t="e">
        <f t="shared" ca="1" si="595"/>
        <v>#NAME?</v>
      </c>
      <c r="O306" s="245" t="e">
        <f t="shared" ca="1" si="595"/>
        <v>#NAME?</v>
      </c>
      <c r="P306" s="245" t="e">
        <f t="shared" ca="1" si="595"/>
        <v>#NAME?</v>
      </c>
      <c r="Q306" s="245" t="e">
        <f t="shared" ca="1" si="595"/>
        <v>#NAME?</v>
      </c>
      <c r="R306" s="245" t="e">
        <f t="shared" ca="1" si="595"/>
        <v>#NAME?</v>
      </c>
      <c r="S306" s="245" t="e">
        <f t="shared" ca="1" si="595"/>
        <v>#NAME?</v>
      </c>
      <c r="T306" s="245" t="e">
        <f t="shared" ca="1" si="595"/>
        <v>#NAME?</v>
      </c>
      <c r="U306" s="245" t="e">
        <f t="shared" ca="1" si="595"/>
        <v>#NAME?</v>
      </c>
      <c r="V306" s="245" t="e">
        <f t="shared" ca="1" si="595"/>
        <v>#NAME?</v>
      </c>
      <c r="W306" s="245" t="e">
        <f t="shared" ca="1" si="595"/>
        <v>#NAME?</v>
      </c>
      <c r="X306" s="245" t="e">
        <f t="shared" ca="1" si="595"/>
        <v>#NAME?</v>
      </c>
      <c r="Y306" s="245" t="e">
        <f t="shared" ref="Y306:AA307" ca="1" si="596">$E$11/Y224</f>
        <v>#NAME?</v>
      </c>
      <c r="Z306" s="245" t="e">
        <f t="shared" ca="1" si="596"/>
        <v>#NAME?</v>
      </c>
      <c r="AA306" s="245" t="e">
        <f t="shared" ca="1" si="596"/>
        <v>#NAME?</v>
      </c>
      <c r="AB306" s="245" t="e">
        <f t="shared" ref="AB306:AD306" ca="1" si="597">$E$11/AB224</f>
        <v>#NAME?</v>
      </c>
      <c r="AC306" s="245" t="e">
        <f t="shared" ca="1" si="597"/>
        <v>#NAME?</v>
      </c>
      <c r="AD306" s="245" t="e">
        <f t="shared" ca="1" si="597"/>
        <v>#NAME?</v>
      </c>
      <c r="AF306" s="580" t="e">
        <f t="shared" ref="AF306:BK307" ca="1" si="598">$E$11/AF224</f>
        <v>#NAME?</v>
      </c>
      <c r="AG306" s="580" t="e">
        <f t="shared" ca="1" si="598"/>
        <v>#NAME?</v>
      </c>
      <c r="AH306" s="580" t="e">
        <f t="shared" ca="1" si="598"/>
        <v>#NAME?</v>
      </c>
      <c r="AI306" s="580" t="e">
        <f t="shared" ca="1" si="598"/>
        <v>#NAME?</v>
      </c>
      <c r="AJ306" s="580" t="e">
        <f t="shared" ca="1" si="598"/>
        <v>#NAME?</v>
      </c>
      <c r="AK306" s="580" t="e">
        <f t="shared" ca="1" si="598"/>
        <v>#NAME?</v>
      </c>
      <c r="AL306" s="580" t="e">
        <f t="shared" ca="1" si="598"/>
        <v>#NAME?</v>
      </c>
      <c r="AM306" s="580" t="e">
        <f t="shared" ca="1" si="598"/>
        <v>#NAME?</v>
      </c>
      <c r="AN306" s="580" t="e">
        <f t="shared" ca="1" si="598"/>
        <v>#NAME?</v>
      </c>
      <c r="AO306" s="580" t="e">
        <f t="shared" ca="1" si="598"/>
        <v>#NAME?</v>
      </c>
      <c r="AP306" s="580" t="e">
        <f t="shared" ca="1" si="598"/>
        <v>#NAME?</v>
      </c>
      <c r="AQ306" s="580" t="e">
        <f t="shared" ca="1" si="598"/>
        <v>#NAME?</v>
      </c>
      <c r="AR306" s="580" t="e">
        <f t="shared" ca="1" si="598"/>
        <v>#NAME?</v>
      </c>
      <c r="AS306" s="580" t="e">
        <f t="shared" ca="1" si="598"/>
        <v>#NAME?</v>
      </c>
      <c r="AT306" s="580" t="e">
        <f t="shared" ca="1" si="598"/>
        <v>#NAME?</v>
      </c>
      <c r="AU306" s="580" t="e">
        <f t="shared" ca="1" si="598"/>
        <v>#NAME?</v>
      </c>
      <c r="AV306" s="580" t="e">
        <f t="shared" ca="1" si="598"/>
        <v>#NAME?</v>
      </c>
      <c r="AW306" s="580" t="e">
        <f t="shared" ca="1" si="598"/>
        <v>#NAME?</v>
      </c>
      <c r="AX306" s="580" t="e">
        <f t="shared" ca="1" si="598"/>
        <v>#NAME?</v>
      </c>
      <c r="AY306" s="580" t="e">
        <f t="shared" ca="1" si="598"/>
        <v>#NAME?</v>
      </c>
      <c r="AZ306" s="580" t="e">
        <f t="shared" ca="1" si="598"/>
        <v>#NAME?</v>
      </c>
      <c r="BA306" s="580" t="e">
        <f t="shared" ca="1" si="598"/>
        <v>#NAME?</v>
      </c>
      <c r="BB306" s="580" t="e">
        <f t="shared" ca="1" si="598"/>
        <v>#NAME?</v>
      </c>
      <c r="BC306" s="580" t="e">
        <f t="shared" ca="1" si="598"/>
        <v>#NAME?</v>
      </c>
      <c r="BD306" s="580" t="e">
        <f t="shared" ca="1" si="598"/>
        <v>#NAME?</v>
      </c>
      <c r="BE306" s="580" t="e">
        <f t="shared" ca="1" si="598"/>
        <v>#NAME?</v>
      </c>
      <c r="BF306" s="580" t="e">
        <f t="shared" ca="1" si="598"/>
        <v>#NAME?</v>
      </c>
      <c r="BG306" s="580" t="e">
        <f t="shared" ca="1" si="598"/>
        <v>#NAME?</v>
      </c>
      <c r="BH306" s="580" t="e">
        <f t="shared" ca="1" si="598"/>
        <v>#NAME?</v>
      </c>
      <c r="BI306" s="580" t="e">
        <f t="shared" ca="1" si="598"/>
        <v>#NAME?</v>
      </c>
      <c r="BJ306" s="580" t="e">
        <f t="shared" ca="1" si="598"/>
        <v>#NAME?</v>
      </c>
      <c r="BK306" s="580" t="e">
        <f t="shared" ca="1" si="598"/>
        <v>#NAME?</v>
      </c>
    </row>
    <row r="307" spans="1:63" s="245" customFormat="1">
      <c r="A307" s="243"/>
      <c r="B307" s="280" t="s">
        <v>1472</v>
      </c>
      <c r="C307" s="265" t="s">
        <v>1473</v>
      </c>
      <c r="D307" s="243"/>
      <c r="F307" s="245" t="e">
        <f t="shared" ref="F307:X307" ca="1" si="599">$E$11/F225</f>
        <v>#NAME?</v>
      </c>
      <c r="G307" s="245" t="e">
        <f t="shared" ca="1" si="599"/>
        <v>#NAME?</v>
      </c>
      <c r="H307" s="245" t="e">
        <f t="shared" ca="1" si="599"/>
        <v>#NAME?</v>
      </c>
      <c r="I307" s="245" t="e">
        <f t="shared" ca="1" si="599"/>
        <v>#NAME?</v>
      </c>
      <c r="J307" s="245" t="e">
        <f t="shared" ca="1" si="599"/>
        <v>#NAME?</v>
      </c>
      <c r="K307" s="245" t="e">
        <f t="shared" ca="1" si="599"/>
        <v>#NAME?</v>
      </c>
      <c r="L307" s="245" t="e">
        <f t="shared" ca="1" si="599"/>
        <v>#NAME?</v>
      </c>
      <c r="M307" s="245" t="e">
        <f t="shared" ca="1" si="599"/>
        <v>#NAME?</v>
      </c>
      <c r="N307" s="245" t="e">
        <f t="shared" ca="1" si="599"/>
        <v>#NAME?</v>
      </c>
      <c r="O307" s="245" t="e">
        <f t="shared" ca="1" si="599"/>
        <v>#NAME?</v>
      </c>
      <c r="P307" s="245" t="e">
        <f t="shared" ca="1" si="599"/>
        <v>#NAME?</v>
      </c>
      <c r="Q307" s="245" t="e">
        <f t="shared" ca="1" si="599"/>
        <v>#NAME?</v>
      </c>
      <c r="R307" s="245" t="e">
        <f t="shared" ca="1" si="599"/>
        <v>#NAME?</v>
      </c>
      <c r="S307" s="245" t="e">
        <f t="shared" ca="1" si="599"/>
        <v>#NAME?</v>
      </c>
      <c r="T307" s="245" t="e">
        <f t="shared" ca="1" si="599"/>
        <v>#NAME?</v>
      </c>
      <c r="U307" s="245" t="e">
        <f t="shared" ca="1" si="599"/>
        <v>#NAME?</v>
      </c>
      <c r="V307" s="245" t="e">
        <f t="shared" ca="1" si="599"/>
        <v>#NAME?</v>
      </c>
      <c r="W307" s="245" t="e">
        <f t="shared" ca="1" si="599"/>
        <v>#NAME?</v>
      </c>
      <c r="X307" s="245" t="e">
        <f t="shared" ca="1" si="599"/>
        <v>#NAME?</v>
      </c>
      <c r="Y307" s="245" t="e">
        <f t="shared" ca="1" si="596"/>
        <v>#NAME?</v>
      </c>
      <c r="Z307" s="245" t="e">
        <f t="shared" ca="1" si="596"/>
        <v>#NAME?</v>
      </c>
      <c r="AA307" s="245" t="e">
        <f t="shared" ca="1" si="596"/>
        <v>#NAME?</v>
      </c>
      <c r="AB307" s="245" t="e">
        <f t="shared" ref="AB307:AD307" ca="1" si="600">$E$11/AB225</f>
        <v>#NAME?</v>
      </c>
      <c r="AC307" s="245" t="e">
        <f t="shared" ca="1" si="600"/>
        <v>#NAME?</v>
      </c>
      <c r="AD307" s="245" t="e">
        <f t="shared" ca="1" si="600"/>
        <v>#NAME?</v>
      </c>
      <c r="AF307" s="580" t="e">
        <f t="shared" ca="1" si="598"/>
        <v>#NAME?</v>
      </c>
      <c r="AG307" s="580" t="e">
        <f t="shared" ca="1" si="598"/>
        <v>#NAME?</v>
      </c>
      <c r="AH307" s="580" t="e">
        <f t="shared" ca="1" si="598"/>
        <v>#NAME?</v>
      </c>
      <c r="AI307" s="580" t="e">
        <f t="shared" ca="1" si="598"/>
        <v>#NAME?</v>
      </c>
      <c r="AJ307" s="580" t="e">
        <f t="shared" ca="1" si="598"/>
        <v>#NAME?</v>
      </c>
      <c r="AK307" s="580" t="e">
        <f t="shared" ca="1" si="598"/>
        <v>#NAME?</v>
      </c>
      <c r="AL307" s="580" t="e">
        <f t="shared" ca="1" si="598"/>
        <v>#NAME?</v>
      </c>
      <c r="AM307" s="580" t="e">
        <f t="shared" ca="1" si="598"/>
        <v>#NAME?</v>
      </c>
      <c r="AN307" s="580" t="e">
        <f t="shared" ca="1" si="598"/>
        <v>#NAME?</v>
      </c>
      <c r="AO307" s="580" t="e">
        <f t="shared" ca="1" si="598"/>
        <v>#NAME?</v>
      </c>
      <c r="AP307" s="580" t="e">
        <f t="shared" ca="1" si="598"/>
        <v>#NAME?</v>
      </c>
      <c r="AQ307" s="580" t="e">
        <f t="shared" ca="1" si="598"/>
        <v>#NAME?</v>
      </c>
      <c r="AR307" s="580" t="e">
        <f t="shared" ca="1" si="598"/>
        <v>#NAME?</v>
      </c>
      <c r="AS307" s="580" t="e">
        <f t="shared" ca="1" si="598"/>
        <v>#NAME?</v>
      </c>
      <c r="AT307" s="580" t="e">
        <f t="shared" ca="1" si="598"/>
        <v>#NAME?</v>
      </c>
      <c r="AU307" s="580" t="e">
        <f t="shared" ca="1" si="598"/>
        <v>#NAME?</v>
      </c>
      <c r="AV307" s="580" t="e">
        <f t="shared" ca="1" si="598"/>
        <v>#NAME?</v>
      </c>
      <c r="AW307" s="580" t="e">
        <f t="shared" ca="1" si="598"/>
        <v>#NAME?</v>
      </c>
      <c r="AX307" s="580" t="e">
        <f t="shared" ca="1" si="598"/>
        <v>#NAME?</v>
      </c>
      <c r="AY307" s="580" t="e">
        <f t="shared" ca="1" si="598"/>
        <v>#NAME?</v>
      </c>
      <c r="AZ307" s="580" t="e">
        <f t="shared" ca="1" si="598"/>
        <v>#NAME?</v>
      </c>
      <c r="BA307" s="580" t="e">
        <f t="shared" ca="1" si="598"/>
        <v>#NAME?</v>
      </c>
      <c r="BB307" s="580" t="e">
        <f t="shared" ca="1" si="598"/>
        <v>#NAME?</v>
      </c>
      <c r="BC307" s="580" t="e">
        <f t="shared" ca="1" si="598"/>
        <v>#NAME?</v>
      </c>
      <c r="BD307" s="580" t="e">
        <f t="shared" ca="1" si="598"/>
        <v>#NAME?</v>
      </c>
      <c r="BE307" s="580" t="e">
        <f t="shared" ca="1" si="598"/>
        <v>#NAME?</v>
      </c>
      <c r="BF307" s="580" t="e">
        <f t="shared" ca="1" si="598"/>
        <v>#NAME?</v>
      </c>
      <c r="BG307" s="580" t="e">
        <f t="shared" ca="1" si="598"/>
        <v>#NAME?</v>
      </c>
      <c r="BH307" s="580" t="e">
        <f t="shared" ca="1" si="598"/>
        <v>#NAME?</v>
      </c>
      <c r="BI307" s="580" t="e">
        <f t="shared" ca="1" si="598"/>
        <v>#NAME?</v>
      </c>
      <c r="BJ307" s="580" t="e">
        <f t="shared" ca="1" si="598"/>
        <v>#NAME?</v>
      </c>
      <c r="BK307" s="580" t="e">
        <f t="shared" ca="1" si="598"/>
        <v>#NAME?</v>
      </c>
    </row>
    <row r="308" spans="1:63" s="245" customFormat="1">
      <c r="A308" s="243"/>
      <c r="B308" s="246" t="s">
        <v>1474</v>
      </c>
      <c r="C308" s="265" t="s">
        <v>1475</v>
      </c>
      <c r="D308" s="243"/>
      <c r="F308" s="245" t="e">
        <f t="shared" ref="F308:X308" ca="1" si="601">$E$11/F227</f>
        <v>#NAME?</v>
      </c>
      <c r="G308" s="245" t="e">
        <f t="shared" ca="1" si="601"/>
        <v>#NAME?</v>
      </c>
      <c r="H308" s="245" t="e">
        <f t="shared" ca="1" si="601"/>
        <v>#NAME?</v>
      </c>
      <c r="I308" s="245" t="e">
        <f t="shared" ca="1" si="601"/>
        <v>#NAME?</v>
      </c>
      <c r="J308" s="245" t="e">
        <f t="shared" ca="1" si="601"/>
        <v>#NAME?</v>
      </c>
      <c r="K308" s="245" t="e">
        <f t="shared" ca="1" si="601"/>
        <v>#NAME?</v>
      </c>
      <c r="L308" s="245" t="e">
        <f t="shared" ca="1" si="601"/>
        <v>#NAME?</v>
      </c>
      <c r="M308" s="245" t="e">
        <f t="shared" ca="1" si="601"/>
        <v>#NAME?</v>
      </c>
      <c r="N308" s="245" t="e">
        <f t="shared" ca="1" si="601"/>
        <v>#NAME?</v>
      </c>
      <c r="O308" s="245" t="e">
        <f t="shared" ca="1" si="601"/>
        <v>#NAME?</v>
      </c>
      <c r="P308" s="245" t="e">
        <f t="shared" ca="1" si="601"/>
        <v>#NAME?</v>
      </c>
      <c r="Q308" s="245" t="e">
        <f t="shared" ca="1" si="601"/>
        <v>#NAME?</v>
      </c>
      <c r="R308" s="245" t="e">
        <f t="shared" ca="1" si="601"/>
        <v>#NAME?</v>
      </c>
      <c r="S308" s="245" t="e">
        <f t="shared" ca="1" si="601"/>
        <v>#NAME?</v>
      </c>
      <c r="T308" s="245" t="e">
        <f t="shared" ca="1" si="601"/>
        <v>#NAME?</v>
      </c>
      <c r="U308" s="245" t="e">
        <f t="shared" ca="1" si="601"/>
        <v>#NAME?</v>
      </c>
      <c r="V308" s="245" t="e">
        <f t="shared" ca="1" si="601"/>
        <v>#NAME?</v>
      </c>
      <c r="W308" s="245" t="e">
        <f t="shared" ca="1" si="601"/>
        <v>#NAME?</v>
      </c>
      <c r="X308" s="245" t="e">
        <f t="shared" ca="1" si="601"/>
        <v>#NAME?</v>
      </c>
      <c r="Y308" s="245" t="e">
        <f ca="1">$E$11/Y227</f>
        <v>#NAME?</v>
      </c>
      <c r="Z308" s="245" t="e">
        <f ca="1">$E$11/Z227</f>
        <v>#NAME?</v>
      </c>
      <c r="AA308" s="245" t="e">
        <f ca="1">$E$11/AA227</f>
        <v>#NAME?</v>
      </c>
      <c r="AB308" s="245" t="e">
        <f ca="1">$E$11/AB227</f>
        <v>#NAME?</v>
      </c>
      <c r="AC308" s="245" t="e">
        <f t="shared" ref="AC308:AD308" ca="1" si="602">$E$11/AC227</f>
        <v>#NAME?</v>
      </c>
      <c r="AD308" s="245" t="e">
        <f t="shared" ca="1" si="602"/>
        <v>#NAME?</v>
      </c>
      <c r="AF308" s="580" t="e">
        <f t="shared" ref="AF308:BK308" ca="1" si="603">$E$11/AF227</f>
        <v>#NAME?</v>
      </c>
      <c r="AG308" s="580" t="e">
        <f t="shared" ca="1" si="603"/>
        <v>#NAME?</v>
      </c>
      <c r="AH308" s="580" t="e">
        <f t="shared" ca="1" si="603"/>
        <v>#NAME?</v>
      </c>
      <c r="AI308" s="580" t="e">
        <f t="shared" ca="1" si="603"/>
        <v>#NAME?</v>
      </c>
      <c r="AJ308" s="580" t="e">
        <f t="shared" ca="1" si="603"/>
        <v>#NAME?</v>
      </c>
      <c r="AK308" s="580" t="e">
        <f t="shared" ca="1" si="603"/>
        <v>#NAME?</v>
      </c>
      <c r="AL308" s="580" t="e">
        <f t="shared" ca="1" si="603"/>
        <v>#NAME?</v>
      </c>
      <c r="AM308" s="580" t="e">
        <f t="shared" ca="1" si="603"/>
        <v>#NAME?</v>
      </c>
      <c r="AN308" s="580" t="e">
        <f t="shared" ca="1" si="603"/>
        <v>#NAME?</v>
      </c>
      <c r="AO308" s="580" t="e">
        <f t="shared" ca="1" si="603"/>
        <v>#NAME?</v>
      </c>
      <c r="AP308" s="580" t="e">
        <f t="shared" ca="1" si="603"/>
        <v>#NAME?</v>
      </c>
      <c r="AQ308" s="580" t="e">
        <f t="shared" ca="1" si="603"/>
        <v>#NAME?</v>
      </c>
      <c r="AR308" s="580" t="e">
        <f t="shared" ca="1" si="603"/>
        <v>#NAME?</v>
      </c>
      <c r="AS308" s="580" t="e">
        <f t="shared" ca="1" si="603"/>
        <v>#NAME?</v>
      </c>
      <c r="AT308" s="580" t="e">
        <f t="shared" ca="1" si="603"/>
        <v>#NAME?</v>
      </c>
      <c r="AU308" s="580" t="e">
        <f t="shared" ca="1" si="603"/>
        <v>#NAME?</v>
      </c>
      <c r="AV308" s="580" t="e">
        <f t="shared" ca="1" si="603"/>
        <v>#NAME?</v>
      </c>
      <c r="AW308" s="580" t="e">
        <f t="shared" ca="1" si="603"/>
        <v>#NAME?</v>
      </c>
      <c r="AX308" s="580" t="e">
        <f t="shared" ca="1" si="603"/>
        <v>#NAME?</v>
      </c>
      <c r="AY308" s="580" t="e">
        <f t="shared" ca="1" si="603"/>
        <v>#NAME?</v>
      </c>
      <c r="AZ308" s="580" t="e">
        <f t="shared" ca="1" si="603"/>
        <v>#NAME?</v>
      </c>
      <c r="BA308" s="580" t="e">
        <f t="shared" ca="1" si="603"/>
        <v>#NAME?</v>
      </c>
      <c r="BB308" s="580" t="e">
        <f t="shared" ca="1" si="603"/>
        <v>#NAME?</v>
      </c>
      <c r="BC308" s="580" t="e">
        <f t="shared" ca="1" si="603"/>
        <v>#NAME?</v>
      </c>
      <c r="BD308" s="580" t="e">
        <f t="shared" ca="1" si="603"/>
        <v>#NAME?</v>
      </c>
      <c r="BE308" s="580" t="e">
        <f t="shared" ca="1" si="603"/>
        <v>#NAME?</v>
      </c>
      <c r="BF308" s="580" t="e">
        <f t="shared" ca="1" si="603"/>
        <v>#NAME?</v>
      </c>
      <c r="BG308" s="580" t="e">
        <f t="shared" ca="1" si="603"/>
        <v>#NAME?</v>
      </c>
      <c r="BH308" s="580" t="e">
        <f t="shared" ca="1" si="603"/>
        <v>#NAME?</v>
      </c>
      <c r="BI308" s="580" t="e">
        <f t="shared" ca="1" si="603"/>
        <v>#NAME?</v>
      </c>
      <c r="BJ308" s="580" t="e">
        <f t="shared" ca="1" si="603"/>
        <v>#NAME?</v>
      </c>
      <c r="BK308" s="580" t="e">
        <f t="shared" ca="1" si="603"/>
        <v>#NAME?</v>
      </c>
    </row>
    <row r="309" spans="1:63" s="245" customFormat="1">
      <c r="A309" s="243"/>
      <c r="B309" s="246" t="s">
        <v>1476</v>
      </c>
      <c r="C309" s="265" t="s">
        <v>1477</v>
      </c>
      <c r="D309" s="243"/>
      <c r="F309" s="245" t="e">
        <f t="shared" ref="F309:X309" ca="1" si="604">F226/$E$11*100</f>
        <v>#DIV/0!</v>
      </c>
      <c r="G309" s="245" t="e">
        <f t="shared" ca="1" si="604"/>
        <v>#DIV/0!</v>
      </c>
      <c r="H309" s="245" t="e">
        <f t="shared" ca="1" si="604"/>
        <v>#DIV/0!</v>
      </c>
      <c r="I309" s="245" t="e">
        <f t="shared" ca="1" si="604"/>
        <v>#DIV/0!</v>
      </c>
      <c r="J309" s="245" t="e">
        <f t="shared" ca="1" si="604"/>
        <v>#DIV/0!</v>
      </c>
      <c r="K309" s="245" t="e">
        <f t="shared" ca="1" si="604"/>
        <v>#DIV/0!</v>
      </c>
      <c r="L309" s="245" t="e">
        <f t="shared" ca="1" si="604"/>
        <v>#NAME?</v>
      </c>
      <c r="M309" s="245" t="e">
        <f t="shared" ca="1" si="604"/>
        <v>#DIV/0!</v>
      </c>
      <c r="N309" s="245" t="e">
        <f t="shared" ca="1" si="604"/>
        <v>#DIV/0!</v>
      </c>
      <c r="O309" s="245" t="e">
        <f t="shared" ca="1" si="604"/>
        <v>#DIV/0!</v>
      </c>
      <c r="P309" s="245" t="e">
        <f t="shared" ca="1" si="604"/>
        <v>#DIV/0!</v>
      </c>
      <c r="Q309" s="245" t="e">
        <f t="shared" ca="1" si="604"/>
        <v>#NAME?</v>
      </c>
      <c r="R309" s="245" t="e">
        <f t="shared" ca="1" si="604"/>
        <v>#NAME?</v>
      </c>
      <c r="S309" s="245" t="e">
        <f t="shared" ca="1" si="604"/>
        <v>#NAME?</v>
      </c>
      <c r="T309" s="245" t="e">
        <f t="shared" ca="1" si="604"/>
        <v>#NAME?</v>
      </c>
      <c r="U309" s="245" t="e">
        <f t="shared" ca="1" si="604"/>
        <v>#NAME?</v>
      </c>
      <c r="V309" s="245" t="e">
        <f t="shared" ca="1" si="604"/>
        <v>#NAME?</v>
      </c>
      <c r="W309" s="245" t="e">
        <f t="shared" ca="1" si="604"/>
        <v>#NAME?</v>
      </c>
      <c r="X309" s="245" t="e">
        <f t="shared" ca="1" si="604"/>
        <v>#NAME?</v>
      </c>
      <c r="Y309" s="245" t="e">
        <f ca="1">Y226/$E$11*100</f>
        <v>#NAME?</v>
      </c>
      <c r="Z309" s="245" t="e">
        <f ca="1">Z226/$E$11*100</f>
        <v>#NAME?</v>
      </c>
      <c r="AA309" s="245" t="e">
        <f ca="1">AA226/$E$11*100</f>
        <v>#NAME?</v>
      </c>
      <c r="AB309" s="245" t="e">
        <f ca="1">AB226/$E$11*100</f>
        <v>#NAME?</v>
      </c>
      <c r="AC309" s="245" t="e">
        <f t="shared" ref="AC309:AD309" ca="1" si="605">AC226/$E$11*100</f>
        <v>#NAME?</v>
      </c>
      <c r="AD309" s="245" t="e">
        <f t="shared" ca="1" si="605"/>
        <v>#NAME?</v>
      </c>
      <c r="AF309" s="580" t="e">
        <f t="shared" ref="AF309:BK309" ca="1" si="606">AF226/$E$11*100</f>
        <v>#NAME?</v>
      </c>
      <c r="AG309" s="580" t="e">
        <f t="shared" ca="1" si="606"/>
        <v>#NAME?</v>
      </c>
      <c r="AH309" s="580" t="e">
        <f t="shared" ca="1" si="606"/>
        <v>#NAME?</v>
      </c>
      <c r="AI309" s="580" t="e">
        <f t="shared" ca="1" si="606"/>
        <v>#NAME?</v>
      </c>
      <c r="AJ309" s="580" t="e">
        <f t="shared" ca="1" si="606"/>
        <v>#NAME?</v>
      </c>
      <c r="AK309" s="580" t="e">
        <f t="shared" ca="1" si="606"/>
        <v>#NAME?</v>
      </c>
      <c r="AL309" s="580" t="e">
        <f t="shared" ca="1" si="606"/>
        <v>#NAME?</v>
      </c>
      <c r="AM309" s="580" t="e">
        <f t="shared" ca="1" si="606"/>
        <v>#NAME?</v>
      </c>
      <c r="AN309" s="580" t="e">
        <f t="shared" ca="1" si="606"/>
        <v>#NAME?</v>
      </c>
      <c r="AO309" s="580" t="e">
        <f t="shared" ca="1" si="606"/>
        <v>#NAME?</v>
      </c>
      <c r="AP309" s="580" t="e">
        <f t="shared" ca="1" si="606"/>
        <v>#NAME?</v>
      </c>
      <c r="AQ309" s="580" t="e">
        <f t="shared" ca="1" si="606"/>
        <v>#NAME?</v>
      </c>
      <c r="AR309" s="580" t="e">
        <f t="shared" ca="1" si="606"/>
        <v>#NAME?</v>
      </c>
      <c r="AS309" s="580" t="e">
        <f t="shared" ca="1" si="606"/>
        <v>#NAME?</v>
      </c>
      <c r="AT309" s="580" t="e">
        <f t="shared" ca="1" si="606"/>
        <v>#NAME?</v>
      </c>
      <c r="AU309" s="580" t="e">
        <f t="shared" ca="1" si="606"/>
        <v>#NAME?</v>
      </c>
      <c r="AV309" s="580" t="e">
        <f t="shared" ca="1" si="606"/>
        <v>#NAME?</v>
      </c>
      <c r="AW309" s="580" t="e">
        <f t="shared" ca="1" si="606"/>
        <v>#NAME?</v>
      </c>
      <c r="AX309" s="580" t="e">
        <f t="shared" ca="1" si="606"/>
        <v>#NAME?</v>
      </c>
      <c r="AY309" s="580" t="e">
        <f t="shared" ca="1" si="606"/>
        <v>#NAME?</v>
      </c>
      <c r="AZ309" s="580" t="e">
        <f t="shared" ca="1" si="606"/>
        <v>#NAME?</v>
      </c>
      <c r="BA309" s="580" t="e">
        <f t="shared" ca="1" si="606"/>
        <v>#NAME?</v>
      </c>
      <c r="BB309" s="580" t="e">
        <f t="shared" ca="1" si="606"/>
        <v>#NAME?</v>
      </c>
      <c r="BC309" s="580" t="e">
        <f t="shared" ca="1" si="606"/>
        <v>#NAME?</v>
      </c>
      <c r="BD309" s="580" t="e">
        <f t="shared" ca="1" si="606"/>
        <v>#NAME?</v>
      </c>
      <c r="BE309" s="580" t="e">
        <f t="shared" ca="1" si="606"/>
        <v>#NAME?</v>
      </c>
      <c r="BF309" s="580" t="e">
        <f t="shared" ca="1" si="606"/>
        <v>#NAME?</v>
      </c>
      <c r="BG309" s="580" t="e">
        <f t="shared" ca="1" si="606"/>
        <v>#NAME?</v>
      </c>
      <c r="BH309" s="580" t="e">
        <f t="shared" ca="1" si="606"/>
        <v>#NAME?</v>
      </c>
      <c r="BI309" s="580" t="e">
        <f t="shared" ca="1" si="606"/>
        <v>#NAME?</v>
      </c>
      <c r="BJ309" s="580" t="e">
        <f t="shared" ca="1" si="606"/>
        <v>#NAME?</v>
      </c>
      <c r="BK309" s="580" t="e">
        <f t="shared" ca="1" si="606"/>
        <v>#NAME?</v>
      </c>
    </row>
    <row r="310" spans="1:63" s="245" customFormat="1">
      <c r="A310" s="243"/>
      <c r="B310" s="246" t="s">
        <v>1478</v>
      </c>
      <c r="C310" s="265" t="s">
        <v>1479</v>
      </c>
      <c r="D310" s="243"/>
      <c r="F310" s="245" t="e">
        <f t="shared" ref="F310:X310" ca="1" si="607">F346/(F37*12/F4)</f>
        <v>#NAME?</v>
      </c>
      <c r="G310" s="245" t="e">
        <f t="shared" ca="1" si="607"/>
        <v>#NAME?</v>
      </c>
      <c r="H310" s="245" t="e">
        <f t="shared" ca="1" si="607"/>
        <v>#NAME?</v>
      </c>
      <c r="I310" s="245" t="e">
        <f t="shared" ca="1" si="607"/>
        <v>#NAME?</v>
      </c>
      <c r="J310" s="245" t="e">
        <f t="shared" ca="1" si="607"/>
        <v>#NAME?</v>
      </c>
      <c r="K310" s="245" t="e">
        <f t="shared" ca="1" si="607"/>
        <v>#NAME?</v>
      </c>
      <c r="L310" s="245" t="e">
        <f t="shared" ca="1" si="607"/>
        <v>#NAME?</v>
      </c>
      <c r="M310" s="245" t="e">
        <f t="shared" ca="1" si="607"/>
        <v>#NAME?</v>
      </c>
      <c r="N310" s="245" t="e">
        <f t="shared" ca="1" si="607"/>
        <v>#NAME?</v>
      </c>
      <c r="O310" s="245" t="e">
        <f t="shared" ca="1" si="607"/>
        <v>#NAME?</v>
      </c>
      <c r="P310" s="245" t="e">
        <f t="shared" ca="1" si="607"/>
        <v>#NAME?</v>
      </c>
      <c r="Q310" s="245" t="e">
        <f t="shared" ca="1" si="607"/>
        <v>#NAME?</v>
      </c>
      <c r="R310" s="245" t="e">
        <f t="shared" ca="1" si="607"/>
        <v>#NAME?</v>
      </c>
      <c r="S310" s="245" t="e">
        <f t="shared" ca="1" si="607"/>
        <v>#NAME?</v>
      </c>
      <c r="T310" s="245" t="e">
        <f t="shared" ca="1" si="607"/>
        <v>#NAME?</v>
      </c>
      <c r="U310" s="245" t="e">
        <f t="shared" ca="1" si="607"/>
        <v>#NAME?</v>
      </c>
      <c r="V310" s="245" t="e">
        <f t="shared" ca="1" si="607"/>
        <v>#NAME?</v>
      </c>
      <c r="W310" s="245" t="e">
        <f t="shared" ca="1" si="607"/>
        <v>#NAME?</v>
      </c>
      <c r="X310" s="245" t="e">
        <f t="shared" ca="1" si="607"/>
        <v>#NAME?</v>
      </c>
      <c r="Y310" s="245" t="e">
        <f ca="1">Y346/(Y37*12/Y4)</f>
        <v>#NAME?</v>
      </c>
      <c r="Z310" s="245" t="e">
        <f ca="1">Z346/(Z37*12/Z4)</f>
        <v>#NAME?</v>
      </c>
      <c r="AA310" s="245" t="e">
        <f ca="1">AA346/(AA37*12/AA4)</f>
        <v>#NAME?</v>
      </c>
      <c r="AB310" s="245" t="e">
        <f ca="1">AB346/(AB37*12/AB4)</f>
        <v>#NAME?</v>
      </c>
      <c r="AC310" s="245" t="e">
        <f t="shared" ref="AC310:AD310" ca="1" si="608">AC346/(AC37*12/AC4)</f>
        <v>#NAME?</v>
      </c>
      <c r="AD310" s="245" t="e">
        <f t="shared" ca="1" si="608"/>
        <v>#NAME?</v>
      </c>
      <c r="AF310" s="580" t="e">
        <f t="shared" ref="AF310:BK310" ca="1" si="609">AF346/(AF37*12/AF4)</f>
        <v>#NAME?</v>
      </c>
      <c r="AG310" s="580" t="e">
        <f t="shared" ca="1" si="609"/>
        <v>#NAME?</v>
      </c>
      <c r="AH310" s="580" t="e">
        <f t="shared" ca="1" si="609"/>
        <v>#NAME?</v>
      </c>
      <c r="AI310" s="580" t="e">
        <f t="shared" ca="1" si="609"/>
        <v>#NAME?</v>
      </c>
      <c r="AJ310" s="580" t="e">
        <f t="shared" ca="1" si="609"/>
        <v>#NAME?</v>
      </c>
      <c r="AK310" s="580" t="e">
        <f t="shared" ca="1" si="609"/>
        <v>#NAME?</v>
      </c>
      <c r="AL310" s="580" t="e">
        <f t="shared" ca="1" si="609"/>
        <v>#NAME?</v>
      </c>
      <c r="AM310" s="580" t="e">
        <f t="shared" ca="1" si="609"/>
        <v>#NAME?</v>
      </c>
      <c r="AN310" s="580" t="e">
        <f t="shared" ca="1" si="609"/>
        <v>#NAME?</v>
      </c>
      <c r="AO310" s="580" t="e">
        <f t="shared" ca="1" si="609"/>
        <v>#NAME?</v>
      </c>
      <c r="AP310" s="580" t="e">
        <f t="shared" ca="1" si="609"/>
        <v>#NAME?</v>
      </c>
      <c r="AQ310" s="580" t="e">
        <f t="shared" ca="1" si="609"/>
        <v>#NAME?</v>
      </c>
      <c r="AR310" s="580" t="e">
        <f t="shared" ca="1" si="609"/>
        <v>#NAME?</v>
      </c>
      <c r="AS310" s="580" t="e">
        <f t="shared" ca="1" si="609"/>
        <v>#NAME?</v>
      </c>
      <c r="AT310" s="580" t="e">
        <f t="shared" ca="1" si="609"/>
        <v>#NAME?</v>
      </c>
      <c r="AU310" s="580" t="e">
        <f t="shared" ca="1" si="609"/>
        <v>#NAME?</v>
      </c>
      <c r="AV310" s="580" t="e">
        <f t="shared" ca="1" si="609"/>
        <v>#NAME?</v>
      </c>
      <c r="AW310" s="580" t="e">
        <f t="shared" ca="1" si="609"/>
        <v>#NAME?</v>
      </c>
      <c r="AX310" s="580" t="e">
        <f t="shared" ca="1" si="609"/>
        <v>#NAME?</v>
      </c>
      <c r="AY310" s="580" t="e">
        <f t="shared" ca="1" si="609"/>
        <v>#NAME?</v>
      </c>
      <c r="AZ310" s="580" t="e">
        <f t="shared" ca="1" si="609"/>
        <v>#NAME?</v>
      </c>
      <c r="BA310" s="580" t="e">
        <f t="shared" ca="1" si="609"/>
        <v>#NAME?</v>
      </c>
      <c r="BB310" s="580" t="e">
        <f t="shared" ca="1" si="609"/>
        <v>#NAME?</v>
      </c>
      <c r="BC310" s="580" t="e">
        <f t="shared" ca="1" si="609"/>
        <v>#NAME?</v>
      </c>
      <c r="BD310" s="580" t="e">
        <f t="shared" ca="1" si="609"/>
        <v>#NAME?</v>
      </c>
      <c r="BE310" s="580" t="e">
        <f t="shared" ca="1" si="609"/>
        <v>#NAME?</v>
      </c>
      <c r="BF310" s="580" t="e">
        <f t="shared" ca="1" si="609"/>
        <v>#NAME?</v>
      </c>
      <c r="BG310" s="580" t="e">
        <f t="shared" ca="1" si="609"/>
        <v>#NAME?</v>
      </c>
      <c r="BH310" s="580" t="e">
        <f t="shared" ca="1" si="609"/>
        <v>#NAME?</v>
      </c>
      <c r="BI310" s="580" t="e">
        <f t="shared" ca="1" si="609"/>
        <v>#NAME?</v>
      </c>
      <c r="BJ310" s="580" t="e">
        <f t="shared" ca="1" si="609"/>
        <v>#NAME?</v>
      </c>
      <c r="BK310" s="580" t="e">
        <f t="shared" ca="1" si="609"/>
        <v>#NAME?</v>
      </c>
    </row>
    <row r="311" spans="1:63" s="245" customFormat="1">
      <c r="A311" s="243"/>
      <c r="B311" s="246" t="s">
        <v>1480</v>
      </c>
      <c r="C311" s="265" t="s">
        <v>451</v>
      </c>
      <c r="D311" s="243"/>
      <c r="F311" s="245" t="e">
        <f t="shared" ref="F311:X311" ca="1" si="610">F346/(F77*12/F4)</f>
        <v>#NAME?</v>
      </c>
      <c r="G311" s="245" t="e">
        <f t="shared" ca="1" si="610"/>
        <v>#NAME?</v>
      </c>
      <c r="H311" s="245" t="e">
        <f t="shared" ca="1" si="610"/>
        <v>#NAME?</v>
      </c>
      <c r="I311" s="245" t="e">
        <f t="shared" ca="1" si="610"/>
        <v>#NAME?</v>
      </c>
      <c r="J311" s="245" t="e">
        <f t="shared" ca="1" si="610"/>
        <v>#NAME?</v>
      </c>
      <c r="K311" s="245" t="e">
        <f t="shared" ca="1" si="610"/>
        <v>#NAME?</v>
      </c>
      <c r="L311" s="245" t="e">
        <f t="shared" ca="1" si="610"/>
        <v>#NAME?</v>
      </c>
      <c r="M311" s="245" t="e">
        <f t="shared" ca="1" si="610"/>
        <v>#NAME?</v>
      </c>
      <c r="N311" s="245" t="e">
        <f t="shared" ca="1" si="610"/>
        <v>#NAME?</v>
      </c>
      <c r="O311" s="245" t="e">
        <f t="shared" ca="1" si="610"/>
        <v>#NAME?</v>
      </c>
      <c r="P311" s="245" t="e">
        <f t="shared" ca="1" si="610"/>
        <v>#NAME?</v>
      </c>
      <c r="Q311" s="245" t="e">
        <f t="shared" ca="1" si="610"/>
        <v>#NAME?</v>
      </c>
      <c r="R311" s="245" t="e">
        <f t="shared" ca="1" si="610"/>
        <v>#NAME?</v>
      </c>
      <c r="S311" s="245" t="e">
        <f t="shared" ca="1" si="610"/>
        <v>#NAME?</v>
      </c>
      <c r="T311" s="245" t="e">
        <f t="shared" ca="1" si="610"/>
        <v>#NAME?</v>
      </c>
      <c r="U311" s="245" t="e">
        <f t="shared" ca="1" si="610"/>
        <v>#NAME?</v>
      </c>
      <c r="V311" s="245" t="e">
        <f t="shared" ca="1" si="610"/>
        <v>#NAME?</v>
      </c>
      <c r="W311" s="245" t="e">
        <f t="shared" ca="1" si="610"/>
        <v>#NAME?</v>
      </c>
      <c r="X311" s="245" t="e">
        <f t="shared" ca="1" si="610"/>
        <v>#NAME?</v>
      </c>
      <c r="Y311" s="245" t="e">
        <f ca="1">Y346/(Y77*12/Y4)</f>
        <v>#NAME?</v>
      </c>
      <c r="Z311" s="245" t="e">
        <f ca="1">Z346/(Z77*12/Z4)</f>
        <v>#NAME?</v>
      </c>
      <c r="AA311" s="245" t="e">
        <f ca="1">AA346/(AA77*12/AA4)</f>
        <v>#NAME?</v>
      </c>
      <c r="AB311" s="245" t="e">
        <f ca="1">AB346/(AB77*12/AB4)</f>
        <v>#NAME?</v>
      </c>
      <c r="AC311" s="245" t="e">
        <f t="shared" ref="AC311:AD311" ca="1" si="611">AC346/(AC77*12/AC4)</f>
        <v>#NAME?</v>
      </c>
      <c r="AD311" s="245" t="e">
        <f t="shared" ca="1" si="611"/>
        <v>#NAME?</v>
      </c>
      <c r="AF311" s="580" t="e">
        <f t="shared" ref="AF311:BK311" ca="1" si="612">AF346/(AF77*12/AF4)</f>
        <v>#NAME?</v>
      </c>
      <c r="AG311" s="580" t="e">
        <f t="shared" ca="1" si="612"/>
        <v>#NAME?</v>
      </c>
      <c r="AH311" s="580" t="e">
        <f t="shared" ca="1" si="612"/>
        <v>#NAME?</v>
      </c>
      <c r="AI311" s="580" t="e">
        <f t="shared" ca="1" si="612"/>
        <v>#NAME?</v>
      </c>
      <c r="AJ311" s="580" t="e">
        <f t="shared" ca="1" si="612"/>
        <v>#NAME?</v>
      </c>
      <c r="AK311" s="580" t="e">
        <f t="shared" ca="1" si="612"/>
        <v>#NAME?</v>
      </c>
      <c r="AL311" s="580" t="e">
        <f t="shared" ca="1" si="612"/>
        <v>#NAME?</v>
      </c>
      <c r="AM311" s="580" t="e">
        <f t="shared" ca="1" si="612"/>
        <v>#NAME?</v>
      </c>
      <c r="AN311" s="580" t="e">
        <f t="shared" ca="1" si="612"/>
        <v>#NAME?</v>
      </c>
      <c r="AO311" s="580" t="e">
        <f t="shared" ca="1" si="612"/>
        <v>#NAME?</v>
      </c>
      <c r="AP311" s="580" t="e">
        <f t="shared" ca="1" si="612"/>
        <v>#NAME?</v>
      </c>
      <c r="AQ311" s="580" t="e">
        <f t="shared" ca="1" si="612"/>
        <v>#NAME?</v>
      </c>
      <c r="AR311" s="580" t="e">
        <f t="shared" ca="1" si="612"/>
        <v>#NAME?</v>
      </c>
      <c r="AS311" s="580" t="e">
        <f t="shared" ca="1" si="612"/>
        <v>#NAME?</v>
      </c>
      <c r="AT311" s="580" t="e">
        <f t="shared" ca="1" si="612"/>
        <v>#NAME?</v>
      </c>
      <c r="AU311" s="580" t="e">
        <f t="shared" ca="1" si="612"/>
        <v>#NAME?</v>
      </c>
      <c r="AV311" s="580" t="e">
        <f t="shared" ca="1" si="612"/>
        <v>#NAME?</v>
      </c>
      <c r="AW311" s="580" t="e">
        <f t="shared" ca="1" si="612"/>
        <v>#NAME?</v>
      </c>
      <c r="AX311" s="580" t="e">
        <f t="shared" ca="1" si="612"/>
        <v>#NAME?</v>
      </c>
      <c r="AY311" s="580" t="e">
        <f t="shared" ca="1" si="612"/>
        <v>#NAME?</v>
      </c>
      <c r="AZ311" s="580" t="e">
        <f t="shared" ca="1" si="612"/>
        <v>#NAME?</v>
      </c>
      <c r="BA311" s="580" t="e">
        <f t="shared" ca="1" si="612"/>
        <v>#NAME?</v>
      </c>
      <c r="BB311" s="580" t="e">
        <f t="shared" ca="1" si="612"/>
        <v>#NAME?</v>
      </c>
      <c r="BC311" s="580" t="e">
        <f t="shared" ca="1" si="612"/>
        <v>#NAME?</v>
      </c>
      <c r="BD311" s="580" t="e">
        <f t="shared" ca="1" si="612"/>
        <v>#NAME?</v>
      </c>
      <c r="BE311" s="580" t="e">
        <f t="shared" ca="1" si="612"/>
        <v>#NAME?</v>
      </c>
      <c r="BF311" s="580" t="e">
        <f t="shared" ca="1" si="612"/>
        <v>#NAME?</v>
      </c>
      <c r="BG311" s="580" t="e">
        <f t="shared" ca="1" si="612"/>
        <v>#NAME?</v>
      </c>
      <c r="BH311" s="580" t="e">
        <f t="shared" ca="1" si="612"/>
        <v>#NAME?</v>
      </c>
      <c r="BI311" s="580" t="e">
        <f t="shared" ca="1" si="612"/>
        <v>#NAME?</v>
      </c>
      <c r="BJ311" s="580" t="e">
        <f t="shared" ca="1" si="612"/>
        <v>#NAME?</v>
      </c>
      <c r="BK311" s="580" t="e">
        <f t="shared" ca="1" si="612"/>
        <v>#NAME?</v>
      </c>
    </row>
    <row r="312" spans="1:63" s="245" customFormat="1">
      <c r="A312" s="243"/>
      <c r="B312" s="246" t="s">
        <v>1481</v>
      </c>
      <c r="C312" s="265" t="s">
        <v>1482</v>
      </c>
      <c r="D312" s="243"/>
      <c r="F312" s="245" t="e">
        <f t="shared" ref="F312:X312" ca="1" si="613">F346/(F81*12/F4)</f>
        <v>#NAME?</v>
      </c>
      <c r="G312" s="245" t="e">
        <f t="shared" ca="1" si="613"/>
        <v>#NAME?</v>
      </c>
      <c r="H312" s="245" t="e">
        <f t="shared" ca="1" si="613"/>
        <v>#NAME?</v>
      </c>
      <c r="I312" s="245" t="e">
        <f t="shared" ca="1" si="613"/>
        <v>#NAME?</v>
      </c>
      <c r="J312" s="245" t="e">
        <f t="shared" ca="1" si="613"/>
        <v>#NAME?</v>
      </c>
      <c r="K312" s="245" t="e">
        <f t="shared" ca="1" si="613"/>
        <v>#NAME?</v>
      </c>
      <c r="L312" s="245" t="e">
        <f t="shared" ca="1" si="613"/>
        <v>#NAME?</v>
      </c>
      <c r="M312" s="245" t="e">
        <f t="shared" ca="1" si="613"/>
        <v>#NAME?</v>
      </c>
      <c r="N312" s="245" t="e">
        <f t="shared" ca="1" si="613"/>
        <v>#NAME?</v>
      </c>
      <c r="O312" s="245" t="e">
        <f t="shared" ca="1" si="613"/>
        <v>#NAME?</v>
      </c>
      <c r="P312" s="245" t="e">
        <f t="shared" ca="1" si="613"/>
        <v>#NAME?</v>
      </c>
      <c r="Q312" s="245" t="e">
        <f t="shared" ca="1" si="613"/>
        <v>#NAME?</v>
      </c>
      <c r="R312" s="245" t="e">
        <f t="shared" ca="1" si="613"/>
        <v>#NAME?</v>
      </c>
      <c r="S312" s="245" t="e">
        <f t="shared" ca="1" si="613"/>
        <v>#NAME?</v>
      </c>
      <c r="T312" s="245" t="e">
        <f t="shared" ca="1" si="613"/>
        <v>#NAME?</v>
      </c>
      <c r="U312" s="245" t="e">
        <f t="shared" ca="1" si="613"/>
        <v>#NAME?</v>
      </c>
      <c r="V312" s="245" t="e">
        <f t="shared" ca="1" si="613"/>
        <v>#NAME?</v>
      </c>
      <c r="W312" s="245" t="e">
        <f t="shared" ca="1" si="613"/>
        <v>#NAME?</v>
      </c>
      <c r="X312" s="245" t="e">
        <f t="shared" ca="1" si="613"/>
        <v>#NAME?</v>
      </c>
      <c r="Y312" s="245" t="e">
        <f ca="1">Y346/(Y81*12/Y4)</f>
        <v>#NAME?</v>
      </c>
      <c r="Z312" s="245" t="e">
        <f ca="1">Z346/(Z81*12/Z4)</f>
        <v>#NAME?</v>
      </c>
      <c r="AA312" s="245" t="e">
        <f ca="1">AA346/(AA81*12/AA4)</f>
        <v>#NAME?</v>
      </c>
      <c r="AB312" s="245" t="e">
        <f ca="1">AB346/(AB81*12/AB4)</f>
        <v>#NAME?</v>
      </c>
      <c r="AC312" s="245" t="e">
        <f t="shared" ref="AC312:AD312" ca="1" si="614">AC346/(AC81*12/AC4)</f>
        <v>#NAME?</v>
      </c>
      <c r="AD312" s="245" t="e">
        <f t="shared" ca="1" si="614"/>
        <v>#NAME?</v>
      </c>
      <c r="AF312" s="580" t="e">
        <f t="shared" ref="AF312:BK312" ca="1" si="615">AF346/(AF81*12/AF4)</f>
        <v>#NAME?</v>
      </c>
      <c r="AG312" s="580" t="e">
        <f t="shared" ca="1" si="615"/>
        <v>#NAME?</v>
      </c>
      <c r="AH312" s="580" t="e">
        <f t="shared" ca="1" si="615"/>
        <v>#NAME?</v>
      </c>
      <c r="AI312" s="580" t="e">
        <f t="shared" ca="1" si="615"/>
        <v>#NAME?</v>
      </c>
      <c r="AJ312" s="580" t="e">
        <f t="shared" ca="1" si="615"/>
        <v>#NAME?</v>
      </c>
      <c r="AK312" s="580" t="e">
        <f t="shared" ca="1" si="615"/>
        <v>#NAME?</v>
      </c>
      <c r="AL312" s="580" t="e">
        <f t="shared" ca="1" si="615"/>
        <v>#NAME?</v>
      </c>
      <c r="AM312" s="580" t="e">
        <f t="shared" ca="1" si="615"/>
        <v>#NAME?</v>
      </c>
      <c r="AN312" s="580" t="e">
        <f t="shared" ca="1" si="615"/>
        <v>#NAME?</v>
      </c>
      <c r="AO312" s="580" t="e">
        <f t="shared" ca="1" si="615"/>
        <v>#NAME?</v>
      </c>
      <c r="AP312" s="580" t="e">
        <f t="shared" ca="1" si="615"/>
        <v>#NAME?</v>
      </c>
      <c r="AQ312" s="580" t="e">
        <f t="shared" ca="1" si="615"/>
        <v>#NAME?</v>
      </c>
      <c r="AR312" s="580" t="e">
        <f t="shared" ca="1" si="615"/>
        <v>#NAME?</v>
      </c>
      <c r="AS312" s="580" t="e">
        <f t="shared" ca="1" si="615"/>
        <v>#NAME?</v>
      </c>
      <c r="AT312" s="580" t="e">
        <f t="shared" ca="1" si="615"/>
        <v>#NAME?</v>
      </c>
      <c r="AU312" s="580" t="e">
        <f t="shared" ca="1" si="615"/>
        <v>#NAME?</v>
      </c>
      <c r="AV312" s="580" t="e">
        <f t="shared" ca="1" si="615"/>
        <v>#NAME?</v>
      </c>
      <c r="AW312" s="580" t="e">
        <f t="shared" ca="1" si="615"/>
        <v>#NAME?</v>
      </c>
      <c r="AX312" s="580" t="e">
        <f t="shared" ca="1" si="615"/>
        <v>#NAME?</v>
      </c>
      <c r="AY312" s="580" t="e">
        <f t="shared" ca="1" si="615"/>
        <v>#NAME?</v>
      </c>
      <c r="AZ312" s="580" t="e">
        <f t="shared" ca="1" si="615"/>
        <v>#NAME?</v>
      </c>
      <c r="BA312" s="580" t="e">
        <f t="shared" ca="1" si="615"/>
        <v>#NAME?</v>
      </c>
      <c r="BB312" s="580" t="e">
        <f t="shared" ca="1" si="615"/>
        <v>#NAME?</v>
      </c>
      <c r="BC312" s="580" t="e">
        <f t="shared" ca="1" si="615"/>
        <v>#NAME?</v>
      </c>
      <c r="BD312" s="580" t="e">
        <f t="shared" ca="1" si="615"/>
        <v>#NAME?</v>
      </c>
      <c r="BE312" s="580" t="e">
        <f t="shared" ca="1" si="615"/>
        <v>#NAME?</v>
      </c>
      <c r="BF312" s="580" t="e">
        <f t="shared" ca="1" si="615"/>
        <v>#NAME?</v>
      </c>
      <c r="BG312" s="580" t="e">
        <f t="shared" ca="1" si="615"/>
        <v>#NAME?</v>
      </c>
      <c r="BH312" s="580" t="e">
        <f t="shared" ca="1" si="615"/>
        <v>#NAME?</v>
      </c>
      <c r="BI312" s="580" t="e">
        <f t="shared" ca="1" si="615"/>
        <v>#NAME?</v>
      </c>
      <c r="BJ312" s="580" t="e">
        <f t="shared" ca="1" si="615"/>
        <v>#NAME?</v>
      </c>
      <c r="BK312" s="580" t="e">
        <f t="shared" ca="1" si="615"/>
        <v>#NAME?</v>
      </c>
    </row>
    <row r="313" spans="1:63" s="245" customFormat="1">
      <c r="A313" s="243"/>
      <c r="B313" s="246" t="s">
        <v>1483</v>
      </c>
      <c r="C313" s="281" t="s">
        <v>1484</v>
      </c>
      <c r="D313" s="243"/>
      <c r="F313" s="245" t="e">
        <f t="shared" ref="F313:X313" ca="1" si="616">F346/F348</f>
        <v>#NAME?</v>
      </c>
      <c r="G313" s="245" t="e">
        <f t="shared" ca="1" si="616"/>
        <v>#NAME?</v>
      </c>
      <c r="H313" s="245" t="e">
        <f t="shared" ca="1" si="616"/>
        <v>#NAME?</v>
      </c>
      <c r="I313" s="245" t="e">
        <f t="shared" ca="1" si="616"/>
        <v>#NAME?</v>
      </c>
      <c r="J313" s="245" t="e">
        <f t="shared" ca="1" si="616"/>
        <v>#NAME?</v>
      </c>
      <c r="K313" s="245" t="e">
        <f t="shared" ca="1" si="616"/>
        <v>#NAME?</v>
      </c>
      <c r="L313" s="245" t="e">
        <f t="shared" ca="1" si="616"/>
        <v>#NAME?</v>
      </c>
      <c r="M313" s="245" t="e">
        <f t="shared" ca="1" si="616"/>
        <v>#NAME?</v>
      </c>
      <c r="N313" s="245" t="e">
        <f t="shared" ca="1" si="616"/>
        <v>#NAME?</v>
      </c>
      <c r="O313" s="245" t="e">
        <f t="shared" ca="1" si="616"/>
        <v>#NAME?</v>
      </c>
      <c r="P313" s="245" t="e">
        <f t="shared" ca="1" si="616"/>
        <v>#NAME?</v>
      </c>
      <c r="Q313" s="245" t="e">
        <f t="shared" ca="1" si="616"/>
        <v>#NAME?</v>
      </c>
      <c r="R313" s="245" t="e">
        <f t="shared" ca="1" si="616"/>
        <v>#NAME?</v>
      </c>
      <c r="S313" s="245" t="e">
        <f t="shared" ca="1" si="616"/>
        <v>#NAME?</v>
      </c>
      <c r="T313" s="245" t="e">
        <f t="shared" ca="1" si="616"/>
        <v>#NAME?</v>
      </c>
      <c r="U313" s="245" t="e">
        <f t="shared" ca="1" si="616"/>
        <v>#NAME?</v>
      </c>
      <c r="V313" s="245" t="e">
        <f t="shared" ca="1" si="616"/>
        <v>#NAME?</v>
      </c>
      <c r="W313" s="245" t="e">
        <f t="shared" ca="1" si="616"/>
        <v>#NAME?</v>
      </c>
      <c r="X313" s="245" t="e">
        <f t="shared" ca="1" si="616"/>
        <v>#NAME?</v>
      </c>
      <c r="Y313" s="245" t="e">
        <f ca="1">Y346/Y348</f>
        <v>#NAME?</v>
      </c>
      <c r="Z313" s="245" t="e">
        <f ca="1">Z346/Z348</f>
        <v>#NAME?</v>
      </c>
      <c r="AA313" s="245" t="e">
        <f ca="1">AA346/AA348</f>
        <v>#NAME?</v>
      </c>
      <c r="AB313" s="245" t="e">
        <f ca="1">AB346/AB348</f>
        <v>#NAME?</v>
      </c>
      <c r="AC313" s="245" t="e">
        <f t="shared" ref="AC313:AD313" ca="1" si="617">AC346/AC348</f>
        <v>#NAME?</v>
      </c>
      <c r="AD313" s="245" t="e">
        <f t="shared" ca="1" si="617"/>
        <v>#NAME?</v>
      </c>
      <c r="AF313" s="580" t="e">
        <f t="shared" ref="AF313:BK313" ca="1" si="618">AF346/AF348</f>
        <v>#NAME?</v>
      </c>
      <c r="AG313" s="580" t="e">
        <f t="shared" ca="1" si="618"/>
        <v>#NAME?</v>
      </c>
      <c r="AH313" s="580" t="e">
        <f t="shared" ca="1" si="618"/>
        <v>#NAME?</v>
      </c>
      <c r="AI313" s="580" t="e">
        <f t="shared" ca="1" si="618"/>
        <v>#NAME?</v>
      </c>
      <c r="AJ313" s="580" t="e">
        <f t="shared" ca="1" si="618"/>
        <v>#NAME?</v>
      </c>
      <c r="AK313" s="580" t="e">
        <f t="shared" ca="1" si="618"/>
        <v>#NAME?</v>
      </c>
      <c r="AL313" s="580" t="e">
        <f t="shared" ca="1" si="618"/>
        <v>#NAME?</v>
      </c>
      <c r="AM313" s="580" t="e">
        <f t="shared" ca="1" si="618"/>
        <v>#NAME?</v>
      </c>
      <c r="AN313" s="580" t="e">
        <f t="shared" ca="1" si="618"/>
        <v>#NAME?</v>
      </c>
      <c r="AO313" s="580" t="e">
        <f t="shared" ca="1" si="618"/>
        <v>#NAME?</v>
      </c>
      <c r="AP313" s="580" t="e">
        <f t="shared" ca="1" si="618"/>
        <v>#NAME?</v>
      </c>
      <c r="AQ313" s="580" t="e">
        <f t="shared" ca="1" si="618"/>
        <v>#NAME?</v>
      </c>
      <c r="AR313" s="580" t="e">
        <f t="shared" ca="1" si="618"/>
        <v>#NAME?</v>
      </c>
      <c r="AS313" s="580" t="e">
        <f t="shared" ca="1" si="618"/>
        <v>#NAME?</v>
      </c>
      <c r="AT313" s="580" t="e">
        <f t="shared" ca="1" si="618"/>
        <v>#NAME?</v>
      </c>
      <c r="AU313" s="580" t="e">
        <f t="shared" ca="1" si="618"/>
        <v>#NAME?</v>
      </c>
      <c r="AV313" s="580" t="e">
        <f t="shared" ca="1" si="618"/>
        <v>#NAME?</v>
      </c>
      <c r="AW313" s="580" t="e">
        <f t="shared" ca="1" si="618"/>
        <v>#NAME?</v>
      </c>
      <c r="AX313" s="580" t="e">
        <f t="shared" ca="1" si="618"/>
        <v>#NAME?</v>
      </c>
      <c r="AY313" s="580" t="e">
        <f t="shared" ca="1" si="618"/>
        <v>#NAME?</v>
      </c>
      <c r="AZ313" s="580" t="e">
        <f t="shared" ca="1" si="618"/>
        <v>#NAME?</v>
      </c>
      <c r="BA313" s="580" t="e">
        <f t="shared" ca="1" si="618"/>
        <v>#NAME?</v>
      </c>
      <c r="BB313" s="580" t="e">
        <f t="shared" ca="1" si="618"/>
        <v>#NAME?</v>
      </c>
      <c r="BC313" s="580" t="e">
        <f t="shared" ca="1" si="618"/>
        <v>#NAME?</v>
      </c>
      <c r="BD313" s="580" t="e">
        <f t="shared" ca="1" si="618"/>
        <v>#NAME?</v>
      </c>
      <c r="BE313" s="580" t="e">
        <f t="shared" ca="1" si="618"/>
        <v>#NAME?</v>
      </c>
      <c r="BF313" s="580" t="e">
        <f t="shared" ca="1" si="618"/>
        <v>#NAME?</v>
      </c>
      <c r="BG313" s="580" t="e">
        <f t="shared" ca="1" si="618"/>
        <v>#NAME?</v>
      </c>
      <c r="BH313" s="580" t="e">
        <f t="shared" ca="1" si="618"/>
        <v>#NAME?</v>
      </c>
      <c r="BI313" s="580" t="e">
        <f t="shared" ca="1" si="618"/>
        <v>#NAME?</v>
      </c>
      <c r="BJ313" s="580" t="e">
        <f t="shared" ca="1" si="618"/>
        <v>#NAME?</v>
      </c>
      <c r="BK313" s="580" t="e">
        <f t="shared" ca="1" si="618"/>
        <v>#NAME?</v>
      </c>
    </row>
    <row r="314" spans="1:63" s="245" customFormat="1">
      <c r="A314" s="243"/>
      <c r="B314" s="243" t="s">
        <v>1485</v>
      </c>
      <c r="C314" s="243" t="s">
        <v>1486</v>
      </c>
      <c r="D314" s="243"/>
      <c r="F314" s="245" t="e">
        <f t="shared" ref="F314:X314" ca="1" si="619">F346/F194</f>
        <v>#NAME?</v>
      </c>
      <c r="G314" s="245" t="e">
        <f t="shared" ca="1" si="619"/>
        <v>#NAME?</v>
      </c>
      <c r="H314" s="245" t="e">
        <f t="shared" ca="1" si="619"/>
        <v>#NAME?</v>
      </c>
      <c r="I314" s="245" t="e">
        <f t="shared" ca="1" si="619"/>
        <v>#NAME?</v>
      </c>
      <c r="J314" s="245" t="e">
        <f t="shared" ca="1" si="619"/>
        <v>#NAME?</v>
      </c>
      <c r="K314" s="245" t="e">
        <f t="shared" ca="1" si="619"/>
        <v>#NAME?</v>
      </c>
      <c r="L314" s="245" t="e">
        <f t="shared" ca="1" si="619"/>
        <v>#NAME?</v>
      </c>
      <c r="M314" s="245" t="e">
        <f t="shared" ca="1" si="619"/>
        <v>#NAME?</v>
      </c>
      <c r="N314" s="245" t="e">
        <f t="shared" ca="1" si="619"/>
        <v>#NAME?</v>
      </c>
      <c r="O314" s="245" t="e">
        <f t="shared" ca="1" si="619"/>
        <v>#NAME?</v>
      </c>
      <c r="P314" s="245" t="e">
        <f t="shared" ca="1" si="619"/>
        <v>#NAME?</v>
      </c>
      <c r="Q314" s="245" t="e">
        <f t="shared" ca="1" si="619"/>
        <v>#NAME?</v>
      </c>
      <c r="R314" s="245" t="e">
        <f t="shared" ca="1" si="619"/>
        <v>#NAME?</v>
      </c>
      <c r="S314" s="245" t="e">
        <f t="shared" ca="1" si="619"/>
        <v>#NAME?</v>
      </c>
      <c r="T314" s="245" t="e">
        <f t="shared" ca="1" si="619"/>
        <v>#NAME?</v>
      </c>
      <c r="U314" s="245" t="e">
        <f t="shared" ca="1" si="619"/>
        <v>#NAME?</v>
      </c>
      <c r="V314" s="245" t="e">
        <f t="shared" ca="1" si="619"/>
        <v>#NAME?</v>
      </c>
      <c r="W314" s="245" t="e">
        <f t="shared" ca="1" si="619"/>
        <v>#NAME?</v>
      </c>
      <c r="X314" s="245" t="e">
        <f t="shared" ca="1" si="619"/>
        <v>#NAME?</v>
      </c>
      <c r="Y314" s="245" t="e">
        <f ca="1">Y346/Y194</f>
        <v>#NAME?</v>
      </c>
      <c r="Z314" s="245" t="e">
        <f ca="1">Z346/Z194</f>
        <v>#NAME?</v>
      </c>
      <c r="AA314" s="245" t="e">
        <f ca="1">AA346/AA194</f>
        <v>#NAME?</v>
      </c>
      <c r="AB314" s="245" t="e">
        <f ca="1">AB346/AB194</f>
        <v>#NAME?</v>
      </c>
      <c r="AC314" s="245" t="e">
        <f t="shared" ref="AC314:AD314" ca="1" si="620">AC346/AC194</f>
        <v>#NAME?</v>
      </c>
      <c r="AD314" s="245" t="e">
        <f t="shared" ca="1" si="620"/>
        <v>#NAME?</v>
      </c>
      <c r="AF314" s="580" t="e">
        <f t="shared" ref="AF314:BK314" ca="1" si="621">AF346/AF194</f>
        <v>#NAME?</v>
      </c>
      <c r="AG314" s="580" t="e">
        <f t="shared" ca="1" si="621"/>
        <v>#NAME?</v>
      </c>
      <c r="AH314" s="580" t="e">
        <f t="shared" ca="1" si="621"/>
        <v>#NAME?</v>
      </c>
      <c r="AI314" s="580" t="e">
        <f t="shared" ca="1" si="621"/>
        <v>#NAME?</v>
      </c>
      <c r="AJ314" s="580" t="e">
        <f t="shared" ca="1" si="621"/>
        <v>#NAME?</v>
      </c>
      <c r="AK314" s="580" t="e">
        <f t="shared" ca="1" si="621"/>
        <v>#NAME?</v>
      </c>
      <c r="AL314" s="580" t="e">
        <f t="shared" ca="1" si="621"/>
        <v>#NAME?</v>
      </c>
      <c r="AM314" s="580" t="e">
        <f t="shared" ca="1" si="621"/>
        <v>#NAME?</v>
      </c>
      <c r="AN314" s="580" t="e">
        <f t="shared" ca="1" si="621"/>
        <v>#NAME?</v>
      </c>
      <c r="AO314" s="580" t="e">
        <f t="shared" ca="1" si="621"/>
        <v>#NAME?</v>
      </c>
      <c r="AP314" s="580" t="e">
        <f t="shared" ca="1" si="621"/>
        <v>#NAME?</v>
      </c>
      <c r="AQ314" s="580" t="e">
        <f t="shared" ca="1" si="621"/>
        <v>#NAME?</v>
      </c>
      <c r="AR314" s="580" t="e">
        <f t="shared" ca="1" si="621"/>
        <v>#NAME?</v>
      </c>
      <c r="AS314" s="580" t="e">
        <f t="shared" ca="1" si="621"/>
        <v>#NAME?</v>
      </c>
      <c r="AT314" s="580" t="e">
        <f t="shared" ca="1" si="621"/>
        <v>#NAME?</v>
      </c>
      <c r="AU314" s="580" t="e">
        <f t="shared" ca="1" si="621"/>
        <v>#NAME?</v>
      </c>
      <c r="AV314" s="580" t="e">
        <f t="shared" ca="1" si="621"/>
        <v>#NAME?</v>
      </c>
      <c r="AW314" s="580" t="e">
        <f t="shared" ca="1" si="621"/>
        <v>#NAME?</v>
      </c>
      <c r="AX314" s="580" t="e">
        <f t="shared" ca="1" si="621"/>
        <v>#NAME?</v>
      </c>
      <c r="AY314" s="580" t="e">
        <f t="shared" ca="1" si="621"/>
        <v>#NAME?</v>
      </c>
      <c r="AZ314" s="580" t="e">
        <f t="shared" ca="1" si="621"/>
        <v>#NAME?</v>
      </c>
      <c r="BA314" s="580" t="e">
        <f t="shared" ca="1" si="621"/>
        <v>#NAME?</v>
      </c>
      <c r="BB314" s="580" t="e">
        <f t="shared" ca="1" si="621"/>
        <v>#NAME?</v>
      </c>
      <c r="BC314" s="580" t="e">
        <f t="shared" ca="1" si="621"/>
        <v>#NAME?</v>
      </c>
      <c r="BD314" s="580" t="e">
        <f t="shared" ca="1" si="621"/>
        <v>#NAME?</v>
      </c>
      <c r="BE314" s="580" t="e">
        <f t="shared" ca="1" si="621"/>
        <v>#NAME?</v>
      </c>
      <c r="BF314" s="580" t="e">
        <f t="shared" ca="1" si="621"/>
        <v>#NAME?</v>
      </c>
      <c r="BG314" s="580" t="e">
        <f t="shared" ca="1" si="621"/>
        <v>#NAME?</v>
      </c>
      <c r="BH314" s="580" t="e">
        <f t="shared" ca="1" si="621"/>
        <v>#NAME?</v>
      </c>
      <c r="BI314" s="580" t="e">
        <f t="shared" ca="1" si="621"/>
        <v>#NAME?</v>
      </c>
      <c r="BJ314" s="580" t="e">
        <f t="shared" ca="1" si="621"/>
        <v>#NAME?</v>
      </c>
      <c r="BK314" s="580" t="e">
        <f t="shared" ca="1" si="621"/>
        <v>#NAME?</v>
      </c>
    </row>
    <row r="315" spans="1:63" s="245" customFormat="1">
      <c r="A315" s="243"/>
      <c r="B315" s="243" t="s">
        <v>1487</v>
      </c>
      <c r="C315" s="243" t="s">
        <v>1488</v>
      </c>
      <c r="D315" s="243"/>
      <c r="F315" s="245" t="e">
        <f t="shared" ref="F315:X315" ca="1" si="622">F346/F339</f>
        <v>#NAME?</v>
      </c>
      <c r="G315" s="245" t="e">
        <f t="shared" ca="1" si="622"/>
        <v>#NAME?</v>
      </c>
      <c r="H315" s="245" t="e">
        <f t="shared" ca="1" si="622"/>
        <v>#NAME?</v>
      </c>
      <c r="I315" s="245" t="e">
        <f t="shared" ca="1" si="622"/>
        <v>#NAME?</v>
      </c>
      <c r="J315" s="245" t="e">
        <f t="shared" ca="1" si="622"/>
        <v>#NAME?</v>
      </c>
      <c r="K315" s="245" t="e">
        <f t="shared" ca="1" si="622"/>
        <v>#NAME?</v>
      </c>
      <c r="L315" s="245" t="e">
        <f t="shared" ca="1" si="622"/>
        <v>#NAME?</v>
      </c>
      <c r="M315" s="245" t="e">
        <f t="shared" ca="1" si="622"/>
        <v>#NAME?</v>
      </c>
      <c r="N315" s="245" t="e">
        <f t="shared" ca="1" si="622"/>
        <v>#NAME?</v>
      </c>
      <c r="O315" s="245" t="e">
        <f t="shared" ca="1" si="622"/>
        <v>#NAME?</v>
      </c>
      <c r="P315" s="245" t="e">
        <f t="shared" ca="1" si="622"/>
        <v>#NAME?</v>
      </c>
      <c r="Q315" s="245" t="e">
        <f t="shared" ca="1" si="622"/>
        <v>#NAME?</v>
      </c>
      <c r="R315" s="245" t="e">
        <f t="shared" ca="1" si="622"/>
        <v>#NAME?</v>
      </c>
      <c r="S315" s="245" t="e">
        <f t="shared" ca="1" si="622"/>
        <v>#NAME?</v>
      </c>
      <c r="T315" s="245" t="e">
        <f t="shared" ca="1" si="622"/>
        <v>#NAME?</v>
      </c>
      <c r="U315" s="245" t="e">
        <f t="shared" ca="1" si="622"/>
        <v>#NAME?</v>
      </c>
      <c r="V315" s="245" t="e">
        <f t="shared" ca="1" si="622"/>
        <v>#NAME?</v>
      </c>
      <c r="W315" s="245" t="e">
        <f t="shared" ca="1" si="622"/>
        <v>#NAME?</v>
      </c>
      <c r="X315" s="245" t="e">
        <f t="shared" ca="1" si="622"/>
        <v>#NAME?</v>
      </c>
      <c r="Y315" s="245" t="e">
        <f ca="1">Y346/Y339</f>
        <v>#NAME?</v>
      </c>
      <c r="Z315" s="245" t="e">
        <f ca="1">Z346/Z339</f>
        <v>#NAME?</v>
      </c>
      <c r="AA315" s="245" t="e">
        <f ca="1">AA346/AA339</f>
        <v>#NAME?</v>
      </c>
      <c r="AB315" s="245" t="e">
        <f ca="1">AB346/AB339</f>
        <v>#NAME?</v>
      </c>
      <c r="AC315" s="245" t="e">
        <f t="shared" ref="AC315:AD315" ca="1" si="623">AC346/AC339</f>
        <v>#NAME?</v>
      </c>
      <c r="AD315" s="245" t="e">
        <f t="shared" ca="1" si="623"/>
        <v>#NAME?</v>
      </c>
      <c r="AF315" s="580" t="e">
        <f t="shared" ref="AF315:BK315" ca="1" si="624">AF346/AF339</f>
        <v>#NAME?</v>
      </c>
      <c r="AG315" s="580" t="e">
        <f t="shared" ca="1" si="624"/>
        <v>#NAME?</v>
      </c>
      <c r="AH315" s="580" t="e">
        <f t="shared" ca="1" si="624"/>
        <v>#NAME?</v>
      </c>
      <c r="AI315" s="580" t="e">
        <f t="shared" ca="1" si="624"/>
        <v>#NAME?</v>
      </c>
      <c r="AJ315" s="580" t="e">
        <f t="shared" ca="1" si="624"/>
        <v>#NAME?</v>
      </c>
      <c r="AK315" s="580" t="e">
        <f t="shared" ca="1" si="624"/>
        <v>#NAME?</v>
      </c>
      <c r="AL315" s="580" t="e">
        <f t="shared" ca="1" si="624"/>
        <v>#NAME?</v>
      </c>
      <c r="AM315" s="580" t="e">
        <f t="shared" ca="1" si="624"/>
        <v>#NAME?</v>
      </c>
      <c r="AN315" s="580" t="e">
        <f t="shared" ca="1" si="624"/>
        <v>#NAME?</v>
      </c>
      <c r="AO315" s="580" t="e">
        <f t="shared" ca="1" si="624"/>
        <v>#NAME?</v>
      </c>
      <c r="AP315" s="580" t="e">
        <f t="shared" ca="1" si="624"/>
        <v>#NAME?</v>
      </c>
      <c r="AQ315" s="580" t="e">
        <f t="shared" ca="1" si="624"/>
        <v>#NAME?</v>
      </c>
      <c r="AR315" s="580" t="e">
        <f t="shared" ca="1" si="624"/>
        <v>#NAME?</v>
      </c>
      <c r="AS315" s="580" t="e">
        <f t="shared" ca="1" si="624"/>
        <v>#NAME?</v>
      </c>
      <c r="AT315" s="580" t="e">
        <f t="shared" ca="1" si="624"/>
        <v>#NAME?</v>
      </c>
      <c r="AU315" s="580" t="e">
        <f t="shared" ca="1" si="624"/>
        <v>#NAME?</v>
      </c>
      <c r="AV315" s="580" t="e">
        <f t="shared" ca="1" si="624"/>
        <v>#NAME?</v>
      </c>
      <c r="AW315" s="580" t="e">
        <f t="shared" ca="1" si="624"/>
        <v>#NAME?</v>
      </c>
      <c r="AX315" s="580" t="e">
        <f t="shared" ca="1" si="624"/>
        <v>#NAME?</v>
      </c>
      <c r="AY315" s="580" t="e">
        <f t="shared" ca="1" si="624"/>
        <v>#NAME?</v>
      </c>
      <c r="AZ315" s="580" t="e">
        <f t="shared" ca="1" si="624"/>
        <v>#NAME?</v>
      </c>
      <c r="BA315" s="580" t="e">
        <f t="shared" ca="1" si="624"/>
        <v>#NAME?</v>
      </c>
      <c r="BB315" s="580" t="e">
        <f t="shared" ca="1" si="624"/>
        <v>#NAME?</v>
      </c>
      <c r="BC315" s="580" t="e">
        <f t="shared" ca="1" si="624"/>
        <v>#NAME?</v>
      </c>
      <c r="BD315" s="580" t="e">
        <f t="shared" ca="1" si="624"/>
        <v>#NAME?</v>
      </c>
      <c r="BE315" s="580" t="e">
        <f t="shared" ca="1" si="624"/>
        <v>#NAME?</v>
      </c>
      <c r="BF315" s="580" t="e">
        <f t="shared" ca="1" si="624"/>
        <v>#NAME?</v>
      </c>
      <c r="BG315" s="580" t="e">
        <f t="shared" ca="1" si="624"/>
        <v>#NAME?</v>
      </c>
      <c r="BH315" s="580" t="e">
        <f t="shared" ca="1" si="624"/>
        <v>#NAME?</v>
      </c>
      <c r="BI315" s="580" t="e">
        <f t="shared" ca="1" si="624"/>
        <v>#NAME?</v>
      </c>
      <c r="BJ315" s="580" t="e">
        <f t="shared" ca="1" si="624"/>
        <v>#NAME?</v>
      </c>
      <c r="BK315" s="580" t="e">
        <f t="shared" ca="1" si="624"/>
        <v>#NAME?</v>
      </c>
    </row>
    <row r="316" spans="1:63" s="245" customFormat="1">
      <c r="A316" s="243"/>
      <c r="B316" s="243" t="s">
        <v>1489</v>
      </c>
      <c r="C316" s="243" t="s">
        <v>1490</v>
      </c>
      <c r="D316" s="243"/>
      <c r="F316" s="245" t="e">
        <f t="shared" ref="F316:X316" ca="1" si="625">F346/F341</f>
        <v>#NAME?</v>
      </c>
      <c r="G316" s="245" t="e">
        <f t="shared" ca="1" si="625"/>
        <v>#NAME?</v>
      </c>
      <c r="H316" s="245" t="e">
        <f t="shared" ca="1" si="625"/>
        <v>#NAME?</v>
      </c>
      <c r="I316" s="245" t="e">
        <f t="shared" ca="1" si="625"/>
        <v>#NAME?</v>
      </c>
      <c r="J316" s="245" t="e">
        <f t="shared" ca="1" si="625"/>
        <v>#NAME?</v>
      </c>
      <c r="K316" s="245" t="e">
        <f t="shared" ca="1" si="625"/>
        <v>#NAME?</v>
      </c>
      <c r="L316" s="245" t="e">
        <f t="shared" ca="1" si="625"/>
        <v>#NAME?</v>
      </c>
      <c r="M316" s="245" t="e">
        <f t="shared" ca="1" si="625"/>
        <v>#NAME?</v>
      </c>
      <c r="N316" s="245" t="e">
        <f t="shared" ca="1" si="625"/>
        <v>#NAME?</v>
      </c>
      <c r="O316" s="245" t="e">
        <f t="shared" ca="1" si="625"/>
        <v>#NAME?</v>
      </c>
      <c r="P316" s="245" t="e">
        <f t="shared" ca="1" si="625"/>
        <v>#NAME?</v>
      </c>
      <c r="Q316" s="245" t="e">
        <f t="shared" ca="1" si="625"/>
        <v>#NAME?</v>
      </c>
      <c r="R316" s="245" t="e">
        <f t="shared" ca="1" si="625"/>
        <v>#NAME?</v>
      </c>
      <c r="S316" s="245" t="e">
        <f t="shared" ca="1" si="625"/>
        <v>#NAME?</v>
      </c>
      <c r="T316" s="245" t="e">
        <f t="shared" ca="1" si="625"/>
        <v>#NAME?</v>
      </c>
      <c r="U316" s="245" t="e">
        <f t="shared" ca="1" si="625"/>
        <v>#NAME?</v>
      </c>
      <c r="V316" s="245" t="e">
        <f t="shared" ca="1" si="625"/>
        <v>#NAME?</v>
      </c>
      <c r="W316" s="245" t="e">
        <f t="shared" ca="1" si="625"/>
        <v>#NAME?</v>
      </c>
      <c r="X316" s="245" t="e">
        <f t="shared" ca="1" si="625"/>
        <v>#NAME?</v>
      </c>
      <c r="Y316" s="245" t="e">
        <f ca="1">Y346/Y341</f>
        <v>#NAME?</v>
      </c>
      <c r="Z316" s="245" t="e">
        <f ca="1">Z346/Z341</f>
        <v>#NAME?</v>
      </c>
      <c r="AA316" s="245" t="e">
        <f ca="1">AA346/AA341</f>
        <v>#NAME?</v>
      </c>
      <c r="AB316" s="245" t="e">
        <f ca="1">AB346/AB341</f>
        <v>#NAME?</v>
      </c>
      <c r="AC316" s="245" t="e">
        <f t="shared" ref="AC316:AD316" ca="1" si="626">AC346/AC341</f>
        <v>#NAME?</v>
      </c>
      <c r="AD316" s="245" t="e">
        <f t="shared" ca="1" si="626"/>
        <v>#NAME?</v>
      </c>
      <c r="AF316" s="580" t="e">
        <f t="shared" ref="AF316:BK316" ca="1" si="627">AF346/AF341</f>
        <v>#NAME?</v>
      </c>
      <c r="AG316" s="580" t="e">
        <f t="shared" ca="1" si="627"/>
        <v>#NAME?</v>
      </c>
      <c r="AH316" s="580" t="e">
        <f t="shared" ca="1" si="627"/>
        <v>#NAME?</v>
      </c>
      <c r="AI316" s="580" t="e">
        <f t="shared" ca="1" si="627"/>
        <v>#NAME?</v>
      </c>
      <c r="AJ316" s="580" t="e">
        <f t="shared" ca="1" si="627"/>
        <v>#NAME?</v>
      </c>
      <c r="AK316" s="580" t="e">
        <f t="shared" ca="1" si="627"/>
        <v>#NAME?</v>
      </c>
      <c r="AL316" s="580" t="e">
        <f t="shared" ca="1" si="627"/>
        <v>#NAME?</v>
      </c>
      <c r="AM316" s="580" t="e">
        <f t="shared" ca="1" si="627"/>
        <v>#NAME?</v>
      </c>
      <c r="AN316" s="580" t="e">
        <f t="shared" ca="1" si="627"/>
        <v>#NAME?</v>
      </c>
      <c r="AO316" s="580" t="e">
        <f t="shared" ca="1" si="627"/>
        <v>#NAME?</v>
      </c>
      <c r="AP316" s="580" t="e">
        <f t="shared" ca="1" si="627"/>
        <v>#NAME?</v>
      </c>
      <c r="AQ316" s="580" t="e">
        <f t="shared" ca="1" si="627"/>
        <v>#NAME?</v>
      </c>
      <c r="AR316" s="580" t="e">
        <f t="shared" ca="1" si="627"/>
        <v>#NAME?</v>
      </c>
      <c r="AS316" s="580" t="e">
        <f t="shared" ca="1" si="627"/>
        <v>#NAME?</v>
      </c>
      <c r="AT316" s="580" t="e">
        <f t="shared" ca="1" si="627"/>
        <v>#NAME?</v>
      </c>
      <c r="AU316" s="580" t="e">
        <f t="shared" ca="1" si="627"/>
        <v>#NAME?</v>
      </c>
      <c r="AV316" s="580" t="e">
        <f t="shared" ca="1" si="627"/>
        <v>#NAME?</v>
      </c>
      <c r="AW316" s="580" t="e">
        <f t="shared" ca="1" si="627"/>
        <v>#NAME?</v>
      </c>
      <c r="AX316" s="580" t="e">
        <f t="shared" ca="1" si="627"/>
        <v>#NAME?</v>
      </c>
      <c r="AY316" s="580" t="e">
        <f t="shared" ca="1" si="627"/>
        <v>#NAME?</v>
      </c>
      <c r="AZ316" s="580" t="e">
        <f t="shared" ca="1" si="627"/>
        <v>#NAME?</v>
      </c>
      <c r="BA316" s="580" t="e">
        <f t="shared" ca="1" si="627"/>
        <v>#NAME?</v>
      </c>
      <c r="BB316" s="580" t="e">
        <f t="shared" ca="1" si="627"/>
        <v>#NAME?</v>
      </c>
      <c r="BC316" s="580" t="e">
        <f t="shared" ca="1" si="627"/>
        <v>#NAME?</v>
      </c>
      <c r="BD316" s="580" t="e">
        <f t="shared" ca="1" si="627"/>
        <v>#NAME?</v>
      </c>
      <c r="BE316" s="580" t="e">
        <f t="shared" ca="1" si="627"/>
        <v>#NAME?</v>
      </c>
      <c r="BF316" s="580" t="e">
        <f t="shared" ca="1" si="627"/>
        <v>#NAME?</v>
      </c>
      <c r="BG316" s="580" t="e">
        <f t="shared" ca="1" si="627"/>
        <v>#NAME?</v>
      </c>
      <c r="BH316" s="580" t="e">
        <f t="shared" ca="1" si="627"/>
        <v>#NAME?</v>
      </c>
      <c r="BI316" s="580" t="e">
        <f t="shared" ca="1" si="627"/>
        <v>#NAME?</v>
      </c>
      <c r="BJ316" s="580" t="e">
        <f t="shared" ca="1" si="627"/>
        <v>#NAME?</v>
      </c>
      <c r="BK316" s="580" t="e">
        <f t="shared" ca="1" si="627"/>
        <v>#NAME?</v>
      </c>
    </row>
    <row r="317" spans="1:63" s="245" customFormat="1">
      <c r="A317" s="243"/>
      <c r="B317" s="243" t="s">
        <v>1491</v>
      </c>
      <c r="C317" s="243" t="s">
        <v>1492</v>
      </c>
      <c r="D317" s="243"/>
      <c r="F317" s="245" t="e">
        <f t="shared" ref="F317:Y317" ca="1" si="628">F316/F264</f>
        <v>#NAME?</v>
      </c>
      <c r="G317" s="245" t="e">
        <f t="shared" ca="1" si="628"/>
        <v>#NAME?</v>
      </c>
      <c r="H317" s="245" t="e">
        <f t="shared" ca="1" si="628"/>
        <v>#NAME?</v>
      </c>
      <c r="I317" s="245" t="e">
        <f t="shared" ca="1" si="628"/>
        <v>#NAME?</v>
      </c>
      <c r="J317" s="245" t="e">
        <f t="shared" ca="1" si="628"/>
        <v>#NAME?</v>
      </c>
      <c r="K317" s="245" t="e">
        <f t="shared" ca="1" si="628"/>
        <v>#NAME?</v>
      </c>
      <c r="L317" s="245" t="e">
        <f t="shared" ca="1" si="628"/>
        <v>#NAME?</v>
      </c>
      <c r="M317" s="245" t="e">
        <f t="shared" ca="1" si="628"/>
        <v>#NAME?</v>
      </c>
      <c r="N317" s="245" t="e">
        <f t="shared" ca="1" si="628"/>
        <v>#NAME?</v>
      </c>
      <c r="O317" s="245" t="e">
        <f t="shared" ca="1" si="628"/>
        <v>#NAME?</v>
      </c>
      <c r="P317" s="245" t="e">
        <f t="shared" ca="1" si="628"/>
        <v>#NAME?</v>
      </c>
      <c r="Q317" s="245" t="e">
        <f t="shared" ca="1" si="628"/>
        <v>#NAME?</v>
      </c>
      <c r="R317" s="245" t="e">
        <f t="shared" ca="1" si="628"/>
        <v>#NAME?</v>
      </c>
      <c r="S317" s="245" t="e">
        <f t="shared" ca="1" si="628"/>
        <v>#NAME?</v>
      </c>
      <c r="T317" s="245" t="e">
        <f t="shared" ca="1" si="628"/>
        <v>#NAME?</v>
      </c>
      <c r="U317" s="245" t="e">
        <f t="shared" ca="1" si="628"/>
        <v>#NAME?</v>
      </c>
      <c r="V317" s="245" t="e">
        <f t="shared" ca="1" si="628"/>
        <v>#NAME?</v>
      </c>
      <c r="W317" s="245" t="e">
        <f t="shared" ca="1" si="628"/>
        <v>#NAME?</v>
      </c>
      <c r="X317" s="245" t="e">
        <f t="shared" ca="1" si="628"/>
        <v>#NAME?</v>
      </c>
      <c r="Y317" s="245" t="e">
        <f t="shared" ca="1" si="628"/>
        <v>#NAME?</v>
      </c>
      <c r="Z317" s="245" t="e">
        <f ca="1">Z316/Z264</f>
        <v>#NAME?</v>
      </c>
      <c r="AA317" s="245" t="e">
        <f ca="1">AA316/AA264</f>
        <v>#NAME?</v>
      </c>
      <c r="AB317" s="245" t="e">
        <f ca="1">AB316/AB264</f>
        <v>#NAME?</v>
      </c>
      <c r="AC317" s="245" t="e">
        <f t="shared" ref="AC317:AD317" ca="1" si="629">AC316/AC264</f>
        <v>#NAME?</v>
      </c>
      <c r="AD317" s="245" t="e">
        <f t="shared" ca="1" si="629"/>
        <v>#NAME?</v>
      </c>
      <c r="AF317" s="580" t="e">
        <f t="shared" ref="AF317:BK317" ca="1" si="630">AF316/AF264</f>
        <v>#NAME?</v>
      </c>
      <c r="AG317" s="580" t="e">
        <f t="shared" ca="1" si="630"/>
        <v>#NAME?</v>
      </c>
      <c r="AH317" s="580" t="e">
        <f t="shared" ca="1" si="630"/>
        <v>#NAME?</v>
      </c>
      <c r="AI317" s="580" t="e">
        <f t="shared" ca="1" si="630"/>
        <v>#NAME?</v>
      </c>
      <c r="AJ317" s="580" t="e">
        <f t="shared" ca="1" si="630"/>
        <v>#NAME?</v>
      </c>
      <c r="AK317" s="580" t="e">
        <f t="shared" ca="1" si="630"/>
        <v>#NAME?</v>
      </c>
      <c r="AL317" s="580" t="e">
        <f t="shared" ca="1" si="630"/>
        <v>#NAME?</v>
      </c>
      <c r="AM317" s="580" t="e">
        <f t="shared" ca="1" si="630"/>
        <v>#NAME?</v>
      </c>
      <c r="AN317" s="580" t="e">
        <f t="shared" ca="1" si="630"/>
        <v>#NAME?</v>
      </c>
      <c r="AO317" s="580" t="e">
        <f t="shared" ca="1" si="630"/>
        <v>#NAME?</v>
      </c>
      <c r="AP317" s="580" t="e">
        <f t="shared" ca="1" si="630"/>
        <v>#NAME?</v>
      </c>
      <c r="AQ317" s="580" t="e">
        <f t="shared" ca="1" si="630"/>
        <v>#NAME?</v>
      </c>
      <c r="AR317" s="580" t="e">
        <f t="shared" ca="1" si="630"/>
        <v>#NAME?</v>
      </c>
      <c r="AS317" s="580" t="e">
        <f t="shared" ca="1" si="630"/>
        <v>#NAME?</v>
      </c>
      <c r="AT317" s="580" t="e">
        <f t="shared" ca="1" si="630"/>
        <v>#NAME?</v>
      </c>
      <c r="AU317" s="580" t="e">
        <f t="shared" ca="1" si="630"/>
        <v>#NAME?</v>
      </c>
      <c r="AV317" s="580" t="e">
        <f t="shared" ca="1" si="630"/>
        <v>#NAME?</v>
      </c>
      <c r="AW317" s="580" t="e">
        <f t="shared" ca="1" si="630"/>
        <v>#NAME?</v>
      </c>
      <c r="AX317" s="580" t="e">
        <f t="shared" ca="1" si="630"/>
        <v>#NAME?</v>
      </c>
      <c r="AY317" s="580" t="e">
        <f t="shared" ca="1" si="630"/>
        <v>#NAME?</v>
      </c>
      <c r="AZ317" s="580" t="e">
        <f t="shared" ca="1" si="630"/>
        <v>#NAME?</v>
      </c>
      <c r="BA317" s="580" t="e">
        <f t="shared" ca="1" si="630"/>
        <v>#NAME?</v>
      </c>
      <c r="BB317" s="580" t="e">
        <f t="shared" ca="1" si="630"/>
        <v>#NAME?</v>
      </c>
      <c r="BC317" s="580" t="e">
        <f t="shared" ca="1" si="630"/>
        <v>#NAME?</v>
      </c>
      <c r="BD317" s="580" t="e">
        <f t="shared" ca="1" si="630"/>
        <v>#NAME?</v>
      </c>
      <c r="BE317" s="580" t="e">
        <f t="shared" ca="1" si="630"/>
        <v>#NAME?</v>
      </c>
      <c r="BF317" s="580" t="e">
        <f t="shared" ca="1" si="630"/>
        <v>#NAME?</v>
      </c>
      <c r="BG317" s="580" t="e">
        <f t="shared" ca="1" si="630"/>
        <v>#NAME?</v>
      </c>
      <c r="BH317" s="580" t="e">
        <f t="shared" ca="1" si="630"/>
        <v>#NAME?</v>
      </c>
      <c r="BI317" s="580" t="e">
        <f t="shared" ca="1" si="630"/>
        <v>#NAME?</v>
      </c>
      <c r="BJ317" s="580" t="e">
        <f t="shared" ca="1" si="630"/>
        <v>#NAME?</v>
      </c>
      <c r="BK317" s="580" t="e">
        <f t="shared" ca="1" si="630"/>
        <v>#NAME?</v>
      </c>
    </row>
    <row r="318" spans="1:63" s="283" customFormat="1">
      <c r="A318" s="282"/>
      <c r="B318" s="282" t="s">
        <v>1493</v>
      </c>
      <c r="C318" s="282" t="s">
        <v>1494</v>
      </c>
      <c r="D318" s="282"/>
      <c r="F318" s="283" t="str">
        <f t="shared" ref="F318:X318" ca="1" si="631">IF(ISERROR(IF(F240&lt;0,"",F240/F304)),"",IF(F240&lt;0,"",F240/F304))</f>
        <v/>
      </c>
      <c r="G318" s="283" t="str">
        <f t="shared" si="631"/>
        <v/>
      </c>
      <c r="H318" s="283" t="str">
        <f t="shared" si="631"/>
        <v/>
      </c>
      <c r="I318" s="283" t="str">
        <f t="shared" si="631"/>
        <v/>
      </c>
      <c r="J318" s="283" t="str">
        <f t="shared" si="631"/>
        <v/>
      </c>
      <c r="K318" s="283" t="str">
        <f t="shared" si="631"/>
        <v/>
      </c>
      <c r="L318" s="283" t="str">
        <f t="shared" ca="1" si="631"/>
        <v/>
      </c>
      <c r="M318" s="283" t="str">
        <f t="shared" si="631"/>
        <v/>
      </c>
      <c r="N318" s="283" t="str">
        <f t="shared" si="631"/>
        <v/>
      </c>
      <c r="O318" s="283" t="str">
        <f t="shared" si="631"/>
        <v/>
      </c>
      <c r="P318" s="283" t="str">
        <f t="shared" si="631"/>
        <v/>
      </c>
      <c r="Q318" s="283" t="str">
        <f t="shared" si="631"/>
        <v/>
      </c>
      <c r="R318" s="283" t="str">
        <f t="shared" si="631"/>
        <v/>
      </c>
      <c r="S318" s="283" t="str">
        <f t="shared" si="631"/>
        <v/>
      </c>
      <c r="T318" s="283" t="str">
        <f t="shared" ca="1" si="631"/>
        <v/>
      </c>
      <c r="U318" s="283" t="str">
        <f t="shared" ca="1" si="631"/>
        <v/>
      </c>
      <c r="V318" s="283" t="str">
        <f t="shared" ca="1" si="631"/>
        <v/>
      </c>
      <c r="W318" s="283" t="str">
        <f t="shared" si="631"/>
        <v/>
      </c>
      <c r="X318" s="283" t="str">
        <f t="shared" ca="1" si="631"/>
        <v/>
      </c>
      <c r="Y318" s="283" t="str">
        <f>IF(ISERROR(IF(Y240&lt;0,"",Y240/Y304)),"",IF(Y240&lt;0,"",Y240/Y304))</f>
        <v/>
      </c>
      <c r="Z318" s="283" t="str">
        <f ca="1">IF(ISERROR(IF(Z240&lt;0,"",Z240/Z304)),"",IF(Z240&lt;0,"",Z240/Z304))</f>
        <v/>
      </c>
      <c r="AA318" s="283" t="str">
        <f>IF(ISERROR(IF(AA240&lt;0,"",AA240/AA304)),"",IF(AA240&lt;0,"",AA240/AA304))</f>
        <v/>
      </c>
      <c r="AB318" s="283" t="str">
        <f ca="1">IF(ISERROR(IF(AB240&lt;0,"",AB240/AB304)),"",IF(AB240&lt;0,"",AB240/AB304))</f>
        <v/>
      </c>
      <c r="AC318" s="283" t="str">
        <f t="shared" ref="AC318:AD318" ca="1" si="632">IF(ISERROR(IF(AC240&lt;0,"",AC240/AC304)),"",IF(AC240&lt;0,"",AC240/AC304))</f>
        <v/>
      </c>
      <c r="AD318" s="283" t="str">
        <f t="shared" ca="1" si="632"/>
        <v/>
      </c>
      <c r="AF318" s="584" t="str">
        <f t="shared" ref="AF318:BK318" ca="1" si="633">IF(ISERROR(IF(AF240&lt;0,"",AF240/AF304)),"",IF(AF240&lt;0,"",AF240/AF304))</f>
        <v/>
      </c>
      <c r="AG318" s="584" t="str">
        <f t="shared" ca="1" si="633"/>
        <v/>
      </c>
      <c r="AH318" s="584" t="str">
        <f t="shared" ca="1" si="633"/>
        <v/>
      </c>
      <c r="AI318" s="584" t="str">
        <f t="shared" ca="1" si="633"/>
        <v/>
      </c>
      <c r="AJ318" s="584" t="str">
        <f t="shared" ca="1" si="633"/>
        <v/>
      </c>
      <c r="AK318" s="584" t="str">
        <f t="shared" si="633"/>
        <v/>
      </c>
      <c r="AL318" s="584" t="str">
        <f t="shared" ca="1" si="633"/>
        <v/>
      </c>
      <c r="AM318" s="584" t="str">
        <f t="shared" si="633"/>
        <v/>
      </c>
      <c r="AN318" s="584" t="str">
        <f t="shared" si="633"/>
        <v/>
      </c>
      <c r="AO318" s="584" t="str">
        <f t="shared" si="633"/>
        <v/>
      </c>
      <c r="AP318" s="584" t="str">
        <f t="shared" si="633"/>
        <v/>
      </c>
      <c r="AQ318" s="584" t="str">
        <f t="shared" si="633"/>
        <v/>
      </c>
      <c r="AR318" s="584" t="str">
        <f t="shared" si="633"/>
        <v/>
      </c>
      <c r="AS318" s="584" t="str">
        <f t="shared" si="633"/>
        <v/>
      </c>
      <c r="AT318" s="584" t="str">
        <f t="shared" si="633"/>
        <v/>
      </c>
      <c r="AU318" s="584" t="str">
        <f t="shared" si="633"/>
        <v/>
      </c>
      <c r="AV318" s="584" t="str">
        <f t="shared" si="633"/>
        <v/>
      </c>
      <c r="AW318" s="584" t="str">
        <f t="shared" si="633"/>
        <v/>
      </c>
      <c r="AX318" s="584" t="str">
        <f t="shared" si="633"/>
        <v/>
      </c>
      <c r="AY318" s="584" t="str">
        <f t="shared" si="633"/>
        <v/>
      </c>
      <c r="AZ318" s="584" t="str">
        <f t="shared" si="633"/>
        <v/>
      </c>
      <c r="BA318" s="584" t="str">
        <f t="shared" si="633"/>
        <v/>
      </c>
      <c r="BB318" s="584" t="str">
        <f t="shared" si="633"/>
        <v/>
      </c>
      <c r="BC318" s="584" t="str">
        <f t="shared" si="633"/>
        <v/>
      </c>
      <c r="BD318" s="584" t="str">
        <f t="shared" si="633"/>
        <v/>
      </c>
      <c r="BE318" s="584" t="str">
        <f t="shared" si="633"/>
        <v/>
      </c>
      <c r="BF318" s="584" t="str">
        <f t="shared" si="633"/>
        <v/>
      </c>
      <c r="BG318" s="584" t="str">
        <f t="shared" si="633"/>
        <v/>
      </c>
      <c r="BH318" s="584" t="str">
        <f t="shared" si="633"/>
        <v/>
      </c>
      <c r="BI318" s="584" t="str">
        <f t="shared" si="633"/>
        <v/>
      </c>
      <c r="BJ318" s="584" t="str">
        <f t="shared" si="633"/>
        <v/>
      </c>
      <c r="BK318" s="584" t="str">
        <f t="shared" si="633"/>
        <v/>
      </c>
    </row>
    <row r="319" spans="1:63" s="240" customFormat="1">
      <c r="A319" s="209"/>
      <c r="B319" s="209"/>
      <c r="C319" s="209"/>
      <c r="D319" s="209"/>
      <c r="AF319" s="579"/>
      <c r="AG319" s="579"/>
      <c r="AH319" s="579"/>
      <c r="AI319" s="579"/>
      <c r="AJ319" s="579"/>
      <c r="AK319" s="579"/>
      <c r="AL319" s="579"/>
      <c r="AM319" s="579"/>
      <c r="AN319" s="579"/>
      <c r="AO319" s="579"/>
      <c r="AP319" s="579"/>
      <c r="AQ319" s="579"/>
      <c r="AR319" s="579"/>
      <c r="AS319" s="579"/>
      <c r="AT319" s="579"/>
      <c r="AU319" s="579"/>
      <c r="AV319" s="579"/>
      <c r="AW319" s="579"/>
      <c r="AX319" s="579"/>
      <c r="AY319" s="579"/>
      <c r="AZ319" s="579"/>
      <c r="BA319" s="579"/>
      <c r="BB319" s="579"/>
      <c r="BC319" s="579"/>
      <c r="BD319" s="579"/>
      <c r="BE319" s="579"/>
      <c r="BF319" s="579"/>
      <c r="BG319" s="579"/>
      <c r="BH319" s="579"/>
      <c r="BI319" s="579"/>
      <c r="BJ319" s="579"/>
      <c r="BK319" s="579"/>
    </row>
    <row r="320" spans="1:63" s="240" customFormat="1">
      <c r="A320" s="209"/>
      <c r="B320" s="209"/>
      <c r="C320" s="209"/>
      <c r="D320" s="209"/>
      <c r="AF320" s="579"/>
      <c r="AG320" s="579"/>
      <c r="AH320" s="579"/>
      <c r="AI320" s="579"/>
      <c r="AJ320" s="579"/>
      <c r="AK320" s="579"/>
      <c r="AL320" s="579"/>
      <c r="AM320" s="579"/>
      <c r="AN320" s="579"/>
      <c r="AO320" s="579"/>
      <c r="AP320" s="579"/>
      <c r="AQ320" s="579"/>
      <c r="AR320" s="579"/>
      <c r="AS320" s="579"/>
      <c r="AT320" s="579"/>
      <c r="AU320" s="579"/>
      <c r="AV320" s="579"/>
      <c r="AW320" s="579"/>
      <c r="AX320" s="579"/>
      <c r="AY320" s="579"/>
      <c r="AZ320" s="579"/>
      <c r="BA320" s="579"/>
      <c r="BB320" s="579"/>
      <c r="BC320" s="579"/>
      <c r="BD320" s="579"/>
      <c r="BE320" s="579"/>
      <c r="BF320" s="579"/>
      <c r="BG320" s="579"/>
      <c r="BH320" s="579"/>
      <c r="BI320" s="579"/>
      <c r="BJ320" s="579"/>
      <c r="BK320" s="579"/>
    </row>
    <row r="321" spans="1:63" s="240" customFormat="1">
      <c r="A321" s="209"/>
      <c r="B321" s="209"/>
      <c r="C321" s="209"/>
      <c r="D321" s="209"/>
      <c r="AF321" s="579"/>
      <c r="AG321" s="579"/>
      <c r="AH321" s="579"/>
      <c r="AI321" s="579"/>
      <c r="AJ321" s="579"/>
      <c r="AK321" s="579"/>
      <c r="AL321" s="579"/>
      <c r="AM321" s="579"/>
      <c r="AN321" s="579"/>
      <c r="AO321" s="579"/>
      <c r="AP321" s="579"/>
      <c r="AQ321" s="579"/>
      <c r="AR321" s="579"/>
      <c r="AS321" s="579"/>
      <c r="AT321" s="579"/>
      <c r="AU321" s="579"/>
      <c r="AV321" s="579"/>
      <c r="AW321" s="579"/>
      <c r="AX321" s="579"/>
      <c r="AY321" s="579"/>
      <c r="AZ321" s="579"/>
      <c r="BA321" s="579"/>
      <c r="BB321" s="579"/>
      <c r="BC321" s="579"/>
      <c r="BD321" s="579"/>
      <c r="BE321" s="579"/>
      <c r="BF321" s="579"/>
      <c r="BG321" s="579"/>
      <c r="BH321" s="579"/>
      <c r="BI321" s="579"/>
      <c r="BJ321" s="579"/>
      <c r="BK321" s="579"/>
    </row>
    <row r="322" spans="1:63" s="240" customFormat="1">
      <c r="A322" s="209"/>
      <c r="B322" s="209"/>
      <c r="C322" s="209" t="s">
        <v>1495</v>
      </c>
      <c r="D322" s="209"/>
      <c r="AF322" s="579"/>
      <c r="AG322" s="579"/>
      <c r="AH322" s="579"/>
      <c r="AI322" s="579"/>
      <c r="AJ322" s="579"/>
      <c r="AK322" s="579"/>
      <c r="AL322" s="579"/>
      <c r="AM322" s="579"/>
      <c r="AN322" s="579"/>
      <c r="AO322" s="579"/>
      <c r="AP322" s="579"/>
      <c r="AQ322" s="579"/>
      <c r="AR322" s="579"/>
      <c r="AS322" s="579"/>
      <c r="AT322" s="579"/>
      <c r="AU322" s="579"/>
      <c r="AV322" s="579"/>
      <c r="AW322" s="579"/>
      <c r="AX322" s="579"/>
      <c r="AY322" s="579"/>
      <c r="AZ322" s="579"/>
      <c r="BA322" s="579"/>
      <c r="BB322" s="579"/>
      <c r="BC322" s="579"/>
      <c r="BD322" s="579"/>
      <c r="BE322" s="579"/>
      <c r="BF322" s="579"/>
      <c r="BG322" s="579"/>
      <c r="BH322" s="579"/>
      <c r="BI322" s="579"/>
      <c r="BJ322" s="579"/>
      <c r="BK322" s="579"/>
    </row>
    <row r="323" spans="1:63" s="240" customFormat="1">
      <c r="A323" s="209"/>
      <c r="B323" s="209"/>
      <c r="C323" s="275" t="s">
        <v>1497</v>
      </c>
      <c r="D323" s="209"/>
      <c r="AF323" s="579"/>
      <c r="AG323" s="579"/>
      <c r="AH323" s="579"/>
      <c r="AI323" s="579"/>
      <c r="AJ323" s="579"/>
      <c r="AK323" s="579"/>
      <c r="AL323" s="579"/>
      <c r="AM323" s="579"/>
      <c r="AN323" s="579"/>
      <c r="AO323" s="579"/>
      <c r="AP323" s="579"/>
      <c r="AQ323" s="579"/>
      <c r="AR323" s="579"/>
      <c r="AS323" s="579"/>
      <c r="AT323" s="579"/>
      <c r="AU323" s="579"/>
      <c r="AV323" s="579"/>
      <c r="AW323" s="579"/>
      <c r="AX323" s="579"/>
      <c r="AY323" s="579"/>
      <c r="AZ323" s="579"/>
      <c r="BA323" s="579"/>
      <c r="BB323" s="579"/>
      <c r="BC323" s="579"/>
      <c r="BD323" s="579"/>
      <c r="BE323" s="579"/>
      <c r="BF323" s="579"/>
      <c r="BG323" s="579"/>
      <c r="BH323" s="579"/>
      <c r="BI323" s="579"/>
      <c r="BJ323" s="579"/>
      <c r="BK323" s="579"/>
    </row>
    <row r="324" spans="1:63" s="245" customFormat="1">
      <c r="A324" s="243"/>
      <c r="B324" s="243" t="s">
        <v>1498</v>
      </c>
      <c r="C324" s="243" t="s">
        <v>1499</v>
      </c>
      <c r="D324" s="243"/>
      <c r="F324" s="245">
        <f t="shared" ref="F324:X324" si="634">F122</f>
        <v>0</v>
      </c>
      <c r="G324" s="245">
        <f t="shared" si="634"/>
        <v>0</v>
      </c>
      <c r="H324" s="245">
        <f t="shared" si="634"/>
        <v>0</v>
      </c>
      <c r="I324" s="245">
        <f t="shared" si="634"/>
        <v>0</v>
      </c>
      <c r="J324" s="245">
        <f t="shared" si="634"/>
        <v>0</v>
      </c>
      <c r="K324" s="245">
        <f t="shared" si="634"/>
        <v>0</v>
      </c>
      <c r="L324" s="245">
        <f t="shared" si="634"/>
        <v>0</v>
      </c>
      <c r="M324" s="245">
        <f t="shared" si="634"/>
        <v>539.17700000000002</v>
      </c>
      <c r="N324" s="245">
        <f t="shared" si="634"/>
        <v>0</v>
      </c>
      <c r="O324" s="245">
        <f t="shared" si="634"/>
        <v>0</v>
      </c>
      <c r="P324" s="245">
        <f t="shared" si="634"/>
        <v>0.2</v>
      </c>
      <c r="Q324" s="245">
        <f t="shared" si="634"/>
        <v>224.6</v>
      </c>
      <c r="R324" s="245">
        <f t="shared" si="634"/>
        <v>190.4</v>
      </c>
      <c r="S324" s="245">
        <f t="shared" si="634"/>
        <v>2738.9</v>
      </c>
      <c r="T324" s="245">
        <f t="shared" si="634"/>
        <v>129.80000000000001</v>
      </c>
      <c r="U324" s="245">
        <f t="shared" si="634"/>
        <v>1578.3999999999999</v>
      </c>
      <c r="V324" s="245">
        <f t="shared" si="634"/>
        <v>0</v>
      </c>
      <c r="W324" s="245">
        <f t="shared" si="634"/>
        <v>0</v>
      </c>
      <c r="X324" s="245">
        <f t="shared" si="634"/>
        <v>0</v>
      </c>
      <c r="Y324" s="245">
        <f>Y122</f>
        <v>0</v>
      </c>
      <c r="Z324" s="245">
        <f>Z122</f>
        <v>0</v>
      </c>
      <c r="AA324" s="245">
        <f>AA122</f>
        <v>0</v>
      </c>
      <c r="AB324" s="245">
        <f>AB122</f>
        <v>0</v>
      </c>
      <c r="AC324" s="245">
        <f t="shared" ref="AC324:AD324" si="635">AC122</f>
        <v>0</v>
      </c>
      <c r="AD324" s="245">
        <f t="shared" si="635"/>
        <v>0</v>
      </c>
      <c r="AF324" s="580">
        <f t="shared" ref="AF324:BK324" si="636">AF122</f>
        <v>0</v>
      </c>
      <c r="AG324" s="580">
        <f t="shared" si="636"/>
        <v>0</v>
      </c>
      <c r="AH324" s="580">
        <f t="shared" si="636"/>
        <v>0</v>
      </c>
      <c r="AI324" s="580">
        <f t="shared" si="636"/>
        <v>0</v>
      </c>
      <c r="AJ324" s="580">
        <f t="shared" si="636"/>
        <v>0</v>
      </c>
      <c r="AK324" s="580">
        <f t="shared" si="636"/>
        <v>0</v>
      </c>
      <c r="AL324" s="580">
        <f t="shared" si="636"/>
        <v>0</v>
      </c>
      <c r="AM324" s="580">
        <f t="shared" si="636"/>
        <v>0</v>
      </c>
      <c r="AN324" s="580">
        <f t="shared" si="636"/>
        <v>0</v>
      </c>
      <c r="AO324" s="580">
        <f t="shared" si="636"/>
        <v>0</v>
      </c>
      <c r="AP324" s="580">
        <f t="shared" si="636"/>
        <v>0</v>
      </c>
      <c r="AQ324" s="580">
        <f t="shared" si="636"/>
        <v>0</v>
      </c>
      <c r="AR324" s="580">
        <f t="shared" si="636"/>
        <v>0</v>
      </c>
      <c r="AS324" s="580">
        <f t="shared" si="636"/>
        <v>0</v>
      </c>
      <c r="AT324" s="580">
        <f t="shared" si="636"/>
        <v>0</v>
      </c>
      <c r="AU324" s="580">
        <f t="shared" si="636"/>
        <v>0</v>
      </c>
      <c r="AV324" s="580">
        <f t="shared" si="636"/>
        <v>0</v>
      </c>
      <c r="AW324" s="580">
        <f t="shared" si="636"/>
        <v>0</v>
      </c>
      <c r="AX324" s="580">
        <f t="shared" si="636"/>
        <v>0</v>
      </c>
      <c r="AY324" s="580">
        <f t="shared" si="636"/>
        <v>0</v>
      </c>
      <c r="AZ324" s="580">
        <f t="shared" si="636"/>
        <v>0</v>
      </c>
      <c r="BA324" s="580">
        <f t="shared" si="636"/>
        <v>0</v>
      </c>
      <c r="BB324" s="580">
        <f t="shared" si="636"/>
        <v>0</v>
      </c>
      <c r="BC324" s="580">
        <f t="shared" si="636"/>
        <v>0</v>
      </c>
      <c r="BD324" s="580">
        <f t="shared" si="636"/>
        <v>0</v>
      </c>
      <c r="BE324" s="580">
        <f t="shared" si="636"/>
        <v>0</v>
      </c>
      <c r="BF324" s="580">
        <f t="shared" si="636"/>
        <v>0</v>
      </c>
      <c r="BG324" s="580">
        <f t="shared" si="636"/>
        <v>0</v>
      </c>
      <c r="BH324" s="580">
        <f t="shared" si="636"/>
        <v>0</v>
      </c>
      <c r="BI324" s="580">
        <f t="shared" si="636"/>
        <v>0</v>
      </c>
      <c r="BJ324" s="580">
        <f t="shared" si="636"/>
        <v>0</v>
      </c>
      <c r="BK324" s="580">
        <f t="shared" si="636"/>
        <v>0</v>
      </c>
    </row>
    <row r="325" spans="1:63" s="245" customFormat="1">
      <c r="A325" s="243"/>
      <c r="B325" s="243" t="s">
        <v>1500</v>
      </c>
      <c r="C325" s="243" t="s">
        <v>1501</v>
      </c>
      <c r="D325" s="243"/>
      <c r="F325" s="245">
        <f t="shared" ref="F325:X325" si="637">F130</f>
        <v>0</v>
      </c>
      <c r="G325" s="245">
        <f t="shared" si="637"/>
        <v>0</v>
      </c>
      <c r="H325" s="245">
        <f t="shared" si="637"/>
        <v>0</v>
      </c>
      <c r="I325" s="245">
        <f t="shared" si="637"/>
        <v>0</v>
      </c>
      <c r="J325" s="245">
        <f t="shared" si="637"/>
        <v>0</v>
      </c>
      <c r="K325" s="245">
        <f t="shared" si="637"/>
        <v>0</v>
      </c>
      <c r="L325" s="245">
        <f t="shared" si="637"/>
        <v>0</v>
      </c>
      <c r="M325" s="245">
        <f t="shared" si="637"/>
        <v>7863.1460000000006</v>
      </c>
      <c r="N325" s="245">
        <f t="shared" si="637"/>
        <v>10057.24</v>
      </c>
      <c r="O325" s="245">
        <f t="shared" si="637"/>
        <v>12269.925000000001</v>
      </c>
      <c r="P325" s="245">
        <f t="shared" si="637"/>
        <v>14671.300000000001</v>
      </c>
      <c r="Q325" s="245">
        <f t="shared" si="637"/>
        <v>16029.699999999999</v>
      </c>
      <c r="R325" s="245">
        <f t="shared" si="637"/>
        <v>13273.4</v>
      </c>
      <c r="S325" s="245">
        <f t="shared" si="637"/>
        <v>13214.7</v>
      </c>
      <c r="T325" s="245">
        <f t="shared" si="637"/>
        <v>13255.8</v>
      </c>
      <c r="U325" s="245">
        <f t="shared" si="637"/>
        <v>1673.1</v>
      </c>
      <c r="V325" s="245">
        <f t="shared" si="637"/>
        <v>974.8</v>
      </c>
      <c r="W325" s="245">
        <f t="shared" si="637"/>
        <v>712.7</v>
      </c>
      <c r="X325" s="245">
        <f t="shared" si="637"/>
        <v>577.4</v>
      </c>
      <c r="Y325" s="245">
        <f>Y130</f>
        <v>1118.28</v>
      </c>
      <c r="Z325" s="245">
        <f>Z130</f>
        <v>1624.8</v>
      </c>
      <c r="AA325" s="245">
        <f>AA130</f>
        <v>1624.8</v>
      </c>
      <c r="AB325" s="245">
        <f>AB130</f>
        <v>1624.8</v>
      </c>
      <c r="AC325" s="245">
        <f t="shared" ref="AC325:AD325" si="638">AC130</f>
        <v>1624.8</v>
      </c>
      <c r="AD325" s="245">
        <f t="shared" si="638"/>
        <v>1624.8</v>
      </c>
      <c r="AF325" s="580">
        <f t="shared" ref="AF325:BK325" si="639">AF130</f>
        <v>0</v>
      </c>
      <c r="AG325" s="580">
        <f t="shared" si="639"/>
        <v>0</v>
      </c>
      <c r="AH325" s="580">
        <f t="shared" si="639"/>
        <v>0</v>
      </c>
      <c r="AI325" s="580">
        <f t="shared" si="639"/>
        <v>0</v>
      </c>
      <c r="AJ325" s="580">
        <f t="shared" si="639"/>
        <v>0</v>
      </c>
      <c r="AK325" s="580">
        <f t="shared" si="639"/>
        <v>0</v>
      </c>
      <c r="AL325" s="580">
        <f t="shared" si="639"/>
        <v>0</v>
      </c>
      <c r="AM325" s="580">
        <f t="shared" si="639"/>
        <v>0</v>
      </c>
      <c r="AN325" s="580">
        <f t="shared" si="639"/>
        <v>0</v>
      </c>
      <c r="AO325" s="580">
        <f t="shared" si="639"/>
        <v>0</v>
      </c>
      <c r="AP325" s="580">
        <f t="shared" si="639"/>
        <v>0</v>
      </c>
      <c r="AQ325" s="580">
        <f t="shared" si="639"/>
        <v>0</v>
      </c>
      <c r="AR325" s="580">
        <f t="shared" si="639"/>
        <v>0</v>
      </c>
      <c r="AS325" s="580">
        <f t="shared" si="639"/>
        <v>0</v>
      </c>
      <c r="AT325" s="580">
        <f t="shared" si="639"/>
        <v>0</v>
      </c>
      <c r="AU325" s="580">
        <f t="shared" si="639"/>
        <v>0</v>
      </c>
      <c r="AV325" s="580">
        <f t="shared" si="639"/>
        <v>0</v>
      </c>
      <c r="AW325" s="580">
        <f t="shared" si="639"/>
        <v>0</v>
      </c>
      <c r="AX325" s="580">
        <f t="shared" si="639"/>
        <v>0</v>
      </c>
      <c r="AY325" s="580">
        <f t="shared" si="639"/>
        <v>0</v>
      </c>
      <c r="AZ325" s="580">
        <f t="shared" si="639"/>
        <v>0</v>
      </c>
      <c r="BA325" s="580">
        <f t="shared" si="639"/>
        <v>0</v>
      </c>
      <c r="BB325" s="580">
        <f t="shared" si="639"/>
        <v>0</v>
      </c>
      <c r="BC325" s="580">
        <f t="shared" si="639"/>
        <v>0</v>
      </c>
      <c r="BD325" s="580">
        <f t="shared" si="639"/>
        <v>0</v>
      </c>
      <c r="BE325" s="580">
        <f t="shared" si="639"/>
        <v>0</v>
      </c>
      <c r="BF325" s="580">
        <f t="shared" si="639"/>
        <v>0</v>
      </c>
      <c r="BG325" s="580">
        <f t="shared" si="639"/>
        <v>0</v>
      </c>
      <c r="BH325" s="580">
        <f t="shared" si="639"/>
        <v>0</v>
      </c>
      <c r="BI325" s="580">
        <f t="shared" si="639"/>
        <v>0</v>
      </c>
      <c r="BJ325" s="580">
        <f t="shared" si="639"/>
        <v>0</v>
      </c>
      <c r="BK325" s="580">
        <f t="shared" si="639"/>
        <v>0</v>
      </c>
    </row>
    <row r="326" spans="1:63" s="245" customFormat="1">
      <c r="A326" s="243"/>
      <c r="B326" s="243" t="s">
        <v>1502</v>
      </c>
      <c r="C326" s="243" t="s">
        <v>1504</v>
      </c>
      <c r="D326" s="243"/>
      <c r="F326" s="245">
        <f t="shared" ref="F326:Y326" si="640">F324+F325</f>
        <v>0</v>
      </c>
      <c r="G326" s="245">
        <f t="shared" si="640"/>
        <v>0</v>
      </c>
      <c r="H326" s="245">
        <f t="shared" si="640"/>
        <v>0</v>
      </c>
      <c r="I326" s="245">
        <f t="shared" si="640"/>
        <v>0</v>
      </c>
      <c r="J326" s="245">
        <f t="shared" si="640"/>
        <v>0</v>
      </c>
      <c r="K326" s="245">
        <f t="shared" si="640"/>
        <v>0</v>
      </c>
      <c r="L326" s="245">
        <f t="shared" si="640"/>
        <v>0</v>
      </c>
      <c r="M326" s="245">
        <f t="shared" si="640"/>
        <v>8402.3230000000003</v>
      </c>
      <c r="N326" s="245">
        <f t="shared" si="640"/>
        <v>10057.24</v>
      </c>
      <c r="O326" s="245">
        <f t="shared" si="640"/>
        <v>12269.925000000001</v>
      </c>
      <c r="P326" s="245">
        <f t="shared" si="640"/>
        <v>14671.500000000002</v>
      </c>
      <c r="Q326" s="245">
        <f t="shared" si="640"/>
        <v>16254.3</v>
      </c>
      <c r="R326" s="245">
        <f t="shared" si="640"/>
        <v>13463.8</v>
      </c>
      <c r="S326" s="245">
        <f t="shared" si="640"/>
        <v>15953.6</v>
      </c>
      <c r="T326" s="245">
        <f t="shared" si="640"/>
        <v>13385.599999999999</v>
      </c>
      <c r="U326" s="245">
        <f t="shared" si="640"/>
        <v>3251.5</v>
      </c>
      <c r="V326" s="245">
        <f t="shared" si="640"/>
        <v>974.8</v>
      </c>
      <c r="W326" s="245">
        <f t="shared" si="640"/>
        <v>712.7</v>
      </c>
      <c r="X326" s="245">
        <f t="shared" si="640"/>
        <v>577.4</v>
      </c>
      <c r="Y326" s="245">
        <f t="shared" si="640"/>
        <v>1118.28</v>
      </c>
      <c r="Z326" s="245">
        <f>Z324+Z325</f>
        <v>1624.8</v>
      </c>
      <c r="AA326" s="245">
        <f>AA324+AA325</f>
        <v>1624.8</v>
      </c>
      <c r="AB326" s="245">
        <f>AB324+AB325</f>
        <v>1624.8</v>
      </c>
      <c r="AC326" s="245">
        <f t="shared" ref="AC326:AD326" si="641">AC324+AC325</f>
        <v>1624.8</v>
      </c>
      <c r="AD326" s="245">
        <f t="shared" si="641"/>
        <v>1624.8</v>
      </c>
      <c r="AF326" s="580">
        <f t="shared" ref="AF326:BK326" si="642">AF324+AF325</f>
        <v>0</v>
      </c>
      <c r="AG326" s="580">
        <f t="shared" si="642"/>
        <v>0</v>
      </c>
      <c r="AH326" s="580">
        <f t="shared" si="642"/>
        <v>0</v>
      </c>
      <c r="AI326" s="580">
        <f t="shared" si="642"/>
        <v>0</v>
      </c>
      <c r="AJ326" s="580">
        <f t="shared" si="642"/>
        <v>0</v>
      </c>
      <c r="AK326" s="580">
        <f t="shared" si="642"/>
        <v>0</v>
      </c>
      <c r="AL326" s="580">
        <f t="shared" si="642"/>
        <v>0</v>
      </c>
      <c r="AM326" s="580">
        <f t="shared" si="642"/>
        <v>0</v>
      </c>
      <c r="AN326" s="580">
        <f t="shared" si="642"/>
        <v>0</v>
      </c>
      <c r="AO326" s="580">
        <f t="shared" si="642"/>
        <v>0</v>
      </c>
      <c r="AP326" s="580">
        <f t="shared" si="642"/>
        <v>0</v>
      </c>
      <c r="AQ326" s="580">
        <f t="shared" si="642"/>
        <v>0</v>
      </c>
      <c r="AR326" s="580">
        <f t="shared" si="642"/>
        <v>0</v>
      </c>
      <c r="AS326" s="580">
        <f t="shared" si="642"/>
        <v>0</v>
      </c>
      <c r="AT326" s="580">
        <f t="shared" si="642"/>
        <v>0</v>
      </c>
      <c r="AU326" s="580">
        <f t="shared" si="642"/>
        <v>0</v>
      </c>
      <c r="AV326" s="580">
        <f t="shared" si="642"/>
        <v>0</v>
      </c>
      <c r="AW326" s="580">
        <f t="shared" si="642"/>
        <v>0</v>
      </c>
      <c r="AX326" s="580">
        <f t="shared" si="642"/>
        <v>0</v>
      </c>
      <c r="AY326" s="580">
        <f t="shared" si="642"/>
        <v>0</v>
      </c>
      <c r="AZ326" s="580">
        <f t="shared" si="642"/>
        <v>0</v>
      </c>
      <c r="BA326" s="580">
        <f t="shared" si="642"/>
        <v>0</v>
      </c>
      <c r="BB326" s="580">
        <f t="shared" si="642"/>
        <v>0</v>
      </c>
      <c r="BC326" s="580">
        <f t="shared" si="642"/>
        <v>0</v>
      </c>
      <c r="BD326" s="580">
        <f t="shared" si="642"/>
        <v>0</v>
      </c>
      <c r="BE326" s="580">
        <f t="shared" si="642"/>
        <v>0</v>
      </c>
      <c r="BF326" s="580">
        <f t="shared" si="642"/>
        <v>0</v>
      </c>
      <c r="BG326" s="580">
        <f t="shared" si="642"/>
        <v>0</v>
      </c>
      <c r="BH326" s="580">
        <f t="shared" si="642"/>
        <v>0</v>
      </c>
      <c r="BI326" s="580">
        <f t="shared" si="642"/>
        <v>0</v>
      </c>
      <c r="BJ326" s="580">
        <f t="shared" si="642"/>
        <v>0</v>
      </c>
      <c r="BK326" s="580">
        <f t="shared" si="642"/>
        <v>0</v>
      </c>
    </row>
    <row r="327" spans="1:63" s="245" customFormat="1">
      <c r="A327" s="243"/>
      <c r="B327" s="243" t="s">
        <v>1505</v>
      </c>
      <c r="C327" s="243" t="s">
        <v>1506</v>
      </c>
      <c r="D327" s="243"/>
      <c r="F327" s="245">
        <f t="shared" ref="F327:X327" si="643">F161</f>
        <v>0</v>
      </c>
      <c r="G327" s="245">
        <f t="shared" si="643"/>
        <v>0</v>
      </c>
      <c r="H327" s="245">
        <f t="shared" si="643"/>
        <v>0</v>
      </c>
      <c r="I327" s="245">
        <f t="shared" si="643"/>
        <v>0</v>
      </c>
      <c r="J327" s="245">
        <f t="shared" si="643"/>
        <v>0</v>
      </c>
      <c r="K327" s="245">
        <f t="shared" si="643"/>
        <v>0</v>
      </c>
      <c r="L327" s="245">
        <f t="shared" si="643"/>
        <v>0</v>
      </c>
      <c r="M327" s="245">
        <f t="shared" si="643"/>
        <v>300.25200000000001</v>
      </c>
      <c r="N327" s="245">
        <f t="shared" si="643"/>
        <v>793.70399999999995</v>
      </c>
      <c r="O327" s="245">
        <f t="shared" si="643"/>
        <v>1086.8060000000003</v>
      </c>
      <c r="P327" s="245">
        <f t="shared" si="643"/>
        <v>819.9</v>
      </c>
      <c r="Q327" s="245">
        <f t="shared" si="643"/>
        <v>834.7</v>
      </c>
      <c r="R327" s="245">
        <f t="shared" si="643"/>
        <v>712.4000000000002</v>
      </c>
      <c r="S327" s="245">
        <f t="shared" si="643"/>
        <v>1426.4</v>
      </c>
      <c r="T327" s="245">
        <f t="shared" si="643"/>
        <v>1014.1</v>
      </c>
      <c r="U327" s="245">
        <f t="shared" si="643"/>
        <v>5564.9</v>
      </c>
      <c r="V327" s="245">
        <f t="shared" si="643"/>
        <v>16538.3</v>
      </c>
      <c r="W327" s="245">
        <f t="shared" si="643"/>
        <v>5588.5</v>
      </c>
      <c r="X327" s="245">
        <f t="shared" si="643"/>
        <v>4862.8</v>
      </c>
      <c r="Y327" s="245">
        <f>Y161</f>
        <v>5750.7</v>
      </c>
      <c r="Z327" s="245">
        <f>Z161</f>
        <v>8595.2000000000007</v>
      </c>
      <c r="AA327" s="245">
        <f>AA161</f>
        <v>5567.4985222216674</v>
      </c>
      <c r="AB327" s="245">
        <f>AB161</f>
        <v>5362</v>
      </c>
      <c r="AC327" s="245">
        <f t="shared" ref="AC327:AD327" si="644">AC161</f>
        <v>10610</v>
      </c>
      <c r="AD327" s="245">
        <f t="shared" si="644"/>
        <v>33834</v>
      </c>
      <c r="AF327" s="580">
        <f t="shared" ref="AF327:BK327" si="645">AF161</f>
        <v>0</v>
      </c>
      <c r="AG327" s="580">
        <f t="shared" si="645"/>
        <v>0</v>
      </c>
      <c r="AH327" s="580">
        <f t="shared" si="645"/>
        <v>0</v>
      </c>
      <c r="AI327" s="580">
        <f t="shared" si="645"/>
        <v>0</v>
      </c>
      <c r="AJ327" s="580">
        <f t="shared" si="645"/>
        <v>0</v>
      </c>
      <c r="AK327" s="580">
        <f t="shared" si="645"/>
        <v>0</v>
      </c>
      <c r="AL327" s="580">
        <f t="shared" si="645"/>
        <v>0</v>
      </c>
      <c r="AM327" s="580">
        <f t="shared" si="645"/>
        <v>0</v>
      </c>
      <c r="AN327" s="580">
        <f t="shared" si="645"/>
        <v>0</v>
      </c>
      <c r="AO327" s="580">
        <f t="shared" si="645"/>
        <v>0</v>
      </c>
      <c r="AP327" s="580">
        <f t="shared" si="645"/>
        <v>0</v>
      </c>
      <c r="AQ327" s="580">
        <f t="shared" si="645"/>
        <v>0</v>
      </c>
      <c r="AR327" s="580">
        <f t="shared" si="645"/>
        <v>0</v>
      </c>
      <c r="AS327" s="580">
        <f t="shared" si="645"/>
        <v>0</v>
      </c>
      <c r="AT327" s="580">
        <f t="shared" si="645"/>
        <v>0</v>
      </c>
      <c r="AU327" s="580">
        <f t="shared" si="645"/>
        <v>0</v>
      </c>
      <c r="AV327" s="580">
        <f t="shared" si="645"/>
        <v>0</v>
      </c>
      <c r="AW327" s="580">
        <f t="shared" si="645"/>
        <v>0</v>
      </c>
      <c r="AX327" s="580">
        <f t="shared" si="645"/>
        <v>0</v>
      </c>
      <c r="AY327" s="580">
        <f t="shared" si="645"/>
        <v>0</v>
      </c>
      <c r="AZ327" s="580">
        <f t="shared" si="645"/>
        <v>0</v>
      </c>
      <c r="BA327" s="580">
        <f t="shared" si="645"/>
        <v>0</v>
      </c>
      <c r="BB327" s="580">
        <f t="shared" si="645"/>
        <v>0</v>
      </c>
      <c r="BC327" s="580">
        <f t="shared" si="645"/>
        <v>0</v>
      </c>
      <c r="BD327" s="580">
        <f t="shared" si="645"/>
        <v>0</v>
      </c>
      <c r="BE327" s="580">
        <f t="shared" si="645"/>
        <v>0</v>
      </c>
      <c r="BF327" s="580">
        <f t="shared" si="645"/>
        <v>0</v>
      </c>
      <c r="BG327" s="580">
        <f t="shared" si="645"/>
        <v>0</v>
      </c>
      <c r="BH327" s="580">
        <f t="shared" si="645"/>
        <v>0</v>
      </c>
      <c r="BI327" s="580">
        <f t="shared" si="645"/>
        <v>0</v>
      </c>
      <c r="BJ327" s="580">
        <f t="shared" si="645"/>
        <v>0</v>
      </c>
      <c r="BK327" s="580">
        <f t="shared" si="645"/>
        <v>0</v>
      </c>
    </row>
    <row r="328" spans="1:63" s="240" customFormat="1">
      <c r="A328" s="209"/>
      <c r="B328" s="209" t="s">
        <v>1507</v>
      </c>
      <c r="C328" s="209" t="s">
        <v>1508</v>
      </c>
      <c r="D328" s="209"/>
      <c r="F328" s="284">
        <f>+F157</f>
        <v>0</v>
      </c>
      <c r="G328" s="284">
        <f>+G157</f>
        <v>0</v>
      </c>
      <c r="H328" s="284">
        <f>+H157</f>
        <v>0</v>
      </c>
      <c r="I328" s="284">
        <f>+I157</f>
        <v>0</v>
      </c>
      <c r="J328" s="284">
        <f>+J157</f>
        <v>0</v>
      </c>
      <c r="K328" s="284"/>
      <c r="L328" s="284"/>
      <c r="M328" s="284">
        <f>+'Bal Sheet'!C114-'Bal Sheet'!C107</f>
        <v>25372.244000000002</v>
      </c>
      <c r="N328" s="284">
        <f>+'Bal Sheet'!D114-'Bal Sheet'!D107</f>
        <v>38332.813999999991</v>
      </c>
      <c r="O328" s="284">
        <f>+'Bal Sheet'!E114-'Bal Sheet'!E107</f>
        <v>45384.167999999998</v>
      </c>
      <c r="P328" s="284">
        <f>+'Bal Sheet'!F114-'Bal Sheet'!F107</f>
        <v>57906.600000000006</v>
      </c>
      <c r="Q328" s="284">
        <f>+'Bal Sheet'!G114-'Bal Sheet'!G107</f>
        <v>61391.1</v>
      </c>
      <c r="R328" s="284">
        <f>+'Bal Sheet'!H114-'Bal Sheet'!H107</f>
        <v>12312.400000000001</v>
      </c>
      <c r="S328" s="284">
        <f>+'Bal Sheet'!I114-'Bal Sheet'!I107</f>
        <v>10448</v>
      </c>
      <c r="T328" s="284">
        <f>+'Bal Sheet'!J114-'Bal Sheet'!J107</f>
        <v>31750.6</v>
      </c>
      <c r="U328" s="284">
        <f>+'Bal Sheet'!K114-'Bal Sheet'!K107</f>
        <v>37386.6</v>
      </c>
      <c r="V328" s="284">
        <f>+'Bal Sheet'!L114-'Bal Sheet'!L107</f>
        <v>37581.599999999991</v>
      </c>
      <c r="W328" s="284">
        <f>+'Bal Sheet'!M114-'Bal Sheet'!M107</f>
        <v>52117.399999999994</v>
      </c>
      <c r="X328" s="284">
        <f>+'Bal Sheet'!N114-'Bal Sheet'!N107</f>
        <v>73361.100000000006</v>
      </c>
      <c r="Y328" s="284">
        <f>+'Bal Sheet'!O114-'Bal Sheet'!O107</f>
        <v>79416.800000000003</v>
      </c>
      <c r="Z328" s="284">
        <f>+'Bal Sheet'!P114-'Bal Sheet'!P107</f>
        <v>82899.400000000009</v>
      </c>
      <c r="AA328" s="284">
        <f>+'Bal Sheet'!Q114-'Bal Sheet'!Q107</f>
        <v>122899.39999999998</v>
      </c>
      <c r="AB328" s="284">
        <f>+'Bal Sheet'!R114-'Bal Sheet'!R107</f>
        <v>142899.39999999997</v>
      </c>
      <c r="AC328" s="284">
        <f>+'Bal Sheet'!S114-'Bal Sheet'!S107</f>
        <v>157899.39999999997</v>
      </c>
      <c r="AD328" s="284">
        <f>+'Bal Sheet'!T114-'Bal Sheet'!T107</f>
        <v>157899.39999999997</v>
      </c>
      <c r="AF328" s="585">
        <f t="shared" ref="AF328:BK328" si="646">+AF157</f>
        <v>0</v>
      </c>
      <c r="AG328" s="585">
        <f t="shared" si="646"/>
        <v>0</v>
      </c>
      <c r="AH328" s="585">
        <f t="shared" si="646"/>
        <v>0</v>
      </c>
      <c r="AI328" s="585">
        <f t="shared" si="646"/>
        <v>0</v>
      </c>
      <c r="AJ328" s="585">
        <f t="shared" si="646"/>
        <v>0</v>
      </c>
      <c r="AK328" s="585">
        <f t="shared" si="646"/>
        <v>0</v>
      </c>
      <c r="AL328" s="585">
        <f t="shared" si="646"/>
        <v>0</v>
      </c>
      <c r="AM328" s="585">
        <f t="shared" si="646"/>
        <v>0</v>
      </c>
      <c r="AN328" s="585">
        <f t="shared" si="646"/>
        <v>0</v>
      </c>
      <c r="AO328" s="585">
        <f t="shared" si="646"/>
        <v>0</v>
      </c>
      <c r="AP328" s="585">
        <f t="shared" si="646"/>
        <v>0</v>
      </c>
      <c r="AQ328" s="585">
        <f t="shared" si="646"/>
        <v>0</v>
      </c>
      <c r="AR328" s="585">
        <f t="shared" si="646"/>
        <v>0</v>
      </c>
      <c r="AS328" s="585">
        <f t="shared" si="646"/>
        <v>0</v>
      </c>
      <c r="AT328" s="585">
        <f t="shared" si="646"/>
        <v>0</v>
      </c>
      <c r="AU328" s="585">
        <f t="shared" si="646"/>
        <v>0</v>
      </c>
      <c r="AV328" s="585">
        <f t="shared" si="646"/>
        <v>0</v>
      </c>
      <c r="AW328" s="585">
        <f t="shared" si="646"/>
        <v>0</v>
      </c>
      <c r="AX328" s="585">
        <f t="shared" si="646"/>
        <v>0</v>
      </c>
      <c r="AY328" s="585">
        <f t="shared" si="646"/>
        <v>0</v>
      </c>
      <c r="AZ328" s="585">
        <f t="shared" si="646"/>
        <v>0</v>
      </c>
      <c r="BA328" s="585">
        <f t="shared" si="646"/>
        <v>0</v>
      </c>
      <c r="BB328" s="585">
        <f t="shared" si="646"/>
        <v>0</v>
      </c>
      <c r="BC328" s="585">
        <f t="shared" si="646"/>
        <v>0</v>
      </c>
      <c r="BD328" s="585">
        <f t="shared" si="646"/>
        <v>0</v>
      </c>
      <c r="BE328" s="585">
        <f t="shared" si="646"/>
        <v>0</v>
      </c>
      <c r="BF328" s="585">
        <f t="shared" si="646"/>
        <v>0</v>
      </c>
      <c r="BG328" s="585">
        <f t="shared" si="646"/>
        <v>0</v>
      </c>
      <c r="BH328" s="585">
        <f t="shared" si="646"/>
        <v>0</v>
      </c>
      <c r="BI328" s="585">
        <f t="shared" si="646"/>
        <v>0</v>
      </c>
      <c r="BJ328" s="585">
        <f t="shared" si="646"/>
        <v>0</v>
      </c>
      <c r="BK328" s="585">
        <f t="shared" si="646"/>
        <v>0</v>
      </c>
    </row>
    <row r="329" spans="1:63" s="245" customFormat="1">
      <c r="A329" s="243"/>
      <c r="B329" s="243" t="s">
        <v>1509</v>
      </c>
      <c r="C329" s="243" t="s">
        <v>1510</v>
      </c>
      <c r="D329" s="243"/>
      <c r="F329" s="245">
        <f t="shared" ref="F329:Y329" si="647">F326-F327-F328</f>
        <v>0</v>
      </c>
      <c r="G329" s="245">
        <f t="shared" si="647"/>
        <v>0</v>
      </c>
      <c r="H329" s="245">
        <f t="shared" si="647"/>
        <v>0</v>
      </c>
      <c r="I329" s="245">
        <f t="shared" si="647"/>
        <v>0</v>
      </c>
      <c r="J329" s="245">
        <f t="shared" si="647"/>
        <v>0</v>
      </c>
      <c r="K329" s="245">
        <f t="shared" si="647"/>
        <v>0</v>
      </c>
      <c r="L329" s="245">
        <f t="shared" si="647"/>
        <v>0</v>
      </c>
      <c r="M329" s="245">
        <f t="shared" si="647"/>
        <v>-17270.173000000003</v>
      </c>
      <c r="N329" s="245">
        <f t="shared" si="647"/>
        <v>-29069.277999999991</v>
      </c>
      <c r="O329" s="245">
        <f t="shared" si="647"/>
        <v>-34201.048999999999</v>
      </c>
      <c r="P329" s="245">
        <f t="shared" si="647"/>
        <v>-44055</v>
      </c>
      <c r="Q329" s="245">
        <f t="shared" si="647"/>
        <v>-45971.5</v>
      </c>
      <c r="R329" s="245">
        <f t="shared" si="647"/>
        <v>438.99999999999818</v>
      </c>
      <c r="S329" s="245">
        <f t="shared" si="647"/>
        <v>4079.2000000000007</v>
      </c>
      <c r="T329" s="245">
        <f t="shared" si="647"/>
        <v>-19379.099999999999</v>
      </c>
      <c r="U329" s="245">
        <f t="shared" si="647"/>
        <v>-39700</v>
      </c>
      <c r="V329" s="245">
        <f t="shared" si="647"/>
        <v>-53145.099999999991</v>
      </c>
      <c r="W329" s="245">
        <f t="shared" si="647"/>
        <v>-56993.2</v>
      </c>
      <c r="X329" s="245">
        <f t="shared" si="647"/>
        <v>-77646.5</v>
      </c>
      <c r="Y329" s="245">
        <f t="shared" si="647"/>
        <v>-84049.22</v>
      </c>
      <c r="Z329" s="245">
        <f>Z326-Z327-Z328</f>
        <v>-89869.8</v>
      </c>
      <c r="AA329" s="245">
        <f>AA326-AA327-AA328</f>
        <v>-126842.09852222164</v>
      </c>
      <c r="AB329" s="245">
        <f>AB326-AB327-AB328</f>
        <v>-146636.59999999998</v>
      </c>
      <c r="AC329" s="245">
        <f t="shared" ref="AC329:AD329" si="648">AC326-AC327-AC328</f>
        <v>-166884.59999999998</v>
      </c>
      <c r="AD329" s="245">
        <f t="shared" si="648"/>
        <v>-190108.59999999998</v>
      </c>
      <c r="AF329" s="580">
        <f t="shared" ref="AF329:BK329" si="649">AF326-AF327-AF328</f>
        <v>0</v>
      </c>
      <c r="AG329" s="580">
        <f t="shared" si="649"/>
        <v>0</v>
      </c>
      <c r="AH329" s="580">
        <f t="shared" si="649"/>
        <v>0</v>
      </c>
      <c r="AI329" s="580">
        <f t="shared" si="649"/>
        <v>0</v>
      </c>
      <c r="AJ329" s="580">
        <f t="shared" si="649"/>
        <v>0</v>
      </c>
      <c r="AK329" s="580">
        <f t="shared" si="649"/>
        <v>0</v>
      </c>
      <c r="AL329" s="580">
        <f t="shared" si="649"/>
        <v>0</v>
      </c>
      <c r="AM329" s="580">
        <f t="shared" si="649"/>
        <v>0</v>
      </c>
      <c r="AN329" s="580">
        <f t="shared" si="649"/>
        <v>0</v>
      </c>
      <c r="AO329" s="580">
        <f t="shared" si="649"/>
        <v>0</v>
      </c>
      <c r="AP329" s="580">
        <f t="shared" si="649"/>
        <v>0</v>
      </c>
      <c r="AQ329" s="580">
        <f t="shared" si="649"/>
        <v>0</v>
      </c>
      <c r="AR329" s="580">
        <f t="shared" si="649"/>
        <v>0</v>
      </c>
      <c r="AS329" s="580">
        <f t="shared" si="649"/>
        <v>0</v>
      </c>
      <c r="AT329" s="580">
        <f t="shared" si="649"/>
        <v>0</v>
      </c>
      <c r="AU329" s="580">
        <f t="shared" si="649"/>
        <v>0</v>
      </c>
      <c r="AV329" s="580">
        <f t="shared" si="649"/>
        <v>0</v>
      </c>
      <c r="AW329" s="580">
        <f t="shared" si="649"/>
        <v>0</v>
      </c>
      <c r="AX329" s="580">
        <f t="shared" si="649"/>
        <v>0</v>
      </c>
      <c r="AY329" s="580">
        <f t="shared" si="649"/>
        <v>0</v>
      </c>
      <c r="AZ329" s="580">
        <f t="shared" si="649"/>
        <v>0</v>
      </c>
      <c r="BA329" s="580">
        <f t="shared" si="649"/>
        <v>0</v>
      </c>
      <c r="BB329" s="580">
        <f t="shared" si="649"/>
        <v>0</v>
      </c>
      <c r="BC329" s="580">
        <f t="shared" si="649"/>
        <v>0</v>
      </c>
      <c r="BD329" s="580">
        <f t="shared" si="649"/>
        <v>0</v>
      </c>
      <c r="BE329" s="580">
        <f t="shared" si="649"/>
        <v>0</v>
      </c>
      <c r="BF329" s="580">
        <f t="shared" si="649"/>
        <v>0</v>
      </c>
      <c r="BG329" s="580">
        <f t="shared" si="649"/>
        <v>0</v>
      </c>
      <c r="BH329" s="580">
        <f t="shared" si="649"/>
        <v>0</v>
      </c>
      <c r="BI329" s="580">
        <f t="shared" si="649"/>
        <v>0</v>
      </c>
      <c r="BJ329" s="580">
        <f t="shared" si="649"/>
        <v>0</v>
      </c>
      <c r="BK329" s="580">
        <f t="shared" si="649"/>
        <v>0</v>
      </c>
    </row>
    <row r="330" spans="1:63" s="240" customFormat="1">
      <c r="A330" s="209"/>
      <c r="B330" s="209"/>
      <c r="C330" s="209"/>
      <c r="D330" s="209"/>
      <c r="AF330" s="579"/>
      <c r="AG330" s="579"/>
      <c r="AH330" s="579"/>
      <c r="AI330" s="579"/>
      <c r="AJ330" s="579"/>
      <c r="AK330" s="579"/>
      <c r="AL330" s="579"/>
      <c r="AM330" s="579"/>
      <c r="AN330" s="579"/>
      <c r="AO330" s="579"/>
      <c r="AP330" s="579"/>
      <c r="AQ330" s="579"/>
      <c r="AR330" s="579"/>
      <c r="AS330" s="579"/>
      <c r="AT330" s="579"/>
      <c r="AU330" s="579"/>
      <c r="AV330" s="579"/>
      <c r="AW330" s="579"/>
      <c r="AX330" s="579"/>
      <c r="AY330" s="579"/>
      <c r="AZ330" s="579"/>
      <c r="BA330" s="579"/>
      <c r="BB330" s="579"/>
      <c r="BC330" s="579"/>
      <c r="BD330" s="579"/>
      <c r="BE330" s="579"/>
      <c r="BF330" s="579"/>
      <c r="BG330" s="579"/>
      <c r="BH330" s="579"/>
      <c r="BI330" s="579"/>
      <c r="BJ330" s="579"/>
      <c r="BK330" s="579"/>
    </row>
    <row r="331" spans="1:63" s="240" customFormat="1">
      <c r="A331" s="209"/>
      <c r="B331" s="209"/>
      <c r="C331" s="275" t="s">
        <v>1511</v>
      </c>
      <c r="D331" s="209"/>
      <c r="AF331" s="579"/>
      <c r="AG331" s="579"/>
      <c r="AH331" s="579"/>
      <c r="AI331" s="579"/>
      <c r="AJ331" s="579"/>
      <c r="AK331" s="579"/>
      <c r="AL331" s="579"/>
      <c r="AM331" s="579"/>
      <c r="AN331" s="579"/>
      <c r="AO331" s="579"/>
      <c r="AP331" s="579"/>
      <c r="AQ331" s="579"/>
      <c r="AR331" s="579"/>
      <c r="AS331" s="579"/>
      <c r="AT331" s="579"/>
      <c r="AU331" s="579"/>
      <c r="AV331" s="579"/>
      <c r="AW331" s="579"/>
      <c r="AX331" s="579"/>
      <c r="AY331" s="579"/>
      <c r="AZ331" s="579"/>
      <c r="BA331" s="579"/>
      <c r="BB331" s="579"/>
      <c r="BC331" s="579"/>
      <c r="BD331" s="579"/>
      <c r="BE331" s="579"/>
      <c r="BF331" s="579"/>
      <c r="BG331" s="579"/>
      <c r="BH331" s="579"/>
      <c r="BI331" s="579"/>
      <c r="BJ331" s="579"/>
      <c r="BK331" s="579"/>
    </row>
    <row r="332" spans="1:63" s="245" customFormat="1">
      <c r="A332" s="243"/>
      <c r="B332" s="243" t="s">
        <v>1512</v>
      </c>
      <c r="C332" s="243" t="s">
        <v>1124</v>
      </c>
      <c r="D332" s="243"/>
      <c r="F332" s="245">
        <f t="shared" ref="F332:X332" si="650">F143-F117</f>
        <v>0</v>
      </c>
      <c r="G332" s="245">
        <f t="shared" si="650"/>
        <v>0</v>
      </c>
      <c r="H332" s="245">
        <f t="shared" si="650"/>
        <v>0</v>
      </c>
      <c r="I332" s="245">
        <f t="shared" si="650"/>
        <v>0</v>
      </c>
      <c r="J332" s="245">
        <f t="shared" si="650"/>
        <v>0</v>
      </c>
      <c r="K332" s="245">
        <f t="shared" si="650"/>
        <v>0</v>
      </c>
      <c r="L332" s="245">
        <f t="shared" si="650"/>
        <v>0</v>
      </c>
      <c r="M332" s="245">
        <f t="shared" si="650"/>
        <v>26328.698</v>
      </c>
      <c r="N332" s="245">
        <f t="shared" si="650"/>
        <v>27106.602000000003</v>
      </c>
      <c r="O332" s="245">
        <f t="shared" si="650"/>
        <v>27476.674999999999</v>
      </c>
      <c r="P332" s="245">
        <f t="shared" si="650"/>
        <v>28942.2</v>
      </c>
      <c r="Q332" s="245">
        <f t="shared" si="650"/>
        <v>31785.399999999998</v>
      </c>
      <c r="R332" s="245">
        <f t="shared" si="650"/>
        <v>30000.799999999999</v>
      </c>
      <c r="S332" s="245">
        <f t="shared" si="650"/>
        <v>33557.699999999997</v>
      </c>
      <c r="T332" s="245">
        <f t="shared" si="650"/>
        <v>33792.5</v>
      </c>
      <c r="U332" s="245">
        <f t="shared" si="650"/>
        <v>33951.600000000006</v>
      </c>
      <c r="V332" s="245">
        <f t="shared" si="650"/>
        <v>33960.6</v>
      </c>
      <c r="W332" s="245">
        <f t="shared" si="650"/>
        <v>38288.5</v>
      </c>
      <c r="X332" s="245">
        <f t="shared" si="650"/>
        <v>40770.400000000001</v>
      </c>
      <c r="Y332" s="245">
        <f>Y143-Y117</f>
        <v>41009.1</v>
      </c>
      <c r="Z332" s="245">
        <f>Z143-Z117</f>
        <v>43902.5</v>
      </c>
      <c r="AA332" s="245">
        <f>AA143-AA117</f>
        <v>46902.5</v>
      </c>
      <c r="AB332" s="245">
        <f>AB143-AB117</f>
        <v>50902.5</v>
      </c>
      <c r="AC332" s="245">
        <f t="shared" ref="AC332:AD332" si="651">AC143-AC117</f>
        <v>54902.5</v>
      </c>
      <c r="AD332" s="245">
        <f t="shared" si="651"/>
        <v>58902.5</v>
      </c>
      <c r="AF332" s="580">
        <f t="shared" ref="AF332:BK332" si="652">AF143-AF117</f>
        <v>0</v>
      </c>
      <c r="AG332" s="580">
        <f t="shared" si="652"/>
        <v>0</v>
      </c>
      <c r="AH332" s="580">
        <f t="shared" si="652"/>
        <v>0</v>
      </c>
      <c r="AI332" s="580">
        <f t="shared" si="652"/>
        <v>0</v>
      </c>
      <c r="AJ332" s="580">
        <f t="shared" si="652"/>
        <v>0</v>
      </c>
      <c r="AK332" s="580">
        <f t="shared" si="652"/>
        <v>0</v>
      </c>
      <c r="AL332" s="580">
        <f t="shared" si="652"/>
        <v>0</v>
      </c>
      <c r="AM332" s="580">
        <f t="shared" si="652"/>
        <v>0</v>
      </c>
      <c r="AN332" s="580">
        <f t="shared" si="652"/>
        <v>0</v>
      </c>
      <c r="AO332" s="580">
        <f t="shared" si="652"/>
        <v>0</v>
      </c>
      <c r="AP332" s="580">
        <f t="shared" si="652"/>
        <v>0</v>
      </c>
      <c r="AQ332" s="580">
        <f t="shared" si="652"/>
        <v>0</v>
      </c>
      <c r="AR332" s="580">
        <f t="shared" si="652"/>
        <v>0</v>
      </c>
      <c r="AS332" s="580">
        <f t="shared" si="652"/>
        <v>0</v>
      </c>
      <c r="AT332" s="580">
        <f t="shared" si="652"/>
        <v>0</v>
      </c>
      <c r="AU332" s="580">
        <f t="shared" si="652"/>
        <v>0</v>
      </c>
      <c r="AV332" s="580">
        <f t="shared" si="652"/>
        <v>0</v>
      </c>
      <c r="AW332" s="580">
        <f t="shared" si="652"/>
        <v>0</v>
      </c>
      <c r="AX332" s="580">
        <f t="shared" si="652"/>
        <v>0</v>
      </c>
      <c r="AY332" s="580">
        <f t="shared" si="652"/>
        <v>0</v>
      </c>
      <c r="AZ332" s="580">
        <f t="shared" si="652"/>
        <v>0</v>
      </c>
      <c r="BA332" s="580">
        <f t="shared" si="652"/>
        <v>0</v>
      </c>
      <c r="BB332" s="580">
        <f t="shared" si="652"/>
        <v>0</v>
      </c>
      <c r="BC332" s="580">
        <f t="shared" si="652"/>
        <v>0</v>
      </c>
      <c r="BD332" s="580">
        <f t="shared" si="652"/>
        <v>0</v>
      </c>
      <c r="BE332" s="580">
        <f t="shared" si="652"/>
        <v>0</v>
      </c>
      <c r="BF332" s="580">
        <f t="shared" si="652"/>
        <v>0</v>
      </c>
      <c r="BG332" s="580">
        <f t="shared" si="652"/>
        <v>0</v>
      </c>
      <c r="BH332" s="580">
        <f t="shared" si="652"/>
        <v>0</v>
      </c>
      <c r="BI332" s="580">
        <f t="shared" si="652"/>
        <v>0</v>
      </c>
      <c r="BJ332" s="580">
        <f t="shared" si="652"/>
        <v>0</v>
      </c>
      <c r="BK332" s="580">
        <f t="shared" si="652"/>
        <v>0</v>
      </c>
    </row>
    <row r="333" spans="1:63" s="245" customFormat="1">
      <c r="A333" s="243"/>
      <c r="B333" s="243" t="s">
        <v>1513</v>
      </c>
      <c r="C333" s="243" t="s">
        <v>1529</v>
      </c>
      <c r="D333" s="243"/>
      <c r="F333" s="245">
        <f t="shared" ref="F333:Y333" si="653">AVERAGE(E332:F332)</f>
        <v>0</v>
      </c>
      <c r="G333" s="245">
        <f t="shared" si="653"/>
        <v>0</v>
      </c>
      <c r="H333" s="245">
        <f t="shared" si="653"/>
        <v>0</v>
      </c>
      <c r="I333" s="245">
        <f t="shared" si="653"/>
        <v>0</v>
      </c>
      <c r="J333" s="245">
        <f t="shared" si="653"/>
        <v>0</v>
      </c>
      <c r="K333" s="245">
        <f t="shared" si="653"/>
        <v>0</v>
      </c>
      <c r="L333" s="245">
        <f t="shared" si="653"/>
        <v>0</v>
      </c>
      <c r="M333" s="245">
        <f t="shared" si="653"/>
        <v>13164.349</v>
      </c>
      <c r="N333" s="245">
        <f t="shared" si="653"/>
        <v>26717.65</v>
      </c>
      <c r="O333" s="245">
        <f t="shared" si="653"/>
        <v>27291.638500000001</v>
      </c>
      <c r="P333" s="245">
        <f t="shared" si="653"/>
        <v>28209.4375</v>
      </c>
      <c r="Q333" s="245">
        <f t="shared" si="653"/>
        <v>30363.8</v>
      </c>
      <c r="R333" s="245">
        <f t="shared" si="653"/>
        <v>30893.1</v>
      </c>
      <c r="S333" s="245">
        <f t="shared" si="653"/>
        <v>31779.25</v>
      </c>
      <c r="T333" s="245">
        <f t="shared" si="653"/>
        <v>33675.1</v>
      </c>
      <c r="U333" s="245">
        <f t="shared" si="653"/>
        <v>33872.050000000003</v>
      </c>
      <c r="V333" s="245">
        <f t="shared" si="653"/>
        <v>33956.100000000006</v>
      </c>
      <c r="W333" s="245">
        <f t="shared" si="653"/>
        <v>36124.550000000003</v>
      </c>
      <c r="X333" s="245">
        <f t="shared" si="653"/>
        <v>39529.449999999997</v>
      </c>
      <c r="Y333" s="245">
        <f t="shared" si="653"/>
        <v>40889.75</v>
      </c>
      <c r="Z333" s="245">
        <f>AVERAGE(Y332:Z332)</f>
        <v>42455.8</v>
      </c>
      <c r="AA333" s="245">
        <f>AVERAGE(Z332:AA332)</f>
        <v>45402.5</v>
      </c>
      <c r="AB333" s="245">
        <f>AVERAGE(AA332:AB332)</f>
        <v>48902.5</v>
      </c>
      <c r="AC333" s="245">
        <f t="shared" ref="AC333:AD333" si="654">AVERAGE(AB332:AC332)</f>
        <v>52902.5</v>
      </c>
      <c r="AD333" s="245">
        <f t="shared" si="654"/>
        <v>56902.5</v>
      </c>
      <c r="AF333" s="580">
        <f t="shared" ref="AF333:BK333" si="655">AVERAGE(AE332:AF332)</f>
        <v>0</v>
      </c>
      <c r="AG333" s="580">
        <f t="shared" si="655"/>
        <v>0</v>
      </c>
      <c r="AH333" s="580">
        <f t="shared" si="655"/>
        <v>0</v>
      </c>
      <c r="AI333" s="580">
        <f t="shared" si="655"/>
        <v>0</v>
      </c>
      <c r="AJ333" s="580">
        <f t="shared" si="655"/>
        <v>0</v>
      </c>
      <c r="AK333" s="580">
        <f t="shared" si="655"/>
        <v>0</v>
      </c>
      <c r="AL333" s="580">
        <f t="shared" si="655"/>
        <v>0</v>
      </c>
      <c r="AM333" s="580">
        <f t="shared" si="655"/>
        <v>0</v>
      </c>
      <c r="AN333" s="580">
        <f t="shared" si="655"/>
        <v>0</v>
      </c>
      <c r="AO333" s="580">
        <f t="shared" si="655"/>
        <v>0</v>
      </c>
      <c r="AP333" s="580">
        <f t="shared" si="655"/>
        <v>0</v>
      </c>
      <c r="AQ333" s="580">
        <f t="shared" si="655"/>
        <v>0</v>
      </c>
      <c r="AR333" s="580">
        <f t="shared" si="655"/>
        <v>0</v>
      </c>
      <c r="AS333" s="580">
        <f t="shared" si="655"/>
        <v>0</v>
      </c>
      <c r="AT333" s="580">
        <f t="shared" si="655"/>
        <v>0</v>
      </c>
      <c r="AU333" s="580">
        <f t="shared" si="655"/>
        <v>0</v>
      </c>
      <c r="AV333" s="580">
        <f t="shared" si="655"/>
        <v>0</v>
      </c>
      <c r="AW333" s="580">
        <f t="shared" si="655"/>
        <v>0</v>
      </c>
      <c r="AX333" s="580">
        <f t="shared" si="655"/>
        <v>0</v>
      </c>
      <c r="AY333" s="580">
        <f t="shared" si="655"/>
        <v>0</v>
      </c>
      <c r="AZ333" s="580">
        <f t="shared" si="655"/>
        <v>0</v>
      </c>
      <c r="BA333" s="580">
        <f t="shared" si="655"/>
        <v>0</v>
      </c>
      <c r="BB333" s="580">
        <f t="shared" si="655"/>
        <v>0</v>
      </c>
      <c r="BC333" s="580">
        <f t="shared" si="655"/>
        <v>0</v>
      </c>
      <c r="BD333" s="580">
        <f t="shared" si="655"/>
        <v>0</v>
      </c>
      <c r="BE333" s="580">
        <f t="shared" si="655"/>
        <v>0</v>
      </c>
      <c r="BF333" s="580">
        <f t="shared" si="655"/>
        <v>0</v>
      </c>
      <c r="BG333" s="580">
        <f t="shared" si="655"/>
        <v>0</v>
      </c>
      <c r="BH333" s="580">
        <f t="shared" si="655"/>
        <v>0</v>
      </c>
      <c r="BI333" s="580">
        <f t="shared" si="655"/>
        <v>0</v>
      </c>
      <c r="BJ333" s="580">
        <f t="shared" si="655"/>
        <v>0</v>
      </c>
      <c r="BK333" s="580">
        <f t="shared" si="655"/>
        <v>0</v>
      </c>
    </row>
    <row r="334" spans="1:63" s="245" customFormat="1">
      <c r="A334" s="243"/>
      <c r="B334" s="243" t="s">
        <v>1530</v>
      </c>
      <c r="C334" s="243" t="s">
        <v>1531</v>
      </c>
      <c r="D334" s="243"/>
      <c r="F334" s="245">
        <f t="shared" ref="F334:X334" si="656">F173-F161</f>
        <v>0</v>
      </c>
      <c r="G334" s="245">
        <f t="shared" si="656"/>
        <v>0</v>
      </c>
      <c r="H334" s="245">
        <f t="shared" si="656"/>
        <v>0</v>
      </c>
      <c r="I334" s="245">
        <f t="shared" si="656"/>
        <v>0</v>
      </c>
      <c r="J334" s="245">
        <f t="shared" si="656"/>
        <v>0</v>
      </c>
      <c r="K334" s="245">
        <f t="shared" si="656"/>
        <v>0</v>
      </c>
      <c r="L334" s="245">
        <f t="shared" si="656"/>
        <v>0</v>
      </c>
      <c r="M334" s="245">
        <f t="shared" si="656"/>
        <v>1844.1673000000014</v>
      </c>
      <c r="N334" s="245">
        <f t="shared" si="656"/>
        <v>-3523.9149999999954</v>
      </c>
      <c r="O334" s="245">
        <f t="shared" si="656"/>
        <v>-3129.0757999999951</v>
      </c>
      <c r="P334" s="245">
        <f t="shared" si="656"/>
        <v>-7707.5000000000018</v>
      </c>
      <c r="Q334" s="245">
        <f t="shared" si="656"/>
        <v>-5976.1000000000085</v>
      </c>
      <c r="R334" s="245">
        <f t="shared" si="656"/>
        <v>-2870.1999999999957</v>
      </c>
      <c r="S334" s="245">
        <f t="shared" si="656"/>
        <v>-2988.1999999999994</v>
      </c>
      <c r="T334" s="245">
        <f t="shared" si="656"/>
        <v>-13754.299999999994</v>
      </c>
      <c r="U334" s="245">
        <f t="shared" si="656"/>
        <v>-16391.800000000003</v>
      </c>
      <c r="V334" s="245">
        <f t="shared" si="656"/>
        <v>-18730.300000000007</v>
      </c>
      <c r="W334" s="245">
        <f t="shared" si="656"/>
        <v>-9989.6000000000058</v>
      </c>
      <c r="X334" s="245">
        <f t="shared" si="656"/>
        <v>-13862.7</v>
      </c>
      <c r="Y334" s="245">
        <f>Y173-Y161</f>
        <v>-9661.3200000000106</v>
      </c>
      <c r="Z334" s="245">
        <f>Z173-Z161</f>
        <v>1922.7999999999956</v>
      </c>
      <c r="AA334" s="245">
        <f>AA173-AA161</f>
        <v>-18707.360393221654</v>
      </c>
      <c r="AB334" s="245">
        <f>AB173-AB161</f>
        <v>-13638.039016236478</v>
      </c>
      <c r="AC334" s="245">
        <f t="shared" ref="AC334:AD334" si="657">AC173-AC161</f>
        <v>-8917.3537245583939</v>
      </c>
      <c r="AD334" s="245">
        <f t="shared" si="657"/>
        <v>-3183.4409180697548</v>
      </c>
      <c r="AF334" s="580">
        <f t="shared" ref="AF334:BK334" si="658">AF173-AF161</f>
        <v>0</v>
      </c>
      <c r="AG334" s="580">
        <f t="shared" si="658"/>
        <v>0</v>
      </c>
      <c r="AH334" s="580">
        <f t="shared" si="658"/>
        <v>0</v>
      </c>
      <c r="AI334" s="580">
        <f t="shared" si="658"/>
        <v>0</v>
      </c>
      <c r="AJ334" s="580">
        <f t="shared" si="658"/>
        <v>0</v>
      </c>
      <c r="AK334" s="580">
        <f t="shared" si="658"/>
        <v>0</v>
      </c>
      <c r="AL334" s="580">
        <f t="shared" si="658"/>
        <v>0</v>
      </c>
      <c r="AM334" s="580">
        <f t="shared" si="658"/>
        <v>0</v>
      </c>
      <c r="AN334" s="580">
        <f t="shared" si="658"/>
        <v>0</v>
      </c>
      <c r="AO334" s="580">
        <f t="shared" si="658"/>
        <v>0</v>
      </c>
      <c r="AP334" s="580">
        <f t="shared" si="658"/>
        <v>0</v>
      </c>
      <c r="AQ334" s="580">
        <f t="shared" si="658"/>
        <v>0</v>
      </c>
      <c r="AR334" s="580">
        <f t="shared" si="658"/>
        <v>0</v>
      </c>
      <c r="AS334" s="580">
        <f t="shared" si="658"/>
        <v>0</v>
      </c>
      <c r="AT334" s="580">
        <f t="shared" si="658"/>
        <v>0</v>
      </c>
      <c r="AU334" s="580">
        <f t="shared" si="658"/>
        <v>0</v>
      </c>
      <c r="AV334" s="580">
        <f t="shared" si="658"/>
        <v>0</v>
      </c>
      <c r="AW334" s="580">
        <f t="shared" si="658"/>
        <v>0</v>
      </c>
      <c r="AX334" s="580">
        <f t="shared" si="658"/>
        <v>0</v>
      </c>
      <c r="AY334" s="580">
        <f t="shared" si="658"/>
        <v>0</v>
      </c>
      <c r="AZ334" s="580">
        <f t="shared" si="658"/>
        <v>0</v>
      </c>
      <c r="BA334" s="580">
        <f t="shared" si="658"/>
        <v>0</v>
      </c>
      <c r="BB334" s="580">
        <f t="shared" si="658"/>
        <v>0</v>
      </c>
      <c r="BC334" s="580">
        <f t="shared" si="658"/>
        <v>0</v>
      </c>
      <c r="BD334" s="580">
        <f t="shared" si="658"/>
        <v>0</v>
      </c>
      <c r="BE334" s="580">
        <f t="shared" si="658"/>
        <v>0</v>
      </c>
      <c r="BF334" s="580">
        <f t="shared" si="658"/>
        <v>0</v>
      </c>
      <c r="BG334" s="580">
        <f t="shared" si="658"/>
        <v>0</v>
      </c>
      <c r="BH334" s="580">
        <f t="shared" si="658"/>
        <v>0</v>
      </c>
      <c r="BI334" s="580">
        <f t="shared" si="658"/>
        <v>0</v>
      </c>
      <c r="BJ334" s="580">
        <f t="shared" si="658"/>
        <v>0</v>
      </c>
      <c r="BK334" s="580">
        <f t="shared" si="658"/>
        <v>0</v>
      </c>
    </row>
    <row r="335" spans="1:63" s="245" customFormat="1">
      <c r="A335" s="243"/>
      <c r="B335" s="243" t="s">
        <v>1532</v>
      </c>
      <c r="C335" s="243" t="s">
        <v>732</v>
      </c>
      <c r="D335" s="243"/>
      <c r="F335" s="245">
        <f t="shared" ref="F335:X335" si="659">F339+F166</f>
        <v>0</v>
      </c>
      <c r="G335" s="245">
        <f t="shared" si="659"/>
        <v>0</v>
      </c>
      <c r="H335" s="245">
        <f t="shared" si="659"/>
        <v>0</v>
      </c>
      <c r="I335" s="245">
        <f t="shared" si="659"/>
        <v>0</v>
      </c>
      <c r="J335" s="245">
        <f t="shared" si="659"/>
        <v>0</v>
      </c>
      <c r="K335" s="245">
        <f t="shared" si="659"/>
        <v>0</v>
      </c>
      <c r="L335" s="245">
        <f t="shared" si="659"/>
        <v>0</v>
      </c>
      <c r="M335" s="245">
        <f t="shared" si="659"/>
        <v>61764.360163999998</v>
      </c>
      <c r="N335" s="245">
        <f t="shared" si="659"/>
        <v>71307.383099999992</v>
      </c>
      <c r="O335" s="245">
        <f t="shared" si="659"/>
        <v>82777.047900000005</v>
      </c>
      <c r="P335" s="245">
        <f t="shared" si="659"/>
        <v>98527.235100000005</v>
      </c>
      <c r="Q335" s="245">
        <f t="shared" si="659"/>
        <v>115491.8351</v>
      </c>
      <c r="R335" s="245">
        <f t="shared" si="659"/>
        <v>45389.535099999994</v>
      </c>
      <c r="S335" s="245">
        <f t="shared" si="659"/>
        <v>52935.535100000008</v>
      </c>
      <c r="T335" s="245">
        <f t="shared" si="659"/>
        <v>85435.735099999991</v>
      </c>
      <c r="U335" s="245">
        <f t="shared" si="659"/>
        <v>92203.570200000002</v>
      </c>
      <c r="V335" s="245">
        <f t="shared" si="659"/>
        <v>110810.67020000001</v>
      </c>
      <c r="W335" s="245">
        <f t="shared" si="659"/>
        <v>124786.17020000001</v>
      </c>
      <c r="X335" s="245">
        <f t="shared" si="659"/>
        <v>147475.97019999998</v>
      </c>
      <c r="Y335" s="245">
        <f>Y339+Y166</f>
        <v>155622.80000000005</v>
      </c>
      <c r="Z335" s="245">
        <f>Z339+Z166</f>
        <v>156727.57019999999</v>
      </c>
      <c r="AA335" s="245">
        <f>AA339+AA166</f>
        <v>191471.4400372901</v>
      </c>
      <c r="AB335" s="245">
        <f>AB339+AB166</f>
        <v>207969.5158604696</v>
      </c>
      <c r="AC335" s="245">
        <f t="shared" ref="AC335:AD335" si="660">AC339+AC166</f>
        <v>233888.64927253098</v>
      </c>
      <c r="AD335" s="245">
        <f t="shared" si="660"/>
        <v>288799.1571805749</v>
      </c>
      <c r="AF335" s="580">
        <f t="shared" ref="AF335:BK335" si="661">AF339+AF166</f>
        <v>0</v>
      </c>
      <c r="AG335" s="580">
        <f t="shared" si="661"/>
        <v>0</v>
      </c>
      <c r="AH335" s="580">
        <f t="shared" si="661"/>
        <v>0</v>
      </c>
      <c r="AI335" s="580">
        <f t="shared" si="661"/>
        <v>0</v>
      </c>
      <c r="AJ335" s="580">
        <f t="shared" si="661"/>
        <v>0</v>
      </c>
      <c r="AK335" s="580">
        <f t="shared" si="661"/>
        <v>0</v>
      </c>
      <c r="AL335" s="580">
        <f t="shared" si="661"/>
        <v>0</v>
      </c>
      <c r="AM335" s="580">
        <f t="shared" si="661"/>
        <v>0</v>
      </c>
      <c r="AN335" s="580">
        <f t="shared" si="661"/>
        <v>0</v>
      </c>
      <c r="AO335" s="580">
        <f t="shared" si="661"/>
        <v>0</v>
      </c>
      <c r="AP335" s="580">
        <f t="shared" si="661"/>
        <v>0</v>
      </c>
      <c r="AQ335" s="580">
        <f t="shared" si="661"/>
        <v>0</v>
      </c>
      <c r="AR335" s="580">
        <f t="shared" si="661"/>
        <v>0</v>
      </c>
      <c r="AS335" s="580">
        <f t="shared" si="661"/>
        <v>0</v>
      </c>
      <c r="AT335" s="580">
        <f t="shared" si="661"/>
        <v>0</v>
      </c>
      <c r="AU335" s="580">
        <f t="shared" si="661"/>
        <v>0</v>
      </c>
      <c r="AV335" s="580">
        <f t="shared" si="661"/>
        <v>0</v>
      </c>
      <c r="AW335" s="580">
        <f t="shared" si="661"/>
        <v>0</v>
      </c>
      <c r="AX335" s="580">
        <f t="shared" si="661"/>
        <v>0</v>
      </c>
      <c r="AY335" s="580">
        <f t="shared" si="661"/>
        <v>0</v>
      </c>
      <c r="AZ335" s="580">
        <f t="shared" si="661"/>
        <v>0</v>
      </c>
      <c r="BA335" s="580">
        <f t="shared" si="661"/>
        <v>0</v>
      </c>
      <c r="BB335" s="580">
        <f t="shared" si="661"/>
        <v>0</v>
      </c>
      <c r="BC335" s="580">
        <f t="shared" si="661"/>
        <v>0</v>
      </c>
      <c r="BD335" s="580">
        <f t="shared" si="661"/>
        <v>0</v>
      </c>
      <c r="BE335" s="580">
        <f t="shared" si="661"/>
        <v>0</v>
      </c>
      <c r="BF335" s="580">
        <f t="shared" si="661"/>
        <v>0</v>
      </c>
      <c r="BG335" s="580">
        <f t="shared" si="661"/>
        <v>0</v>
      </c>
      <c r="BH335" s="580">
        <f t="shared" si="661"/>
        <v>0</v>
      </c>
      <c r="BI335" s="580">
        <f t="shared" si="661"/>
        <v>0</v>
      </c>
      <c r="BJ335" s="580">
        <f t="shared" si="661"/>
        <v>0</v>
      </c>
      <c r="BK335" s="580">
        <f t="shared" si="661"/>
        <v>0</v>
      </c>
    </row>
    <row r="336" spans="1:63" s="245" customFormat="1">
      <c r="A336" s="243"/>
      <c r="B336" s="243" t="s">
        <v>1533</v>
      </c>
      <c r="C336" s="243" t="s">
        <v>1534</v>
      </c>
      <c r="D336" s="243"/>
      <c r="F336" s="245">
        <f t="shared" ref="F336:Y336" si="662">AVERAGE(E335:F335)</f>
        <v>0</v>
      </c>
      <c r="G336" s="245">
        <f t="shared" si="662"/>
        <v>0</v>
      </c>
      <c r="H336" s="245">
        <f t="shared" si="662"/>
        <v>0</v>
      </c>
      <c r="I336" s="245">
        <f t="shared" si="662"/>
        <v>0</v>
      </c>
      <c r="J336" s="245">
        <f t="shared" si="662"/>
        <v>0</v>
      </c>
      <c r="K336" s="245">
        <f t="shared" si="662"/>
        <v>0</v>
      </c>
      <c r="L336" s="245">
        <f t="shared" si="662"/>
        <v>0</v>
      </c>
      <c r="M336" s="245">
        <f t="shared" si="662"/>
        <v>30882.180081999999</v>
      </c>
      <c r="N336" s="245">
        <f t="shared" si="662"/>
        <v>66535.871631999995</v>
      </c>
      <c r="O336" s="245">
        <f t="shared" si="662"/>
        <v>77042.215499999991</v>
      </c>
      <c r="P336" s="245">
        <f t="shared" si="662"/>
        <v>90652.141499999998</v>
      </c>
      <c r="Q336" s="245">
        <f t="shared" si="662"/>
        <v>107009.53510000001</v>
      </c>
      <c r="R336" s="245">
        <f t="shared" si="662"/>
        <v>80440.685100000002</v>
      </c>
      <c r="S336" s="245">
        <f t="shared" si="662"/>
        <v>49162.535100000001</v>
      </c>
      <c r="T336" s="245">
        <f t="shared" si="662"/>
        <v>69185.6351</v>
      </c>
      <c r="U336" s="245">
        <f t="shared" si="662"/>
        <v>88819.652650000004</v>
      </c>
      <c r="V336" s="245">
        <f t="shared" si="662"/>
        <v>101507.1202</v>
      </c>
      <c r="W336" s="245">
        <f t="shared" si="662"/>
        <v>117798.42020000001</v>
      </c>
      <c r="X336" s="245">
        <f t="shared" si="662"/>
        <v>136131.07019999999</v>
      </c>
      <c r="Y336" s="245">
        <f t="shared" si="662"/>
        <v>151549.38510000001</v>
      </c>
      <c r="Z336" s="245">
        <f>AVERAGE(Y335:Z335)</f>
        <v>156175.1851</v>
      </c>
      <c r="AA336" s="245">
        <f>AVERAGE(Z335:AA335)</f>
        <v>174099.50511864503</v>
      </c>
      <c r="AB336" s="245">
        <f>AVERAGE(AA335:AB335)</f>
        <v>199720.47794887985</v>
      </c>
      <c r="AC336" s="245">
        <f t="shared" ref="AC336:AD336" si="663">AVERAGE(AB335:AC335)</f>
        <v>220929.08256650029</v>
      </c>
      <c r="AD336" s="245">
        <f t="shared" si="663"/>
        <v>261343.90322655294</v>
      </c>
      <c r="AF336" s="580">
        <f t="shared" ref="AF336:BK336" si="664">AVERAGE(AE335:AF335)</f>
        <v>0</v>
      </c>
      <c r="AG336" s="580">
        <f t="shared" si="664"/>
        <v>0</v>
      </c>
      <c r="AH336" s="580">
        <f t="shared" si="664"/>
        <v>0</v>
      </c>
      <c r="AI336" s="580">
        <f t="shared" si="664"/>
        <v>0</v>
      </c>
      <c r="AJ336" s="580">
        <f t="shared" si="664"/>
        <v>0</v>
      </c>
      <c r="AK336" s="580">
        <f t="shared" si="664"/>
        <v>0</v>
      </c>
      <c r="AL336" s="580">
        <f t="shared" si="664"/>
        <v>0</v>
      </c>
      <c r="AM336" s="580">
        <f t="shared" si="664"/>
        <v>0</v>
      </c>
      <c r="AN336" s="580">
        <f t="shared" si="664"/>
        <v>0</v>
      </c>
      <c r="AO336" s="580">
        <f t="shared" si="664"/>
        <v>0</v>
      </c>
      <c r="AP336" s="580">
        <f t="shared" si="664"/>
        <v>0</v>
      </c>
      <c r="AQ336" s="580">
        <f t="shared" si="664"/>
        <v>0</v>
      </c>
      <c r="AR336" s="580">
        <f t="shared" si="664"/>
        <v>0</v>
      </c>
      <c r="AS336" s="580">
        <f t="shared" si="664"/>
        <v>0</v>
      </c>
      <c r="AT336" s="580">
        <f t="shared" si="664"/>
        <v>0</v>
      </c>
      <c r="AU336" s="580">
        <f t="shared" si="664"/>
        <v>0</v>
      </c>
      <c r="AV336" s="580">
        <f t="shared" si="664"/>
        <v>0</v>
      </c>
      <c r="AW336" s="580">
        <f t="shared" si="664"/>
        <v>0</v>
      </c>
      <c r="AX336" s="580">
        <f t="shared" si="664"/>
        <v>0</v>
      </c>
      <c r="AY336" s="580">
        <f t="shared" si="664"/>
        <v>0</v>
      </c>
      <c r="AZ336" s="580">
        <f t="shared" si="664"/>
        <v>0</v>
      </c>
      <c r="BA336" s="580">
        <f t="shared" si="664"/>
        <v>0</v>
      </c>
      <c r="BB336" s="580">
        <f t="shared" si="664"/>
        <v>0</v>
      </c>
      <c r="BC336" s="580">
        <f t="shared" si="664"/>
        <v>0</v>
      </c>
      <c r="BD336" s="580">
        <f t="shared" si="664"/>
        <v>0</v>
      </c>
      <c r="BE336" s="580">
        <f t="shared" si="664"/>
        <v>0</v>
      </c>
      <c r="BF336" s="580">
        <f t="shared" si="664"/>
        <v>0</v>
      </c>
      <c r="BG336" s="580">
        <f t="shared" si="664"/>
        <v>0</v>
      </c>
      <c r="BH336" s="580">
        <f t="shared" si="664"/>
        <v>0</v>
      </c>
      <c r="BI336" s="580">
        <f t="shared" si="664"/>
        <v>0</v>
      </c>
      <c r="BJ336" s="580">
        <f t="shared" si="664"/>
        <v>0</v>
      </c>
      <c r="BK336" s="580">
        <f t="shared" si="664"/>
        <v>0</v>
      </c>
    </row>
    <row r="337" spans="1:63" s="245" customFormat="1">
      <c r="A337" s="243"/>
      <c r="B337" s="243" t="s">
        <v>1535</v>
      </c>
      <c r="C337" s="243" t="s">
        <v>1536</v>
      </c>
      <c r="D337" s="243"/>
      <c r="F337" s="245">
        <f t="shared" ref="F337:X337" si="665">F119-F117-F174</f>
        <v>0</v>
      </c>
      <c r="G337" s="245">
        <f t="shared" si="665"/>
        <v>0</v>
      </c>
      <c r="H337" s="245">
        <f t="shared" si="665"/>
        <v>0</v>
      </c>
      <c r="I337" s="245">
        <f t="shared" si="665"/>
        <v>0</v>
      </c>
      <c r="J337" s="245">
        <f t="shared" si="665"/>
        <v>0</v>
      </c>
      <c r="K337" s="245">
        <f t="shared" si="665"/>
        <v>0</v>
      </c>
      <c r="L337" s="245">
        <f t="shared" si="665"/>
        <v>0</v>
      </c>
      <c r="M337" s="245">
        <f t="shared" si="665"/>
        <v>32231.056464000001</v>
      </c>
      <c r="N337" s="245">
        <f t="shared" si="665"/>
        <v>36761.255099999995</v>
      </c>
      <c r="O337" s="245">
        <f t="shared" si="665"/>
        <v>41168.495099999993</v>
      </c>
      <c r="P337" s="245">
        <f t="shared" si="665"/>
        <v>47532.335099999997</v>
      </c>
      <c r="Q337" s="245">
        <f t="shared" si="665"/>
        <v>55168.235099999998</v>
      </c>
      <c r="R337" s="245">
        <f t="shared" si="665"/>
        <v>12977.6351</v>
      </c>
      <c r="S337" s="245">
        <f t="shared" si="665"/>
        <v>12622.635100000003</v>
      </c>
      <c r="T337" s="245">
        <f t="shared" si="665"/>
        <v>29283.535100000001</v>
      </c>
      <c r="U337" s="245">
        <f t="shared" si="665"/>
        <v>49102.1702</v>
      </c>
      <c r="V337" s="245">
        <f t="shared" si="665"/>
        <v>60410.6702</v>
      </c>
      <c r="W337" s="245">
        <f t="shared" si="665"/>
        <v>79019.470200000011</v>
      </c>
      <c r="X337" s="245">
        <f t="shared" si="665"/>
        <v>96080.170199999993</v>
      </c>
      <c r="Y337" s="245">
        <f>Y119-Y117-Y174</f>
        <v>106921.10000000002</v>
      </c>
      <c r="Z337" s="245">
        <f>Z119-Z117-Z174</f>
        <v>122916.57019999999</v>
      </c>
      <c r="AA337" s="245">
        <f>AA119-AA117-AA174</f>
        <v>139185.80832899996</v>
      </c>
      <c r="AB337" s="245">
        <f>AB119-AB117-AB174</f>
        <v>157780.23231316629</v>
      </c>
      <c r="AC337" s="245">
        <f t="shared" ref="AC337:AD337" si="666">AC119-AC117-AC174</f>
        <v>183335.24252160639</v>
      </c>
      <c r="AD337" s="245">
        <f t="shared" si="666"/>
        <v>237960.99959641931</v>
      </c>
      <c r="AF337" s="580">
        <f t="shared" ref="AF337:BK337" si="667">AF119-AF117-AF174</f>
        <v>0</v>
      </c>
      <c r="AG337" s="580">
        <f t="shared" si="667"/>
        <v>0</v>
      </c>
      <c r="AH337" s="580">
        <f t="shared" si="667"/>
        <v>0</v>
      </c>
      <c r="AI337" s="580">
        <f t="shared" si="667"/>
        <v>0</v>
      </c>
      <c r="AJ337" s="580">
        <f t="shared" si="667"/>
        <v>0</v>
      </c>
      <c r="AK337" s="580">
        <f t="shared" si="667"/>
        <v>0</v>
      </c>
      <c r="AL337" s="580">
        <f t="shared" si="667"/>
        <v>0</v>
      </c>
      <c r="AM337" s="580">
        <f t="shared" si="667"/>
        <v>0</v>
      </c>
      <c r="AN337" s="580">
        <f t="shared" si="667"/>
        <v>0</v>
      </c>
      <c r="AO337" s="580">
        <f t="shared" si="667"/>
        <v>0</v>
      </c>
      <c r="AP337" s="580">
        <f t="shared" si="667"/>
        <v>0</v>
      </c>
      <c r="AQ337" s="580">
        <f t="shared" si="667"/>
        <v>0</v>
      </c>
      <c r="AR337" s="580">
        <f t="shared" si="667"/>
        <v>0</v>
      </c>
      <c r="AS337" s="580">
        <f t="shared" si="667"/>
        <v>0</v>
      </c>
      <c r="AT337" s="580">
        <f t="shared" si="667"/>
        <v>0</v>
      </c>
      <c r="AU337" s="580">
        <f t="shared" si="667"/>
        <v>0</v>
      </c>
      <c r="AV337" s="580">
        <f t="shared" si="667"/>
        <v>0</v>
      </c>
      <c r="AW337" s="580">
        <f t="shared" si="667"/>
        <v>0</v>
      </c>
      <c r="AX337" s="580">
        <f t="shared" si="667"/>
        <v>0</v>
      </c>
      <c r="AY337" s="580">
        <f t="shared" si="667"/>
        <v>0</v>
      </c>
      <c r="AZ337" s="580">
        <f t="shared" si="667"/>
        <v>0</v>
      </c>
      <c r="BA337" s="580">
        <f t="shared" si="667"/>
        <v>0</v>
      </c>
      <c r="BB337" s="580">
        <f t="shared" si="667"/>
        <v>0</v>
      </c>
      <c r="BC337" s="580">
        <f t="shared" si="667"/>
        <v>0</v>
      </c>
      <c r="BD337" s="580">
        <f t="shared" si="667"/>
        <v>0</v>
      </c>
      <c r="BE337" s="580">
        <f t="shared" si="667"/>
        <v>0</v>
      </c>
      <c r="BF337" s="580">
        <f t="shared" si="667"/>
        <v>0</v>
      </c>
      <c r="BG337" s="580">
        <f t="shared" si="667"/>
        <v>0</v>
      </c>
      <c r="BH337" s="580">
        <f t="shared" si="667"/>
        <v>0</v>
      </c>
      <c r="BI337" s="580">
        <f t="shared" si="667"/>
        <v>0</v>
      </c>
      <c r="BJ337" s="580">
        <f t="shared" si="667"/>
        <v>0</v>
      </c>
      <c r="BK337" s="580">
        <f t="shared" si="667"/>
        <v>0</v>
      </c>
    </row>
    <row r="338" spans="1:63" s="245" customFormat="1">
      <c r="A338" s="243"/>
      <c r="B338" s="243" t="s">
        <v>1537</v>
      </c>
      <c r="C338" s="243" t="s">
        <v>1538</v>
      </c>
      <c r="D338" s="243"/>
      <c r="F338" s="245">
        <f t="shared" ref="F338:Y338" si="668">AVERAGE(E337:F337)</f>
        <v>0</v>
      </c>
      <c r="G338" s="245">
        <f t="shared" si="668"/>
        <v>0</v>
      </c>
      <c r="H338" s="245">
        <f t="shared" si="668"/>
        <v>0</v>
      </c>
      <c r="I338" s="245">
        <f t="shared" si="668"/>
        <v>0</v>
      </c>
      <c r="J338" s="245">
        <f t="shared" si="668"/>
        <v>0</v>
      </c>
      <c r="K338" s="245">
        <f t="shared" si="668"/>
        <v>0</v>
      </c>
      <c r="L338" s="245">
        <f t="shared" si="668"/>
        <v>0</v>
      </c>
      <c r="M338" s="245">
        <f t="shared" si="668"/>
        <v>16115.528232000001</v>
      </c>
      <c r="N338" s="245">
        <f t="shared" si="668"/>
        <v>34496.155782000002</v>
      </c>
      <c r="O338" s="245">
        <f t="shared" si="668"/>
        <v>38964.87509999999</v>
      </c>
      <c r="P338" s="245">
        <f t="shared" si="668"/>
        <v>44350.415099999998</v>
      </c>
      <c r="Q338" s="245">
        <f t="shared" si="668"/>
        <v>51350.285099999994</v>
      </c>
      <c r="R338" s="245">
        <f t="shared" si="668"/>
        <v>34072.935100000002</v>
      </c>
      <c r="S338" s="245">
        <f t="shared" si="668"/>
        <v>12800.135100000001</v>
      </c>
      <c r="T338" s="245">
        <f t="shared" si="668"/>
        <v>20953.085100000004</v>
      </c>
      <c r="U338" s="245">
        <f t="shared" si="668"/>
        <v>39192.852650000001</v>
      </c>
      <c r="V338" s="245">
        <f t="shared" si="668"/>
        <v>54756.4202</v>
      </c>
      <c r="W338" s="245">
        <f t="shared" si="668"/>
        <v>69715.070200000002</v>
      </c>
      <c r="X338" s="245">
        <f t="shared" si="668"/>
        <v>87549.820200000002</v>
      </c>
      <c r="Y338" s="245">
        <f t="shared" si="668"/>
        <v>101500.63510000001</v>
      </c>
      <c r="Z338" s="245">
        <f>AVERAGE(Y337:Z337)</f>
        <v>114918.8351</v>
      </c>
      <c r="AA338" s="245">
        <f>AVERAGE(Z337:AA337)</f>
        <v>131051.18926449998</v>
      </c>
      <c r="AB338" s="245">
        <f>AVERAGE(AA337:AB337)</f>
        <v>148483.02032108314</v>
      </c>
      <c r="AC338" s="245">
        <f t="shared" ref="AC338:AD338" si="669">AVERAGE(AB337:AC337)</f>
        <v>170557.73741738632</v>
      </c>
      <c r="AD338" s="245">
        <f t="shared" si="669"/>
        <v>210648.12105901283</v>
      </c>
      <c r="AF338" s="580">
        <f t="shared" ref="AF338:BK338" si="670">AVERAGE(AE337:AF337)</f>
        <v>0</v>
      </c>
      <c r="AG338" s="580">
        <f t="shared" si="670"/>
        <v>0</v>
      </c>
      <c r="AH338" s="580">
        <f t="shared" si="670"/>
        <v>0</v>
      </c>
      <c r="AI338" s="580">
        <f t="shared" si="670"/>
        <v>0</v>
      </c>
      <c r="AJ338" s="580">
        <f t="shared" si="670"/>
        <v>0</v>
      </c>
      <c r="AK338" s="580">
        <f t="shared" si="670"/>
        <v>0</v>
      </c>
      <c r="AL338" s="580">
        <f t="shared" si="670"/>
        <v>0</v>
      </c>
      <c r="AM338" s="580">
        <f t="shared" si="670"/>
        <v>0</v>
      </c>
      <c r="AN338" s="580">
        <f t="shared" si="670"/>
        <v>0</v>
      </c>
      <c r="AO338" s="580">
        <f t="shared" si="670"/>
        <v>0</v>
      </c>
      <c r="AP338" s="580">
        <f t="shared" si="670"/>
        <v>0</v>
      </c>
      <c r="AQ338" s="580">
        <f t="shared" si="670"/>
        <v>0</v>
      </c>
      <c r="AR338" s="580">
        <f t="shared" si="670"/>
        <v>0</v>
      </c>
      <c r="AS338" s="580">
        <f t="shared" si="670"/>
        <v>0</v>
      </c>
      <c r="AT338" s="580">
        <f t="shared" si="670"/>
        <v>0</v>
      </c>
      <c r="AU338" s="580">
        <f t="shared" si="670"/>
        <v>0</v>
      </c>
      <c r="AV338" s="580">
        <f t="shared" si="670"/>
        <v>0</v>
      </c>
      <c r="AW338" s="580">
        <f t="shared" si="670"/>
        <v>0</v>
      </c>
      <c r="AX338" s="580">
        <f t="shared" si="670"/>
        <v>0</v>
      </c>
      <c r="AY338" s="580">
        <f t="shared" si="670"/>
        <v>0</v>
      </c>
      <c r="AZ338" s="580">
        <f t="shared" si="670"/>
        <v>0</v>
      </c>
      <c r="BA338" s="580">
        <f t="shared" si="670"/>
        <v>0</v>
      </c>
      <c r="BB338" s="580">
        <f t="shared" si="670"/>
        <v>0</v>
      </c>
      <c r="BC338" s="580">
        <f t="shared" si="670"/>
        <v>0</v>
      </c>
      <c r="BD338" s="580">
        <f t="shared" si="670"/>
        <v>0</v>
      </c>
      <c r="BE338" s="580">
        <f t="shared" si="670"/>
        <v>0</v>
      </c>
      <c r="BF338" s="580">
        <f t="shared" si="670"/>
        <v>0</v>
      </c>
      <c r="BG338" s="580">
        <f t="shared" si="670"/>
        <v>0</v>
      </c>
      <c r="BH338" s="580">
        <f t="shared" si="670"/>
        <v>0</v>
      </c>
      <c r="BI338" s="580">
        <f t="shared" si="670"/>
        <v>0</v>
      </c>
      <c r="BJ338" s="580">
        <f t="shared" si="670"/>
        <v>0</v>
      </c>
      <c r="BK338" s="580">
        <f t="shared" si="670"/>
        <v>0</v>
      </c>
    </row>
    <row r="339" spans="1:63" s="245" customFormat="1">
      <c r="A339" s="243"/>
      <c r="B339" s="243" t="s">
        <v>1539</v>
      </c>
      <c r="C339" s="243" t="s">
        <v>1540</v>
      </c>
      <c r="D339" s="243"/>
      <c r="F339" s="245">
        <f t="shared" ref="F339:X339" si="671">F337+F326+F121+F138</f>
        <v>0</v>
      </c>
      <c r="G339" s="245">
        <f t="shared" si="671"/>
        <v>0</v>
      </c>
      <c r="H339" s="245">
        <f t="shared" si="671"/>
        <v>0</v>
      </c>
      <c r="I339" s="245">
        <f t="shared" si="671"/>
        <v>0</v>
      </c>
      <c r="J339" s="245">
        <f t="shared" si="671"/>
        <v>0</v>
      </c>
      <c r="K339" s="245">
        <f t="shared" si="671"/>
        <v>0</v>
      </c>
      <c r="L339" s="245">
        <f t="shared" si="671"/>
        <v>0</v>
      </c>
      <c r="M339" s="245">
        <f t="shared" si="671"/>
        <v>42357.487463999998</v>
      </c>
      <c r="N339" s="245">
        <f t="shared" si="671"/>
        <v>48046.73109999999</v>
      </c>
      <c r="O339" s="245">
        <f t="shared" si="671"/>
        <v>54837.3851</v>
      </c>
      <c r="P339" s="245">
        <f t="shared" si="671"/>
        <v>63079.6351</v>
      </c>
      <c r="Q339" s="245">
        <f t="shared" si="671"/>
        <v>72164.235099999991</v>
      </c>
      <c r="R339" s="245">
        <f t="shared" si="671"/>
        <v>26551.235099999998</v>
      </c>
      <c r="S339" s="245">
        <f t="shared" si="671"/>
        <v>28354.535100000005</v>
      </c>
      <c r="T339" s="245">
        <f t="shared" si="671"/>
        <v>42686.035100000001</v>
      </c>
      <c r="U339" s="245">
        <f t="shared" si="671"/>
        <v>52650.770199999999</v>
      </c>
      <c r="V339" s="245">
        <f t="shared" si="671"/>
        <v>61869.870200000005</v>
      </c>
      <c r="W339" s="245">
        <f t="shared" si="671"/>
        <v>80883.170200000008</v>
      </c>
      <c r="X339" s="245">
        <f t="shared" si="671"/>
        <v>98089.37019999999</v>
      </c>
      <c r="Y339" s="245">
        <f>Y337+Y326+Y121+Y138</f>
        <v>109455.18000000002</v>
      </c>
      <c r="Z339" s="245">
        <f>Z337+Z326+Z121+Z138</f>
        <v>126423.87019999999</v>
      </c>
      <c r="AA339" s="245">
        <f>AA337+AA326+AA121+AA138</f>
        <v>142693.10832899995</v>
      </c>
      <c r="AB339" s="245">
        <f>AB337+AB326+AB121+AB138</f>
        <v>161287.53231316627</v>
      </c>
      <c r="AC339" s="245">
        <f t="shared" ref="AC339:AD339" si="672">AC337+AC326+AC121+AC138</f>
        <v>186842.54252160637</v>
      </c>
      <c r="AD339" s="245">
        <f t="shared" si="672"/>
        <v>241468.2995964193</v>
      </c>
      <c r="AF339" s="580">
        <f t="shared" ref="AF339:BK339" si="673">AF337+AF326+AF121+AF138</f>
        <v>0</v>
      </c>
      <c r="AG339" s="580">
        <f t="shared" si="673"/>
        <v>0</v>
      </c>
      <c r="AH339" s="580">
        <f t="shared" si="673"/>
        <v>0</v>
      </c>
      <c r="AI339" s="580">
        <f t="shared" si="673"/>
        <v>0</v>
      </c>
      <c r="AJ339" s="580">
        <f t="shared" si="673"/>
        <v>0</v>
      </c>
      <c r="AK339" s="580">
        <f t="shared" si="673"/>
        <v>0</v>
      </c>
      <c r="AL339" s="580">
        <f t="shared" si="673"/>
        <v>0</v>
      </c>
      <c r="AM339" s="580">
        <f t="shared" si="673"/>
        <v>0</v>
      </c>
      <c r="AN339" s="580">
        <f t="shared" si="673"/>
        <v>0</v>
      </c>
      <c r="AO339" s="580">
        <f t="shared" si="673"/>
        <v>0</v>
      </c>
      <c r="AP339" s="580">
        <f t="shared" si="673"/>
        <v>0</v>
      </c>
      <c r="AQ339" s="580">
        <f t="shared" si="673"/>
        <v>0</v>
      </c>
      <c r="AR339" s="580">
        <f t="shared" si="673"/>
        <v>0</v>
      </c>
      <c r="AS339" s="580">
        <f t="shared" si="673"/>
        <v>0</v>
      </c>
      <c r="AT339" s="580">
        <f t="shared" si="673"/>
        <v>0</v>
      </c>
      <c r="AU339" s="580">
        <f t="shared" si="673"/>
        <v>0</v>
      </c>
      <c r="AV339" s="580">
        <f t="shared" si="673"/>
        <v>0</v>
      </c>
      <c r="AW339" s="580">
        <f t="shared" si="673"/>
        <v>0</v>
      </c>
      <c r="AX339" s="580">
        <f t="shared" si="673"/>
        <v>0</v>
      </c>
      <c r="AY339" s="580">
        <f t="shared" si="673"/>
        <v>0</v>
      </c>
      <c r="AZ339" s="580">
        <f t="shared" si="673"/>
        <v>0</v>
      </c>
      <c r="BA339" s="580">
        <f t="shared" si="673"/>
        <v>0</v>
      </c>
      <c r="BB339" s="580">
        <f t="shared" si="673"/>
        <v>0</v>
      </c>
      <c r="BC339" s="580">
        <f t="shared" si="673"/>
        <v>0</v>
      </c>
      <c r="BD339" s="580">
        <f t="shared" si="673"/>
        <v>0</v>
      </c>
      <c r="BE339" s="580">
        <f t="shared" si="673"/>
        <v>0</v>
      </c>
      <c r="BF339" s="580">
        <f t="shared" si="673"/>
        <v>0</v>
      </c>
      <c r="BG339" s="580">
        <f t="shared" si="673"/>
        <v>0</v>
      </c>
      <c r="BH339" s="580">
        <f t="shared" si="673"/>
        <v>0</v>
      </c>
      <c r="BI339" s="580">
        <f t="shared" si="673"/>
        <v>0</v>
      </c>
      <c r="BJ339" s="580">
        <f t="shared" si="673"/>
        <v>0</v>
      </c>
      <c r="BK339" s="580">
        <f t="shared" si="673"/>
        <v>0</v>
      </c>
    </row>
    <row r="340" spans="1:63" s="245" customFormat="1">
      <c r="A340" s="243"/>
      <c r="B340" s="243" t="s">
        <v>1541</v>
      </c>
      <c r="C340" s="243" t="s">
        <v>1542</v>
      </c>
      <c r="D340" s="243"/>
      <c r="F340" s="245">
        <f t="shared" ref="F340:Y340" si="674">AVERAGE(E339:F339)</f>
        <v>0</v>
      </c>
      <c r="G340" s="245">
        <f t="shared" si="674"/>
        <v>0</v>
      </c>
      <c r="H340" s="245">
        <f t="shared" si="674"/>
        <v>0</v>
      </c>
      <c r="I340" s="245">
        <f t="shared" si="674"/>
        <v>0</v>
      </c>
      <c r="J340" s="245">
        <f t="shared" si="674"/>
        <v>0</v>
      </c>
      <c r="K340" s="245">
        <f t="shared" si="674"/>
        <v>0</v>
      </c>
      <c r="L340" s="245">
        <f t="shared" si="674"/>
        <v>0</v>
      </c>
      <c r="M340" s="245">
        <f t="shared" si="674"/>
        <v>21178.743731999999</v>
      </c>
      <c r="N340" s="245">
        <f t="shared" si="674"/>
        <v>45202.10928199999</v>
      </c>
      <c r="O340" s="245">
        <f t="shared" si="674"/>
        <v>51442.058099999995</v>
      </c>
      <c r="P340" s="245">
        <f t="shared" si="674"/>
        <v>58958.5101</v>
      </c>
      <c r="Q340" s="245">
        <f t="shared" si="674"/>
        <v>67621.935100000002</v>
      </c>
      <c r="R340" s="245">
        <f t="shared" si="674"/>
        <v>49357.735099999991</v>
      </c>
      <c r="S340" s="245">
        <f t="shared" si="674"/>
        <v>27452.8851</v>
      </c>
      <c r="T340" s="245">
        <f t="shared" si="674"/>
        <v>35520.285100000001</v>
      </c>
      <c r="U340" s="245">
        <f t="shared" si="674"/>
        <v>47668.402650000004</v>
      </c>
      <c r="V340" s="245">
        <f t="shared" si="674"/>
        <v>57260.320200000002</v>
      </c>
      <c r="W340" s="245">
        <f t="shared" si="674"/>
        <v>71376.520199999999</v>
      </c>
      <c r="X340" s="245">
        <f t="shared" si="674"/>
        <v>89486.270199999999</v>
      </c>
      <c r="Y340" s="245">
        <f t="shared" si="674"/>
        <v>103772.2751</v>
      </c>
      <c r="Z340" s="245">
        <f>AVERAGE(Y339:Z339)</f>
        <v>117939.5251</v>
      </c>
      <c r="AA340" s="245">
        <f>AVERAGE(Z339:AA339)</f>
        <v>134558.48926449998</v>
      </c>
      <c r="AB340" s="245">
        <f>AVERAGE(AA339:AB339)</f>
        <v>151990.32032108313</v>
      </c>
      <c r="AC340" s="245">
        <f t="shared" ref="AC340:AD340" si="675">AVERAGE(AB339:AC339)</f>
        <v>174065.03741738631</v>
      </c>
      <c r="AD340" s="245">
        <f t="shared" si="675"/>
        <v>214155.42105901282</v>
      </c>
      <c r="AF340" s="580">
        <f t="shared" ref="AF340:BK340" si="676">AVERAGE(AE339:AF339)</f>
        <v>0</v>
      </c>
      <c r="AG340" s="580">
        <f t="shared" si="676"/>
        <v>0</v>
      </c>
      <c r="AH340" s="580">
        <f t="shared" si="676"/>
        <v>0</v>
      </c>
      <c r="AI340" s="580">
        <f t="shared" si="676"/>
        <v>0</v>
      </c>
      <c r="AJ340" s="580">
        <f t="shared" si="676"/>
        <v>0</v>
      </c>
      <c r="AK340" s="580">
        <f t="shared" si="676"/>
        <v>0</v>
      </c>
      <c r="AL340" s="580">
        <f t="shared" si="676"/>
        <v>0</v>
      </c>
      <c r="AM340" s="580">
        <f t="shared" si="676"/>
        <v>0</v>
      </c>
      <c r="AN340" s="580">
        <f t="shared" si="676"/>
        <v>0</v>
      </c>
      <c r="AO340" s="580">
        <f t="shared" si="676"/>
        <v>0</v>
      </c>
      <c r="AP340" s="580">
        <f t="shared" si="676"/>
        <v>0</v>
      </c>
      <c r="AQ340" s="580">
        <f t="shared" si="676"/>
        <v>0</v>
      </c>
      <c r="AR340" s="580">
        <f t="shared" si="676"/>
        <v>0</v>
      </c>
      <c r="AS340" s="580">
        <f t="shared" si="676"/>
        <v>0</v>
      </c>
      <c r="AT340" s="580">
        <f t="shared" si="676"/>
        <v>0</v>
      </c>
      <c r="AU340" s="580">
        <f t="shared" si="676"/>
        <v>0</v>
      </c>
      <c r="AV340" s="580">
        <f t="shared" si="676"/>
        <v>0</v>
      </c>
      <c r="AW340" s="580">
        <f t="shared" si="676"/>
        <v>0</v>
      </c>
      <c r="AX340" s="580">
        <f t="shared" si="676"/>
        <v>0</v>
      </c>
      <c r="AY340" s="580">
        <f t="shared" si="676"/>
        <v>0</v>
      </c>
      <c r="AZ340" s="580">
        <f t="shared" si="676"/>
        <v>0</v>
      </c>
      <c r="BA340" s="580">
        <f t="shared" si="676"/>
        <v>0</v>
      </c>
      <c r="BB340" s="580">
        <f t="shared" si="676"/>
        <v>0</v>
      </c>
      <c r="BC340" s="580">
        <f t="shared" si="676"/>
        <v>0</v>
      </c>
      <c r="BD340" s="580">
        <f t="shared" si="676"/>
        <v>0</v>
      </c>
      <c r="BE340" s="580">
        <f t="shared" si="676"/>
        <v>0</v>
      </c>
      <c r="BF340" s="580">
        <f t="shared" si="676"/>
        <v>0</v>
      </c>
      <c r="BG340" s="580">
        <f t="shared" si="676"/>
        <v>0</v>
      </c>
      <c r="BH340" s="580">
        <f t="shared" si="676"/>
        <v>0</v>
      </c>
      <c r="BI340" s="580">
        <f t="shared" si="676"/>
        <v>0</v>
      </c>
      <c r="BJ340" s="580">
        <f t="shared" si="676"/>
        <v>0</v>
      </c>
      <c r="BK340" s="580">
        <f t="shared" si="676"/>
        <v>0</v>
      </c>
    </row>
    <row r="341" spans="1:63" s="245" customFormat="1">
      <c r="A341" s="243"/>
      <c r="B341" s="243" t="s">
        <v>1543</v>
      </c>
      <c r="C341" s="243" t="s">
        <v>1544</v>
      </c>
      <c r="D341" s="243"/>
      <c r="F341" s="245">
        <f t="shared" ref="F341:X341" si="677">F153-F117+F334</f>
        <v>0</v>
      </c>
      <c r="G341" s="245">
        <f t="shared" si="677"/>
        <v>0</v>
      </c>
      <c r="H341" s="245">
        <f t="shared" si="677"/>
        <v>0</v>
      </c>
      <c r="I341" s="245">
        <f t="shared" si="677"/>
        <v>0</v>
      </c>
      <c r="J341" s="245">
        <f t="shared" si="677"/>
        <v>0</v>
      </c>
      <c r="K341" s="245">
        <f t="shared" si="677"/>
        <v>0</v>
      </c>
      <c r="L341" s="245">
        <f t="shared" si="677"/>
        <v>0</v>
      </c>
      <c r="M341" s="245">
        <f t="shared" si="677"/>
        <v>14718.228900000004</v>
      </c>
      <c r="N341" s="245">
        <f t="shared" si="677"/>
        <v>8615.8730000000087</v>
      </c>
      <c r="O341" s="245">
        <f t="shared" si="677"/>
        <v>8061.1862000000037</v>
      </c>
      <c r="P341" s="245">
        <f t="shared" si="677"/>
        <v>3447.5000000000018</v>
      </c>
      <c r="Q341" s="245">
        <f t="shared" si="677"/>
        <v>6584.9999999999864</v>
      </c>
      <c r="R341" s="245">
        <f t="shared" si="677"/>
        <v>9862.7000000000062</v>
      </c>
      <c r="S341" s="245">
        <f t="shared" si="677"/>
        <v>12475.599999999997</v>
      </c>
      <c r="T341" s="245">
        <f t="shared" si="677"/>
        <v>1041.6000000000076</v>
      </c>
      <c r="U341" s="245">
        <f t="shared" si="677"/>
        <v>-1564.6999999999971</v>
      </c>
      <c r="V341" s="245">
        <f t="shared" si="677"/>
        <v>-3913.0000000000073</v>
      </c>
      <c r="W341" s="245">
        <f t="shared" si="677"/>
        <v>8054.6999999999935</v>
      </c>
      <c r="X341" s="245">
        <f t="shared" si="677"/>
        <v>6197.7000000000007</v>
      </c>
      <c r="Y341" s="245">
        <f>Y153-Y117+Y334</f>
        <v>9511.0799999999872</v>
      </c>
      <c r="Z341" s="245">
        <f>Z153-Z117+Z334</f>
        <v>22179.499999999996</v>
      </c>
      <c r="AA341" s="245">
        <f>AA153-AA117+AA334</f>
        <v>1476.4396067783455</v>
      </c>
      <c r="AB341" s="245">
        <f>AB153-AB117+AB334</f>
        <v>7171.4884837635218</v>
      </c>
      <c r="AC341" s="245">
        <f t="shared" ref="AC341:AD341" si="678">AC153-AC117+AC334</f>
        <v>12241.901275441604</v>
      </c>
      <c r="AD341" s="245">
        <f t="shared" si="678"/>
        <v>17992.63908193024</v>
      </c>
      <c r="AF341" s="580">
        <f t="shared" ref="AF341:BK341" si="679">AF153-AF117+AF334</f>
        <v>0</v>
      </c>
      <c r="AG341" s="580">
        <f t="shared" si="679"/>
        <v>0</v>
      </c>
      <c r="AH341" s="580">
        <f t="shared" si="679"/>
        <v>0</v>
      </c>
      <c r="AI341" s="580">
        <f t="shared" si="679"/>
        <v>0</v>
      </c>
      <c r="AJ341" s="580">
        <f t="shared" si="679"/>
        <v>0</v>
      </c>
      <c r="AK341" s="580">
        <f t="shared" si="679"/>
        <v>0</v>
      </c>
      <c r="AL341" s="580">
        <f t="shared" si="679"/>
        <v>0</v>
      </c>
      <c r="AM341" s="580">
        <f t="shared" si="679"/>
        <v>0</v>
      </c>
      <c r="AN341" s="580">
        <f t="shared" si="679"/>
        <v>0</v>
      </c>
      <c r="AO341" s="580">
        <f t="shared" si="679"/>
        <v>0</v>
      </c>
      <c r="AP341" s="580">
        <f t="shared" si="679"/>
        <v>0</v>
      </c>
      <c r="AQ341" s="580">
        <f t="shared" si="679"/>
        <v>0</v>
      </c>
      <c r="AR341" s="580">
        <f t="shared" si="679"/>
        <v>0</v>
      </c>
      <c r="AS341" s="580">
        <f t="shared" si="679"/>
        <v>0</v>
      </c>
      <c r="AT341" s="580">
        <f t="shared" si="679"/>
        <v>0</v>
      </c>
      <c r="AU341" s="580">
        <f t="shared" si="679"/>
        <v>0</v>
      </c>
      <c r="AV341" s="580">
        <f t="shared" si="679"/>
        <v>0</v>
      </c>
      <c r="AW341" s="580">
        <f t="shared" si="679"/>
        <v>0</v>
      </c>
      <c r="AX341" s="580">
        <f t="shared" si="679"/>
        <v>0</v>
      </c>
      <c r="AY341" s="580">
        <f t="shared" si="679"/>
        <v>0</v>
      </c>
      <c r="AZ341" s="580">
        <f t="shared" si="679"/>
        <v>0</v>
      </c>
      <c r="BA341" s="580">
        <f t="shared" si="679"/>
        <v>0</v>
      </c>
      <c r="BB341" s="580">
        <f t="shared" si="679"/>
        <v>0</v>
      </c>
      <c r="BC341" s="580">
        <f t="shared" si="679"/>
        <v>0</v>
      </c>
      <c r="BD341" s="580">
        <f t="shared" si="679"/>
        <v>0</v>
      </c>
      <c r="BE341" s="580">
        <f t="shared" si="679"/>
        <v>0</v>
      </c>
      <c r="BF341" s="580">
        <f t="shared" si="679"/>
        <v>0</v>
      </c>
      <c r="BG341" s="580">
        <f t="shared" si="679"/>
        <v>0</v>
      </c>
      <c r="BH341" s="580">
        <f t="shared" si="679"/>
        <v>0</v>
      </c>
      <c r="BI341" s="580">
        <f t="shared" si="679"/>
        <v>0</v>
      </c>
      <c r="BJ341" s="580">
        <f t="shared" si="679"/>
        <v>0</v>
      </c>
      <c r="BK341" s="580">
        <f t="shared" si="679"/>
        <v>0</v>
      </c>
    </row>
    <row r="342" spans="1:63" s="245" customFormat="1">
      <c r="A342" s="243"/>
      <c r="B342" s="243" t="s">
        <v>1545</v>
      </c>
      <c r="C342" s="243" t="s">
        <v>1547</v>
      </c>
      <c r="D342" s="243"/>
      <c r="F342" s="245">
        <f t="shared" ref="F342:Y342" si="680">AVERAGE(E341:F341)</f>
        <v>0</v>
      </c>
      <c r="G342" s="245">
        <f t="shared" si="680"/>
        <v>0</v>
      </c>
      <c r="H342" s="245">
        <f t="shared" si="680"/>
        <v>0</v>
      </c>
      <c r="I342" s="245">
        <f t="shared" si="680"/>
        <v>0</v>
      </c>
      <c r="J342" s="245">
        <f t="shared" si="680"/>
        <v>0</v>
      </c>
      <c r="K342" s="245">
        <f t="shared" si="680"/>
        <v>0</v>
      </c>
      <c r="L342" s="245">
        <f t="shared" si="680"/>
        <v>0</v>
      </c>
      <c r="M342" s="245">
        <f t="shared" si="680"/>
        <v>7359.1144500000019</v>
      </c>
      <c r="N342" s="245">
        <f t="shared" si="680"/>
        <v>11667.050950000006</v>
      </c>
      <c r="O342" s="245">
        <f t="shared" si="680"/>
        <v>8338.5296000000053</v>
      </c>
      <c r="P342" s="245">
        <f t="shared" si="680"/>
        <v>5754.3431000000028</v>
      </c>
      <c r="Q342" s="245">
        <f t="shared" si="680"/>
        <v>5016.2499999999945</v>
      </c>
      <c r="R342" s="245">
        <f t="shared" si="680"/>
        <v>8223.8499999999967</v>
      </c>
      <c r="S342" s="245">
        <f t="shared" si="680"/>
        <v>11169.150000000001</v>
      </c>
      <c r="T342" s="245">
        <f t="shared" si="680"/>
        <v>6758.6000000000022</v>
      </c>
      <c r="U342" s="245">
        <f t="shared" si="680"/>
        <v>-261.54999999999472</v>
      </c>
      <c r="V342" s="245">
        <f t="shared" si="680"/>
        <v>-2738.8500000000022</v>
      </c>
      <c r="W342" s="245">
        <f t="shared" si="680"/>
        <v>2070.8499999999931</v>
      </c>
      <c r="X342" s="245">
        <f t="shared" si="680"/>
        <v>7126.1999999999971</v>
      </c>
      <c r="Y342" s="245">
        <f t="shared" si="680"/>
        <v>7854.389999999994</v>
      </c>
      <c r="Z342" s="245">
        <f>AVERAGE(Y341:Z341)</f>
        <v>15845.289999999992</v>
      </c>
      <c r="AA342" s="245">
        <f>AVERAGE(Z341:AA341)</f>
        <v>11827.969803389171</v>
      </c>
      <c r="AB342" s="245">
        <f>AVERAGE(AA341:AB341)</f>
        <v>4323.9640452709336</v>
      </c>
      <c r="AC342" s="245">
        <f t="shared" ref="AC342:AD342" si="681">AVERAGE(AB341:AC341)</f>
        <v>9706.6948796025627</v>
      </c>
      <c r="AD342" s="245">
        <f t="shared" si="681"/>
        <v>15117.270178685922</v>
      </c>
      <c r="AF342" s="580">
        <f t="shared" ref="AF342:BK342" si="682">AVERAGE(AE341:AF341)</f>
        <v>0</v>
      </c>
      <c r="AG342" s="580">
        <f t="shared" si="682"/>
        <v>0</v>
      </c>
      <c r="AH342" s="580">
        <f t="shared" si="682"/>
        <v>0</v>
      </c>
      <c r="AI342" s="580">
        <f t="shared" si="682"/>
        <v>0</v>
      </c>
      <c r="AJ342" s="580">
        <f t="shared" si="682"/>
        <v>0</v>
      </c>
      <c r="AK342" s="580">
        <f t="shared" si="682"/>
        <v>0</v>
      </c>
      <c r="AL342" s="580">
        <f t="shared" si="682"/>
        <v>0</v>
      </c>
      <c r="AM342" s="580">
        <f t="shared" si="682"/>
        <v>0</v>
      </c>
      <c r="AN342" s="580">
        <f t="shared" si="682"/>
        <v>0</v>
      </c>
      <c r="AO342" s="580">
        <f t="shared" si="682"/>
        <v>0</v>
      </c>
      <c r="AP342" s="580">
        <f t="shared" si="682"/>
        <v>0</v>
      </c>
      <c r="AQ342" s="580">
        <f t="shared" si="682"/>
        <v>0</v>
      </c>
      <c r="AR342" s="580">
        <f t="shared" si="682"/>
        <v>0</v>
      </c>
      <c r="AS342" s="580">
        <f t="shared" si="682"/>
        <v>0</v>
      </c>
      <c r="AT342" s="580">
        <f t="shared" si="682"/>
        <v>0</v>
      </c>
      <c r="AU342" s="580">
        <f t="shared" si="682"/>
        <v>0</v>
      </c>
      <c r="AV342" s="580">
        <f t="shared" si="682"/>
        <v>0</v>
      </c>
      <c r="AW342" s="580">
        <f t="shared" si="682"/>
        <v>0</v>
      </c>
      <c r="AX342" s="580">
        <f t="shared" si="682"/>
        <v>0</v>
      </c>
      <c r="AY342" s="580">
        <f t="shared" si="682"/>
        <v>0</v>
      </c>
      <c r="AZ342" s="580">
        <f t="shared" si="682"/>
        <v>0</v>
      </c>
      <c r="BA342" s="580">
        <f t="shared" si="682"/>
        <v>0</v>
      </c>
      <c r="BB342" s="580">
        <f t="shared" si="682"/>
        <v>0</v>
      </c>
      <c r="BC342" s="580">
        <f t="shared" si="682"/>
        <v>0</v>
      </c>
      <c r="BD342" s="580">
        <f t="shared" si="682"/>
        <v>0</v>
      </c>
      <c r="BE342" s="580">
        <f t="shared" si="682"/>
        <v>0</v>
      </c>
      <c r="BF342" s="580">
        <f t="shared" si="682"/>
        <v>0</v>
      </c>
      <c r="BG342" s="580">
        <f t="shared" si="682"/>
        <v>0</v>
      </c>
      <c r="BH342" s="580">
        <f t="shared" si="682"/>
        <v>0</v>
      </c>
      <c r="BI342" s="580">
        <f t="shared" si="682"/>
        <v>0</v>
      </c>
      <c r="BJ342" s="580">
        <f t="shared" si="682"/>
        <v>0</v>
      </c>
      <c r="BK342" s="580">
        <f t="shared" si="682"/>
        <v>0</v>
      </c>
    </row>
    <row r="343" spans="1:63" s="245" customFormat="1">
      <c r="A343" s="243"/>
      <c r="B343" s="243" t="s">
        <v>1548</v>
      </c>
      <c r="C343" s="243" t="s">
        <v>1550</v>
      </c>
      <c r="D343" s="243"/>
      <c r="F343" s="245">
        <f t="shared" ref="F343:Y343" si="683">E348-(F266*F341)</f>
        <v>0</v>
      </c>
      <c r="G343" s="245" t="e">
        <f t="shared" si="683"/>
        <v>#DIV/0!</v>
      </c>
      <c r="H343" s="245" t="e">
        <f t="shared" si="683"/>
        <v>#DIV/0!</v>
      </c>
      <c r="I343" s="245" t="e">
        <f t="shared" si="683"/>
        <v>#DIV/0!</v>
      </c>
      <c r="J343" s="245" t="e">
        <f t="shared" si="683"/>
        <v>#DIV/0!</v>
      </c>
      <c r="K343" s="245" t="e">
        <f t="shared" si="683"/>
        <v>#DIV/0!</v>
      </c>
      <c r="L343" s="245" t="e">
        <f t="shared" si="683"/>
        <v>#DIV/0!</v>
      </c>
      <c r="M343" s="245">
        <f t="shared" si="683"/>
        <v>0</v>
      </c>
      <c r="N343" s="245">
        <f t="shared" si="683"/>
        <v>-1921.4568887702403</v>
      </c>
      <c r="O343" s="245">
        <f t="shared" si="683"/>
        <v>-1586.0251298886124</v>
      </c>
      <c r="P343" s="245">
        <f t="shared" si="683"/>
        <v>-2034.82945356548</v>
      </c>
      <c r="Q343" s="245">
        <f t="shared" si="683"/>
        <v>-3576.4750156171071</v>
      </c>
      <c r="R343" s="245">
        <f t="shared" si="683"/>
        <v>-3453.0731983995233</v>
      </c>
      <c r="S343" s="245">
        <f t="shared" si="683"/>
        <v>-3141.9023773752028</v>
      </c>
      <c r="T343" s="245">
        <f t="shared" si="683"/>
        <v>-2525.2736552070951</v>
      </c>
      <c r="U343" s="245">
        <f t="shared" si="683"/>
        <v>-6417.49179602197</v>
      </c>
      <c r="V343" s="245">
        <f t="shared" si="683"/>
        <v>-8202.4076610225584</v>
      </c>
      <c r="W343" s="245">
        <f t="shared" si="683"/>
        <v>-8716.7825794017645</v>
      </c>
      <c r="X343" s="245">
        <f t="shared" si="683"/>
        <v>-10215.984452649867</v>
      </c>
      <c r="Y343" s="245">
        <f t="shared" si="683"/>
        <v>-11677.867273193671</v>
      </c>
      <c r="Z343" s="245">
        <f>Y348-(Z266*Z341)</f>
        <v>-10708.745475826641</v>
      </c>
      <c r="AA343" s="245">
        <f>Z348-(AA266*AA341)</f>
        <v>-12601.395811137629</v>
      </c>
      <c r="AB343" s="245">
        <f>AA348-(AB266*AB341)</f>
        <v>-11219.357710939476</v>
      </c>
      <c r="AC343" s="245">
        <f t="shared" ref="AC343:AD343" si="684">AB348-(AC266*AC341)</f>
        <v>-13608.86200017826</v>
      </c>
      <c r="AD343" s="245">
        <f t="shared" si="684"/>
        <v>-15906.788635210187</v>
      </c>
      <c r="AF343" s="580" t="e">
        <f t="shared" ref="AF343:BK343" si="685">AE348-(AF266*AF341)</f>
        <v>#DIV/0!</v>
      </c>
      <c r="AG343" s="580" t="e">
        <f t="shared" si="685"/>
        <v>#DIV/0!</v>
      </c>
      <c r="AH343" s="580" t="e">
        <f t="shared" si="685"/>
        <v>#DIV/0!</v>
      </c>
      <c r="AI343" s="580" t="e">
        <f t="shared" si="685"/>
        <v>#DIV/0!</v>
      </c>
      <c r="AJ343" s="580" t="e">
        <f t="shared" si="685"/>
        <v>#DIV/0!</v>
      </c>
      <c r="AK343" s="580" t="e">
        <f t="shared" si="685"/>
        <v>#DIV/0!</v>
      </c>
      <c r="AL343" s="580" t="e">
        <f t="shared" si="685"/>
        <v>#DIV/0!</v>
      </c>
      <c r="AM343" s="580" t="e">
        <f t="shared" si="685"/>
        <v>#DIV/0!</v>
      </c>
      <c r="AN343" s="580" t="e">
        <f t="shared" si="685"/>
        <v>#DIV/0!</v>
      </c>
      <c r="AO343" s="580" t="e">
        <f t="shared" si="685"/>
        <v>#DIV/0!</v>
      </c>
      <c r="AP343" s="580" t="e">
        <f t="shared" si="685"/>
        <v>#DIV/0!</v>
      </c>
      <c r="AQ343" s="580" t="e">
        <f t="shared" si="685"/>
        <v>#DIV/0!</v>
      </c>
      <c r="AR343" s="580" t="e">
        <f t="shared" si="685"/>
        <v>#DIV/0!</v>
      </c>
      <c r="AS343" s="580" t="e">
        <f t="shared" si="685"/>
        <v>#DIV/0!</v>
      </c>
      <c r="AT343" s="580" t="e">
        <f t="shared" si="685"/>
        <v>#DIV/0!</v>
      </c>
      <c r="AU343" s="580" t="e">
        <f t="shared" si="685"/>
        <v>#DIV/0!</v>
      </c>
      <c r="AV343" s="580" t="e">
        <f t="shared" si="685"/>
        <v>#DIV/0!</v>
      </c>
      <c r="AW343" s="580" t="e">
        <f t="shared" si="685"/>
        <v>#DIV/0!</v>
      </c>
      <c r="AX343" s="580" t="e">
        <f t="shared" si="685"/>
        <v>#DIV/0!</v>
      </c>
      <c r="AY343" s="580" t="e">
        <f t="shared" si="685"/>
        <v>#DIV/0!</v>
      </c>
      <c r="AZ343" s="580" t="e">
        <f t="shared" si="685"/>
        <v>#DIV/0!</v>
      </c>
      <c r="BA343" s="580" t="e">
        <f t="shared" si="685"/>
        <v>#DIV/0!</v>
      </c>
      <c r="BB343" s="580" t="e">
        <f t="shared" si="685"/>
        <v>#DIV/0!</v>
      </c>
      <c r="BC343" s="580" t="e">
        <f t="shared" si="685"/>
        <v>#DIV/0!</v>
      </c>
      <c r="BD343" s="580" t="e">
        <f t="shared" si="685"/>
        <v>#DIV/0!</v>
      </c>
      <c r="BE343" s="580" t="e">
        <f t="shared" si="685"/>
        <v>#DIV/0!</v>
      </c>
      <c r="BF343" s="580" t="e">
        <f t="shared" si="685"/>
        <v>#DIV/0!</v>
      </c>
      <c r="BG343" s="580" t="e">
        <f t="shared" si="685"/>
        <v>#DIV/0!</v>
      </c>
      <c r="BH343" s="580" t="e">
        <f t="shared" si="685"/>
        <v>#DIV/0!</v>
      </c>
      <c r="BI343" s="580" t="e">
        <f t="shared" si="685"/>
        <v>#DIV/0!</v>
      </c>
      <c r="BJ343" s="580" t="e">
        <f t="shared" si="685"/>
        <v>#DIV/0!</v>
      </c>
      <c r="BK343" s="580" t="e">
        <f t="shared" si="685"/>
        <v>#DIV/0!</v>
      </c>
    </row>
    <row r="344" spans="1:63" s="245" customFormat="1">
      <c r="A344" s="243"/>
      <c r="B344" s="243" t="s">
        <v>784</v>
      </c>
      <c r="C344" s="243" t="s">
        <v>1551</v>
      </c>
      <c r="D344" s="243"/>
      <c r="F344" s="245" t="e">
        <f t="shared" ref="F344:AD344" ca="1" si="686">$E$11</f>
        <v>#NAME?</v>
      </c>
      <c r="G344" s="245" t="e">
        <f t="shared" ca="1" si="686"/>
        <v>#NAME?</v>
      </c>
      <c r="H344" s="245" t="e">
        <f t="shared" ca="1" si="686"/>
        <v>#NAME?</v>
      </c>
      <c r="I344" s="245" t="e">
        <f t="shared" ca="1" si="686"/>
        <v>#NAME?</v>
      </c>
      <c r="J344" s="245" t="e">
        <f t="shared" ca="1" si="686"/>
        <v>#NAME?</v>
      </c>
      <c r="K344" s="245" t="e">
        <f t="shared" ca="1" si="686"/>
        <v>#NAME?</v>
      </c>
      <c r="L344" s="245" t="e">
        <f t="shared" ca="1" si="686"/>
        <v>#NAME?</v>
      </c>
      <c r="M344" s="245" t="e">
        <f t="shared" ca="1" si="686"/>
        <v>#NAME?</v>
      </c>
      <c r="N344" s="245" t="e">
        <f t="shared" ca="1" si="686"/>
        <v>#NAME?</v>
      </c>
      <c r="O344" s="245" t="e">
        <f t="shared" ca="1" si="686"/>
        <v>#NAME?</v>
      </c>
      <c r="P344" s="245" t="e">
        <f t="shared" ca="1" si="686"/>
        <v>#NAME?</v>
      </c>
      <c r="Q344" s="245" t="e">
        <f t="shared" ca="1" si="686"/>
        <v>#NAME?</v>
      </c>
      <c r="R344" s="245" t="e">
        <f t="shared" ca="1" si="686"/>
        <v>#NAME?</v>
      </c>
      <c r="S344" s="245" t="e">
        <f t="shared" ca="1" si="686"/>
        <v>#NAME?</v>
      </c>
      <c r="T344" s="245" t="e">
        <f t="shared" ca="1" si="686"/>
        <v>#NAME?</v>
      </c>
      <c r="U344" s="245" t="e">
        <f t="shared" ca="1" si="686"/>
        <v>#NAME?</v>
      </c>
      <c r="V344" s="245" t="e">
        <f t="shared" ca="1" si="686"/>
        <v>#NAME?</v>
      </c>
      <c r="W344" s="245" t="e">
        <f t="shared" ca="1" si="686"/>
        <v>#NAME?</v>
      </c>
      <c r="X344" s="245" t="e">
        <f t="shared" ca="1" si="686"/>
        <v>#NAME?</v>
      </c>
      <c r="Y344" s="245" t="e">
        <f t="shared" ca="1" si="686"/>
        <v>#NAME?</v>
      </c>
      <c r="Z344" s="245" t="e">
        <f t="shared" ca="1" si="686"/>
        <v>#NAME?</v>
      </c>
      <c r="AA344" s="245" t="e">
        <f t="shared" ca="1" si="686"/>
        <v>#NAME?</v>
      </c>
      <c r="AB344" s="245" t="e">
        <f t="shared" ca="1" si="686"/>
        <v>#NAME?</v>
      </c>
      <c r="AC344" s="245" t="e">
        <f t="shared" ca="1" si="686"/>
        <v>#NAME?</v>
      </c>
      <c r="AD344" s="245" t="e">
        <f t="shared" ca="1" si="686"/>
        <v>#NAME?</v>
      </c>
      <c r="AF344" s="580" t="e">
        <f t="shared" ref="AF344:BK344" ca="1" si="687">$E$11</f>
        <v>#NAME?</v>
      </c>
      <c r="AG344" s="580" t="e">
        <f t="shared" ca="1" si="687"/>
        <v>#NAME?</v>
      </c>
      <c r="AH344" s="580" t="e">
        <f t="shared" ca="1" si="687"/>
        <v>#NAME?</v>
      </c>
      <c r="AI344" s="580" t="e">
        <f t="shared" ca="1" si="687"/>
        <v>#NAME?</v>
      </c>
      <c r="AJ344" s="580" t="e">
        <f t="shared" ca="1" si="687"/>
        <v>#NAME?</v>
      </c>
      <c r="AK344" s="580" t="e">
        <f t="shared" ca="1" si="687"/>
        <v>#NAME?</v>
      </c>
      <c r="AL344" s="580" t="e">
        <f t="shared" ca="1" si="687"/>
        <v>#NAME?</v>
      </c>
      <c r="AM344" s="580" t="e">
        <f t="shared" ca="1" si="687"/>
        <v>#NAME?</v>
      </c>
      <c r="AN344" s="580" t="e">
        <f t="shared" ca="1" si="687"/>
        <v>#NAME?</v>
      </c>
      <c r="AO344" s="580" t="e">
        <f t="shared" ca="1" si="687"/>
        <v>#NAME?</v>
      </c>
      <c r="AP344" s="580" t="e">
        <f t="shared" ca="1" si="687"/>
        <v>#NAME?</v>
      </c>
      <c r="AQ344" s="580" t="e">
        <f t="shared" ca="1" si="687"/>
        <v>#NAME?</v>
      </c>
      <c r="AR344" s="580" t="e">
        <f t="shared" ca="1" si="687"/>
        <v>#NAME?</v>
      </c>
      <c r="AS344" s="580" t="e">
        <f t="shared" ca="1" si="687"/>
        <v>#NAME?</v>
      </c>
      <c r="AT344" s="580" t="e">
        <f t="shared" ca="1" si="687"/>
        <v>#NAME?</v>
      </c>
      <c r="AU344" s="580" t="e">
        <f t="shared" ca="1" si="687"/>
        <v>#NAME?</v>
      </c>
      <c r="AV344" s="580" t="e">
        <f t="shared" ca="1" si="687"/>
        <v>#NAME?</v>
      </c>
      <c r="AW344" s="580" t="e">
        <f t="shared" ca="1" si="687"/>
        <v>#NAME?</v>
      </c>
      <c r="AX344" s="580" t="e">
        <f t="shared" ca="1" si="687"/>
        <v>#NAME?</v>
      </c>
      <c r="AY344" s="580" t="e">
        <f t="shared" ca="1" si="687"/>
        <v>#NAME?</v>
      </c>
      <c r="AZ344" s="580" t="e">
        <f t="shared" ca="1" si="687"/>
        <v>#NAME?</v>
      </c>
      <c r="BA344" s="580" t="e">
        <f t="shared" ca="1" si="687"/>
        <v>#NAME?</v>
      </c>
      <c r="BB344" s="580" t="e">
        <f t="shared" ca="1" si="687"/>
        <v>#NAME?</v>
      </c>
      <c r="BC344" s="580" t="e">
        <f t="shared" ca="1" si="687"/>
        <v>#NAME?</v>
      </c>
      <c r="BD344" s="580" t="e">
        <f t="shared" ca="1" si="687"/>
        <v>#NAME?</v>
      </c>
      <c r="BE344" s="580" t="e">
        <f t="shared" ca="1" si="687"/>
        <v>#NAME?</v>
      </c>
      <c r="BF344" s="580" t="e">
        <f t="shared" ca="1" si="687"/>
        <v>#NAME?</v>
      </c>
      <c r="BG344" s="580" t="e">
        <f t="shared" ca="1" si="687"/>
        <v>#NAME?</v>
      </c>
      <c r="BH344" s="580" t="e">
        <f t="shared" ca="1" si="687"/>
        <v>#NAME?</v>
      </c>
      <c r="BI344" s="580" t="e">
        <f t="shared" ca="1" si="687"/>
        <v>#NAME?</v>
      </c>
      <c r="BJ344" s="580" t="e">
        <f t="shared" ca="1" si="687"/>
        <v>#NAME?</v>
      </c>
      <c r="BK344" s="580" t="e">
        <f t="shared" ca="1" si="687"/>
        <v>#NAME?</v>
      </c>
    </row>
    <row r="345" spans="1:63" s="240" customFormat="1">
      <c r="A345" s="209"/>
      <c r="B345" s="209" t="s">
        <v>1552</v>
      </c>
      <c r="C345" s="209" t="s">
        <v>1553</v>
      </c>
      <c r="D345" s="209"/>
      <c r="F345" s="251" t="e">
        <f t="shared" ref="F345:X345" ca="1" si="688">$E$11*F215</f>
        <v>#NAME?</v>
      </c>
      <c r="G345" s="251" t="e">
        <f t="shared" ca="1" si="688"/>
        <v>#NAME?</v>
      </c>
      <c r="H345" s="251" t="e">
        <f t="shared" ca="1" si="688"/>
        <v>#NAME?</v>
      </c>
      <c r="I345" s="251" t="e">
        <f t="shared" ca="1" si="688"/>
        <v>#NAME?</v>
      </c>
      <c r="J345" s="251" t="e">
        <f t="shared" ca="1" si="688"/>
        <v>#NAME?</v>
      </c>
      <c r="K345" s="251" t="e">
        <f t="shared" ca="1" si="688"/>
        <v>#NAME?</v>
      </c>
      <c r="L345" s="251" t="e">
        <f t="shared" ca="1" si="688"/>
        <v>#NAME?</v>
      </c>
      <c r="M345" s="251" t="e">
        <f t="shared" ca="1" si="688"/>
        <v>#NAME?</v>
      </c>
      <c r="N345" s="251" t="e">
        <f t="shared" ca="1" si="688"/>
        <v>#NAME?</v>
      </c>
      <c r="O345" s="251" t="e">
        <f t="shared" ca="1" si="688"/>
        <v>#NAME?</v>
      </c>
      <c r="P345" s="251" t="e">
        <f t="shared" ca="1" si="688"/>
        <v>#NAME?</v>
      </c>
      <c r="Q345" s="251" t="e">
        <f t="shared" ca="1" si="688"/>
        <v>#NAME?</v>
      </c>
      <c r="R345" s="251" t="e">
        <f t="shared" ca="1" si="688"/>
        <v>#NAME?</v>
      </c>
      <c r="S345" s="251" t="e">
        <f t="shared" ca="1" si="688"/>
        <v>#NAME?</v>
      </c>
      <c r="T345" s="251" t="e">
        <f t="shared" ca="1" si="688"/>
        <v>#NAME?</v>
      </c>
      <c r="U345" s="251" t="e">
        <f t="shared" ca="1" si="688"/>
        <v>#NAME?</v>
      </c>
      <c r="V345" s="251" t="e">
        <f t="shared" ca="1" si="688"/>
        <v>#NAME?</v>
      </c>
      <c r="W345" s="251" t="e">
        <f t="shared" ca="1" si="688"/>
        <v>#NAME?</v>
      </c>
      <c r="X345" s="251" t="e">
        <f t="shared" ca="1" si="688"/>
        <v>#NAME?</v>
      </c>
      <c r="Y345" s="251" t="e">
        <f ca="1">$E$11*Y215</f>
        <v>#NAME?</v>
      </c>
      <c r="Z345" s="251" t="e">
        <f ca="1">$E$11*Z215</f>
        <v>#NAME?</v>
      </c>
      <c r="AA345" s="251" t="e">
        <f ca="1">$E$11*AA215</f>
        <v>#NAME?</v>
      </c>
      <c r="AB345" s="251" t="e">
        <f ca="1">$E$11*AB215</f>
        <v>#NAME?</v>
      </c>
      <c r="AC345" s="251" t="e">
        <f t="shared" ref="AC345:AD345" ca="1" si="689">$E$11*AC215</f>
        <v>#NAME?</v>
      </c>
      <c r="AD345" s="251" t="e">
        <f t="shared" ca="1" si="689"/>
        <v>#NAME?</v>
      </c>
      <c r="AF345" s="579" t="e">
        <f t="shared" ref="AF345:BK345" ca="1" si="690">$E$11*AF215</f>
        <v>#NAME?</v>
      </c>
      <c r="AG345" s="579" t="e">
        <f t="shared" ca="1" si="690"/>
        <v>#NAME?</v>
      </c>
      <c r="AH345" s="579" t="e">
        <f t="shared" ca="1" si="690"/>
        <v>#NAME?</v>
      </c>
      <c r="AI345" s="579" t="e">
        <f t="shared" ca="1" si="690"/>
        <v>#NAME?</v>
      </c>
      <c r="AJ345" s="579" t="e">
        <f t="shared" ca="1" si="690"/>
        <v>#NAME?</v>
      </c>
      <c r="AK345" s="579" t="e">
        <f t="shared" ca="1" si="690"/>
        <v>#NAME?</v>
      </c>
      <c r="AL345" s="579" t="e">
        <f t="shared" ca="1" si="690"/>
        <v>#NAME?</v>
      </c>
      <c r="AM345" s="579" t="e">
        <f t="shared" ca="1" si="690"/>
        <v>#NAME?</v>
      </c>
      <c r="AN345" s="579" t="e">
        <f t="shared" ca="1" si="690"/>
        <v>#NAME?</v>
      </c>
      <c r="AO345" s="579" t="e">
        <f t="shared" ca="1" si="690"/>
        <v>#NAME?</v>
      </c>
      <c r="AP345" s="579" t="e">
        <f t="shared" ca="1" si="690"/>
        <v>#NAME?</v>
      </c>
      <c r="AQ345" s="579" t="e">
        <f t="shared" ca="1" si="690"/>
        <v>#NAME?</v>
      </c>
      <c r="AR345" s="579" t="e">
        <f t="shared" ca="1" si="690"/>
        <v>#NAME?</v>
      </c>
      <c r="AS345" s="579" t="e">
        <f t="shared" ca="1" si="690"/>
        <v>#NAME?</v>
      </c>
      <c r="AT345" s="579" t="e">
        <f t="shared" ca="1" si="690"/>
        <v>#NAME?</v>
      </c>
      <c r="AU345" s="579" t="e">
        <f t="shared" ca="1" si="690"/>
        <v>#NAME?</v>
      </c>
      <c r="AV345" s="579" t="e">
        <f t="shared" ca="1" si="690"/>
        <v>#NAME?</v>
      </c>
      <c r="AW345" s="579" t="e">
        <f t="shared" ca="1" si="690"/>
        <v>#NAME?</v>
      </c>
      <c r="AX345" s="579" t="e">
        <f t="shared" ca="1" si="690"/>
        <v>#NAME?</v>
      </c>
      <c r="AY345" s="579" t="e">
        <f t="shared" ca="1" si="690"/>
        <v>#NAME?</v>
      </c>
      <c r="AZ345" s="579" t="e">
        <f t="shared" ca="1" si="690"/>
        <v>#NAME?</v>
      </c>
      <c r="BA345" s="579" t="e">
        <f t="shared" ca="1" si="690"/>
        <v>#NAME?</v>
      </c>
      <c r="BB345" s="579" t="e">
        <f t="shared" ca="1" si="690"/>
        <v>#NAME?</v>
      </c>
      <c r="BC345" s="579" t="e">
        <f t="shared" ca="1" si="690"/>
        <v>#NAME?</v>
      </c>
      <c r="BD345" s="579" t="e">
        <f t="shared" ca="1" si="690"/>
        <v>#NAME?</v>
      </c>
      <c r="BE345" s="579" t="e">
        <f t="shared" ca="1" si="690"/>
        <v>#NAME?</v>
      </c>
      <c r="BF345" s="579" t="e">
        <f t="shared" ca="1" si="690"/>
        <v>#NAME?</v>
      </c>
      <c r="BG345" s="579" t="e">
        <f t="shared" ca="1" si="690"/>
        <v>#NAME?</v>
      </c>
      <c r="BH345" s="579" t="e">
        <f t="shared" ca="1" si="690"/>
        <v>#NAME?</v>
      </c>
      <c r="BI345" s="579" t="e">
        <f t="shared" ca="1" si="690"/>
        <v>#NAME?</v>
      </c>
      <c r="BJ345" s="579" t="e">
        <f t="shared" ca="1" si="690"/>
        <v>#NAME?</v>
      </c>
      <c r="BK345" s="579" t="e">
        <f t="shared" ca="1" si="690"/>
        <v>#NAME?</v>
      </c>
    </row>
    <row r="346" spans="1:63" s="245" customFormat="1">
      <c r="A346" s="243"/>
      <c r="B346" s="243" t="s">
        <v>1554</v>
      </c>
      <c r="C346" s="243" t="s">
        <v>1555</v>
      </c>
      <c r="D346" s="243"/>
      <c r="F346" s="245" t="e">
        <f t="shared" ref="F346:Y346" ca="1" si="691">F345+F329</f>
        <v>#NAME?</v>
      </c>
      <c r="G346" s="245" t="e">
        <f t="shared" ca="1" si="691"/>
        <v>#NAME?</v>
      </c>
      <c r="H346" s="245" t="e">
        <f t="shared" ca="1" si="691"/>
        <v>#NAME?</v>
      </c>
      <c r="I346" s="245" t="e">
        <f t="shared" ca="1" si="691"/>
        <v>#NAME?</v>
      </c>
      <c r="J346" s="245" t="e">
        <f t="shared" ca="1" si="691"/>
        <v>#NAME?</v>
      </c>
      <c r="K346" s="245" t="e">
        <f t="shared" ca="1" si="691"/>
        <v>#NAME?</v>
      </c>
      <c r="L346" s="245" t="e">
        <f t="shared" ca="1" si="691"/>
        <v>#NAME?</v>
      </c>
      <c r="M346" s="245" t="e">
        <f t="shared" ca="1" si="691"/>
        <v>#NAME?</v>
      </c>
      <c r="N346" s="245" t="e">
        <f t="shared" ca="1" si="691"/>
        <v>#NAME?</v>
      </c>
      <c r="O346" s="245" t="e">
        <f t="shared" ca="1" si="691"/>
        <v>#NAME?</v>
      </c>
      <c r="P346" s="245" t="e">
        <f t="shared" ca="1" si="691"/>
        <v>#NAME?</v>
      </c>
      <c r="Q346" s="245" t="e">
        <f t="shared" ca="1" si="691"/>
        <v>#NAME?</v>
      </c>
      <c r="R346" s="245" t="e">
        <f t="shared" ca="1" si="691"/>
        <v>#NAME?</v>
      </c>
      <c r="S346" s="245" t="e">
        <f t="shared" ca="1" si="691"/>
        <v>#NAME?</v>
      </c>
      <c r="T346" s="245" t="e">
        <f t="shared" ca="1" si="691"/>
        <v>#NAME?</v>
      </c>
      <c r="U346" s="245" t="e">
        <f t="shared" ca="1" si="691"/>
        <v>#NAME?</v>
      </c>
      <c r="V346" s="245" t="e">
        <f t="shared" ca="1" si="691"/>
        <v>#NAME?</v>
      </c>
      <c r="W346" s="245" t="e">
        <f t="shared" ca="1" si="691"/>
        <v>#NAME?</v>
      </c>
      <c r="X346" s="245" t="e">
        <f t="shared" ca="1" si="691"/>
        <v>#NAME?</v>
      </c>
      <c r="Y346" s="245" t="e">
        <f t="shared" ca="1" si="691"/>
        <v>#NAME?</v>
      </c>
      <c r="Z346" s="245" t="e">
        <f ca="1">Z345+Z329</f>
        <v>#NAME?</v>
      </c>
      <c r="AA346" s="245" t="e">
        <f ca="1">AA345+AA329</f>
        <v>#NAME?</v>
      </c>
      <c r="AB346" s="245" t="e">
        <f ca="1">AB345+AB329</f>
        <v>#NAME?</v>
      </c>
      <c r="AC346" s="245" t="e">
        <f t="shared" ref="AC346:AD346" ca="1" si="692">AC345+AC329</f>
        <v>#NAME?</v>
      </c>
      <c r="AD346" s="245" t="e">
        <f t="shared" ca="1" si="692"/>
        <v>#NAME?</v>
      </c>
      <c r="AF346" s="580" t="e">
        <f t="shared" ref="AF346:BK346" ca="1" si="693">AF345+AF329</f>
        <v>#NAME?</v>
      </c>
      <c r="AG346" s="580" t="e">
        <f t="shared" ca="1" si="693"/>
        <v>#NAME?</v>
      </c>
      <c r="AH346" s="580" t="e">
        <f t="shared" ca="1" si="693"/>
        <v>#NAME?</v>
      </c>
      <c r="AI346" s="580" t="e">
        <f t="shared" ca="1" si="693"/>
        <v>#NAME?</v>
      </c>
      <c r="AJ346" s="580" t="e">
        <f t="shared" ca="1" si="693"/>
        <v>#NAME?</v>
      </c>
      <c r="AK346" s="580" t="e">
        <f t="shared" ca="1" si="693"/>
        <v>#NAME?</v>
      </c>
      <c r="AL346" s="580" t="e">
        <f t="shared" ca="1" si="693"/>
        <v>#NAME?</v>
      </c>
      <c r="AM346" s="580" t="e">
        <f t="shared" ca="1" si="693"/>
        <v>#NAME?</v>
      </c>
      <c r="AN346" s="580" t="e">
        <f t="shared" ca="1" si="693"/>
        <v>#NAME?</v>
      </c>
      <c r="AO346" s="580" t="e">
        <f t="shared" ca="1" si="693"/>
        <v>#NAME?</v>
      </c>
      <c r="AP346" s="580" t="e">
        <f t="shared" ca="1" si="693"/>
        <v>#NAME?</v>
      </c>
      <c r="AQ346" s="580" t="e">
        <f t="shared" ca="1" si="693"/>
        <v>#NAME?</v>
      </c>
      <c r="AR346" s="580" t="e">
        <f t="shared" ca="1" si="693"/>
        <v>#NAME?</v>
      </c>
      <c r="AS346" s="580" t="e">
        <f t="shared" ca="1" si="693"/>
        <v>#NAME?</v>
      </c>
      <c r="AT346" s="580" t="e">
        <f t="shared" ca="1" si="693"/>
        <v>#NAME?</v>
      </c>
      <c r="AU346" s="580" t="e">
        <f t="shared" ca="1" si="693"/>
        <v>#NAME?</v>
      </c>
      <c r="AV346" s="580" t="e">
        <f t="shared" ca="1" si="693"/>
        <v>#NAME?</v>
      </c>
      <c r="AW346" s="580" t="e">
        <f t="shared" ca="1" si="693"/>
        <v>#NAME?</v>
      </c>
      <c r="AX346" s="580" t="e">
        <f t="shared" ca="1" si="693"/>
        <v>#NAME?</v>
      </c>
      <c r="AY346" s="580" t="e">
        <f t="shared" ca="1" si="693"/>
        <v>#NAME?</v>
      </c>
      <c r="AZ346" s="580" t="e">
        <f t="shared" ca="1" si="693"/>
        <v>#NAME?</v>
      </c>
      <c r="BA346" s="580" t="e">
        <f t="shared" ca="1" si="693"/>
        <v>#NAME?</v>
      </c>
      <c r="BB346" s="580" t="e">
        <f t="shared" ca="1" si="693"/>
        <v>#NAME?</v>
      </c>
      <c r="BC346" s="580" t="e">
        <f t="shared" ca="1" si="693"/>
        <v>#NAME?</v>
      </c>
      <c r="BD346" s="580" t="e">
        <f t="shared" ca="1" si="693"/>
        <v>#NAME?</v>
      </c>
      <c r="BE346" s="580" t="e">
        <f t="shared" ca="1" si="693"/>
        <v>#NAME?</v>
      </c>
      <c r="BF346" s="580" t="e">
        <f t="shared" ca="1" si="693"/>
        <v>#NAME?</v>
      </c>
      <c r="BG346" s="580" t="e">
        <f t="shared" ca="1" si="693"/>
        <v>#NAME?</v>
      </c>
      <c r="BH346" s="580" t="e">
        <f t="shared" ca="1" si="693"/>
        <v>#NAME?</v>
      </c>
      <c r="BI346" s="580" t="e">
        <f t="shared" ca="1" si="693"/>
        <v>#NAME?</v>
      </c>
      <c r="BJ346" s="580" t="e">
        <f t="shared" ca="1" si="693"/>
        <v>#NAME?</v>
      </c>
      <c r="BK346" s="580" t="e">
        <f t="shared" ca="1" si="693"/>
        <v>#NAME?</v>
      </c>
    </row>
    <row r="347" spans="1:63" s="240" customFormat="1">
      <c r="A347" s="209"/>
      <c r="B347" s="209"/>
      <c r="C347" s="209"/>
      <c r="D347" s="209"/>
      <c r="AF347" s="579"/>
      <c r="AG347" s="579"/>
      <c r="AH347" s="579"/>
      <c r="AI347" s="579"/>
      <c r="AJ347" s="579"/>
      <c r="AK347" s="579"/>
      <c r="AL347" s="579"/>
      <c r="AM347" s="579"/>
      <c r="AN347" s="579"/>
      <c r="AO347" s="579"/>
      <c r="AP347" s="579"/>
      <c r="AQ347" s="579"/>
      <c r="AR347" s="579"/>
      <c r="AS347" s="579"/>
      <c r="AT347" s="579"/>
      <c r="AU347" s="579"/>
      <c r="AV347" s="579"/>
      <c r="AW347" s="579"/>
      <c r="AX347" s="579"/>
      <c r="AY347" s="579"/>
      <c r="AZ347" s="579"/>
      <c r="BA347" s="579"/>
      <c r="BB347" s="579"/>
      <c r="BC347" s="579"/>
      <c r="BD347" s="579"/>
      <c r="BE347" s="579"/>
      <c r="BF347" s="579"/>
      <c r="BG347" s="579"/>
      <c r="BH347" s="579"/>
      <c r="BI347" s="579"/>
      <c r="BJ347" s="579"/>
      <c r="BK347" s="579"/>
    </row>
    <row r="348" spans="1:63" s="245" customFormat="1">
      <c r="A348" s="243"/>
      <c r="B348" s="243" t="s">
        <v>1556</v>
      </c>
      <c r="C348" s="243" t="s">
        <v>1557</v>
      </c>
      <c r="D348" s="243"/>
      <c r="F348" s="245" t="e">
        <f t="shared" ref="F348:X348" si="694">F81*(1-F252)%</f>
        <v>#DIV/0!</v>
      </c>
      <c r="G348" s="245" t="e">
        <f t="shared" si="694"/>
        <v>#DIV/0!</v>
      </c>
      <c r="H348" s="245" t="e">
        <f t="shared" si="694"/>
        <v>#DIV/0!</v>
      </c>
      <c r="I348" s="245" t="e">
        <f t="shared" si="694"/>
        <v>#DIV/0!</v>
      </c>
      <c r="J348" s="245" t="e">
        <f t="shared" si="694"/>
        <v>#DIV/0!</v>
      </c>
      <c r="K348" s="245" t="e">
        <f t="shared" si="694"/>
        <v>#DIV/0!</v>
      </c>
      <c r="L348" s="245">
        <f t="shared" si="694"/>
        <v>0</v>
      </c>
      <c r="M348" s="245">
        <f t="shared" si="694"/>
        <v>-1921.4568887702403</v>
      </c>
      <c r="N348" s="245">
        <f t="shared" si="694"/>
        <v>-1586.0251298886124</v>
      </c>
      <c r="O348" s="245">
        <f t="shared" si="694"/>
        <v>-2034.82945356548</v>
      </c>
      <c r="P348" s="245">
        <f t="shared" si="694"/>
        <v>-3576.4750156171071</v>
      </c>
      <c r="Q348" s="245">
        <f t="shared" si="694"/>
        <v>-3453.0731983995233</v>
      </c>
      <c r="R348" s="245">
        <f t="shared" si="694"/>
        <v>-3141.9023773752028</v>
      </c>
      <c r="S348" s="245">
        <f t="shared" si="694"/>
        <v>-2525.2736552070951</v>
      </c>
      <c r="T348" s="245">
        <f t="shared" si="694"/>
        <v>-6417.49179602197</v>
      </c>
      <c r="U348" s="245">
        <f t="shared" si="694"/>
        <v>-8202.4076610225584</v>
      </c>
      <c r="V348" s="245">
        <f t="shared" si="694"/>
        <v>-8716.7825794017645</v>
      </c>
      <c r="W348" s="245">
        <f t="shared" si="694"/>
        <v>-10215.984452649867</v>
      </c>
      <c r="X348" s="245">
        <f t="shared" si="694"/>
        <v>-11677.867273193671</v>
      </c>
      <c r="Y348" s="245">
        <f>Y81*(1-Y252)%</f>
        <v>-10708.745475826641</v>
      </c>
      <c r="Z348" s="245">
        <f>Z81*(1-Z252)%</f>
        <v>-12601.395811137629</v>
      </c>
      <c r="AA348" s="245">
        <f>AA81*(1-AA252)%</f>
        <v>-11219.357710939476</v>
      </c>
      <c r="AB348" s="245">
        <f>AB81*(1-AB252)%</f>
        <v>-13608.86200017826</v>
      </c>
      <c r="AC348" s="245">
        <f t="shared" ref="AC348:AD348" si="695">AC81*(1-AC252)%</f>
        <v>-15906.788635210187</v>
      </c>
      <c r="AD348" s="245">
        <f t="shared" si="695"/>
        <v>-17571.095104601718</v>
      </c>
      <c r="AF348" s="580">
        <f t="shared" ref="AF348:BK348" si="696">AF81*(1-AF252)%</f>
        <v>-968.59782283464551</v>
      </c>
      <c r="AG348" s="580">
        <f t="shared" si="696"/>
        <v>-833.82685310548777</v>
      </c>
      <c r="AH348" s="580">
        <f t="shared" si="696"/>
        <v>-764.12544171521995</v>
      </c>
      <c r="AI348" s="580">
        <f t="shared" si="696"/>
        <v>-712.72796778634347</v>
      </c>
      <c r="AJ348" s="580">
        <f t="shared" si="696"/>
        <v>-682.19115436364189</v>
      </c>
      <c r="AK348" s="580">
        <f t="shared" si="696"/>
        <v>-878.40738299663292</v>
      </c>
      <c r="AL348" s="580">
        <f t="shared" si="696"/>
        <v>-867.09300994073794</v>
      </c>
      <c r="AM348" s="580">
        <f t="shared" si="696"/>
        <v>-595.34529299443068</v>
      </c>
      <c r="AN348" s="580">
        <f t="shared" si="696"/>
        <v>-744.91695343137246</v>
      </c>
      <c r="AO348" s="580">
        <f t="shared" si="696"/>
        <v>-738.71955904211381</v>
      </c>
      <c r="AP348" s="580">
        <f t="shared" si="696"/>
        <v>-655.64799725900718</v>
      </c>
      <c r="AQ348" s="580">
        <f t="shared" si="696"/>
        <v>-527.75478704279897</v>
      </c>
      <c r="AR348" s="580">
        <f t="shared" si="696"/>
        <v>-1130.1051959227323</v>
      </c>
      <c r="AS348" s="580">
        <f t="shared" si="696"/>
        <v>-1638.4820136074022</v>
      </c>
      <c r="AT348" s="580">
        <f t="shared" si="696"/>
        <v>-1853.0673938487757</v>
      </c>
      <c r="AU348" s="580">
        <f t="shared" si="696"/>
        <v>-1888.4053284532145</v>
      </c>
      <c r="AV348" s="580">
        <f t="shared" si="696"/>
        <v>-2053.98818295709</v>
      </c>
      <c r="AW348" s="580">
        <f t="shared" si="696"/>
        <v>-2360.8555981815884</v>
      </c>
      <c r="AX348" s="580">
        <f t="shared" si="696"/>
        <v>-2150.7000523217794</v>
      </c>
      <c r="AY348" s="580">
        <f t="shared" si="696"/>
        <v>-2032.1680216900133</v>
      </c>
      <c r="AZ348" s="580">
        <f t="shared" si="696"/>
        <v>-1973.7921902083817</v>
      </c>
      <c r="BA348" s="580">
        <f t="shared" si="696"/>
        <v>-2281.1845469171153</v>
      </c>
      <c r="BB348" s="580">
        <f t="shared" si="696"/>
        <v>-2165.6763180661578</v>
      </c>
      <c r="BC348" s="580">
        <f t="shared" si="696"/>
        <v>-2189.8890200798919</v>
      </c>
      <c r="BD348" s="580">
        <f t="shared" si="696"/>
        <v>-2380.4198293973814</v>
      </c>
      <c r="BE348" s="580">
        <f t="shared" si="696"/>
        <v>-2432.6037558592061</v>
      </c>
      <c r="BF348" s="580">
        <f t="shared" si="696"/>
        <v>-2838.8591126635765</v>
      </c>
      <c r="BG348" s="580">
        <f t="shared" si="696"/>
        <v>-1966.949370356393</v>
      </c>
      <c r="BH348" s="580">
        <f t="shared" si="696"/>
        <v>-2441.0540234779464</v>
      </c>
      <c r="BI348" s="580">
        <f t="shared" si="696"/>
        <v>-3261.9463138312749</v>
      </c>
      <c r="BJ348" s="580">
        <f t="shared" si="696"/>
        <v>-3222.8889419102165</v>
      </c>
      <c r="BK348" s="580">
        <f t="shared" si="696"/>
        <v>-2482.8445731606107</v>
      </c>
    </row>
    <row r="349" spans="1:63" s="240" customFormat="1">
      <c r="A349" s="209"/>
      <c r="B349" s="209"/>
      <c r="C349" s="209"/>
      <c r="D349" s="209"/>
      <c r="AF349" s="579"/>
      <c r="AG349" s="579"/>
      <c r="AH349" s="579"/>
      <c r="AI349" s="579"/>
      <c r="AJ349" s="579"/>
      <c r="AK349" s="579"/>
      <c r="AL349" s="579"/>
      <c r="AM349" s="579"/>
      <c r="AN349" s="579"/>
      <c r="AO349" s="579"/>
      <c r="AP349" s="579"/>
      <c r="AQ349" s="579"/>
      <c r="AR349" s="579"/>
      <c r="AS349" s="579"/>
      <c r="AT349" s="579"/>
      <c r="AU349" s="579"/>
      <c r="AV349" s="579"/>
      <c r="AW349" s="579"/>
      <c r="AX349" s="579"/>
      <c r="AY349" s="579"/>
      <c r="AZ349" s="579"/>
      <c r="BA349" s="579"/>
      <c r="BB349" s="579"/>
      <c r="BC349" s="579"/>
      <c r="BD349" s="579"/>
      <c r="BE349" s="579"/>
      <c r="BF349" s="579"/>
      <c r="BG349" s="579"/>
      <c r="BH349" s="579"/>
      <c r="BI349" s="579"/>
      <c r="BJ349" s="579"/>
      <c r="BK349" s="579"/>
    </row>
    <row r="350" spans="1:63" s="240" customFormat="1">
      <c r="A350" s="209"/>
      <c r="B350" s="209"/>
      <c r="C350" s="209"/>
      <c r="D350" s="209"/>
      <c r="AF350" s="579"/>
      <c r="AG350" s="579"/>
      <c r="AH350" s="579"/>
      <c r="AI350" s="579"/>
      <c r="AJ350" s="579"/>
      <c r="AK350" s="579"/>
      <c r="AL350" s="579"/>
      <c r="AM350" s="579"/>
      <c r="AN350" s="579"/>
      <c r="AO350" s="579"/>
      <c r="AP350" s="579"/>
      <c r="AQ350" s="579"/>
      <c r="AR350" s="579"/>
      <c r="AS350" s="579"/>
      <c r="AT350" s="579"/>
      <c r="AU350" s="579"/>
      <c r="AV350" s="579"/>
      <c r="AW350" s="579"/>
      <c r="AX350" s="579"/>
      <c r="AY350" s="579"/>
      <c r="AZ350" s="579"/>
      <c r="BA350" s="579"/>
      <c r="BB350" s="579"/>
      <c r="BC350" s="579"/>
      <c r="BD350" s="579"/>
      <c r="BE350" s="579"/>
      <c r="BF350" s="579"/>
      <c r="BG350" s="579"/>
      <c r="BH350" s="579"/>
      <c r="BI350" s="579"/>
      <c r="BJ350" s="579"/>
      <c r="BK350" s="579"/>
    </row>
    <row r="351" spans="1:63" s="240" customFormat="1">
      <c r="A351" s="209"/>
      <c r="B351" s="209"/>
      <c r="C351" s="209"/>
      <c r="D351" s="209"/>
      <c r="AF351" s="579"/>
      <c r="AG351" s="579"/>
      <c r="AH351" s="579"/>
      <c r="AI351" s="579"/>
      <c r="AJ351" s="579"/>
      <c r="AK351" s="579"/>
      <c r="AL351" s="579"/>
      <c r="AM351" s="579"/>
      <c r="AN351" s="579"/>
      <c r="AO351" s="579"/>
      <c r="AP351" s="579"/>
      <c r="AQ351" s="579"/>
      <c r="AR351" s="579"/>
      <c r="AS351" s="579"/>
      <c r="AT351" s="579"/>
      <c r="AU351" s="579"/>
      <c r="AV351" s="579"/>
      <c r="AW351" s="579"/>
      <c r="AX351" s="579"/>
      <c r="AY351" s="579"/>
      <c r="AZ351" s="579"/>
      <c r="BA351" s="579"/>
      <c r="BB351" s="579"/>
      <c r="BC351" s="579"/>
      <c r="BD351" s="579"/>
      <c r="BE351" s="579"/>
      <c r="BF351" s="579"/>
      <c r="BG351" s="579"/>
      <c r="BH351" s="579"/>
      <c r="BI351" s="579"/>
      <c r="BJ351" s="579"/>
      <c r="BK351" s="579"/>
    </row>
    <row r="352" spans="1:63" s="240" customFormat="1">
      <c r="A352" s="209"/>
      <c r="B352" s="209"/>
      <c r="C352" s="275" t="s">
        <v>1558</v>
      </c>
      <c r="D352" s="209"/>
      <c r="AF352" s="579"/>
      <c r="AG352" s="579"/>
      <c r="AH352" s="579"/>
      <c r="AI352" s="579"/>
      <c r="AJ352" s="579"/>
      <c r="AK352" s="579"/>
      <c r="AL352" s="579"/>
      <c r="AM352" s="579"/>
      <c r="AN352" s="579"/>
      <c r="AO352" s="579"/>
      <c r="AP352" s="579"/>
      <c r="AQ352" s="579"/>
      <c r="AR352" s="579"/>
      <c r="AS352" s="579"/>
      <c r="AT352" s="579"/>
      <c r="AU352" s="579"/>
      <c r="AV352" s="579"/>
      <c r="AW352" s="579"/>
      <c r="AX352" s="579"/>
      <c r="AY352" s="579"/>
      <c r="AZ352" s="579"/>
      <c r="BA352" s="579"/>
      <c r="BB352" s="579"/>
      <c r="BC352" s="579"/>
      <c r="BD352" s="579"/>
      <c r="BE352" s="579"/>
      <c r="BF352" s="579"/>
      <c r="BG352" s="579"/>
      <c r="BH352" s="579"/>
      <c r="BI352" s="579"/>
      <c r="BJ352" s="579"/>
      <c r="BK352" s="579"/>
    </row>
    <row r="353" spans="1:63" s="240" customFormat="1">
      <c r="A353" s="209"/>
      <c r="B353" s="209" t="s">
        <v>1559</v>
      </c>
      <c r="C353" s="209" t="s">
        <v>1560</v>
      </c>
      <c r="D353" s="209"/>
      <c r="F353" s="251"/>
      <c r="G353" s="251"/>
      <c r="H353" s="251"/>
      <c r="I353" s="251"/>
      <c r="J353" s="251"/>
      <c r="K353" s="251"/>
      <c r="L353" s="251"/>
      <c r="M353" s="251">
        <f>+'Inc Stmt'!C23</f>
        <v>1711.5650000000001</v>
      </c>
      <c r="N353" s="251">
        <f>+'Inc Stmt'!D23</f>
        <v>1798.9459999999999</v>
      </c>
      <c r="O353" s="251">
        <f>+'Inc Stmt'!E23</f>
        <v>1853.663</v>
      </c>
      <c r="P353" s="251">
        <f>+'Inc Stmt'!F23</f>
        <v>1910</v>
      </c>
      <c r="Q353" s="251">
        <f>+'Inc Stmt'!G23</f>
        <v>1902.6</v>
      </c>
      <c r="R353" s="251">
        <f>+'Inc Stmt'!H23</f>
        <v>1746.1</v>
      </c>
      <c r="S353" s="251">
        <f>+'Inc Stmt'!I23</f>
        <v>1306.2</v>
      </c>
      <c r="T353" s="251">
        <f>+'Inc Stmt'!J23</f>
        <v>1364.5</v>
      </c>
      <c r="U353" s="251">
        <f>+'Inc Stmt'!K23</f>
        <v>1228.4000000000001</v>
      </c>
      <c r="V353" s="251">
        <f>+'Inc Stmt'!L23</f>
        <v>1456.2</v>
      </c>
      <c r="W353" s="251">
        <f>+'Inc Stmt'!M23</f>
        <v>1667.7</v>
      </c>
      <c r="X353" s="251">
        <f>+'Inc Stmt'!N23</f>
        <v>1796.1</v>
      </c>
      <c r="Y353" s="251">
        <f>+'Inc Stmt'!O23</f>
        <v>2674</v>
      </c>
      <c r="Z353" s="251">
        <f>+'Inc Stmt'!P23</f>
        <v>3071.6</v>
      </c>
      <c r="AA353" s="251">
        <f>+'Inc Stmt'!Q23</f>
        <v>3072.9</v>
      </c>
      <c r="AB353" s="251">
        <f>+'Inc Stmt'!R23</f>
        <v>3374.2725000000005</v>
      </c>
      <c r="AC353" s="251">
        <f>+'Inc Stmt'!S23</f>
        <v>3650.2725000000005</v>
      </c>
      <c r="AD353" s="251">
        <f>+'Inc Stmt'!T23</f>
        <v>3983.1750000000002</v>
      </c>
      <c r="AF353" s="579"/>
      <c r="AG353" s="579"/>
      <c r="AH353" s="579"/>
      <c r="AI353" s="579"/>
      <c r="AJ353" s="579"/>
      <c r="AK353" s="579"/>
      <c r="AL353" s="579"/>
      <c r="AM353" s="579"/>
      <c r="AN353" s="579"/>
      <c r="AO353" s="579"/>
      <c r="AP353" s="579"/>
      <c r="AQ353" s="579"/>
      <c r="AR353" s="579"/>
      <c r="AS353" s="579"/>
      <c r="AT353" s="579"/>
      <c r="AU353" s="579"/>
      <c r="AV353" s="579"/>
      <c r="AW353" s="579"/>
      <c r="AX353" s="579"/>
      <c r="AY353" s="579"/>
      <c r="AZ353" s="579"/>
      <c r="BA353" s="579"/>
      <c r="BB353" s="579"/>
      <c r="BC353" s="579"/>
      <c r="BD353" s="579"/>
      <c r="BE353" s="579"/>
      <c r="BF353" s="579"/>
      <c r="BG353" s="579"/>
      <c r="BH353" s="579"/>
      <c r="BI353" s="579"/>
      <c r="BJ353" s="579"/>
      <c r="BK353" s="579"/>
    </row>
    <row r="354" spans="1:63" s="248" customFormat="1">
      <c r="A354" s="247"/>
      <c r="B354" s="247" t="s">
        <v>1561</v>
      </c>
      <c r="C354" s="247" t="s">
        <v>1562</v>
      </c>
      <c r="D354" s="247"/>
      <c r="F354" s="249"/>
      <c r="G354" s="249"/>
      <c r="H354" s="249"/>
      <c r="I354" s="249"/>
      <c r="J354" s="249"/>
      <c r="K354" s="249"/>
      <c r="L354" s="249"/>
      <c r="M354" s="249"/>
      <c r="N354" s="249"/>
      <c r="O354" s="249"/>
      <c r="P354" s="249"/>
      <c r="Q354" s="249"/>
      <c r="R354" s="249"/>
      <c r="S354" s="249"/>
      <c r="T354" s="249"/>
      <c r="U354" s="249"/>
      <c r="V354" s="249"/>
      <c r="W354" s="249"/>
      <c r="X354" s="249"/>
      <c r="Y354" s="249"/>
      <c r="Z354" s="249"/>
      <c r="AA354" s="249"/>
      <c r="AB354" s="249"/>
      <c r="AC354" s="249"/>
      <c r="AD354" s="249"/>
      <c r="AF354" s="581"/>
      <c r="AG354" s="581"/>
      <c r="AH354" s="581"/>
      <c r="AI354" s="581"/>
      <c r="AJ354" s="581"/>
      <c r="AK354" s="581"/>
      <c r="AL354" s="581"/>
      <c r="AM354" s="581"/>
      <c r="AN354" s="581"/>
      <c r="AO354" s="581"/>
      <c r="AP354" s="581"/>
      <c r="AQ354" s="581"/>
      <c r="AR354" s="581"/>
      <c r="AS354" s="581"/>
      <c r="AT354" s="581"/>
      <c r="AU354" s="581"/>
      <c r="AV354" s="581"/>
      <c r="AW354" s="581"/>
      <c r="AX354" s="581"/>
      <c r="AY354" s="581"/>
      <c r="AZ354" s="581"/>
      <c r="BA354" s="581"/>
      <c r="BB354" s="581"/>
      <c r="BC354" s="581"/>
      <c r="BD354" s="581"/>
      <c r="BE354" s="581"/>
      <c r="BF354" s="581"/>
      <c r="BG354" s="581"/>
      <c r="BH354" s="581"/>
      <c r="BI354" s="581"/>
      <c r="BJ354" s="581"/>
      <c r="BK354" s="581"/>
    </row>
    <row r="355" spans="1:63" s="245" customFormat="1">
      <c r="A355" s="243"/>
      <c r="B355" s="243" t="s">
        <v>1563</v>
      </c>
      <c r="C355" s="243" t="s">
        <v>1564</v>
      </c>
      <c r="D355" s="243"/>
      <c r="F355" s="245">
        <f t="shared" ref="F355:AD355" si="697">F353+F354</f>
        <v>0</v>
      </c>
      <c r="G355" s="245">
        <f t="shared" si="697"/>
        <v>0</v>
      </c>
      <c r="H355" s="245">
        <f t="shared" si="697"/>
        <v>0</v>
      </c>
      <c r="I355" s="245">
        <f t="shared" si="697"/>
        <v>0</v>
      </c>
      <c r="J355" s="245">
        <f t="shared" si="697"/>
        <v>0</v>
      </c>
      <c r="K355" s="245">
        <f t="shared" si="697"/>
        <v>0</v>
      </c>
      <c r="M355" s="245">
        <f t="shared" si="697"/>
        <v>1711.5650000000001</v>
      </c>
      <c r="N355" s="245">
        <f t="shared" si="697"/>
        <v>1798.9459999999999</v>
      </c>
      <c r="O355" s="245">
        <f t="shared" si="697"/>
        <v>1853.663</v>
      </c>
      <c r="P355" s="245">
        <f t="shared" si="697"/>
        <v>1910</v>
      </c>
      <c r="Q355" s="245">
        <f t="shared" si="697"/>
        <v>1902.6</v>
      </c>
      <c r="R355" s="245">
        <f t="shared" si="697"/>
        <v>1746.1</v>
      </c>
      <c r="S355" s="245">
        <f t="shared" si="697"/>
        <v>1306.2</v>
      </c>
      <c r="T355" s="245">
        <f t="shared" si="697"/>
        <v>1364.5</v>
      </c>
      <c r="U355" s="245">
        <f t="shared" si="697"/>
        <v>1228.4000000000001</v>
      </c>
      <c r="V355" s="245">
        <f t="shared" si="697"/>
        <v>1456.2</v>
      </c>
      <c r="W355" s="245">
        <f t="shared" si="697"/>
        <v>1667.7</v>
      </c>
      <c r="X355" s="245">
        <f t="shared" si="697"/>
        <v>1796.1</v>
      </c>
      <c r="Y355" s="245">
        <f t="shared" si="697"/>
        <v>2674</v>
      </c>
      <c r="Z355" s="245">
        <f>Z353+Z354</f>
        <v>3071.6</v>
      </c>
      <c r="AA355" s="245">
        <f>AA353+AA354</f>
        <v>3072.9</v>
      </c>
      <c r="AB355" s="245">
        <f>AB353+AB354</f>
        <v>3374.2725000000005</v>
      </c>
      <c r="AC355" s="245">
        <f t="shared" si="697"/>
        <v>3650.2725000000005</v>
      </c>
      <c r="AD355" s="245">
        <f t="shared" si="697"/>
        <v>3983.1750000000002</v>
      </c>
      <c r="AF355" s="580">
        <f t="shared" ref="AF355:BK355" si="698">AF353+AF354</f>
        <v>0</v>
      </c>
      <c r="AG355" s="580">
        <f t="shared" si="698"/>
        <v>0</v>
      </c>
      <c r="AH355" s="580">
        <f t="shared" si="698"/>
        <v>0</v>
      </c>
      <c r="AI355" s="580">
        <f t="shared" si="698"/>
        <v>0</v>
      </c>
      <c r="AJ355" s="580">
        <f t="shared" si="698"/>
        <v>0</v>
      </c>
      <c r="AK355" s="580">
        <f t="shared" si="698"/>
        <v>0</v>
      </c>
      <c r="AL355" s="580">
        <f t="shared" si="698"/>
        <v>0</v>
      </c>
      <c r="AM355" s="580">
        <f t="shared" si="698"/>
        <v>0</v>
      </c>
      <c r="AN355" s="580">
        <f t="shared" si="698"/>
        <v>0</v>
      </c>
      <c r="AO355" s="580">
        <f t="shared" si="698"/>
        <v>0</v>
      </c>
      <c r="AP355" s="580">
        <f t="shared" si="698"/>
        <v>0</v>
      </c>
      <c r="AQ355" s="580">
        <f t="shared" si="698"/>
        <v>0</v>
      </c>
      <c r="AR355" s="580">
        <f t="shared" si="698"/>
        <v>0</v>
      </c>
      <c r="AS355" s="580">
        <f t="shared" si="698"/>
        <v>0</v>
      </c>
      <c r="AT355" s="580">
        <f t="shared" si="698"/>
        <v>0</v>
      </c>
      <c r="AU355" s="580">
        <f t="shared" si="698"/>
        <v>0</v>
      </c>
      <c r="AV355" s="580">
        <f t="shared" si="698"/>
        <v>0</v>
      </c>
      <c r="AW355" s="580">
        <f t="shared" si="698"/>
        <v>0</v>
      </c>
      <c r="AX355" s="580">
        <f t="shared" si="698"/>
        <v>0</v>
      </c>
      <c r="AY355" s="580">
        <f t="shared" si="698"/>
        <v>0</v>
      </c>
      <c r="AZ355" s="580">
        <f t="shared" si="698"/>
        <v>0</v>
      </c>
      <c r="BA355" s="580">
        <f t="shared" si="698"/>
        <v>0</v>
      </c>
      <c r="BB355" s="580">
        <f t="shared" si="698"/>
        <v>0</v>
      </c>
      <c r="BC355" s="580">
        <f t="shared" si="698"/>
        <v>0</v>
      </c>
      <c r="BD355" s="580">
        <f t="shared" si="698"/>
        <v>0</v>
      </c>
      <c r="BE355" s="580">
        <f t="shared" si="698"/>
        <v>0</v>
      </c>
      <c r="BF355" s="580">
        <f t="shared" si="698"/>
        <v>0</v>
      </c>
      <c r="BG355" s="580">
        <f t="shared" si="698"/>
        <v>0</v>
      </c>
      <c r="BH355" s="580">
        <f t="shared" si="698"/>
        <v>0</v>
      </c>
      <c r="BI355" s="580">
        <f t="shared" si="698"/>
        <v>0</v>
      </c>
      <c r="BJ355" s="580">
        <f t="shared" si="698"/>
        <v>0</v>
      </c>
      <c r="BK355" s="580">
        <f t="shared" si="698"/>
        <v>0</v>
      </c>
    </row>
    <row r="356" spans="1:63" s="240" customFormat="1">
      <c r="A356" s="209"/>
      <c r="B356" s="209" t="s">
        <v>1565</v>
      </c>
      <c r="C356" s="209" t="s">
        <v>1566</v>
      </c>
      <c r="D356" s="209"/>
      <c r="F356" s="251"/>
      <c r="G356" s="251"/>
      <c r="H356" s="251"/>
      <c r="I356" s="251"/>
      <c r="J356" s="251"/>
      <c r="K356" s="251"/>
      <c r="L356" s="251"/>
      <c r="M356" s="251"/>
      <c r="N356" s="251"/>
      <c r="O356" s="251"/>
      <c r="P356" s="251"/>
      <c r="Q356" s="251"/>
      <c r="R356" s="251"/>
      <c r="S356" s="251"/>
      <c r="T356" s="251"/>
      <c r="U356" s="251"/>
      <c r="V356" s="251"/>
      <c r="W356" s="251"/>
      <c r="X356" s="251"/>
      <c r="Y356" s="251"/>
      <c r="Z356" s="251"/>
      <c r="AA356" s="251"/>
      <c r="AB356" s="251"/>
      <c r="AC356" s="251"/>
      <c r="AD356" s="251"/>
      <c r="AF356" s="579"/>
      <c r="AG356" s="579"/>
      <c r="AH356" s="579"/>
      <c r="AI356" s="579"/>
      <c r="AJ356" s="579"/>
      <c r="AK356" s="579"/>
      <c r="AL356" s="579"/>
      <c r="AM356" s="579"/>
      <c r="AN356" s="579"/>
      <c r="AO356" s="579"/>
      <c r="AP356" s="579"/>
      <c r="AQ356" s="579"/>
      <c r="AR356" s="579"/>
      <c r="AS356" s="579"/>
      <c r="AT356" s="579"/>
      <c r="AU356" s="579"/>
      <c r="AV356" s="579"/>
      <c r="AW356" s="579"/>
      <c r="AX356" s="579"/>
      <c r="AY356" s="579"/>
      <c r="AZ356" s="579"/>
      <c r="BA356" s="579"/>
      <c r="BB356" s="579"/>
      <c r="BC356" s="579"/>
      <c r="BD356" s="579"/>
      <c r="BE356" s="579"/>
      <c r="BF356" s="579"/>
      <c r="BG356" s="579"/>
      <c r="BH356" s="579"/>
      <c r="BI356" s="579"/>
      <c r="BJ356" s="579"/>
      <c r="BK356" s="579"/>
    </row>
    <row r="357" spans="1:63" s="240" customFormat="1">
      <c r="A357" s="209"/>
      <c r="B357" s="209" t="s">
        <v>1567</v>
      </c>
      <c r="C357" s="209" t="s">
        <v>1568</v>
      </c>
      <c r="D357" s="209"/>
      <c r="F357" s="251"/>
      <c r="G357" s="251"/>
      <c r="H357" s="251"/>
      <c r="I357" s="251"/>
      <c r="J357" s="251"/>
      <c r="K357" s="251"/>
      <c r="L357" s="251"/>
      <c r="M357" s="251"/>
      <c r="N357" s="251"/>
      <c r="O357" s="251"/>
      <c r="P357" s="251"/>
      <c r="Q357" s="251"/>
      <c r="R357" s="251"/>
      <c r="S357" s="251"/>
      <c r="T357" s="251"/>
      <c r="U357" s="251"/>
      <c r="V357" s="251"/>
      <c r="W357" s="251"/>
      <c r="X357" s="251"/>
      <c r="Y357" s="251"/>
      <c r="Z357" s="251"/>
      <c r="AA357" s="251"/>
      <c r="AB357" s="251"/>
      <c r="AC357" s="251"/>
      <c r="AD357" s="251"/>
      <c r="AF357" s="579"/>
      <c r="AG357" s="579"/>
      <c r="AH357" s="579"/>
      <c r="AI357" s="579"/>
      <c r="AJ357" s="579"/>
      <c r="AK357" s="579"/>
      <c r="AL357" s="579"/>
      <c r="AM357" s="579"/>
      <c r="AN357" s="579"/>
      <c r="AO357" s="579"/>
      <c r="AP357" s="579"/>
      <c r="AQ357" s="579"/>
      <c r="AR357" s="579"/>
      <c r="AS357" s="579"/>
      <c r="AT357" s="579"/>
      <c r="AU357" s="579"/>
      <c r="AV357" s="579"/>
      <c r="AW357" s="579"/>
      <c r="AX357" s="579"/>
      <c r="AY357" s="579"/>
      <c r="AZ357" s="579"/>
      <c r="BA357" s="579"/>
      <c r="BB357" s="579"/>
      <c r="BC357" s="579"/>
      <c r="BD357" s="579"/>
      <c r="BE357" s="579"/>
      <c r="BF357" s="579"/>
      <c r="BG357" s="579"/>
      <c r="BH357" s="579"/>
      <c r="BI357" s="579"/>
      <c r="BJ357" s="579"/>
      <c r="BK357" s="579"/>
    </row>
    <row r="358" spans="1:63" s="245" customFormat="1">
      <c r="A358" s="243"/>
      <c r="B358" s="243" t="s">
        <v>1569</v>
      </c>
      <c r="C358" s="243" t="s">
        <v>1570</v>
      </c>
      <c r="D358" s="243"/>
      <c r="F358" s="245">
        <f t="shared" ref="F358:Y358" si="699">F356+F357</f>
        <v>0</v>
      </c>
      <c r="G358" s="245">
        <f t="shared" si="699"/>
        <v>0</v>
      </c>
      <c r="H358" s="245">
        <f t="shared" si="699"/>
        <v>0</v>
      </c>
      <c r="I358" s="245">
        <f t="shared" si="699"/>
        <v>0</v>
      </c>
      <c r="J358" s="245">
        <f t="shared" si="699"/>
        <v>0</v>
      </c>
      <c r="K358" s="245">
        <f t="shared" si="699"/>
        <v>0</v>
      </c>
      <c r="L358" s="245">
        <f t="shared" si="699"/>
        <v>0</v>
      </c>
      <c r="M358" s="245">
        <f t="shared" si="699"/>
        <v>0</v>
      </c>
      <c r="N358" s="245">
        <f t="shared" si="699"/>
        <v>0</v>
      </c>
      <c r="O358" s="245">
        <f t="shared" si="699"/>
        <v>0</v>
      </c>
      <c r="P358" s="245">
        <f t="shared" si="699"/>
        <v>0</v>
      </c>
      <c r="Q358" s="245">
        <f t="shared" si="699"/>
        <v>0</v>
      </c>
      <c r="R358" s="245">
        <f t="shared" si="699"/>
        <v>0</v>
      </c>
      <c r="S358" s="245">
        <f t="shared" si="699"/>
        <v>0</v>
      </c>
      <c r="T358" s="245">
        <f t="shared" si="699"/>
        <v>0</v>
      </c>
      <c r="U358" s="245">
        <f t="shared" si="699"/>
        <v>0</v>
      </c>
      <c r="V358" s="245">
        <f t="shared" si="699"/>
        <v>0</v>
      </c>
      <c r="W358" s="245">
        <f t="shared" si="699"/>
        <v>0</v>
      </c>
      <c r="X358" s="245">
        <f t="shared" si="699"/>
        <v>0</v>
      </c>
      <c r="Y358" s="245">
        <f t="shared" si="699"/>
        <v>0</v>
      </c>
      <c r="Z358" s="245">
        <f>Z356+Z357</f>
        <v>0</v>
      </c>
      <c r="AA358" s="245">
        <f>AA356+AA357</f>
        <v>0</v>
      </c>
      <c r="AB358" s="245">
        <f>AB356+AB357</f>
        <v>0</v>
      </c>
      <c r="AC358" s="245">
        <f t="shared" ref="AC358:AD358" si="700">AC356+AC357</f>
        <v>0</v>
      </c>
      <c r="AD358" s="245">
        <f t="shared" si="700"/>
        <v>0</v>
      </c>
      <c r="AF358" s="580">
        <f t="shared" ref="AF358:BK358" si="701">AF356+AF357</f>
        <v>0</v>
      </c>
      <c r="AG358" s="580">
        <f t="shared" si="701"/>
        <v>0</v>
      </c>
      <c r="AH358" s="580">
        <f t="shared" si="701"/>
        <v>0</v>
      </c>
      <c r="AI358" s="580">
        <f t="shared" si="701"/>
        <v>0</v>
      </c>
      <c r="AJ358" s="580">
        <f t="shared" si="701"/>
        <v>0</v>
      </c>
      <c r="AK358" s="580">
        <f t="shared" si="701"/>
        <v>0</v>
      </c>
      <c r="AL358" s="580">
        <f t="shared" si="701"/>
        <v>0</v>
      </c>
      <c r="AM358" s="580">
        <f t="shared" si="701"/>
        <v>0</v>
      </c>
      <c r="AN358" s="580">
        <f t="shared" si="701"/>
        <v>0</v>
      </c>
      <c r="AO358" s="580">
        <f t="shared" si="701"/>
        <v>0</v>
      </c>
      <c r="AP358" s="580">
        <f t="shared" si="701"/>
        <v>0</v>
      </c>
      <c r="AQ358" s="580">
        <f t="shared" si="701"/>
        <v>0</v>
      </c>
      <c r="AR358" s="580">
        <f t="shared" si="701"/>
        <v>0</v>
      </c>
      <c r="AS358" s="580">
        <f t="shared" si="701"/>
        <v>0</v>
      </c>
      <c r="AT358" s="580">
        <f t="shared" si="701"/>
        <v>0</v>
      </c>
      <c r="AU358" s="580">
        <f t="shared" si="701"/>
        <v>0</v>
      </c>
      <c r="AV358" s="580">
        <f t="shared" si="701"/>
        <v>0</v>
      </c>
      <c r="AW358" s="580">
        <f t="shared" si="701"/>
        <v>0</v>
      </c>
      <c r="AX358" s="580">
        <f t="shared" si="701"/>
        <v>0</v>
      </c>
      <c r="AY358" s="580">
        <f t="shared" si="701"/>
        <v>0</v>
      </c>
      <c r="AZ358" s="580">
        <f t="shared" si="701"/>
        <v>0</v>
      </c>
      <c r="BA358" s="580">
        <f t="shared" si="701"/>
        <v>0</v>
      </c>
      <c r="BB358" s="580">
        <f t="shared" si="701"/>
        <v>0</v>
      </c>
      <c r="BC358" s="580">
        <f t="shared" si="701"/>
        <v>0</v>
      </c>
      <c r="BD358" s="580">
        <f t="shared" si="701"/>
        <v>0</v>
      </c>
      <c r="BE358" s="580">
        <f t="shared" si="701"/>
        <v>0</v>
      </c>
      <c r="BF358" s="580">
        <f t="shared" si="701"/>
        <v>0</v>
      </c>
      <c r="BG358" s="580">
        <f t="shared" si="701"/>
        <v>0</v>
      </c>
      <c r="BH358" s="580">
        <f t="shared" si="701"/>
        <v>0</v>
      </c>
      <c r="BI358" s="580">
        <f t="shared" si="701"/>
        <v>0</v>
      </c>
      <c r="BJ358" s="580">
        <f t="shared" si="701"/>
        <v>0</v>
      </c>
      <c r="BK358" s="580">
        <f t="shared" si="701"/>
        <v>0</v>
      </c>
    </row>
    <row r="359" spans="1:63" s="240" customFormat="1">
      <c r="A359" s="209"/>
      <c r="B359" s="209"/>
      <c r="C359" s="209"/>
      <c r="D359" s="209"/>
      <c r="AF359" s="579"/>
      <c r="AG359" s="579"/>
      <c r="AH359" s="579"/>
      <c r="AI359" s="579"/>
      <c r="AJ359" s="579"/>
      <c r="AK359" s="579"/>
      <c r="AL359" s="579"/>
      <c r="AM359" s="579"/>
      <c r="AN359" s="579"/>
      <c r="AO359" s="579"/>
      <c r="AP359" s="579"/>
      <c r="AQ359" s="579"/>
      <c r="AR359" s="579"/>
      <c r="AS359" s="579"/>
      <c r="AT359" s="579"/>
      <c r="AU359" s="579"/>
      <c r="AV359" s="579"/>
      <c r="AW359" s="579"/>
      <c r="AX359" s="579"/>
      <c r="AY359" s="579"/>
      <c r="AZ359" s="579"/>
      <c r="BA359" s="579"/>
      <c r="BB359" s="579"/>
      <c r="BC359" s="579"/>
      <c r="BD359" s="579"/>
      <c r="BE359" s="579"/>
      <c r="BF359" s="579"/>
      <c r="BG359" s="579"/>
      <c r="BH359" s="579"/>
      <c r="BI359" s="579"/>
      <c r="BJ359" s="579"/>
      <c r="BK359" s="579"/>
    </row>
    <row r="360" spans="1:63" s="240" customFormat="1">
      <c r="A360" s="209"/>
      <c r="B360" s="209"/>
      <c r="C360" s="275" t="s">
        <v>1571</v>
      </c>
      <c r="D360" s="209"/>
      <c r="AF360" s="579"/>
      <c r="AG360" s="579"/>
      <c r="AH360" s="579"/>
      <c r="AI360" s="579"/>
      <c r="AJ360" s="579"/>
      <c r="AK360" s="579"/>
      <c r="AL360" s="579"/>
      <c r="AM360" s="579"/>
      <c r="AN360" s="579"/>
      <c r="AO360" s="579"/>
      <c r="AP360" s="579"/>
      <c r="AQ360" s="579"/>
      <c r="AR360" s="579"/>
      <c r="AS360" s="579"/>
      <c r="AT360" s="579"/>
      <c r="AU360" s="579"/>
      <c r="AV360" s="579"/>
      <c r="AW360" s="579"/>
      <c r="AX360" s="579"/>
      <c r="AY360" s="579"/>
      <c r="AZ360" s="579"/>
      <c r="BA360" s="579"/>
      <c r="BB360" s="579"/>
      <c r="BC360" s="579"/>
      <c r="BD360" s="579"/>
      <c r="BE360" s="579"/>
      <c r="BF360" s="579"/>
      <c r="BG360" s="579"/>
      <c r="BH360" s="579"/>
      <c r="BI360" s="579"/>
      <c r="BJ360" s="579"/>
      <c r="BK360" s="579"/>
    </row>
    <row r="361" spans="1:63" s="240" customFormat="1">
      <c r="A361" s="209"/>
      <c r="B361" s="209" t="s">
        <v>1572</v>
      </c>
      <c r="C361" s="270" t="s">
        <v>214</v>
      </c>
      <c r="D361" s="209"/>
      <c r="F361" s="251"/>
      <c r="G361" s="251"/>
      <c r="H361" s="251"/>
      <c r="I361" s="251"/>
      <c r="J361" s="251"/>
      <c r="K361" s="251"/>
      <c r="L361" s="251"/>
      <c r="M361" s="251">
        <f>-'Inc Stmt'!C61</f>
        <v>-1416.569</v>
      </c>
      <c r="N361" s="251">
        <f>-'Inc Stmt'!D61</f>
        <v>-2529.587</v>
      </c>
      <c r="O361" s="251">
        <f>-'Inc Stmt'!E61</f>
        <v>-2529.587</v>
      </c>
      <c r="P361" s="251">
        <f>-'Inc Stmt'!F61</f>
        <v>-4047.4</v>
      </c>
      <c r="Q361" s="251">
        <f>-'Inc Stmt'!G61</f>
        <v>-4047.3</v>
      </c>
      <c r="R361" s="251">
        <f>-'Inc Stmt'!H61</f>
        <v>-2893.7</v>
      </c>
      <c r="S361" s="251">
        <f>-'Inc Stmt'!I61</f>
        <v>-3183.0372200000002</v>
      </c>
      <c r="T361" s="251">
        <f>-'Inc Stmt'!J61</f>
        <v>-5787.3</v>
      </c>
      <c r="U361" s="251">
        <f>-'Inc Stmt'!K61</f>
        <v>-11574.7</v>
      </c>
      <c r="V361" s="251">
        <f>-'Inc Stmt'!L61</f>
        <v>-13021.5</v>
      </c>
      <c r="W361" s="251">
        <f>-'Inc Stmt'!M61</f>
        <v>-13021.5159</v>
      </c>
      <c r="X361" s="251">
        <f>-'Inc Stmt'!N61</f>
        <v>-14468.351000000001</v>
      </c>
      <c r="Y361" s="251">
        <f>-'Inc Stmt'!O61</f>
        <v>-14468.351000000001</v>
      </c>
      <c r="Z361" s="251">
        <f>-'Inc Stmt'!P61</f>
        <v>-15915.186100000001</v>
      </c>
      <c r="AA361" s="251">
        <f>-'Inc Stmt'!Q61</f>
        <v>-18808.856300000003</v>
      </c>
      <c r="AB361" s="251">
        <f>-'Inc Stmt'!R61</f>
        <v>-21702.526500000004</v>
      </c>
      <c r="AC361" s="251">
        <f>-'Inc Stmt'!S61</f>
        <v>-21702.526500000004</v>
      </c>
      <c r="AD361" s="251">
        <f>-'Inc Stmt'!T61</f>
        <v>-21702.526500000004</v>
      </c>
      <c r="AF361" s="579"/>
      <c r="AG361" s="579"/>
      <c r="AH361" s="579"/>
      <c r="AI361" s="579"/>
      <c r="AJ361" s="579"/>
      <c r="AK361" s="579"/>
      <c r="AL361" s="579"/>
      <c r="AM361" s="579"/>
      <c r="AN361" s="579"/>
      <c r="AO361" s="579"/>
      <c r="AP361" s="579"/>
      <c r="AQ361" s="579"/>
      <c r="AR361" s="579"/>
      <c r="AS361" s="579"/>
      <c r="AT361" s="579"/>
      <c r="AU361" s="579"/>
      <c r="AV361" s="579"/>
      <c r="AW361" s="579"/>
      <c r="AX361" s="579"/>
      <c r="AY361" s="579"/>
      <c r="AZ361" s="579"/>
      <c r="BA361" s="579"/>
      <c r="BB361" s="579"/>
      <c r="BC361" s="579"/>
      <c r="BD361" s="579"/>
      <c r="BE361" s="579"/>
      <c r="BF361" s="579"/>
      <c r="BG361" s="579"/>
      <c r="BH361" s="579"/>
      <c r="BI361" s="579"/>
      <c r="BJ361" s="579"/>
      <c r="BK361" s="579"/>
    </row>
    <row r="362" spans="1:63" s="240" customFormat="1">
      <c r="A362" s="209"/>
      <c r="B362" s="209" t="s">
        <v>1573</v>
      </c>
      <c r="C362" s="270" t="s">
        <v>1574</v>
      </c>
      <c r="D362" s="209"/>
      <c r="F362" s="251"/>
      <c r="G362" s="251"/>
      <c r="H362" s="251"/>
      <c r="I362" s="251"/>
      <c r="J362" s="251"/>
      <c r="K362" s="251"/>
      <c r="L362" s="251"/>
      <c r="M362" s="251">
        <f>'Inc Stmt'!C63</f>
        <v>181.49700000000001</v>
      </c>
      <c r="N362" s="251">
        <f>'Inc Stmt'!D63</f>
        <v>324.10300000000001</v>
      </c>
      <c r="O362" s="251">
        <f>'Inc Stmt'!E63</f>
        <v>354.774</v>
      </c>
      <c r="P362" s="251">
        <f>-'Inc Stmt'!F63</f>
        <v>-567.6</v>
      </c>
      <c r="Q362" s="251">
        <f>-'Inc Stmt'!G63</f>
        <v>-687.8</v>
      </c>
      <c r="R362" s="251">
        <f>-'Inc Stmt'!H63</f>
        <v>-491.8</v>
      </c>
      <c r="S362" s="251">
        <f>-'Inc Stmt'!I63</f>
        <v>-541</v>
      </c>
      <c r="T362" s="251">
        <f>-'Inc Stmt'!J63</f>
        <v>-961.2</v>
      </c>
      <c r="U362" s="251">
        <f>-'Inc Stmt'!K63</f>
        <v>-1877.7</v>
      </c>
      <c r="V362" s="251">
        <f>-'Inc Stmt'!L63</f>
        <v>-2112.4</v>
      </c>
      <c r="W362" s="251">
        <f>-'Inc Stmt'!M63</f>
        <v>-2213.6577030000003</v>
      </c>
      <c r="X362" s="251">
        <f>-'Inc Stmt'!N63</f>
        <v>-2459.6196700000005</v>
      </c>
      <c r="Y362" s="251">
        <f>-'Inc Stmt'!O63</f>
        <v>-2459.6196700000005</v>
      </c>
      <c r="Z362" s="251">
        <f>-'Inc Stmt'!P63</f>
        <v>-2705.5816370000002</v>
      </c>
      <c r="AA362" s="251">
        <f>-'Inc Stmt'!Q63</f>
        <v>-3197.5055710000006</v>
      </c>
      <c r="AB362" s="251">
        <f>-'Inc Stmt'!R63</f>
        <v>-3689.429505000001</v>
      </c>
      <c r="AC362" s="251">
        <f>-'Inc Stmt'!S63</f>
        <v>-3689.429505000001</v>
      </c>
      <c r="AD362" s="251">
        <f>-'Inc Stmt'!T63</f>
        <v>-3689.429505000001</v>
      </c>
      <c r="AF362" s="579"/>
      <c r="AG362" s="579"/>
      <c r="AH362" s="579"/>
      <c r="AI362" s="579"/>
      <c r="AJ362" s="579"/>
      <c r="AK362" s="579"/>
      <c r="AL362" s="579"/>
      <c r="AM362" s="579"/>
      <c r="AN362" s="579"/>
      <c r="AO362" s="579"/>
      <c r="AP362" s="579"/>
      <c r="AQ362" s="579"/>
      <c r="AR362" s="579"/>
      <c r="AS362" s="579"/>
      <c r="AT362" s="579"/>
      <c r="AU362" s="579"/>
      <c r="AV362" s="579"/>
      <c r="AW362" s="579"/>
      <c r="AX362" s="579"/>
      <c r="AY362" s="579"/>
      <c r="AZ362" s="579"/>
      <c r="BA362" s="579"/>
      <c r="BB362" s="579"/>
      <c r="BC362" s="579"/>
      <c r="BD362" s="579"/>
      <c r="BE362" s="579"/>
      <c r="BF362" s="579"/>
      <c r="BG362" s="579"/>
      <c r="BH362" s="579"/>
      <c r="BI362" s="579"/>
      <c r="BJ362" s="579"/>
      <c r="BK362" s="579"/>
    </row>
    <row r="363" spans="1:63" s="240" customFormat="1">
      <c r="A363" s="209"/>
      <c r="B363" s="209" t="s">
        <v>1575</v>
      </c>
      <c r="C363" s="270" t="s">
        <v>1576</v>
      </c>
      <c r="D363" s="209"/>
      <c r="F363" s="251"/>
      <c r="G363" s="251"/>
      <c r="H363" s="251"/>
      <c r="I363" s="251"/>
      <c r="J363" s="251"/>
      <c r="K363" s="251"/>
      <c r="L363" s="251"/>
      <c r="M363" s="251"/>
      <c r="N363" s="251"/>
      <c r="O363" s="251"/>
      <c r="P363" s="251"/>
      <c r="Q363" s="251"/>
      <c r="R363" s="251"/>
      <c r="S363" s="251"/>
      <c r="T363" s="251"/>
      <c r="U363" s="251"/>
      <c r="V363" s="251"/>
      <c r="W363" s="251"/>
      <c r="X363" s="251"/>
      <c r="Y363" s="251"/>
      <c r="Z363" s="251"/>
      <c r="AA363" s="251"/>
      <c r="AB363" s="251"/>
      <c r="AC363" s="251"/>
      <c r="AD363" s="251"/>
      <c r="AF363" s="579"/>
      <c r="AG363" s="579"/>
      <c r="AH363" s="579"/>
      <c r="AI363" s="579"/>
      <c r="AJ363" s="579"/>
      <c r="AK363" s="579"/>
      <c r="AL363" s="579"/>
      <c r="AM363" s="579"/>
      <c r="AN363" s="579"/>
      <c r="AO363" s="579"/>
      <c r="AP363" s="579"/>
      <c r="AQ363" s="579"/>
      <c r="AR363" s="579"/>
      <c r="AS363" s="579"/>
      <c r="AT363" s="579"/>
      <c r="AU363" s="579"/>
      <c r="AV363" s="579"/>
      <c r="AW363" s="579"/>
      <c r="AX363" s="579"/>
      <c r="AY363" s="579"/>
      <c r="AZ363" s="579"/>
      <c r="BA363" s="579"/>
      <c r="BB363" s="579"/>
      <c r="BC363" s="579"/>
      <c r="BD363" s="579"/>
      <c r="BE363" s="579"/>
      <c r="BF363" s="579"/>
      <c r="BG363" s="579"/>
      <c r="BH363" s="579"/>
      <c r="BI363" s="579"/>
      <c r="BJ363" s="579"/>
      <c r="BK363" s="579"/>
    </row>
    <row r="364" spans="1:63" s="240" customFormat="1">
      <c r="A364" s="209"/>
      <c r="B364" s="209"/>
      <c r="C364" s="209"/>
      <c r="D364" s="209"/>
      <c r="AF364" s="579"/>
      <c r="AG364" s="579"/>
      <c r="AH364" s="579"/>
      <c r="AI364" s="579"/>
      <c r="AJ364" s="579"/>
      <c r="AK364" s="579"/>
      <c r="AL364" s="579"/>
      <c r="AM364" s="579"/>
      <c r="AN364" s="579"/>
      <c r="AO364" s="579"/>
      <c r="AP364" s="579"/>
      <c r="AQ364" s="579"/>
      <c r="AR364" s="579"/>
      <c r="AS364" s="579"/>
      <c r="AT364" s="579"/>
      <c r="AU364" s="579"/>
      <c r="AV364" s="579"/>
      <c r="AW364" s="579"/>
      <c r="AX364" s="579"/>
      <c r="AY364" s="579"/>
      <c r="AZ364" s="579"/>
      <c r="BA364" s="579"/>
      <c r="BB364" s="579"/>
      <c r="BC364" s="579"/>
      <c r="BD364" s="579"/>
      <c r="BE364" s="579"/>
      <c r="BF364" s="579"/>
      <c r="BG364" s="579"/>
      <c r="BH364" s="579"/>
      <c r="BI364" s="579"/>
      <c r="BJ364" s="579"/>
      <c r="BK364" s="579"/>
    </row>
    <row r="365" spans="1:63" s="240" customFormat="1">
      <c r="A365" s="209"/>
      <c r="B365" s="209"/>
      <c r="C365" s="275" t="s">
        <v>1577</v>
      </c>
      <c r="D365" s="209"/>
      <c r="AF365" s="579"/>
      <c r="AG365" s="579"/>
      <c r="AH365" s="579"/>
      <c r="AI365" s="579"/>
      <c r="AJ365" s="579"/>
      <c r="AK365" s="579"/>
      <c r="AL365" s="579"/>
      <c r="AM365" s="579"/>
      <c r="AN365" s="579"/>
      <c r="AO365" s="579"/>
      <c r="AP365" s="579"/>
      <c r="AQ365" s="579"/>
      <c r="AR365" s="579"/>
      <c r="AS365" s="579"/>
      <c r="AT365" s="579"/>
      <c r="AU365" s="579"/>
      <c r="AV365" s="579"/>
      <c r="AW365" s="579"/>
      <c r="AX365" s="579"/>
      <c r="AY365" s="579"/>
      <c r="AZ365" s="579"/>
      <c r="BA365" s="579"/>
      <c r="BB365" s="579"/>
      <c r="BC365" s="579"/>
      <c r="BD365" s="579"/>
      <c r="BE365" s="579"/>
      <c r="BF365" s="579"/>
      <c r="BG365" s="579"/>
      <c r="BH365" s="579"/>
      <c r="BI365" s="579"/>
      <c r="BJ365" s="579"/>
      <c r="BK365" s="579"/>
    </row>
    <row r="366" spans="1:63" s="240" customFormat="1">
      <c r="A366" s="209"/>
      <c r="B366" s="209" t="s">
        <v>1578</v>
      </c>
      <c r="C366" s="270" t="s">
        <v>1579</v>
      </c>
      <c r="D366" s="209"/>
      <c r="F366" s="251"/>
      <c r="G366" s="251"/>
      <c r="H366" s="251"/>
      <c r="I366" s="251"/>
      <c r="J366" s="251"/>
      <c r="K366" s="251"/>
      <c r="L366" s="251"/>
      <c r="M366" s="251"/>
      <c r="N366" s="251"/>
      <c r="O366" s="251"/>
      <c r="P366" s="251"/>
      <c r="Q366" s="251"/>
      <c r="R366" s="251"/>
      <c r="S366" s="251"/>
      <c r="T366" s="251"/>
      <c r="U366" s="251"/>
      <c r="V366" s="251"/>
      <c r="W366" s="251"/>
      <c r="X366" s="251"/>
      <c r="Y366" s="251"/>
      <c r="Z366" s="251"/>
      <c r="AA366" s="251"/>
      <c r="AB366" s="251"/>
      <c r="AC366" s="251"/>
      <c r="AD366" s="251"/>
      <c r="AF366" s="579"/>
      <c r="AG366" s="579"/>
      <c r="AH366" s="579"/>
      <c r="AI366" s="579"/>
      <c r="AJ366" s="579"/>
      <c r="AK366" s="579"/>
      <c r="AL366" s="579"/>
      <c r="AM366" s="579"/>
      <c r="AN366" s="579"/>
      <c r="AO366" s="579"/>
      <c r="AP366" s="579"/>
      <c r="AQ366" s="579"/>
      <c r="AR366" s="579"/>
      <c r="AS366" s="579"/>
      <c r="AT366" s="579"/>
      <c r="AU366" s="579"/>
      <c r="AV366" s="579"/>
      <c r="AW366" s="579"/>
      <c r="AX366" s="579"/>
      <c r="AY366" s="579"/>
      <c r="AZ366" s="579"/>
      <c r="BA366" s="579"/>
      <c r="BB366" s="579"/>
      <c r="BC366" s="579"/>
      <c r="BD366" s="579"/>
      <c r="BE366" s="579"/>
      <c r="BF366" s="579"/>
      <c r="BG366" s="579"/>
      <c r="BH366" s="579"/>
      <c r="BI366" s="579"/>
      <c r="BJ366" s="579"/>
      <c r="BK366" s="579"/>
    </row>
    <row r="367" spans="1:63" s="240" customFormat="1">
      <c r="A367" s="209"/>
      <c r="B367" s="209" t="s">
        <v>1580</v>
      </c>
      <c r="C367" s="270" t="s">
        <v>1581</v>
      </c>
      <c r="D367" s="209"/>
      <c r="F367" s="251"/>
      <c r="G367" s="251"/>
      <c r="H367" s="251"/>
      <c r="I367" s="251"/>
      <c r="J367" s="251"/>
      <c r="K367" s="251"/>
      <c r="L367" s="251"/>
      <c r="M367" s="251"/>
      <c r="N367" s="251"/>
      <c r="O367" s="251"/>
      <c r="P367" s="251"/>
      <c r="Q367" s="251"/>
      <c r="R367" s="251"/>
      <c r="S367" s="251"/>
      <c r="T367" s="251"/>
      <c r="U367" s="251"/>
      <c r="V367" s="251"/>
      <c r="W367" s="251"/>
      <c r="X367" s="251"/>
      <c r="Y367" s="251"/>
      <c r="Z367" s="251"/>
      <c r="AA367" s="251"/>
      <c r="AB367" s="251"/>
      <c r="AC367" s="251"/>
      <c r="AD367" s="251"/>
      <c r="AF367" s="579"/>
      <c r="AG367" s="579"/>
      <c r="AH367" s="579"/>
      <c r="AI367" s="579"/>
      <c r="AJ367" s="579"/>
      <c r="AK367" s="579"/>
      <c r="AL367" s="579"/>
      <c r="AM367" s="579"/>
      <c r="AN367" s="579"/>
      <c r="AO367" s="579"/>
      <c r="AP367" s="579"/>
      <c r="AQ367" s="579"/>
      <c r="AR367" s="579"/>
      <c r="AS367" s="579"/>
      <c r="AT367" s="579"/>
      <c r="AU367" s="579"/>
      <c r="AV367" s="579"/>
      <c r="AW367" s="579"/>
      <c r="AX367" s="579"/>
      <c r="AY367" s="579"/>
      <c r="AZ367" s="579"/>
      <c r="BA367" s="579"/>
      <c r="BB367" s="579"/>
      <c r="BC367" s="579"/>
      <c r="BD367" s="579"/>
      <c r="BE367" s="579"/>
      <c r="BF367" s="579"/>
      <c r="BG367" s="579"/>
      <c r="BH367" s="579"/>
      <c r="BI367" s="579"/>
      <c r="BJ367" s="579"/>
      <c r="BK367" s="579"/>
    </row>
    <row r="368" spans="1:63" s="240" customFormat="1">
      <c r="A368" s="209"/>
      <c r="B368" s="209" t="s">
        <v>1582</v>
      </c>
      <c r="C368" s="270" t="s">
        <v>1583</v>
      </c>
      <c r="D368" s="209"/>
      <c r="F368" s="251"/>
      <c r="G368" s="251"/>
      <c r="H368" s="251"/>
      <c r="I368" s="251"/>
      <c r="J368" s="251"/>
      <c r="K368" s="251"/>
      <c r="L368" s="251"/>
      <c r="M368" s="251"/>
      <c r="N368" s="251"/>
      <c r="O368" s="251"/>
      <c r="P368" s="251"/>
      <c r="Q368" s="251"/>
      <c r="R368" s="251"/>
      <c r="S368" s="251"/>
      <c r="T368" s="251"/>
      <c r="U368" s="251"/>
      <c r="V368" s="251"/>
      <c r="W368" s="251"/>
      <c r="X368" s="251"/>
      <c r="Y368" s="251"/>
      <c r="Z368" s="251"/>
      <c r="AA368" s="251"/>
      <c r="AB368" s="251"/>
      <c r="AC368" s="251"/>
      <c r="AD368" s="251"/>
      <c r="AF368" s="579"/>
      <c r="AG368" s="579"/>
      <c r="AH368" s="579"/>
      <c r="AI368" s="579"/>
      <c r="AJ368" s="579"/>
      <c r="AK368" s="579"/>
      <c r="AL368" s="579"/>
      <c r="AM368" s="579"/>
      <c r="AN368" s="579"/>
      <c r="AO368" s="579"/>
      <c r="AP368" s="579"/>
      <c r="AQ368" s="579"/>
      <c r="AR368" s="579"/>
      <c r="AS368" s="579"/>
      <c r="AT368" s="579"/>
      <c r="AU368" s="579"/>
      <c r="AV368" s="579"/>
      <c r="AW368" s="579"/>
      <c r="AX368" s="579"/>
      <c r="AY368" s="579"/>
      <c r="AZ368" s="579"/>
      <c r="BA368" s="579"/>
      <c r="BB368" s="579"/>
      <c r="BC368" s="579"/>
      <c r="BD368" s="579"/>
      <c r="BE368" s="579"/>
      <c r="BF368" s="579"/>
      <c r="BG368" s="579"/>
      <c r="BH368" s="579"/>
      <c r="BI368" s="579"/>
      <c r="BJ368" s="579"/>
      <c r="BK368" s="579"/>
    </row>
    <row r="369" spans="1:63" s="240" customFormat="1">
      <c r="A369" s="209"/>
      <c r="B369" s="209" t="s">
        <v>1584</v>
      </c>
      <c r="C369" s="270" t="s">
        <v>1585</v>
      </c>
      <c r="D369" s="209"/>
      <c r="F369" s="251"/>
      <c r="G369" s="251"/>
      <c r="H369" s="251"/>
      <c r="I369" s="251"/>
      <c r="J369" s="251"/>
      <c r="K369" s="251"/>
      <c r="L369" s="251"/>
      <c r="M369" s="251"/>
      <c r="N369" s="251"/>
      <c r="O369" s="251"/>
      <c r="P369" s="251"/>
      <c r="Q369" s="251"/>
      <c r="R369" s="251"/>
      <c r="S369" s="251"/>
      <c r="T369" s="251"/>
      <c r="U369" s="251"/>
      <c r="V369" s="251"/>
      <c r="W369" s="251"/>
      <c r="X369" s="251"/>
      <c r="Y369" s="251"/>
      <c r="Z369" s="251"/>
      <c r="AA369" s="251"/>
      <c r="AB369" s="251"/>
      <c r="AC369" s="251"/>
      <c r="AD369" s="251"/>
      <c r="AF369" s="579"/>
      <c r="AG369" s="579"/>
      <c r="AH369" s="579"/>
      <c r="AI369" s="579"/>
      <c r="AJ369" s="579"/>
      <c r="AK369" s="579"/>
      <c r="AL369" s="579"/>
      <c r="AM369" s="579"/>
      <c r="AN369" s="579"/>
      <c r="AO369" s="579"/>
      <c r="AP369" s="579"/>
      <c r="AQ369" s="579"/>
      <c r="AR369" s="579"/>
      <c r="AS369" s="579"/>
      <c r="AT369" s="579"/>
      <c r="AU369" s="579"/>
      <c r="AV369" s="579"/>
      <c r="AW369" s="579"/>
      <c r="AX369" s="579"/>
      <c r="AY369" s="579"/>
      <c r="AZ369" s="579"/>
      <c r="BA369" s="579"/>
      <c r="BB369" s="579"/>
      <c r="BC369" s="579"/>
      <c r="BD369" s="579"/>
      <c r="BE369" s="579"/>
      <c r="BF369" s="579"/>
      <c r="BG369" s="579"/>
      <c r="BH369" s="579"/>
      <c r="BI369" s="579"/>
      <c r="BJ369" s="579"/>
      <c r="BK369" s="579"/>
    </row>
    <row r="370" spans="1:63" s="240" customFormat="1">
      <c r="A370" s="209"/>
      <c r="B370" s="209" t="s">
        <v>1586</v>
      </c>
      <c r="C370" s="270" t="s">
        <v>587</v>
      </c>
      <c r="D370" s="209"/>
      <c r="F370" s="251"/>
      <c r="G370" s="251"/>
      <c r="H370" s="251"/>
      <c r="I370" s="251"/>
      <c r="J370" s="251"/>
      <c r="K370" s="251"/>
      <c r="L370" s="251"/>
      <c r="M370" s="251"/>
      <c r="N370" s="251"/>
      <c r="O370" s="251"/>
      <c r="P370" s="251"/>
      <c r="Q370" s="251"/>
      <c r="R370" s="251"/>
      <c r="S370" s="251"/>
      <c r="T370" s="251"/>
      <c r="U370" s="251"/>
      <c r="V370" s="251"/>
      <c r="W370" s="251"/>
      <c r="X370" s="251"/>
      <c r="Y370" s="251"/>
      <c r="Z370" s="251"/>
      <c r="AA370" s="251"/>
      <c r="AB370" s="251"/>
      <c r="AC370" s="251"/>
      <c r="AD370" s="251"/>
      <c r="AF370" s="579"/>
      <c r="AG370" s="579"/>
      <c r="AH370" s="579"/>
      <c r="AI370" s="579"/>
      <c r="AJ370" s="579"/>
      <c r="AK370" s="579"/>
      <c r="AL370" s="579"/>
      <c r="AM370" s="579"/>
      <c r="AN370" s="579"/>
      <c r="AO370" s="579"/>
      <c r="AP370" s="579"/>
      <c r="AQ370" s="579"/>
      <c r="AR370" s="579"/>
      <c r="AS370" s="579"/>
      <c r="AT370" s="579"/>
      <c r="AU370" s="579"/>
      <c r="AV370" s="579"/>
      <c r="AW370" s="579"/>
      <c r="AX370" s="579"/>
      <c r="AY370" s="579"/>
      <c r="AZ370" s="579"/>
      <c r="BA370" s="579"/>
      <c r="BB370" s="579"/>
      <c r="BC370" s="579"/>
      <c r="BD370" s="579"/>
      <c r="BE370" s="579"/>
      <c r="BF370" s="579"/>
      <c r="BG370" s="579"/>
      <c r="BH370" s="579"/>
      <c r="BI370" s="579"/>
      <c r="BJ370" s="579"/>
      <c r="BK370" s="579"/>
    </row>
    <row r="371" spans="1:63" s="240" customFormat="1">
      <c r="A371" s="209"/>
      <c r="B371" s="209"/>
      <c r="C371" s="209"/>
      <c r="D371" s="209"/>
      <c r="AF371" s="579"/>
      <c r="AG371" s="579"/>
      <c r="AH371" s="579"/>
      <c r="AI371" s="579"/>
      <c r="AJ371" s="579"/>
      <c r="AK371" s="579"/>
      <c r="AL371" s="579"/>
      <c r="AM371" s="579"/>
      <c r="AN371" s="579"/>
      <c r="AO371" s="579"/>
      <c r="AP371" s="579"/>
      <c r="AQ371" s="579"/>
      <c r="AR371" s="579"/>
      <c r="AS371" s="579"/>
      <c r="AT371" s="579"/>
      <c r="AU371" s="579"/>
      <c r="AV371" s="579"/>
      <c r="AW371" s="579"/>
      <c r="AX371" s="579"/>
      <c r="AY371" s="579"/>
      <c r="AZ371" s="579"/>
      <c r="BA371" s="579"/>
      <c r="BB371" s="579"/>
      <c r="BC371" s="579"/>
      <c r="BD371" s="579"/>
      <c r="BE371" s="579"/>
      <c r="BF371" s="579"/>
      <c r="BG371" s="579"/>
      <c r="BH371" s="579"/>
      <c r="BI371" s="579"/>
      <c r="BJ371" s="579"/>
      <c r="BK371" s="579"/>
    </row>
    <row r="372" spans="1:63" s="240" customFormat="1">
      <c r="A372" s="209"/>
      <c r="B372" s="209"/>
      <c r="C372" s="209"/>
      <c r="D372" s="209"/>
      <c r="AF372" s="579"/>
      <c r="AG372" s="579"/>
      <c r="AH372" s="579"/>
      <c r="AI372" s="579"/>
      <c r="AJ372" s="579"/>
      <c r="AK372" s="579"/>
      <c r="AL372" s="579"/>
      <c r="AM372" s="579"/>
      <c r="AN372" s="579"/>
      <c r="AO372" s="579"/>
      <c r="AP372" s="579"/>
      <c r="AQ372" s="579"/>
      <c r="AR372" s="579"/>
      <c r="AS372" s="579"/>
      <c r="AT372" s="579"/>
      <c r="AU372" s="579"/>
      <c r="AV372" s="579"/>
      <c r="AW372" s="579"/>
      <c r="AX372" s="579"/>
      <c r="AY372" s="579"/>
      <c r="AZ372" s="579"/>
      <c r="BA372" s="579"/>
      <c r="BB372" s="579"/>
      <c r="BC372" s="579"/>
      <c r="BD372" s="579"/>
      <c r="BE372" s="579"/>
      <c r="BF372" s="579"/>
      <c r="BG372" s="579"/>
      <c r="BH372" s="579"/>
      <c r="BI372" s="579"/>
      <c r="BJ372" s="579"/>
      <c r="BK372" s="579"/>
    </row>
    <row r="373" spans="1:63" s="240" customFormat="1">
      <c r="A373" s="209"/>
      <c r="B373" s="209"/>
      <c r="C373" s="209"/>
      <c r="D373" s="209"/>
      <c r="AF373" s="579"/>
      <c r="AG373" s="579"/>
      <c r="AH373" s="579"/>
      <c r="AI373" s="579"/>
      <c r="AJ373" s="579"/>
      <c r="AK373" s="579"/>
      <c r="AL373" s="579"/>
      <c r="AM373" s="579"/>
      <c r="AN373" s="579"/>
      <c r="AO373" s="579"/>
      <c r="AP373" s="579"/>
      <c r="AQ373" s="579"/>
      <c r="AR373" s="579"/>
      <c r="AS373" s="579"/>
      <c r="AT373" s="579"/>
      <c r="AU373" s="579"/>
      <c r="AV373" s="579"/>
      <c r="AW373" s="579"/>
      <c r="AX373" s="579"/>
      <c r="AY373" s="579"/>
      <c r="AZ373" s="579"/>
      <c r="BA373" s="579"/>
      <c r="BB373" s="579"/>
      <c r="BC373" s="579"/>
      <c r="BD373" s="579"/>
      <c r="BE373" s="579"/>
      <c r="BF373" s="579"/>
      <c r="BG373" s="579"/>
      <c r="BH373" s="579"/>
      <c r="BI373" s="579"/>
      <c r="BJ373" s="579"/>
      <c r="BK373" s="579"/>
    </row>
    <row r="374" spans="1:63" s="240" customFormat="1">
      <c r="A374" s="209"/>
      <c r="B374" s="209"/>
      <c r="C374" s="275" t="s">
        <v>1587</v>
      </c>
      <c r="D374" s="209"/>
      <c r="AF374" s="579"/>
      <c r="AG374" s="579"/>
      <c r="AH374" s="579"/>
      <c r="AI374" s="579"/>
      <c r="AJ374" s="579"/>
      <c r="AK374" s="579"/>
      <c r="AL374" s="579"/>
      <c r="AM374" s="579"/>
      <c r="AN374" s="579"/>
      <c r="AO374" s="579"/>
      <c r="AP374" s="579"/>
      <c r="AQ374" s="579"/>
      <c r="AR374" s="579"/>
      <c r="AS374" s="579"/>
      <c r="AT374" s="579"/>
      <c r="AU374" s="579"/>
      <c r="AV374" s="579"/>
      <c r="AW374" s="579"/>
      <c r="AX374" s="579"/>
      <c r="AY374" s="579"/>
      <c r="AZ374" s="579"/>
      <c r="BA374" s="579"/>
      <c r="BB374" s="579"/>
      <c r="BC374" s="579"/>
      <c r="BD374" s="579"/>
      <c r="BE374" s="579"/>
      <c r="BF374" s="579"/>
      <c r="BG374" s="579"/>
      <c r="BH374" s="579"/>
      <c r="BI374" s="579"/>
      <c r="BJ374" s="579"/>
      <c r="BK374" s="579"/>
    </row>
    <row r="375" spans="1:63" s="279" customFormat="1">
      <c r="A375" s="278"/>
      <c r="B375" s="278" t="s">
        <v>1588</v>
      </c>
      <c r="C375" s="278" t="s">
        <v>1589</v>
      </c>
      <c r="D375" s="278"/>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F375" s="586"/>
      <c r="AG375" s="586"/>
      <c r="AH375" s="586"/>
      <c r="AI375" s="586"/>
      <c r="AJ375" s="586"/>
      <c r="AK375" s="586"/>
      <c r="AL375" s="586"/>
      <c r="AM375" s="586"/>
      <c r="AN375" s="586"/>
      <c r="AO375" s="586"/>
      <c r="AP375" s="586"/>
      <c r="AQ375" s="586"/>
      <c r="AR375" s="586"/>
      <c r="AS375" s="586"/>
      <c r="AT375" s="586"/>
      <c r="AU375" s="586"/>
      <c r="AV375" s="586"/>
      <c r="AW375" s="586"/>
      <c r="AX375" s="586"/>
      <c r="AY375" s="586"/>
      <c r="AZ375" s="586"/>
      <c r="BA375" s="586"/>
      <c r="BB375" s="586"/>
      <c r="BC375" s="586"/>
      <c r="BD375" s="586"/>
      <c r="BE375" s="586"/>
      <c r="BF375" s="586"/>
      <c r="BG375" s="586"/>
      <c r="BH375" s="586"/>
      <c r="BI375" s="586"/>
      <c r="BJ375" s="586"/>
      <c r="BK375" s="586"/>
    </row>
    <row r="376" spans="1:63" s="279" customFormat="1" ht="13.5" customHeight="1">
      <c r="A376" s="278"/>
      <c r="B376" s="278" t="s">
        <v>1590</v>
      </c>
      <c r="C376" s="278" t="s">
        <v>1591</v>
      </c>
      <c r="D376" s="278"/>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F376" s="586"/>
      <c r="AG376" s="586"/>
      <c r="AH376" s="586"/>
      <c r="AI376" s="586"/>
      <c r="AJ376" s="586"/>
      <c r="AK376" s="586"/>
      <c r="AL376" s="586"/>
      <c r="AM376" s="586"/>
      <c r="AN376" s="586"/>
      <c r="AO376" s="586"/>
      <c r="AP376" s="586"/>
      <c r="AQ376" s="586"/>
      <c r="AR376" s="586"/>
      <c r="AS376" s="586"/>
      <c r="AT376" s="586"/>
      <c r="AU376" s="586"/>
      <c r="AV376" s="586"/>
      <c r="AW376" s="586"/>
      <c r="AX376" s="586"/>
      <c r="AY376" s="586"/>
      <c r="AZ376" s="586"/>
      <c r="BA376" s="586"/>
      <c r="BB376" s="586"/>
      <c r="BC376" s="586"/>
      <c r="BD376" s="586"/>
      <c r="BE376" s="586"/>
      <c r="BF376" s="586"/>
      <c r="BG376" s="586"/>
      <c r="BH376" s="586"/>
      <c r="BI376" s="586"/>
      <c r="BJ376" s="586"/>
      <c r="BK376" s="586"/>
    </row>
    <row r="377" spans="1:63" s="240" customFormat="1">
      <c r="A377" s="209"/>
      <c r="B377" s="209" t="s">
        <v>1592</v>
      </c>
      <c r="C377" s="209" t="s">
        <v>1593</v>
      </c>
      <c r="D377" s="209"/>
      <c r="F377" s="251"/>
      <c r="G377" s="251"/>
      <c r="H377" s="251"/>
      <c r="I377" s="251"/>
      <c r="J377" s="251"/>
      <c r="K377" s="251"/>
      <c r="L377" s="251"/>
      <c r="M377" s="251"/>
      <c r="N377" s="251"/>
      <c r="O377" s="251"/>
      <c r="P377" s="251"/>
      <c r="Q377" s="251"/>
      <c r="R377" s="251"/>
      <c r="S377" s="251"/>
      <c r="T377" s="251"/>
      <c r="U377" s="251"/>
      <c r="V377" s="251"/>
      <c r="W377" s="251"/>
      <c r="X377" s="251"/>
      <c r="Y377" s="251"/>
      <c r="Z377" s="251"/>
      <c r="AA377" s="251"/>
      <c r="AB377" s="251"/>
      <c r="AC377" s="251"/>
      <c r="AD377" s="251"/>
      <c r="AF377" s="579"/>
      <c r="AG377" s="579"/>
      <c r="AH377" s="579"/>
      <c r="AI377" s="579"/>
      <c r="AJ377" s="579"/>
      <c r="AK377" s="579"/>
      <c r="AL377" s="579"/>
      <c r="AM377" s="579"/>
      <c r="AN377" s="579"/>
      <c r="AO377" s="579"/>
      <c r="AP377" s="579"/>
      <c r="AQ377" s="579"/>
      <c r="AR377" s="579"/>
      <c r="AS377" s="579"/>
      <c r="AT377" s="579"/>
      <c r="AU377" s="579"/>
      <c r="AV377" s="579"/>
      <c r="AW377" s="579"/>
      <c r="AX377" s="579"/>
      <c r="AY377" s="579"/>
      <c r="AZ377" s="579"/>
      <c r="BA377" s="579"/>
      <c r="BB377" s="579"/>
      <c r="BC377" s="579"/>
      <c r="BD377" s="579"/>
      <c r="BE377" s="579"/>
      <c r="BF377" s="579"/>
      <c r="BG377" s="579"/>
      <c r="BH377" s="579"/>
      <c r="BI377" s="579"/>
      <c r="BJ377" s="579"/>
      <c r="BK377" s="579"/>
    </row>
    <row r="378" spans="1:63" s="240" customFormat="1">
      <c r="A378" s="209"/>
      <c r="B378" s="209" t="s">
        <v>1594</v>
      </c>
      <c r="C378" s="209" t="s">
        <v>1595</v>
      </c>
      <c r="D378" s="209"/>
      <c r="F378" s="251"/>
      <c r="G378" s="251"/>
      <c r="H378" s="251"/>
      <c r="I378" s="251"/>
      <c r="J378" s="251"/>
      <c r="K378" s="251"/>
      <c r="L378" s="251"/>
      <c r="M378" s="251"/>
      <c r="N378" s="251"/>
      <c r="O378" s="251"/>
      <c r="P378" s="251"/>
      <c r="Q378" s="251"/>
      <c r="R378" s="251"/>
      <c r="S378" s="251"/>
      <c r="T378" s="251"/>
      <c r="U378" s="251"/>
      <c r="V378" s="251"/>
      <c r="W378" s="251"/>
      <c r="X378" s="251"/>
      <c r="Y378" s="251"/>
      <c r="Z378" s="251"/>
      <c r="AA378" s="251"/>
      <c r="AB378" s="251"/>
      <c r="AC378" s="251"/>
      <c r="AD378" s="251"/>
      <c r="AF378" s="579"/>
      <c r="AG378" s="579"/>
      <c r="AH378" s="579"/>
      <c r="AI378" s="579"/>
      <c r="AJ378" s="579"/>
      <c r="AK378" s="579"/>
      <c r="AL378" s="579"/>
      <c r="AM378" s="579"/>
      <c r="AN378" s="579"/>
      <c r="AO378" s="579"/>
      <c r="AP378" s="579"/>
      <c r="AQ378" s="579"/>
      <c r="AR378" s="579"/>
      <c r="AS378" s="579"/>
      <c r="AT378" s="579"/>
      <c r="AU378" s="579"/>
      <c r="AV378" s="579"/>
      <c r="AW378" s="579"/>
      <c r="AX378" s="579"/>
      <c r="AY378" s="579"/>
      <c r="AZ378" s="579"/>
      <c r="BA378" s="579"/>
      <c r="BB378" s="579"/>
      <c r="BC378" s="579"/>
      <c r="BD378" s="579"/>
      <c r="BE378" s="579"/>
      <c r="BF378" s="579"/>
      <c r="BG378" s="579"/>
      <c r="BH378" s="579"/>
      <c r="BI378" s="579"/>
      <c r="BJ378" s="579"/>
      <c r="BK378" s="579"/>
    </row>
    <row r="379" spans="1:63" s="240" customFormat="1">
      <c r="A379" s="209"/>
      <c r="B379" s="209" t="s">
        <v>1596</v>
      </c>
      <c r="C379" s="209" t="s">
        <v>1597</v>
      </c>
      <c r="D379" s="209"/>
      <c r="F379" s="251"/>
      <c r="G379" s="251"/>
      <c r="H379" s="251"/>
      <c r="I379" s="251"/>
      <c r="J379" s="251"/>
      <c r="K379" s="251"/>
      <c r="L379" s="251"/>
      <c r="M379" s="251"/>
      <c r="N379" s="251"/>
      <c r="O379" s="251"/>
      <c r="P379" s="251"/>
      <c r="Q379" s="251"/>
      <c r="R379" s="251"/>
      <c r="S379" s="251"/>
      <c r="T379" s="251"/>
      <c r="U379" s="251"/>
      <c r="V379" s="251"/>
      <c r="W379" s="251"/>
      <c r="X379" s="251"/>
      <c r="Y379" s="251"/>
      <c r="Z379" s="251"/>
      <c r="AA379" s="251"/>
      <c r="AB379" s="251"/>
      <c r="AC379" s="251"/>
      <c r="AD379" s="251"/>
      <c r="AF379" s="579"/>
      <c r="AG379" s="579"/>
      <c r="AH379" s="579"/>
      <c r="AI379" s="579"/>
      <c r="AJ379" s="579"/>
      <c r="AK379" s="579"/>
      <c r="AL379" s="579"/>
      <c r="AM379" s="579"/>
      <c r="AN379" s="579"/>
      <c r="AO379" s="579"/>
      <c r="AP379" s="579"/>
      <c r="AQ379" s="579"/>
      <c r="AR379" s="579"/>
      <c r="AS379" s="579"/>
      <c r="AT379" s="579"/>
      <c r="AU379" s="579"/>
      <c r="AV379" s="579"/>
      <c r="AW379" s="579"/>
      <c r="AX379" s="579"/>
      <c r="AY379" s="579"/>
      <c r="AZ379" s="579"/>
      <c r="BA379" s="579"/>
      <c r="BB379" s="579"/>
      <c r="BC379" s="579"/>
      <c r="BD379" s="579"/>
      <c r="BE379" s="579"/>
      <c r="BF379" s="579"/>
      <c r="BG379" s="579"/>
      <c r="BH379" s="579"/>
      <c r="BI379" s="579"/>
      <c r="BJ379" s="579"/>
      <c r="BK379" s="579"/>
    </row>
    <row r="380" spans="1:63" s="240" customFormat="1">
      <c r="A380" s="209"/>
      <c r="B380" s="209" t="s">
        <v>1598</v>
      </c>
      <c r="C380" s="209" t="s">
        <v>1599</v>
      </c>
      <c r="D380" s="209"/>
      <c r="F380" s="251"/>
      <c r="G380" s="251"/>
      <c r="H380" s="251"/>
      <c r="I380" s="251"/>
      <c r="J380" s="251"/>
      <c r="K380" s="251"/>
      <c r="L380" s="251"/>
      <c r="M380" s="251"/>
      <c r="N380" s="251"/>
      <c r="O380" s="251"/>
      <c r="P380" s="251"/>
      <c r="Q380" s="251"/>
      <c r="R380" s="251"/>
      <c r="S380" s="251"/>
      <c r="T380" s="251"/>
      <c r="U380" s="251"/>
      <c r="V380" s="251"/>
      <c r="W380" s="251"/>
      <c r="X380" s="251"/>
      <c r="Y380" s="251"/>
      <c r="Z380" s="251"/>
      <c r="AA380" s="251"/>
      <c r="AB380" s="251"/>
      <c r="AC380" s="251"/>
      <c r="AD380" s="251"/>
      <c r="AF380" s="579"/>
      <c r="AG380" s="579"/>
      <c r="AH380" s="579"/>
      <c r="AI380" s="579"/>
      <c r="AJ380" s="579"/>
      <c r="AK380" s="579"/>
      <c r="AL380" s="579"/>
      <c r="AM380" s="579"/>
      <c r="AN380" s="579"/>
      <c r="AO380" s="579"/>
      <c r="AP380" s="579"/>
      <c r="AQ380" s="579"/>
      <c r="AR380" s="579"/>
      <c r="AS380" s="579"/>
      <c r="AT380" s="579"/>
      <c r="AU380" s="579"/>
      <c r="AV380" s="579"/>
      <c r="AW380" s="579"/>
      <c r="AX380" s="579"/>
      <c r="AY380" s="579"/>
      <c r="AZ380" s="579"/>
      <c r="BA380" s="579"/>
      <c r="BB380" s="579"/>
      <c r="BC380" s="579"/>
      <c r="BD380" s="579"/>
      <c r="BE380" s="579"/>
      <c r="BF380" s="579"/>
      <c r="BG380" s="579"/>
      <c r="BH380" s="579"/>
      <c r="BI380" s="579"/>
      <c r="BJ380" s="579"/>
      <c r="BK380" s="579"/>
    </row>
    <row r="381" spans="1:63" s="245" customFormat="1">
      <c r="A381" s="243"/>
      <c r="B381" s="243" t="s">
        <v>1600</v>
      </c>
      <c r="C381" s="243" t="s">
        <v>1601</v>
      </c>
      <c r="D381" s="243"/>
      <c r="F381" s="286"/>
      <c r="G381" s="286"/>
      <c r="H381" s="286"/>
      <c r="I381" s="286"/>
      <c r="J381" s="286"/>
      <c r="K381" s="286"/>
      <c r="L381" s="286"/>
      <c r="M381" s="286"/>
      <c r="N381" s="286"/>
      <c r="O381" s="286"/>
      <c r="P381" s="286"/>
      <c r="Q381" s="286"/>
      <c r="R381" s="286"/>
      <c r="S381" s="286"/>
      <c r="T381" s="286">
        <f t="shared" ref="T381:AD381" si="702">$H380*$H379+T378</f>
        <v>0</v>
      </c>
      <c r="U381" s="286">
        <f t="shared" si="702"/>
        <v>0</v>
      </c>
      <c r="V381" s="286">
        <f t="shared" si="702"/>
        <v>0</v>
      </c>
      <c r="W381" s="286">
        <f t="shared" si="702"/>
        <v>0</v>
      </c>
      <c r="X381" s="286">
        <f t="shared" si="702"/>
        <v>0</v>
      </c>
      <c r="Y381" s="286">
        <f t="shared" si="702"/>
        <v>0</v>
      </c>
      <c r="Z381" s="286">
        <f t="shared" si="702"/>
        <v>0</v>
      </c>
      <c r="AA381" s="286">
        <f>$H380*$H379+AA378</f>
        <v>0</v>
      </c>
      <c r="AB381" s="286">
        <f>$H380*$H379+AB378</f>
        <v>0</v>
      </c>
      <c r="AC381" s="286">
        <f t="shared" si="702"/>
        <v>0</v>
      </c>
      <c r="AD381" s="286">
        <f t="shared" si="702"/>
        <v>0</v>
      </c>
      <c r="AF381" s="580">
        <f t="shared" ref="AF381:BK381" si="703">$H380*$H379+AF378</f>
        <v>0</v>
      </c>
      <c r="AG381" s="580">
        <f t="shared" si="703"/>
        <v>0</v>
      </c>
      <c r="AH381" s="580">
        <f t="shared" si="703"/>
        <v>0</v>
      </c>
      <c r="AI381" s="580">
        <f t="shared" si="703"/>
        <v>0</v>
      </c>
      <c r="AJ381" s="580">
        <f t="shared" si="703"/>
        <v>0</v>
      </c>
      <c r="AK381" s="580">
        <f t="shared" si="703"/>
        <v>0</v>
      </c>
      <c r="AL381" s="580">
        <f t="shared" si="703"/>
        <v>0</v>
      </c>
      <c r="AM381" s="580">
        <f t="shared" si="703"/>
        <v>0</v>
      </c>
      <c r="AN381" s="580">
        <f t="shared" si="703"/>
        <v>0</v>
      </c>
      <c r="AO381" s="580">
        <f t="shared" si="703"/>
        <v>0</v>
      </c>
      <c r="AP381" s="580">
        <f t="shared" si="703"/>
        <v>0</v>
      </c>
      <c r="AQ381" s="580">
        <f t="shared" si="703"/>
        <v>0</v>
      </c>
      <c r="AR381" s="580">
        <f t="shared" si="703"/>
        <v>0</v>
      </c>
      <c r="AS381" s="580">
        <f t="shared" si="703"/>
        <v>0</v>
      </c>
      <c r="AT381" s="580">
        <f t="shared" si="703"/>
        <v>0</v>
      </c>
      <c r="AU381" s="580">
        <f t="shared" si="703"/>
        <v>0</v>
      </c>
      <c r="AV381" s="580">
        <f t="shared" si="703"/>
        <v>0</v>
      </c>
      <c r="AW381" s="580">
        <f t="shared" si="703"/>
        <v>0</v>
      </c>
      <c r="AX381" s="580">
        <f t="shared" si="703"/>
        <v>0</v>
      </c>
      <c r="AY381" s="580">
        <f t="shared" si="703"/>
        <v>0</v>
      </c>
      <c r="AZ381" s="580">
        <f t="shared" si="703"/>
        <v>0</v>
      </c>
      <c r="BA381" s="580">
        <f t="shared" si="703"/>
        <v>0</v>
      </c>
      <c r="BB381" s="580">
        <f t="shared" si="703"/>
        <v>0</v>
      </c>
      <c r="BC381" s="580">
        <f t="shared" si="703"/>
        <v>0</v>
      </c>
      <c r="BD381" s="580">
        <f t="shared" si="703"/>
        <v>0</v>
      </c>
      <c r="BE381" s="580">
        <f t="shared" si="703"/>
        <v>0</v>
      </c>
      <c r="BF381" s="580">
        <f t="shared" si="703"/>
        <v>0</v>
      </c>
      <c r="BG381" s="580">
        <f t="shared" si="703"/>
        <v>0</v>
      </c>
      <c r="BH381" s="580">
        <f t="shared" si="703"/>
        <v>0</v>
      </c>
      <c r="BI381" s="580">
        <f t="shared" si="703"/>
        <v>0</v>
      </c>
      <c r="BJ381" s="580">
        <f t="shared" si="703"/>
        <v>0</v>
      </c>
      <c r="BK381" s="580">
        <f t="shared" si="703"/>
        <v>0</v>
      </c>
    </row>
    <row r="382" spans="1:63" s="245" customFormat="1">
      <c r="A382" s="243"/>
      <c r="B382" s="243" t="s">
        <v>1602</v>
      </c>
      <c r="C382" s="243" t="s">
        <v>1603</v>
      </c>
      <c r="D382" s="243"/>
      <c r="F382" s="286"/>
      <c r="G382" s="286"/>
      <c r="H382" s="286"/>
      <c r="I382" s="286"/>
      <c r="J382" s="286"/>
      <c r="K382" s="286"/>
      <c r="L382" s="286"/>
      <c r="M382" s="286"/>
      <c r="N382" s="286"/>
      <c r="O382" s="286"/>
      <c r="P382" s="286"/>
      <c r="Q382" s="286"/>
      <c r="R382" s="286"/>
      <c r="S382" s="286"/>
      <c r="T382" s="286">
        <f t="shared" ref="T382:AD382" si="704">T119/(T119+T137)</f>
        <v>0.68629314916673811</v>
      </c>
      <c r="U382" s="286">
        <f t="shared" si="704"/>
        <v>0.93789356147183733</v>
      </c>
      <c r="V382" s="286">
        <f t="shared" si="704"/>
        <v>0.98412002063641435</v>
      </c>
      <c r="W382" s="286">
        <f t="shared" si="704"/>
        <v>0.99106132445395301</v>
      </c>
      <c r="X382" s="286">
        <f t="shared" si="704"/>
        <v>0.99402633442155375</v>
      </c>
      <c r="Y382" s="286">
        <f t="shared" si="704"/>
        <v>0.98964936803832815</v>
      </c>
      <c r="Z382" s="286">
        <f t="shared" si="704"/>
        <v>0.98695373274446274</v>
      </c>
      <c r="AA382" s="286">
        <f>AA119/(AA119+AA137)</f>
        <v>0.98846109665115789</v>
      </c>
      <c r="AB382" s="286">
        <f>AB119/(AB119+AB137)</f>
        <v>0.98980709720124826</v>
      </c>
      <c r="AC382" s="286">
        <f t="shared" si="704"/>
        <v>0.99121539994342189</v>
      </c>
      <c r="AD382" s="286">
        <f t="shared" si="704"/>
        <v>0.99321829589759936</v>
      </c>
      <c r="AF382" s="580" t="e">
        <f t="shared" ref="AF382:BK382" si="705">AF119/(AF119+AF137)</f>
        <v>#DIV/0!</v>
      </c>
      <c r="AG382" s="580" t="e">
        <f t="shared" si="705"/>
        <v>#DIV/0!</v>
      </c>
      <c r="AH382" s="580" t="e">
        <f t="shared" si="705"/>
        <v>#DIV/0!</v>
      </c>
      <c r="AI382" s="580" t="e">
        <f t="shared" si="705"/>
        <v>#DIV/0!</v>
      </c>
      <c r="AJ382" s="580" t="e">
        <f t="shared" si="705"/>
        <v>#DIV/0!</v>
      </c>
      <c r="AK382" s="580" t="e">
        <f t="shared" si="705"/>
        <v>#DIV/0!</v>
      </c>
      <c r="AL382" s="580" t="e">
        <f t="shared" si="705"/>
        <v>#DIV/0!</v>
      </c>
      <c r="AM382" s="580" t="e">
        <f t="shared" si="705"/>
        <v>#DIV/0!</v>
      </c>
      <c r="AN382" s="580" t="e">
        <f t="shared" si="705"/>
        <v>#DIV/0!</v>
      </c>
      <c r="AO382" s="580" t="e">
        <f t="shared" si="705"/>
        <v>#DIV/0!</v>
      </c>
      <c r="AP382" s="580" t="e">
        <f t="shared" si="705"/>
        <v>#DIV/0!</v>
      </c>
      <c r="AQ382" s="580" t="e">
        <f t="shared" si="705"/>
        <v>#DIV/0!</v>
      </c>
      <c r="AR382" s="580" t="e">
        <f t="shared" si="705"/>
        <v>#DIV/0!</v>
      </c>
      <c r="AS382" s="580" t="e">
        <f t="shared" si="705"/>
        <v>#DIV/0!</v>
      </c>
      <c r="AT382" s="580" t="e">
        <f t="shared" si="705"/>
        <v>#DIV/0!</v>
      </c>
      <c r="AU382" s="580" t="e">
        <f t="shared" si="705"/>
        <v>#DIV/0!</v>
      </c>
      <c r="AV382" s="580" t="e">
        <f t="shared" si="705"/>
        <v>#DIV/0!</v>
      </c>
      <c r="AW382" s="580" t="e">
        <f t="shared" si="705"/>
        <v>#DIV/0!</v>
      </c>
      <c r="AX382" s="580" t="e">
        <f t="shared" si="705"/>
        <v>#DIV/0!</v>
      </c>
      <c r="AY382" s="580" t="e">
        <f t="shared" si="705"/>
        <v>#DIV/0!</v>
      </c>
      <c r="AZ382" s="580" t="e">
        <f t="shared" si="705"/>
        <v>#DIV/0!</v>
      </c>
      <c r="BA382" s="580" t="e">
        <f t="shared" si="705"/>
        <v>#DIV/0!</v>
      </c>
      <c r="BB382" s="580" t="e">
        <f t="shared" si="705"/>
        <v>#DIV/0!</v>
      </c>
      <c r="BC382" s="580" t="e">
        <f t="shared" si="705"/>
        <v>#DIV/0!</v>
      </c>
      <c r="BD382" s="580" t="e">
        <f t="shared" si="705"/>
        <v>#DIV/0!</v>
      </c>
      <c r="BE382" s="580" t="e">
        <f t="shared" si="705"/>
        <v>#DIV/0!</v>
      </c>
      <c r="BF382" s="580" t="e">
        <f t="shared" si="705"/>
        <v>#DIV/0!</v>
      </c>
      <c r="BG382" s="580" t="e">
        <f t="shared" si="705"/>
        <v>#DIV/0!</v>
      </c>
      <c r="BH382" s="580" t="e">
        <f t="shared" si="705"/>
        <v>#DIV/0!</v>
      </c>
      <c r="BI382" s="580" t="e">
        <f t="shared" si="705"/>
        <v>#DIV/0!</v>
      </c>
      <c r="BJ382" s="580" t="e">
        <f t="shared" si="705"/>
        <v>#DIV/0!</v>
      </c>
      <c r="BK382" s="580" t="e">
        <f t="shared" si="705"/>
        <v>#DIV/0!</v>
      </c>
    </row>
    <row r="383" spans="1:63" s="245" customFormat="1">
      <c r="A383" s="243"/>
      <c r="B383" s="243" t="s">
        <v>1604</v>
      </c>
      <c r="C383" s="243" t="s">
        <v>1605</v>
      </c>
      <c r="D383" s="243"/>
      <c r="F383" s="286"/>
      <c r="G383" s="286"/>
      <c r="H383" s="286"/>
      <c r="I383" s="286"/>
      <c r="J383" s="286"/>
      <c r="K383" s="286"/>
      <c r="L383" s="286"/>
      <c r="M383" s="286"/>
      <c r="N383" s="286"/>
      <c r="O383" s="286"/>
      <c r="P383" s="286"/>
      <c r="Q383" s="286"/>
      <c r="R383" s="286"/>
      <c r="S383" s="286"/>
      <c r="T383" s="286">
        <f t="shared" ref="T383:AD383" si="706">1-T382</f>
        <v>0.31370685083326189</v>
      </c>
      <c r="U383" s="286">
        <f t="shared" si="706"/>
        <v>6.2106438528162666E-2</v>
      </c>
      <c r="V383" s="286">
        <f t="shared" si="706"/>
        <v>1.587997936358565E-2</v>
      </c>
      <c r="W383" s="286">
        <f t="shared" si="706"/>
        <v>8.9386755460469924E-3</v>
      </c>
      <c r="X383" s="286">
        <f t="shared" si="706"/>
        <v>5.9736655784462522E-3</v>
      </c>
      <c r="Y383" s="286">
        <f t="shared" si="706"/>
        <v>1.0350631961671852E-2</v>
      </c>
      <c r="Z383" s="286">
        <f t="shared" si="706"/>
        <v>1.3046267255537258E-2</v>
      </c>
      <c r="AA383" s="286">
        <f>1-AA382</f>
        <v>1.1538903348842111E-2</v>
      </c>
      <c r="AB383" s="286">
        <f>1-AB382</f>
        <v>1.0192902798751735E-2</v>
      </c>
      <c r="AC383" s="286">
        <f t="shared" si="706"/>
        <v>8.7846000565781068E-3</v>
      </c>
      <c r="AD383" s="286">
        <f t="shared" si="706"/>
        <v>6.781704102400643E-3</v>
      </c>
      <c r="AF383" s="580" t="e">
        <f t="shared" ref="AF383:BK383" si="707">1-AF382</f>
        <v>#DIV/0!</v>
      </c>
      <c r="AG383" s="580" t="e">
        <f t="shared" si="707"/>
        <v>#DIV/0!</v>
      </c>
      <c r="AH383" s="580" t="e">
        <f t="shared" si="707"/>
        <v>#DIV/0!</v>
      </c>
      <c r="AI383" s="580" t="e">
        <f t="shared" si="707"/>
        <v>#DIV/0!</v>
      </c>
      <c r="AJ383" s="580" t="e">
        <f t="shared" si="707"/>
        <v>#DIV/0!</v>
      </c>
      <c r="AK383" s="580" t="e">
        <f t="shared" si="707"/>
        <v>#DIV/0!</v>
      </c>
      <c r="AL383" s="580" t="e">
        <f t="shared" si="707"/>
        <v>#DIV/0!</v>
      </c>
      <c r="AM383" s="580" t="e">
        <f t="shared" si="707"/>
        <v>#DIV/0!</v>
      </c>
      <c r="AN383" s="580" t="e">
        <f t="shared" si="707"/>
        <v>#DIV/0!</v>
      </c>
      <c r="AO383" s="580" t="e">
        <f t="shared" si="707"/>
        <v>#DIV/0!</v>
      </c>
      <c r="AP383" s="580" t="e">
        <f t="shared" si="707"/>
        <v>#DIV/0!</v>
      </c>
      <c r="AQ383" s="580" t="e">
        <f t="shared" si="707"/>
        <v>#DIV/0!</v>
      </c>
      <c r="AR383" s="580" t="e">
        <f t="shared" si="707"/>
        <v>#DIV/0!</v>
      </c>
      <c r="AS383" s="580" t="e">
        <f t="shared" si="707"/>
        <v>#DIV/0!</v>
      </c>
      <c r="AT383" s="580" t="e">
        <f t="shared" si="707"/>
        <v>#DIV/0!</v>
      </c>
      <c r="AU383" s="580" t="e">
        <f t="shared" si="707"/>
        <v>#DIV/0!</v>
      </c>
      <c r="AV383" s="580" t="e">
        <f t="shared" si="707"/>
        <v>#DIV/0!</v>
      </c>
      <c r="AW383" s="580" t="e">
        <f t="shared" si="707"/>
        <v>#DIV/0!</v>
      </c>
      <c r="AX383" s="580" t="e">
        <f t="shared" si="707"/>
        <v>#DIV/0!</v>
      </c>
      <c r="AY383" s="580" t="e">
        <f t="shared" si="707"/>
        <v>#DIV/0!</v>
      </c>
      <c r="AZ383" s="580" t="e">
        <f t="shared" si="707"/>
        <v>#DIV/0!</v>
      </c>
      <c r="BA383" s="580" t="e">
        <f t="shared" si="707"/>
        <v>#DIV/0!</v>
      </c>
      <c r="BB383" s="580" t="e">
        <f t="shared" si="707"/>
        <v>#DIV/0!</v>
      </c>
      <c r="BC383" s="580" t="e">
        <f t="shared" si="707"/>
        <v>#DIV/0!</v>
      </c>
      <c r="BD383" s="580" t="e">
        <f t="shared" si="707"/>
        <v>#DIV/0!</v>
      </c>
      <c r="BE383" s="580" t="e">
        <f t="shared" si="707"/>
        <v>#DIV/0!</v>
      </c>
      <c r="BF383" s="580" t="e">
        <f t="shared" si="707"/>
        <v>#DIV/0!</v>
      </c>
      <c r="BG383" s="580" t="e">
        <f t="shared" si="707"/>
        <v>#DIV/0!</v>
      </c>
      <c r="BH383" s="580" t="e">
        <f t="shared" si="707"/>
        <v>#DIV/0!</v>
      </c>
      <c r="BI383" s="580" t="e">
        <f t="shared" si="707"/>
        <v>#DIV/0!</v>
      </c>
      <c r="BJ383" s="580" t="e">
        <f t="shared" si="707"/>
        <v>#DIV/0!</v>
      </c>
      <c r="BK383" s="580" t="e">
        <f t="shared" si="707"/>
        <v>#DIV/0!</v>
      </c>
    </row>
    <row r="384" spans="1:63" s="245" customFormat="1">
      <c r="A384" s="243"/>
      <c r="B384" s="243" t="s">
        <v>1606</v>
      </c>
      <c r="C384" s="243" t="s">
        <v>1410</v>
      </c>
      <c r="D384" s="243"/>
      <c r="F384" s="286"/>
      <c r="G384" s="286"/>
      <c r="H384" s="286"/>
      <c r="I384" s="286"/>
      <c r="J384" s="286"/>
      <c r="K384" s="286"/>
      <c r="L384" s="286"/>
      <c r="M384" s="286"/>
      <c r="N384" s="286"/>
      <c r="O384" s="286"/>
      <c r="P384" s="286"/>
      <c r="Q384" s="286"/>
      <c r="R384" s="286"/>
      <c r="S384" s="286"/>
      <c r="T384" s="286">
        <f t="shared" ref="T384:AD384" si="708">T377*T382+T381*T383</f>
        <v>0</v>
      </c>
      <c r="U384" s="286">
        <f t="shared" si="708"/>
        <v>0</v>
      </c>
      <c r="V384" s="286">
        <f t="shared" si="708"/>
        <v>0</v>
      </c>
      <c r="W384" s="286">
        <f t="shared" si="708"/>
        <v>0</v>
      </c>
      <c r="X384" s="286">
        <f t="shared" si="708"/>
        <v>0</v>
      </c>
      <c r="Y384" s="286">
        <f t="shared" si="708"/>
        <v>0</v>
      </c>
      <c r="Z384" s="286">
        <f t="shared" si="708"/>
        <v>0</v>
      </c>
      <c r="AA384" s="286">
        <f>AA377*AA382+AA381*AA383</f>
        <v>0</v>
      </c>
      <c r="AB384" s="286">
        <f>AB377*AB382+AB381*AB383</f>
        <v>0</v>
      </c>
      <c r="AC384" s="286">
        <f t="shared" si="708"/>
        <v>0</v>
      </c>
      <c r="AD384" s="286">
        <f t="shared" si="708"/>
        <v>0</v>
      </c>
      <c r="AF384" s="580" t="e">
        <f t="shared" ref="AF384:BK384" si="709">AF377*AF382+AF381*AF383</f>
        <v>#DIV/0!</v>
      </c>
      <c r="AG384" s="580" t="e">
        <f t="shared" si="709"/>
        <v>#DIV/0!</v>
      </c>
      <c r="AH384" s="580" t="e">
        <f t="shared" si="709"/>
        <v>#DIV/0!</v>
      </c>
      <c r="AI384" s="580" t="e">
        <f t="shared" si="709"/>
        <v>#DIV/0!</v>
      </c>
      <c r="AJ384" s="580" t="e">
        <f t="shared" si="709"/>
        <v>#DIV/0!</v>
      </c>
      <c r="AK384" s="580" t="e">
        <f t="shared" si="709"/>
        <v>#DIV/0!</v>
      </c>
      <c r="AL384" s="580" t="e">
        <f t="shared" si="709"/>
        <v>#DIV/0!</v>
      </c>
      <c r="AM384" s="580" t="e">
        <f t="shared" si="709"/>
        <v>#DIV/0!</v>
      </c>
      <c r="AN384" s="580" t="e">
        <f t="shared" si="709"/>
        <v>#DIV/0!</v>
      </c>
      <c r="AO384" s="580" t="e">
        <f t="shared" si="709"/>
        <v>#DIV/0!</v>
      </c>
      <c r="AP384" s="580" t="e">
        <f t="shared" si="709"/>
        <v>#DIV/0!</v>
      </c>
      <c r="AQ384" s="580" t="e">
        <f t="shared" si="709"/>
        <v>#DIV/0!</v>
      </c>
      <c r="AR384" s="580" t="e">
        <f t="shared" si="709"/>
        <v>#DIV/0!</v>
      </c>
      <c r="AS384" s="580" t="e">
        <f t="shared" si="709"/>
        <v>#DIV/0!</v>
      </c>
      <c r="AT384" s="580" t="e">
        <f t="shared" si="709"/>
        <v>#DIV/0!</v>
      </c>
      <c r="AU384" s="580" t="e">
        <f t="shared" si="709"/>
        <v>#DIV/0!</v>
      </c>
      <c r="AV384" s="580" t="e">
        <f t="shared" si="709"/>
        <v>#DIV/0!</v>
      </c>
      <c r="AW384" s="580" t="e">
        <f t="shared" si="709"/>
        <v>#DIV/0!</v>
      </c>
      <c r="AX384" s="580" t="e">
        <f t="shared" si="709"/>
        <v>#DIV/0!</v>
      </c>
      <c r="AY384" s="580" t="e">
        <f t="shared" si="709"/>
        <v>#DIV/0!</v>
      </c>
      <c r="AZ384" s="580" t="e">
        <f t="shared" si="709"/>
        <v>#DIV/0!</v>
      </c>
      <c r="BA384" s="580" t="e">
        <f t="shared" si="709"/>
        <v>#DIV/0!</v>
      </c>
      <c r="BB384" s="580" t="e">
        <f t="shared" si="709"/>
        <v>#DIV/0!</v>
      </c>
      <c r="BC384" s="580" t="e">
        <f t="shared" si="709"/>
        <v>#DIV/0!</v>
      </c>
      <c r="BD384" s="580" t="e">
        <f t="shared" si="709"/>
        <v>#DIV/0!</v>
      </c>
      <c r="BE384" s="580" t="e">
        <f t="shared" si="709"/>
        <v>#DIV/0!</v>
      </c>
      <c r="BF384" s="580" t="e">
        <f t="shared" si="709"/>
        <v>#DIV/0!</v>
      </c>
      <c r="BG384" s="580" t="e">
        <f t="shared" si="709"/>
        <v>#DIV/0!</v>
      </c>
      <c r="BH384" s="580" t="e">
        <f t="shared" si="709"/>
        <v>#DIV/0!</v>
      </c>
      <c r="BI384" s="580" t="e">
        <f t="shared" si="709"/>
        <v>#DIV/0!</v>
      </c>
      <c r="BJ384" s="580" t="e">
        <f t="shared" si="709"/>
        <v>#DIV/0!</v>
      </c>
      <c r="BK384" s="580" t="e">
        <f t="shared" si="709"/>
        <v>#DIV/0!</v>
      </c>
    </row>
    <row r="385" spans="1:63" s="245" customFormat="1">
      <c r="A385" s="243"/>
      <c r="B385" s="243" t="s">
        <v>1607</v>
      </c>
      <c r="C385" s="243" t="s">
        <v>1608</v>
      </c>
      <c r="D385" s="243"/>
      <c r="F385" s="286"/>
      <c r="G385" s="286"/>
      <c r="H385" s="286"/>
      <c r="I385" s="286"/>
      <c r="J385" s="286"/>
      <c r="K385" s="286"/>
      <c r="L385" s="286"/>
      <c r="M385" s="286"/>
      <c r="N385" s="286"/>
      <c r="O385" s="286"/>
      <c r="P385" s="286">
        <f t="shared" ref="P385:AD385" si="710">P252</f>
        <v>29.881437222849371</v>
      </c>
      <c r="Q385" s="286">
        <f t="shared" si="710"/>
        <v>27.580094205304533</v>
      </c>
      <c r="R385" s="286">
        <f t="shared" si="710"/>
        <v>30.785300065177051</v>
      </c>
      <c r="S385" s="286">
        <f t="shared" si="710"/>
        <v>26.413093169973472</v>
      </c>
      <c r="T385" s="286">
        <f t="shared" si="710"/>
        <v>27.501039791963883</v>
      </c>
      <c r="U385" s="286">
        <f t="shared" si="710"/>
        <v>27.880977331641958</v>
      </c>
      <c r="V385" s="286">
        <f t="shared" si="710"/>
        <v>25.386906166406288</v>
      </c>
      <c r="W385" s="286">
        <f t="shared" si="710"/>
        <v>30.430021354226273</v>
      </c>
      <c r="X385" s="286">
        <f t="shared" si="710"/>
        <v>29.715690466011118</v>
      </c>
      <c r="Y385" s="286">
        <f t="shared" si="710"/>
        <v>28.462758024569705</v>
      </c>
      <c r="Z385" s="286">
        <f t="shared" si="710"/>
        <v>29.160928159904241</v>
      </c>
      <c r="AA385" s="286">
        <f>AA252</f>
        <v>28.264141254172419</v>
      </c>
      <c r="AB385" s="286">
        <f>AB252</f>
        <v>29.000000000000004</v>
      </c>
      <c r="AC385" s="286">
        <f t="shared" si="710"/>
        <v>29.000000000000004</v>
      </c>
      <c r="AD385" s="286">
        <f t="shared" si="710"/>
        <v>28.999999999999986</v>
      </c>
      <c r="AF385" s="580">
        <f t="shared" ref="AF385:BK385" si="711">AF252</f>
        <v>31.98818897637797</v>
      </c>
      <c r="AG385" s="580">
        <f t="shared" si="711"/>
        <v>27.385255778288979</v>
      </c>
      <c r="AH385" s="580">
        <f t="shared" si="711"/>
        <v>25.149851196713751</v>
      </c>
      <c r="AI385" s="580">
        <f t="shared" si="711"/>
        <v>26.406479441997078</v>
      </c>
      <c r="AJ385" s="580">
        <f t="shared" si="711"/>
        <v>31.201485495114301</v>
      </c>
      <c r="AK385" s="580">
        <f t="shared" si="711"/>
        <v>27.67255892255892</v>
      </c>
      <c r="AL385" s="580">
        <f t="shared" si="711"/>
        <v>27.667476855012708</v>
      </c>
      <c r="AM385" s="580">
        <f t="shared" si="711"/>
        <v>28.039026841422043</v>
      </c>
      <c r="AN385" s="580">
        <f t="shared" si="711"/>
        <v>32.935049019607817</v>
      </c>
      <c r="AO385" s="580">
        <f t="shared" si="711"/>
        <v>24.772914946325344</v>
      </c>
      <c r="AP385" s="580">
        <f t="shared" si="711"/>
        <v>24.933126382880371</v>
      </c>
      <c r="AQ385" s="580">
        <f t="shared" si="711"/>
        <v>20.434902855562463</v>
      </c>
      <c r="AR385" s="580">
        <f t="shared" si="711"/>
        <v>27.758185251757659</v>
      </c>
      <c r="AS385" s="580">
        <f t="shared" si="711"/>
        <v>28.175327378093691</v>
      </c>
      <c r="AT385" s="580">
        <f t="shared" si="711"/>
        <v>27.939992641546485</v>
      </c>
      <c r="AU385" s="580">
        <f t="shared" si="711"/>
        <v>26.416295353278169</v>
      </c>
      <c r="AV385" s="580">
        <f t="shared" si="711"/>
        <v>28.566240997397578</v>
      </c>
      <c r="AW385" s="580">
        <f t="shared" si="711"/>
        <v>28.223260512691006</v>
      </c>
      <c r="AX385" s="580">
        <f t="shared" si="711"/>
        <v>27.282537606278606</v>
      </c>
      <c r="AY385" s="580">
        <f t="shared" si="711"/>
        <v>27.277128655348271</v>
      </c>
      <c r="AZ385" s="580">
        <f t="shared" si="711"/>
        <v>25.391895578452541</v>
      </c>
      <c r="BA385" s="580">
        <f t="shared" si="711"/>
        <v>23.409593269975108</v>
      </c>
      <c r="BB385" s="580">
        <f t="shared" si="711"/>
        <v>23.748939779474142</v>
      </c>
      <c r="BC385" s="580">
        <f t="shared" si="711"/>
        <v>25.573190525712192</v>
      </c>
      <c r="BD385" s="580">
        <f t="shared" si="711"/>
        <v>29.458262551674718</v>
      </c>
      <c r="BE385" s="580">
        <f t="shared" si="711"/>
        <v>28.827582230678317</v>
      </c>
      <c r="BF385" s="580">
        <f t="shared" si="711"/>
        <v>30.246387677208304</v>
      </c>
      <c r="BG385" s="580">
        <f t="shared" si="711"/>
        <v>25.898723643084544</v>
      </c>
      <c r="BH385" s="580">
        <f t="shared" si="711"/>
        <v>26.47222246721288</v>
      </c>
      <c r="BI385" s="580">
        <f t="shared" si="711"/>
        <v>29.942852575630425</v>
      </c>
      <c r="BJ385" s="580">
        <f t="shared" si="711"/>
        <v>33.432892311743032</v>
      </c>
      <c r="BK385" s="580">
        <f t="shared" si="711"/>
        <v>27.874102406812689</v>
      </c>
    </row>
    <row r="386" spans="1:63" s="240" customFormat="1">
      <c r="A386" s="209"/>
      <c r="B386" s="209" t="s">
        <v>1609</v>
      </c>
      <c r="C386" s="270" t="s">
        <v>1610</v>
      </c>
      <c r="D386" s="209"/>
      <c r="F386" s="251"/>
      <c r="G386" s="251"/>
      <c r="H386" s="251"/>
      <c r="I386" s="251"/>
      <c r="J386" s="251"/>
      <c r="K386" s="251"/>
      <c r="L386" s="251"/>
      <c r="M386" s="251"/>
      <c r="N386" s="251"/>
      <c r="O386" s="251"/>
      <c r="P386" s="251"/>
      <c r="Q386" s="251"/>
      <c r="R386" s="251"/>
      <c r="S386" s="251"/>
      <c r="T386" s="251"/>
      <c r="U386" s="251"/>
      <c r="V386" s="251"/>
      <c r="W386" s="251"/>
      <c r="X386" s="251"/>
      <c r="Y386" s="251"/>
      <c r="Z386" s="251"/>
      <c r="AA386" s="251"/>
      <c r="AB386" s="251"/>
      <c r="AC386" s="251"/>
      <c r="AD386" s="251"/>
      <c r="AF386" s="579"/>
      <c r="AG386" s="579"/>
      <c r="AH386" s="579"/>
      <c r="AI386" s="579"/>
      <c r="AJ386" s="579"/>
      <c r="AK386" s="579"/>
      <c r="AL386" s="579"/>
      <c r="AM386" s="579"/>
      <c r="AN386" s="579"/>
      <c r="AO386" s="579"/>
      <c r="AP386" s="579"/>
      <c r="AQ386" s="579"/>
      <c r="AR386" s="579"/>
      <c r="AS386" s="579"/>
      <c r="AT386" s="579"/>
      <c r="AU386" s="579"/>
      <c r="AV386" s="579"/>
      <c r="AW386" s="579"/>
      <c r="AX386" s="579"/>
      <c r="AY386" s="579"/>
      <c r="AZ386" s="579"/>
      <c r="BA386" s="579"/>
      <c r="BB386" s="579"/>
      <c r="BC386" s="579"/>
      <c r="BD386" s="579"/>
      <c r="BE386" s="579"/>
      <c r="BF386" s="579"/>
      <c r="BG386" s="579"/>
      <c r="BH386" s="579"/>
      <c r="BI386" s="579"/>
      <c r="BJ386" s="579"/>
      <c r="BK386" s="579"/>
    </row>
    <row r="387" spans="1:63" s="240" customFormat="1">
      <c r="A387" s="209"/>
      <c r="B387" s="209"/>
      <c r="C387" s="209"/>
      <c r="D387" s="209"/>
      <c r="AF387" s="579"/>
      <c r="AG387" s="579"/>
      <c r="AH387" s="579"/>
      <c r="AI387" s="579"/>
      <c r="AJ387" s="579"/>
      <c r="AK387" s="579"/>
      <c r="AL387" s="579"/>
      <c r="AM387" s="579"/>
      <c r="AN387" s="579"/>
      <c r="AO387" s="579"/>
      <c r="AP387" s="579"/>
      <c r="AQ387" s="579"/>
      <c r="AR387" s="579"/>
      <c r="AS387" s="579"/>
      <c r="AT387" s="579"/>
      <c r="AU387" s="579"/>
      <c r="AV387" s="579"/>
      <c r="AW387" s="579"/>
      <c r="AX387" s="579"/>
      <c r="AY387" s="579"/>
      <c r="AZ387" s="579"/>
      <c r="BA387" s="579"/>
      <c r="BB387" s="579"/>
      <c r="BC387" s="579"/>
      <c r="BD387" s="579"/>
      <c r="BE387" s="579"/>
      <c r="BF387" s="579"/>
      <c r="BG387" s="579"/>
      <c r="BH387" s="579"/>
      <c r="BI387" s="579"/>
      <c r="BJ387" s="579"/>
      <c r="BK387" s="579"/>
    </row>
    <row r="388" spans="1:63" s="240" customFormat="1">
      <c r="A388" s="209"/>
      <c r="B388" s="209"/>
      <c r="C388" s="209"/>
      <c r="D388" s="209"/>
      <c r="AF388" s="579"/>
      <c r="AG388" s="579"/>
      <c r="AH388" s="579"/>
      <c r="AI388" s="579"/>
      <c r="AJ388" s="579"/>
      <c r="AK388" s="579"/>
      <c r="AL388" s="579"/>
      <c r="AM388" s="579"/>
      <c r="AN388" s="579"/>
      <c r="AO388" s="579"/>
      <c r="AP388" s="579"/>
      <c r="AQ388" s="579"/>
      <c r="AR388" s="579"/>
      <c r="AS388" s="579"/>
      <c r="AT388" s="579"/>
      <c r="AU388" s="579"/>
      <c r="AV388" s="579"/>
      <c r="AW388" s="579"/>
      <c r="AX388" s="579"/>
      <c r="AY388" s="579"/>
      <c r="AZ388" s="579"/>
      <c r="BA388" s="579"/>
      <c r="BB388" s="579"/>
      <c r="BC388" s="579"/>
      <c r="BD388" s="579"/>
      <c r="BE388" s="579"/>
      <c r="BF388" s="579"/>
      <c r="BG388" s="579"/>
      <c r="BH388" s="579"/>
      <c r="BI388" s="579"/>
      <c r="BJ388" s="579"/>
      <c r="BK388" s="579"/>
    </row>
    <row r="389" spans="1:63" s="240" customFormat="1">
      <c r="A389" s="209"/>
      <c r="B389" s="209"/>
      <c r="C389" s="209"/>
      <c r="D389" s="209"/>
      <c r="AF389" s="579"/>
      <c r="AG389" s="579"/>
      <c r="AH389" s="579"/>
      <c r="AI389" s="579"/>
      <c r="AJ389" s="579"/>
      <c r="AK389" s="579"/>
      <c r="AL389" s="579"/>
      <c r="AM389" s="579"/>
      <c r="AN389" s="579"/>
      <c r="AO389" s="579"/>
      <c r="AP389" s="579"/>
      <c r="AQ389" s="579"/>
      <c r="AR389" s="579"/>
      <c r="AS389" s="579"/>
      <c r="AT389" s="579"/>
      <c r="AU389" s="579"/>
      <c r="AV389" s="579"/>
      <c r="AW389" s="579"/>
      <c r="AX389" s="579"/>
      <c r="AY389" s="579"/>
      <c r="AZ389" s="579"/>
      <c r="BA389" s="579"/>
      <c r="BB389" s="579"/>
      <c r="BC389" s="579"/>
      <c r="BD389" s="579"/>
      <c r="BE389" s="579"/>
      <c r="BF389" s="579"/>
      <c r="BG389" s="579"/>
      <c r="BH389" s="579"/>
      <c r="BI389" s="579"/>
      <c r="BJ389" s="579"/>
      <c r="BK389" s="579"/>
    </row>
    <row r="390" spans="1:63" s="245" customFormat="1">
      <c r="A390" s="243"/>
      <c r="B390" s="243"/>
      <c r="C390" s="250" t="s">
        <v>1611</v>
      </c>
      <c r="D390" s="243"/>
      <c r="AF390" s="580"/>
      <c r="AG390" s="580"/>
      <c r="AH390" s="580"/>
      <c r="AI390" s="580"/>
      <c r="AJ390" s="580"/>
      <c r="AK390" s="580"/>
      <c r="AL390" s="580"/>
      <c r="AM390" s="580"/>
      <c r="AN390" s="580"/>
      <c r="AO390" s="580"/>
      <c r="AP390" s="580"/>
      <c r="AQ390" s="580"/>
      <c r="AR390" s="580"/>
      <c r="AS390" s="580"/>
      <c r="AT390" s="580"/>
      <c r="AU390" s="580"/>
      <c r="AV390" s="580"/>
      <c r="AW390" s="580"/>
      <c r="AX390" s="580"/>
      <c r="AY390" s="580"/>
      <c r="AZ390" s="580"/>
      <c r="BA390" s="580"/>
      <c r="BB390" s="580"/>
      <c r="BC390" s="580"/>
      <c r="BD390" s="580"/>
      <c r="BE390" s="580"/>
      <c r="BF390" s="580"/>
      <c r="BG390" s="580"/>
      <c r="BH390" s="580"/>
      <c r="BI390" s="580"/>
      <c r="BJ390" s="580"/>
      <c r="BK390" s="580"/>
    </row>
    <row r="391" spans="1:63" s="245" customFormat="1">
      <c r="A391" s="243"/>
      <c r="B391" s="243" t="s">
        <v>1613</v>
      </c>
      <c r="C391" s="243" t="s">
        <v>400</v>
      </c>
      <c r="D391" s="243"/>
      <c r="F391" s="286"/>
      <c r="G391" s="286"/>
      <c r="H391" s="286"/>
      <c r="I391" s="286"/>
      <c r="J391" s="286"/>
      <c r="K391" s="286"/>
      <c r="L391" s="286"/>
      <c r="M391" s="286"/>
      <c r="N391" s="286"/>
      <c r="O391" s="286"/>
      <c r="P391" s="286"/>
      <c r="Q391" s="286"/>
      <c r="R391" s="286"/>
      <c r="S391" s="286"/>
      <c r="T391" s="286">
        <v>0</v>
      </c>
      <c r="U391" s="286">
        <f t="shared" ref="U391:AD391" si="712">T391+1</f>
        <v>1</v>
      </c>
      <c r="V391" s="286">
        <f t="shared" si="712"/>
        <v>2</v>
      </c>
      <c r="W391" s="286">
        <f t="shared" si="712"/>
        <v>3</v>
      </c>
      <c r="X391" s="286">
        <f t="shared" si="712"/>
        <v>4</v>
      </c>
      <c r="Y391" s="286">
        <f t="shared" si="712"/>
        <v>5</v>
      </c>
      <c r="Z391" s="286">
        <f t="shared" si="712"/>
        <v>6</v>
      </c>
      <c r="AA391" s="286">
        <f>Z391+1</f>
        <v>7</v>
      </c>
      <c r="AB391" s="286">
        <f>AA391+1</f>
        <v>8</v>
      </c>
      <c r="AC391" s="286">
        <f t="shared" si="712"/>
        <v>9</v>
      </c>
      <c r="AD391" s="286">
        <f t="shared" si="712"/>
        <v>10</v>
      </c>
      <c r="AF391" s="580">
        <f t="shared" ref="AF391:BK391" si="713">AE391+1</f>
        <v>1</v>
      </c>
      <c r="AG391" s="580">
        <f t="shared" si="713"/>
        <v>2</v>
      </c>
      <c r="AH391" s="580">
        <f t="shared" si="713"/>
        <v>3</v>
      </c>
      <c r="AI391" s="580">
        <f t="shared" si="713"/>
        <v>4</v>
      </c>
      <c r="AJ391" s="580">
        <f t="shared" si="713"/>
        <v>5</v>
      </c>
      <c r="AK391" s="580">
        <f t="shared" si="713"/>
        <v>6</v>
      </c>
      <c r="AL391" s="580">
        <f t="shared" si="713"/>
        <v>7</v>
      </c>
      <c r="AM391" s="580">
        <f t="shared" si="713"/>
        <v>8</v>
      </c>
      <c r="AN391" s="580">
        <f t="shared" si="713"/>
        <v>9</v>
      </c>
      <c r="AO391" s="580">
        <f t="shared" si="713"/>
        <v>10</v>
      </c>
      <c r="AP391" s="580">
        <f t="shared" si="713"/>
        <v>11</v>
      </c>
      <c r="AQ391" s="580">
        <f t="shared" si="713"/>
        <v>12</v>
      </c>
      <c r="AR391" s="580">
        <f t="shared" si="713"/>
        <v>13</v>
      </c>
      <c r="AS391" s="580">
        <f t="shared" si="713"/>
        <v>14</v>
      </c>
      <c r="AT391" s="580">
        <f t="shared" si="713"/>
        <v>15</v>
      </c>
      <c r="AU391" s="580">
        <f t="shared" si="713"/>
        <v>16</v>
      </c>
      <c r="AV391" s="580">
        <f t="shared" si="713"/>
        <v>17</v>
      </c>
      <c r="AW391" s="580">
        <f t="shared" si="713"/>
        <v>18</v>
      </c>
      <c r="AX391" s="580">
        <f t="shared" si="713"/>
        <v>19</v>
      </c>
      <c r="AY391" s="580">
        <f t="shared" si="713"/>
        <v>20</v>
      </c>
      <c r="AZ391" s="580">
        <f t="shared" si="713"/>
        <v>21</v>
      </c>
      <c r="BA391" s="580">
        <f t="shared" si="713"/>
        <v>22</v>
      </c>
      <c r="BB391" s="580">
        <f t="shared" si="713"/>
        <v>23</v>
      </c>
      <c r="BC391" s="580">
        <f t="shared" si="713"/>
        <v>24</v>
      </c>
      <c r="BD391" s="580">
        <f t="shared" si="713"/>
        <v>25</v>
      </c>
      <c r="BE391" s="580">
        <f t="shared" si="713"/>
        <v>26</v>
      </c>
      <c r="BF391" s="580">
        <f t="shared" si="713"/>
        <v>27</v>
      </c>
      <c r="BG391" s="580">
        <f t="shared" si="713"/>
        <v>28</v>
      </c>
      <c r="BH391" s="580">
        <f t="shared" si="713"/>
        <v>29</v>
      </c>
      <c r="BI391" s="580">
        <f t="shared" si="713"/>
        <v>30</v>
      </c>
      <c r="BJ391" s="580">
        <f t="shared" si="713"/>
        <v>31</v>
      </c>
      <c r="BK391" s="580">
        <f t="shared" si="713"/>
        <v>32</v>
      </c>
    </row>
    <row r="392" spans="1:63" s="245" customFormat="1">
      <c r="A392" s="243"/>
      <c r="B392" s="243" t="s">
        <v>1614</v>
      </c>
      <c r="C392" s="243" t="s">
        <v>1615</v>
      </c>
      <c r="D392" s="243"/>
      <c r="F392" s="286"/>
      <c r="G392" s="286"/>
      <c r="H392" s="286"/>
      <c r="I392" s="286"/>
      <c r="J392" s="286"/>
      <c r="K392" s="286"/>
      <c r="L392" s="286"/>
      <c r="M392" s="286"/>
      <c r="N392" s="286"/>
      <c r="O392" s="286"/>
      <c r="P392" s="286"/>
      <c r="Q392" s="286"/>
      <c r="R392" s="286"/>
      <c r="S392" s="286"/>
      <c r="T392" s="286">
        <f t="shared" ref="T392:AD392" si="714">T194</f>
        <v>27371.1</v>
      </c>
      <c r="U392" s="286">
        <f t="shared" si="714"/>
        <v>20137.200000000008</v>
      </c>
      <c r="V392" s="286">
        <f t="shared" si="714"/>
        <v>29599.399999999991</v>
      </c>
      <c r="W392" s="286">
        <f t="shared" si="714"/>
        <v>21343.699999999993</v>
      </c>
      <c r="X392" s="286">
        <f t="shared" si="714"/>
        <v>35371.199999999997</v>
      </c>
      <c r="Y392" s="286">
        <f t="shared" si="714"/>
        <v>21472.5</v>
      </c>
      <c r="Z392" s="286">
        <f t="shared" si="714"/>
        <v>36596.344637000009</v>
      </c>
      <c r="AA392" s="286">
        <f>AA194</f>
        <v>31002.176622221654</v>
      </c>
      <c r="AB392" s="286">
        <f>AB194</f>
        <v>27523.784978181171</v>
      </c>
      <c r="AC392" s="286">
        <f t="shared" si="714"/>
        <v>33512.245557762049</v>
      </c>
      <c r="AD392" s="286">
        <f t="shared" si="714"/>
        <v>37273.267501324335</v>
      </c>
      <c r="AF392" s="580">
        <f t="shared" ref="AF392:BK392" si="715">AF194</f>
        <v>3606.8999999999978</v>
      </c>
      <c r="AG392" s="580">
        <f t="shared" si="715"/>
        <v>3651.8999999999978</v>
      </c>
      <c r="AH392" s="580">
        <f t="shared" si="715"/>
        <v>3636.2000000000003</v>
      </c>
      <c r="AI392" s="580">
        <f t="shared" si="715"/>
        <v>3262.8999999999978</v>
      </c>
      <c r="AJ392" s="580">
        <f t="shared" si="715"/>
        <v>2749</v>
      </c>
      <c r="AK392" s="580">
        <f t="shared" si="715"/>
        <v>3780.4999999999995</v>
      </c>
      <c r="AL392" s="580">
        <f t="shared" si="715"/>
        <v>3669.7999999999993</v>
      </c>
      <c r="AM392" s="580">
        <f t="shared" si="715"/>
        <v>2615.7000000000007</v>
      </c>
      <c r="AN392" s="580">
        <f t="shared" si="715"/>
        <v>2667.9000000000015</v>
      </c>
      <c r="AO392" s="580">
        <f t="shared" si="715"/>
        <v>3438.2000000000007</v>
      </c>
      <c r="AP392" s="580">
        <f t="shared" si="715"/>
        <v>3058.3999999999978</v>
      </c>
      <c r="AQ392" s="580">
        <f t="shared" si="715"/>
        <v>3028.4000000000015</v>
      </c>
      <c r="AR392" s="580">
        <f t="shared" si="715"/>
        <v>4554.1999999999971</v>
      </c>
      <c r="AS392" s="580">
        <f t="shared" si="715"/>
        <v>6365.0999999999985</v>
      </c>
      <c r="AT392" s="580">
        <f t="shared" si="715"/>
        <v>7235.3000000000029</v>
      </c>
      <c r="AU392" s="580">
        <f t="shared" si="715"/>
        <v>7771</v>
      </c>
      <c r="AV392" s="580">
        <f t="shared" si="715"/>
        <v>7769.2999999999965</v>
      </c>
      <c r="AW392" s="580">
        <f t="shared" si="715"/>
        <v>8971.6999999999971</v>
      </c>
      <c r="AX392" s="580">
        <f t="shared" si="715"/>
        <v>8493.2000000000044</v>
      </c>
      <c r="AY392" s="580">
        <f t="shared" si="715"/>
        <v>8034.0999999999985</v>
      </c>
      <c r="AZ392" s="580">
        <f t="shared" si="715"/>
        <v>8398.4000000000087</v>
      </c>
      <c r="BA392" s="580">
        <f t="shared" si="715"/>
        <v>10573.699999999997</v>
      </c>
      <c r="BB392" s="580">
        <f t="shared" si="715"/>
        <v>9841.2999999999956</v>
      </c>
      <c r="BC392" s="580">
        <f t="shared" si="715"/>
        <v>9205.8999999999942</v>
      </c>
      <c r="BD392" s="580">
        <f t="shared" si="715"/>
        <v>8716.9999999999927</v>
      </c>
      <c r="BE392" s="580">
        <f t="shared" si="715"/>
        <v>9152.0999999999985</v>
      </c>
      <c r="BF392" s="580">
        <f t="shared" si="715"/>
        <v>10117.499999999993</v>
      </c>
      <c r="BG392" s="580">
        <f t="shared" si="715"/>
        <v>8365.9000000000015</v>
      </c>
      <c r="BH392" s="580">
        <f t="shared" si="715"/>
        <v>10027.100000000006</v>
      </c>
      <c r="BI392" s="580">
        <f t="shared" si="715"/>
        <v>11713.199999999997</v>
      </c>
      <c r="BJ392" s="580">
        <f t="shared" si="715"/>
        <v>10396.599999999999</v>
      </c>
      <c r="BK392" s="580">
        <f t="shared" si="715"/>
        <v>9683.5999999999985</v>
      </c>
    </row>
    <row r="393" spans="1:63" s="245" customFormat="1">
      <c r="A393" s="243"/>
      <c r="B393" s="243" t="s">
        <v>1616</v>
      </c>
      <c r="C393" s="243" t="s">
        <v>1617</v>
      </c>
      <c r="D393" s="243"/>
      <c r="F393" s="286"/>
      <c r="G393" s="286"/>
      <c r="H393" s="286"/>
      <c r="I393" s="286"/>
      <c r="J393" s="286"/>
      <c r="K393" s="286"/>
      <c r="L393" s="286"/>
      <c r="M393" s="286"/>
      <c r="N393" s="286"/>
      <c r="O393" s="286"/>
      <c r="P393" s="286"/>
      <c r="Q393" s="286"/>
      <c r="R393" s="286"/>
      <c r="S393" s="286"/>
      <c r="T393" s="286">
        <f t="shared" ref="T393:AD393" si="716">T84*(1-T252/100)</f>
        <v>43.354378204405599</v>
      </c>
      <c r="U393" s="286">
        <f t="shared" si="716"/>
        <v>12.188114830952507</v>
      </c>
      <c r="V393" s="286">
        <f t="shared" si="716"/>
        <v>165.93952068591241</v>
      </c>
      <c r="W393" s="286">
        <f t="shared" si="716"/>
        <v>3.7567788468717813</v>
      </c>
      <c r="X393" s="286">
        <f t="shared" si="716"/>
        <v>3.7953527148353996</v>
      </c>
      <c r="Y393" s="286">
        <f t="shared" si="716"/>
        <v>46.427670042054267</v>
      </c>
      <c r="Z393" s="286">
        <f t="shared" si="716"/>
        <v>7.4381025432100545</v>
      </c>
      <c r="AA393" s="286">
        <f>AA84*(1-AA252/100)</f>
        <v>10.04302022441586</v>
      </c>
      <c r="AB393" s="286">
        <f>AB84*(1-AB252/100)</f>
        <v>7.1</v>
      </c>
      <c r="AC393" s="286">
        <f t="shared" si="716"/>
        <v>7.1</v>
      </c>
      <c r="AD393" s="286">
        <f t="shared" si="716"/>
        <v>7.1000000000000014</v>
      </c>
      <c r="AF393" s="580">
        <f t="shared" ref="AF393:BK393" si="717">AF84*(1-AF252/100)</f>
        <v>4.9648622047244082</v>
      </c>
      <c r="AG393" s="580">
        <f t="shared" si="717"/>
        <v>14.522948844342203</v>
      </c>
      <c r="AH393" s="580">
        <f t="shared" si="717"/>
        <v>1.6467032736722975</v>
      </c>
      <c r="AI393" s="580">
        <f t="shared" si="717"/>
        <v>17.588851413362697</v>
      </c>
      <c r="AJ393" s="580">
        <f t="shared" si="717"/>
        <v>0.41279108702931416</v>
      </c>
      <c r="AK393" s="580">
        <f t="shared" si="717"/>
        <v>9.8365319865319858</v>
      </c>
      <c r="AL393" s="580">
        <f t="shared" si="717"/>
        <v>13.960176966982548</v>
      </c>
      <c r="AM393" s="580">
        <f t="shared" si="717"/>
        <v>13.024936141702611</v>
      </c>
      <c r="AN393" s="580">
        <f t="shared" si="717"/>
        <v>6.1699754901960802</v>
      </c>
      <c r="AO393" s="580">
        <f t="shared" si="717"/>
        <v>44.15829892650703</v>
      </c>
      <c r="AP393" s="580">
        <f t="shared" si="717"/>
        <v>67.710320002641907</v>
      </c>
      <c r="AQ393" s="580">
        <f t="shared" si="717"/>
        <v>41.37385051510752</v>
      </c>
      <c r="AR393" s="580">
        <f t="shared" si="717"/>
        <v>43.128363404700679</v>
      </c>
      <c r="AS393" s="580">
        <f t="shared" si="717"/>
        <v>0</v>
      </c>
      <c r="AT393" s="580">
        <f t="shared" si="717"/>
        <v>1.4412001471690703E-2</v>
      </c>
      <c r="AU393" s="580">
        <f t="shared" si="717"/>
        <v>-7.3583704646721843E-2</v>
      </c>
      <c r="AV393" s="580">
        <f t="shared" si="717"/>
        <v>4.5003268171639528</v>
      </c>
      <c r="AW393" s="580">
        <f t="shared" si="717"/>
        <v>4.6654880666750849</v>
      </c>
      <c r="AX393" s="580">
        <f t="shared" si="717"/>
        <v>2.6178286461739702</v>
      </c>
      <c r="AY393" s="580">
        <f t="shared" si="717"/>
        <v>0.36361435672325865</v>
      </c>
      <c r="AZ393" s="580">
        <f t="shared" si="717"/>
        <v>1.7159864016955915</v>
      </c>
      <c r="BA393" s="580">
        <f t="shared" si="717"/>
        <v>154.86580240811034</v>
      </c>
      <c r="BB393" s="580">
        <f t="shared" si="717"/>
        <v>0.15250212044105171</v>
      </c>
      <c r="BC393" s="580">
        <f t="shared" si="717"/>
        <v>13.173545276948943</v>
      </c>
      <c r="BD393" s="580">
        <f t="shared" si="717"/>
        <v>0.28216694979330115</v>
      </c>
      <c r="BE393" s="580">
        <f t="shared" si="717"/>
        <v>1.5657931909250771</v>
      </c>
      <c r="BF393" s="580">
        <f t="shared" si="717"/>
        <v>0.69753612322791692</v>
      </c>
      <c r="BG393" s="580">
        <f t="shared" si="717"/>
        <v>1.3338229744244783</v>
      </c>
      <c r="BH393" s="580">
        <f t="shared" si="717"/>
        <v>0.66174999779508414</v>
      </c>
      <c r="BI393" s="580">
        <f t="shared" si="717"/>
        <v>0.28022858969747827</v>
      </c>
      <c r="BJ393" s="580">
        <f t="shared" si="717"/>
        <v>1.2647750460768823</v>
      </c>
      <c r="BK393" s="580">
        <f t="shared" si="717"/>
        <v>1.2261402590841841</v>
      </c>
    </row>
    <row r="394" spans="1:63" s="245" customFormat="1">
      <c r="A394" s="243"/>
      <c r="B394" s="243" t="s">
        <v>1618</v>
      </c>
      <c r="C394" s="243" t="s">
        <v>1619</v>
      </c>
      <c r="D394" s="243"/>
      <c r="F394" s="286"/>
      <c r="G394" s="286"/>
      <c r="H394" s="286"/>
      <c r="I394" s="286"/>
      <c r="J394" s="286"/>
      <c r="K394" s="286"/>
      <c r="L394" s="286"/>
      <c r="M394" s="286"/>
      <c r="N394" s="286"/>
      <c r="O394" s="286"/>
      <c r="P394" s="286"/>
      <c r="Q394" s="286"/>
      <c r="R394" s="286"/>
      <c r="S394" s="286"/>
      <c r="T394" s="286">
        <f t="shared" ref="T394:AD394" si="718">T195</f>
        <v>-891.2000000000055</v>
      </c>
      <c r="U394" s="286">
        <f t="shared" si="718"/>
        <v>-1543.0000000000036</v>
      </c>
      <c r="V394" s="286">
        <f t="shared" si="718"/>
        <v>-1164.2999999999931</v>
      </c>
      <c r="W394" s="286">
        <f t="shared" si="718"/>
        <v>-7413.7</v>
      </c>
      <c r="X394" s="286">
        <f t="shared" si="718"/>
        <v>-2317.300000000002</v>
      </c>
      <c r="Y394" s="286">
        <f t="shared" si="718"/>
        <v>-2894.7999999999979</v>
      </c>
      <c r="Z394" s="286">
        <f t="shared" si="718"/>
        <v>-2128.9000000000015</v>
      </c>
      <c r="AA394" s="286">
        <f>AA195</f>
        <v>-2999.9999999999973</v>
      </c>
      <c r="AB394" s="286">
        <f>AB195</f>
        <v>-4000</v>
      </c>
      <c r="AC394" s="286">
        <f t="shared" si="718"/>
        <v>-3999.9999999999964</v>
      </c>
      <c r="AD394" s="286">
        <f t="shared" si="718"/>
        <v>-3999.9999999999959</v>
      </c>
      <c r="AF394" s="580">
        <f t="shared" ref="AF394:BK394" si="719">AF195</f>
        <v>-481.2</v>
      </c>
      <c r="AG394" s="580">
        <f t="shared" si="719"/>
        <v>-491.7</v>
      </c>
      <c r="AH394" s="580">
        <f t="shared" si="719"/>
        <v>-472.1</v>
      </c>
      <c r="AI394" s="580">
        <f t="shared" si="719"/>
        <v>-457.6</v>
      </c>
      <c r="AJ394" s="580">
        <f t="shared" si="719"/>
        <v>-490.2</v>
      </c>
      <c r="AK394" s="580">
        <f t="shared" si="719"/>
        <v>-487.2</v>
      </c>
      <c r="AL394" s="580">
        <f t="shared" si="719"/>
        <v>-418.3</v>
      </c>
      <c r="AM394" s="580">
        <f t="shared" si="719"/>
        <v>-413.9</v>
      </c>
      <c r="AN394" s="580">
        <f t="shared" si="719"/>
        <v>-335.3</v>
      </c>
      <c r="AO394" s="580">
        <f t="shared" si="719"/>
        <v>-330.8</v>
      </c>
      <c r="AP394" s="580">
        <f t="shared" si="719"/>
        <v>-318.89999999999998</v>
      </c>
      <c r="AQ394" s="580">
        <f t="shared" si="719"/>
        <v>-312.89999999999998</v>
      </c>
      <c r="AR394" s="580">
        <f t="shared" si="719"/>
        <v>-330.8</v>
      </c>
      <c r="AS394" s="580">
        <f t="shared" si="719"/>
        <v>-335.8</v>
      </c>
      <c r="AT394" s="580">
        <f t="shared" si="719"/>
        <v>-356.8</v>
      </c>
      <c r="AU394" s="580">
        <f t="shared" si="719"/>
        <v>-341.1</v>
      </c>
      <c r="AV394" s="580">
        <f t="shared" si="719"/>
        <v>-318.2</v>
      </c>
      <c r="AW394" s="580">
        <f t="shared" si="719"/>
        <v>-299.5</v>
      </c>
      <c r="AX394" s="580">
        <f t="shared" si="719"/>
        <v>-310.2</v>
      </c>
      <c r="AY394" s="580">
        <f t="shared" si="719"/>
        <v>-300.5</v>
      </c>
      <c r="AZ394" s="580">
        <f t="shared" si="719"/>
        <v>-306.39999999999998</v>
      </c>
      <c r="BA394" s="580">
        <f t="shared" si="719"/>
        <v>-394.2</v>
      </c>
      <c r="BB394" s="580">
        <f t="shared" si="719"/>
        <v>-321.39999999999998</v>
      </c>
      <c r="BC394" s="580">
        <f t="shared" si="719"/>
        <v>-294.2</v>
      </c>
      <c r="BD394" s="580">
        <f t="shared" si="719"/>
        <v>-352.4</v>
      </c>
      <c r="BE394" s="580">
        <f t="shared" si="719"/>
        <v>-410.4</v>
      </c>
      <c r="BF394" s="580">
        <f t="shared" si="719"/>
        <v>-410.8</v>
      </c>
      <c r="BG394" s="580">
        <f t="shared" si="719"/>
        <v>-466.1</v>
      </c>
      <c r="BH394" s="580">
        <f t="shared" si="719"/>
        <v>-443.9</v>
      </c>
      <c r="BI394" s="580">
        <f t="shared" si="719"/>
        <v>-442.9</v>
      </c>
      <c r="BJ394" s="580">
        <f t="shared" si="719"/>
        <v>-459.5</v>
      </c>
      <c r="BK394" s="580">
        <f t="shared" si="719"/>
        <v>-444.8</v>
      </c>
    </row>
    <row r="395" spans="1:63" s="245" customFormat="1">
      <c r="A395" s="243"/>
      <c r="B395" s="243" t="s">
        <v>1620</v>
      </c>
      <c r="C395" s="243" t="s">
        <v>1621</v>
      </c>
      <c r="D395" s="243"/>
      <c r="F395" s="286"/>
      <c r="G395" s="286"/>
      <c r="H395" s="286"/>
      <c r="I395" s="286"/>
      <c r="J395" s="286"/>
      <c r="K395" s="286"/>
      <c r="L395" s="286"/>
      <c r="M395" s="286"/>
      <c r="N395" s="286"/>
      <c r="O395" s="286"/>
      <c r="P395" s="286"/>
      <c r="Q395" s="286"/>
      <c r="R395" s="286"/>
      <c r="S395" s="286"/>
      <c r="T395" s="286">
        <f t="shared" ref="T395:AD395" si="720">T392+T393-T394</f>
        <v>28305.65437820441</v>
      </c>
      <c r="U395" s="286">
        <f t="shared" si="720"/>
        <v>21692.388114830963</v>
      </c>
      <c r="V395" s="286">
        <f t="shared" si="720"/>
        <v>30929.639520685894</v>
      </c>
      <c r="W395" s="286">
        <f t="shared" si="720"/>
        <v>28761.156778846867</v>
      </c>
      <c r="X395" s="286">
        <f t="shared" si="720"/>
        <v>37692.295352714835</v>
      </c>
      <c r="Y395" s="286">
        <f t="shared" si="720"/>
        <v>24413.727670042055</v>
      </c>
      <c r="Z395" s="286">
        <f t="shared" si="720"/>
        <v>38732.682739543219</v>
      </c>
      <c r="AA395" s="286">
        <f>AA392+AA393-AA394</f>
        <v>34012.219642446071</v>
      </c>
      <c r="AB395" s="286">
        <f>AB392+AB393-AB394</f>
        <v>31530.88497818117</v>
      </c>
      <c r="AC395" s="286">
        <f t="shared" si="720"/>
        <v>37519.345557762048</v>
      </c>
      <c r="AD395" s="286">
        <f t="shared" si="720"/>
        <v>41280.367501324326</v>
      </c>
      <c r="AF395" s="580">
        <f t="shared" ref="AF395:BK395" si="721">AF392+AF393-AF394</f>
        <v>4093.064862204722</v>
      </c>
      <c r="AG395" s="580">
        <f t="shared" si="721"/>
        <v>4158.1229488443405</v>
      </c>
      <c r="AH395" s="580">
        <f t="shared" si="721"/>
        <v>4109.9467032736729</v>
      </c>
      <c r="AI395" s="580">
        <f t="shared" si="721"/>
        <v>3738.0888514133603</v>
      </c>
      <c r="AJ395" s="580">
        <f t="shared" si="721"/>
        <v>3239.6127910870291</v>
      </c>
      <c r="AK395" s="580">
        <f t="shared" si="721"/>
        <v>4277.5365319865314</v>
      </c>
      <c r="AL395" s="580">
        <f t="shared" si="721"/>
        <v>4102.060176966982</v>
      </c>
      <c r="AM395" s="580">
        <f t="shared" si="721"/>
        <v>3042.6249361417035</v>
      </c>
      <c r="AN395" s="580">
        <f t="shared" si="721"/>
        <v>3009.3699754901977</v>
      </c>
      <c r="AO395" s="580">
        <f t="shared" si="721"/>
        <v>3813.158298926508</v>
      </c>
      <c r="AP395" s="580">
        <f t="shared" si="721"/>
        <v>3445.0103200026397</v>
      </c>
      <c r="AQ395" s="580">
        <f t="shared" si="721"/>
        <v>3382.6738505151093</v>
      </c>
      <c r="AR395" s="580">
        <f t="shared" si="721"/>
        <v>4928.1283634046977</v>
      </c>
      <c r="AS395" s="580">
        <f t="shared" si="721"/>
        <v>6700.8999999999987</v>
      </c>
      <c r="AT395" s="580">
        <f t="shared" si="721"/>
        <v>7592.1144120014751</v>
      </c>
      <c r="AU395" s="580">
        <f t="shared" si="721"/>
        <v>8112.0264162953536</v>
      </c>
      <c r="AV395" s="580">
        <f t="shared" si="721"/>
        <v>8092.0003268171604</v>
      </c>
      <c r="AW395" s="580">
        <f t="shared" si="721"/>
        <v>9275.8654880666727</v>
      </c>
      <c r="AX395" s="580">
        <f t="shared" si="721"/>
        <v>8806.0178286461796</v>
      </c>
      <c r="AY395" s="580">
        <f t="shared" si="721"/>
        <v>8334.9636143567222</v>
      </c>
      <c r="AZ395" s="580">
        <f t="shared" si="721"/>
        <v>8706.5159864017041</v>
      </c>
      <c r="BA395" s="580">
        <f t="shared" si="721"/>
        <v>11122.765802408108</v>
      </c>
      <c r="BB395" s="580">
        <f t="shared" si="721"/>
        <v>10162.852502120437</v>
      </c>
      <c r="BC395" s="580">
        <f t="shared" si="721"/>
        <v>9513.273545276943</v>
      </c>
      <c r="BD395" s="580">
        <f t="shared" si="721"/>
        <v>9069.6821669497858</v>
      </c>
      <c r="BE395" s="580">
        <f t="shared" si="721"/>
        <v>9564.0657931909227</v>
      </c>
      <c r="BF395" s="580">
        <f t="shared" si="721"/>
        <v>10528.997536123219</v>
      </c>
      <c r="BG395" s="580">
        <f t="shared" si="721"/>
        <v>8833.3338229744259</v>
      </c>
      <c r="BH395" s="580">
        <f t="shared" si="721"/>
        <v>10471.6617499978</v>
      </c>
      <c r="BI395" s="580">
        <f t="shared" si="721"/>
        <v>12156.380228589695</v>
      </c>
      <c r="BJ395" s="580">
        <f t="shared" si="721"/>
        <v>10857.364775046075</v>
      </c>
      <c r="BK395" s="580">
        <f t="shared" si="721"/>
        <v>10129.626140259083</v>
      </c>
    </row>
    <row r="396" spans="1:63" s="248" customFormat="1">
      <c r="A396" s="247"/>
      <c r="B396" s="247" t="s">
        <v>1622</v>
      </c>
      <c r="C396" s="247" t="s">
        <v>1623</v>
      </c>
      <c r="D396" s="247"/>
      <c r="F396" s="249">
        <f t="shared" ref="F396:K396" si="722">F384</f>
        <v>0</v>
      </c>
      <c r="G396" s="249">
        <f t="shared" si="722"/>
        <v>0</v>
      </c>
      <c r="H396" s="249">
        <f t="shared" si="722"/>
        <v>0</v>
      </c>
      <c r="I396" s="249">
        <f t="shared" si="722"/>
        <v>0</v>
      </c>
      <c r="J396" s="249">
        <f t="shared" si="722"/>
        <v>0</v>
      </c>
      <c r="K396" s="249">
        <f t="shared" si="722"/>
        <v>0</v>
      </c>
      <c r="L396" s="249"/>
      <c r="M396" s="249"/>
      <c r="N396" s="249"/>
      <c r="O396" s="249"/>
      <c r="P396" s="249"/>
      <c r="Q396" s="249"/>
      <c r="R396" s="249"/>
      <c r="S396" s="249"/>
      <c r="T396" s="249">
        <f>+T384</f>
        <v>0</v>
      </c>
      <c r="U396" s="249"/>
      <c r="V396" s="249"/>
      <c r="W396" s="249"/>
      <c r="X396" s="249"/>
      <c r="Y396" s="249"/>
      <c r="Z396" s="249"/>
      <c r="AA396" s="249"/>
      <c r="AB396" s="249"/>
      <c r="AC396" s="249"/>
      <c r="AD396" s="249"/>
      <c r="AF396" s="581"/>
      <c r="AG396" s="581"/>
      <c r="AH396" s="581"/>
      <c r="AI396" s="581"/>
      <c r="AJ396" s="581"/>
      <c r="AK396" s="581"/>
      <c r="AL396" s="581"/>
      <c r="AM396" s="581"/>
      <c r="AN396" s="581"/>
      <c r="AO396" s="581"/>
      <c r="AP396" s="581"/>
      <c r="AQ396" s="581"/>
      <c r="AR396" s="581"/>
      <c r="AS396" s="581"/>
      <c r="AT396" s="581"/>
      <c r="AU396" s="581"/>
      <c r="AV396" s="581"/>
      <c r="AW396" s="581"/>
      <c r="AX396" s="581"/>
      <c r="AY396" s="581"/>
      <c r="AZ396" s="581"/>
      <c r="BA396" s="581"/>
      <c r="BB396" s="581"/>
      <c r="BC396" s="581"/>
      <c r="BD396" s="581"/>
      <c r="BE396" s="581"/>
      <c r="BF396" s="581"/>
      <c r="BG396" s="581"/>
      <c r="BH396" s="581"/>
      <c r="BI396" s="581"/>
      <c r="BJ396" s="581"/>
      <c r="BK396" s="581"/>
    </row>
    <row r="397" spans="1:63" s="248" customFormat="1">
      <c r="A397" s="247"/>
      <c r="B397" s="247" t="s">
        <v>1624</v>
      </c>
      <c r="C397" s="247" t="s">
        <v>1625</v>
      </c>
      <c r="D397" s="247"/>
      <c r="F397" s="249"/>
      <c r="G397" s="249"/>
      <c r="H397" s="249"/>
      <c r="I397" s="249"/>
      <c r="J397" s="249"/>
      <c r="K397" s="249"/>
      <c r="L397" s="249"/>
      <c r="M397" s="249"/>
      <c r="N397" s="249"/>
      <c r="O397" s="249"/>
      <c r="P397" s="249"/>
      <c r="Q397" s="249"/>
      <c r="R397" s="249"/>
      <c r="S397" s="249"/>
      <c r="T397" s="287">
        <f>+NPV($T$396,U395:$IV395)</f>
        <v>553934.51460215659</v>
      </c>
      <c r="U397" s="249"/>
      <c r="V397" s="249"/>
      <c r="W397" s="249"/>
      <c r="X397" s="249"/>
      <c r="Y397" s="249"/>
      <c r="Z397" s="249"/>
      <c r="AA397" s="249"/>
      <c r="AB397" s="249"/>
      <c r="AC397" s="249"/>
      <c r="AD397" s="249"/>
      <c r="AF397" s="581"/>
      <c r="AG397" s="581"/>
      <c r="AH397" s="581"/>
      <c r="AI397" s="581"/>
      <c r="AJ397" s="581"/>
      <c r="AK397" s="581"/>
      <c r="AL397" s="581"/>
      <c r="AM397" s="581"/>
      <c r="AN397" s="581"/>
      <c r="AO397" s="581"/>
      <c r="AP397" s="581"/>
      <c r="AQ397" s="581"/>
      <c r="AR397" s="581"/>
      <c r="AS397" s="581"/>
      <c r="AT397" s="581"/>
      <c r="AU397" s="581"/>
      <c r="AV397" s="581"/>
      <c r="AW397" s="581"/>
      <c r="AX397" s="581"/>
      <c r="AY397" s="581"/>
      <c r="AZ397" s="581"/>
      <c r="BA397" s="581"/>
      <c r="BB397" s="581"/>
      <c r="BC397" s="581"/>
      <c r="BD397" s="581"/>
      <c r="BE397" s="581"/>
      <c r="BF397" s="581"/>
      <c r="BG397" s="581"/>
      <c r="BH397" s="581"/>
      <c r="BI397" s="581"/>
      <c r="BJ397" s="581"/>
      <c r="BK397" s="581"/>
    </row>
    <row r="398" spans="1:63" s="248" customFormat="1">
      <c r="A398" s="247"/>
      <c r="B398" s="247" t="s">
        <v>1626</v>
      </c>
      <c r="C398" s="247" t="s">
        <v>1627</v>
      </c>
      <c r="D398" s="247"/>
      <c r="F398" s="249"/>
      <c r="G398" s="249"/>
      <c r="H398" s="249"/>
      <c r="I398" s="249"/>
      <c r="J398" s="249"/>
      <c r="K398" s="249"/>
      <c r="L398" s="249"/>
      <c r="M398" s="249"/>
      <c r="N398" s="249"/>
      <c r="O398" s="249"/>
      <c r="P398" s="249"/>
      <c r="Q398" s="249"/>
      <c r="R398" s="249"/>
      <c r="S398" s="249"/>
      <c r="T398" s="287" t="e">
        <f>+AD395*(1+T410)/(T384-T410)</f>
        <v>#DIV/0!</v>
      </c>
      <c r="U398" s="249"/>
      <c r="V398" s="249"/>
      <c r="W398" s="249"/>
      <c r="X398" s="249"/>
      <c r="Y398" s="249"/>
      <c r="Z398" s="249"/>
      <c r="AA398" s="249"/>
      <c r="AB398" s="249"/>
      <c r="AC398" s="249"/>
      <c r="AD398" s="249"/>
      <c r="AF398" s="581"/>
      <c r="AG398" s="581"/>
      <c r="AH398" s="581"/>
      <c r="AI398" s="581"/>
      <c r="AJ398" s="581"/>
      <c r="AK398" s="581"/>
      <c r="AL398" s="581"/>
      <c r="AM398" s="581"/>
      <c r="AN398" s="581"/>
      <c r="AO398" s="581"/>
      <c r="AP398" s="581"/>
      <c r="AQ398" s="581"/>
      <c r="AR398" s="581"/>
      <c r="AS398" s="581"/>
      <c r="AT398" s="581"/>
      <c r="AU398" s="581"/>
      <c r="AV398" s="581"/>
      <c r="AW398" s="581"/>
      <c r="AX398" s="581"/>
      <c r="AY398" s="581"/>
      <c r="AZ398" s="581"/>
      <c r="BA398" s="581"/>
      <c r="BB398" s="581"/>
      <c r="BC398" s="581"/>
      <c r="BD398" s="581"/>
      <c r="BE398" s="581"/>
      <c r="BF398" s="581"/>
      <c r="BG398" s="581"/>
      <c r="BH398" s="581"/>
      <c r="BI398" s="581"/>
      <c r="BJ398" s="581"/>
      <c r="BK398" s="581"/>
    </row>
    <row r="399" spans="1:63" s="248" customFormat="1">
      <c r="A399" s="247"/>
      <c r="B399" s="247" t="s">
        <v>1628</v>
      </c>
      <c r="C399" s="247" t="s">
        <v>1629</v>
      </c>
      <c r="D399" s="247"/>
      <c r="F399" s="249"/>
      <c r="G399" s="249"/>
      <c r="H399" s="249"/>
      <c r="I399" s="249"/>
      <c r="J399" s="249"/>
      <c r="K399" s="249"/>
      <c r="L399" s="249"/>
      <c r="M399" s="249"/>
      <c r="N399" s="249"/>
      <c r="O399" s="249"/>
      <c r="P399" s="249"/>
      <c r="Q399" s="249"/>
      <c r="R399" s="249"/>
      <c r="S399" s="249"/>
      <c r="T399" s="287" t="e">
        <f>+T398/(1+T384)^AD391</f>
        <v>#DIV/0!</v>
      </c>
      <c r="U399" s="249"/>
      <c r="V399" s="249"/>
      <c r="W399" s="249"/>
      <c r="X399" s="249"/>
      <c r="Y399" s="249"/>
      <c r="Z399" s="249"/>
      <c r="AA399" s="249"/>
      <c r="AB399" s="249"/>
      <c r="AC399" s="249"/>
      <c r="AD399" s="249"/>
      <c r="AF399" s="581"/>
      <c r="AG399" s="581"/>
      <c r="AH399" s="581"/>
      <c r="AI399" s="581"/>
      <c r="AJ399" s="581"/>
      <c r="AK399" s="581"/>
      <c r="AL399" s="581"/>
      <c r="AM399" s="581"/>
      <c r="AN399" s="581"/>
      <c r="AO399" s="581"/>
      <c r="AP399" s="581"/>
      <c r="AQ399" s="581"/>
      <c r="AR399" s="581"/>
      <c r="AS399" s="581"/>
      <c r="AT399" s="581"/>
      <c r="AU399" s="581"/>
      <c r="AV399" s="581"/>
      <c r="AW399" s="581"/>
      <c r="AX399" s="581"/>
      <c r="AY399" s="581"/>
      <c r="AZ399" s="581"/>
      <c r="BA399" s="581"/>
      <c r="BB399" s="581"/>
      <c r="BC399" s="581"/>
      <c r="BD399" s="581"/>
      <c r="BE399" s="581"/>
      <c r="BF399" s="581"/>
      <c r="BG399" s="581"/>
      <c r="BH399" s="581"/>
      <c r="BI399" s="581"/>
      <c r="BJ399" s="581"/>
      <c r="BK399" s="581"/>
    </row>
    <row r="400" spans="1:63" s="245" customFormat="1">
      <c r="A400" s="243"/>
      <c r="B400" s="243" t="s">
        <v>1630</v>
      </c>
      <c r="C400" s="243" t="s">
        <v>1693</v>
      </c>
      <c r="D400" s="243"/>
      <c r="F400" s="286"/>
      <c r="G400" s="286"/>
      <c r="H400" s="286"/>
      <c r="I400" s="286"/>
      <c r="J400" s="286"/>
      <c r="K400" s="286"/>
      <c r="L400" s="286"/>
      <c r="M400" s="286"/>
      <c r="N400" s="286"/>
      <c r="O400" s="286"/>
      <c r="P400" s="286"/>
      <c r="Q400" s="286"/>
      <c r="R400" s="286"/>
      <c r="S400" s="286"/>
      <c r="T400" s="286" t="e">
        <f t="shared" ref="T400:AD400" si="723">T399+T397</f>
        <v>#DIV/0!</v>
      </c>
      <c r="U400" s="286">
        <f t="shared" si="723"/>
        <v>0</v>
      </c>
      <c r="V400" s="286">
        <f t="shared" si="723"/>
        <v>0</v>
      </c>
      <c r="W400" s="286">
        <f t="shared" si="723"/>
        <v>0</v>
      </c>
      <c r="X400" s="286">
        <f t="shared" si="723"/>
        <v>0</v>
      </c>
      <c r="Y400" s="286">
        <f t="shared" si="723"/>
        <v>0</v>
      </c>
      <c r="Z400" s="286">
        <f t="shared" si="723"/>
        <v>0</v>
      </c>
      <c r="AA400" s="286">
        <f>AA399+AA397</f>
        <v>0</v>
      </c>
      <c r="AB400" s="286">
        <f>AB399+AB397</f>
        <v>0</v>
      </c>
      <c r="AC400" s="286">
        <f t="shared" si="723"/>
        <v>0</v>
      </c>
      <c r="AD400" s="286">
        <f t="shared" si="723"/>
        <v>0</v>
      </c>
      <c r="AF400" s="580">
        <f t="shared" ref="AF400:BK400" si="724">AF399+AF397</f>
        <v>0</v>
      </c>
      <c r="AG400" s="580">
        <f t="shared" si="724"/>
        <v>0</v>
      </c>
      <c r="AH400" s="580">
        <f t="shared" si="724"/>
        <v>0</v>
      </c>
      <c r="AI400" s="580">
        <f t="shared" si="724"/>
        <v>0</v>
      </c>
      <c r="AJ400" s="580">
        <f t="shared" si="724"/>
        <v>0</v>
      </c>
      <c r="AK400" s="580">
        <f t="shared" si="724"/>
        <v>0</v>
      </c>
      <c r="AL400" s="580">
        <f t="shared" si="724"/>
        <v>0</v>
      </c>
      <c r="AM400" s="580">
        <f t="shared" si="724"/>
        <v>0</v>
      </c>
      <c r="AN400" s="580">
        <f t="shared" si="724"/>
        <v>0</v>
      </c>
      <c r="AO400" s="580">
        <f t="shared" si="724"/>
        <v>0</v>
      </c>
      <c r="AP400" s="580">
        <f t="shared" si="724"/>
        <v>0</v>
      </c>
      <c r="AQ400" s="580">
        <f t="shared" si="724"/>
        <v>0</v>
      </c>
      <c r="AR400" s="580">
        <f t="shared" si="724"/>
        <v>0</v>
      </c>
      <c r="AS400" s="580">
        <f t="shared" si="724"/>
        <v>0</v>
      </c>
      <c r="AT400" s="580">
        <f t="shared" si="724"/>
        <v>0</v>
      </c>
      <c r="AU400" s="580">
        <f t="shared" si="724"/>
        <v>0</v>
      </c>
      <c r="AV400" s="580">
        <f t="shared" si="724"/>
        <v>0</v>
      </c>
      <c r="AW400" s="580">
        <f t="shared" si="724"/>
        <v>0</v>
      </c>
      <c r="AX400" s="580">
        <f t="shared" si="724"/>
        <v>0</v>
      </c>
      <c r="AY400" s="580">
        <f t="shared" si="724"/>
        <v>0</v>
      </c>
      <c r="AZ400" s="580">
        <f t="shared" si="724"/>
        <v>0</v>
      </c>
      <c r="BA400" s="580">
        <f t="shared" si="724"/>
        <v>0</v>
      </c>
      <c r="BB400" s="580">
        <f t="shared" si="724"/>
        <v>0</v>
      </c>
      <c r="BC400" s="580">
        <f t="shared" si="724"/>
        <v>0</v>
      </c>
      <c r="BD400" s="580">
        <f t="shared" si="724"/>
        <v>0</v>
      </c>
      <c r="BE400" s="580">
        <f t="shared" si="724"/>
        <v>0</v>
      </c>
      <c r="BF400" s="580">
        <f t="shared" si="724"/>
        <v>0</v>
      </c>
      <c r="BG400" s="580">
        <f t="shared" si="724"/>
        <v>0</v>
      </c>
      <c r="BH400" s="580">
        <f t="shared" si="724"/>
        <v>0</v>
      </c>
      <c r="BI400" s="580">
        <f t="shared" si="724"/>
        <v>0</v>
      </c>
      <c r="BJ400" s="580">
        <f t="shared" si="724"/>
        <v>0</v>
      </c>
      <c r="BK400" s="580">
        <f t="shared" si="724"/>
        <v>0</v>
      </c>
    </row>
    <row r="401" spans="1:63" s="245" customFormat="1">
      <c r="A401" s="243"/>
      <c r="B401" s="243" t="s">
        <v>1694</v>
      </c>
      <c r="C401" s="243" t="s">
        <v>1695</v>
      </c>
      <c r="D401" s="243"/>
      <c r="F401" s="286"/>
      <c r="G401" s="286"/>
      <c r="H401" s="286"/>
      <c r="I401" s="286"/>
      <c r="J401" s="286"/>
      <c r="K401" s="286"/>
      <c r="L401" s="286"/>
      <c r="M401" s="286"/>
      <c r="N401" s="286"/>
      <c r="O401" s="286"/>
      <c r="P401" s="286"/>
      <c r="Q401" s="286"/>
      <c r="R401" s="286"/>
      <c r="S401" s="286"/>
      <c r="T401" s="286">
        <f t="shared" ref="T401:AD401" si="725">T329</f>
        <v>-19379.099999999999</v>
      </c>
      <c r="U401" s="286">
        <f t="shared" si="725"/>
        <v>-39700</v>
      </c>
      <c r="V401" s="286">
        <f t="shared" si="725"/>
        <v>-53145.099999999991</v>
      </c>
      <c r="W401" s="286">
        <f t="shared" si="725"/>
        <v>-56993.2</v>
      </c>
      <c r="X401" s="286">
        <f t="shared" si="725"/>
        <v>-77646.5</v>
      </c>
      <c r="Y401" s="286">
        <f t="shared" si="725"/>
        <v>-84049.22</v>
      </c>
      <c r="Z401" s="286">
        <f t="shared" si="725"/>
        <v>-89869.8</v>
      </c>
      <c r="AA401" s="286">
        <f>AA329</f>
        <v>-126842.09852222164</v>
      </c>
      <c r="AB401" s="286">
        <f>AB329</f>
        <v>-146636.59999999998</v>
      </c>
      <c r="AC401" s="286">
        <f t="shared" si="725"/>
        <v>-166884.59999999998</v>
      </c>
      <c r="AD401" s="286">
        <f t="shared" si="725"/>
        <v>-190108.59999999998</v>
      </c>
      <c r="AF401" s="580">
        <f t="shared" ref="AF401:BK401" si="726">AF329</f>
        <v>0</v>
      </c>
      <c r="AG401" s="580">
        <f t="shared" si="726"/>
        <v>0</v>
      </c>
      <c r="AH401" s="580">
        <f t="shared" si="726"/>
        <v>0</v>
      </c>
      <c r="AI401" s="580">
        <f t="shared" si="726"/>
        <v>0</v>
      </c>
      <c r="AJ401" s="580">
        <f t="shared" si="726"/>
        <v>0</v>
      </c>
      <c r="AK401" s="580">
        <f t="shared" si="726"/>
        <v>0</v>
      </c>
      <c r="AL401" s="580">
        <f t="shared" si="726"/>
        <v>0</v>
      </c>
      <c r="AM401" s="580">
        <f t="shared" si="726"/>
        <v>0</v>
      </c>
      <c r="AN401" s="580">
        <f t="shared" si="726"/>
        <v>0</v>
      </c>
      <c r="AO401" s="580">
        <f t="shared" si="726"/>
        <v>0</v>
      </c>
      <c r="AP401" s="580">
        <f t="shared" si="726"/>
        <v>0</v>
      </c>
      <c r="AQ401" s="580">
        <f t="shared" si="726"/>
        <v>0</v>
      </c>
      <c r="AR401" s="580">
        <f t="shared" si="726"/>
        <v>0</v>
      </c>
      <c r="AS401" s="580">
        <f t="shared" si="726"/>
        <v>0</v>
      </c>
      <c r="AT401" s="580">
        <f t="shared" si="726"/>
        <v>0</v>
      </c>
      <c r="AU401" s="580">
        <f t="shared" si="726"/>
        <v>0</v>
      </c>
      <c r="AV401" s="580">
        <f t="shared" si="726"/>
        <v>0</v>
      </c>
      <c r="AW401" s="580">
        <f t="shared" si="726"/>
        <v>0</v>
      </c>
      <c r="AX401" s="580">
        <f t="shared" si="726"/>
        <v>0</v>
      </c>
      <c r="AY401" s="580">
        <f t="shared" si="726"/>
        <v>0</v>
      </c>
      <c r="AZ401" s="580">
        <f t="shared" si="726"/>
        <v>0</v>
      </c>
      <c r="BA401" s="580">
        <f t="shared" si="726"/>
        <v>0</v>
      </c>
      <c r="BB401" s="580">
        <f t="shared" si="726"/>
        <v>0</v>
      </c>
      <c r="BC401" s="580">
        <f t="shared" si="726"/>
        <v>0</v>
      </c>
      <c r="BD401" s="580">
        <f t="shared" si="726"/>
        <v>0</v>
      </c>
      <c r="BE401" s="580">
        <f t="shared" si="726"/>
        <v>0</v>
      </c>
      <c r="BF401" s="580">
        <f t="shared" si="726"/>
        <v>0</v>
      </c>
      <c r="BG401" s="580">
        <f t="shared" si="726"/>
        <v>0</v>
      </c>
      <c r="BH401" s="580">
        <f t="shared" si="726"/>
        <v>0</v>
      </c>
      <c r="BI401" s="580">
        <f t="shared" si="726"/>
        <v>0</v>
      </c>
      <c r="BJ401" s="580">
        <f t="shared" si="726"/>
        <v>0</v>
      </c>
      <c r="BK401" s="580">
        <f t="shared" si="726"/>
        <v>0</v>
      </c>
    </row>
    <row r="402" spans="1:63" s="245" customFormat="1">
      <c r="A402" s="243"/>
      <c r="B402" s="243" t="s">
        <v>1696</v>
      </c>
      <c r="C402" s="243" t="s">
        <v>1697</v>
      </c>
      <c r="D402" s="243"/>
      <c r="F402" s="286"/>
      <c r="G402" s="286"/>
      <c r="H402" s="286"/>
      <c r="I402" s="286"/>
      <c r="J402" s="286"/>
      <c r="K402" s="286"/>
      <c r="L402" s="286"/>
      <c r="M402" s="286"/>
      <c r="N402" s="286"/>
      <c r="O402" s="286"/>
      <c r="P402" s="286"/>
      <c r="Q402" s="286"/>
      <c r="R402" s="286"/>
      <c r="S402" s="286"/>
      <c r="T402" s="286" t="e">
        <f t="shared" ref="T402:AD402" si="727">T400-T401</f>
        <v>#DIV/0!</v>
      </c>
      <c r="U402" s="286">
        <f t="shared" si="727"/>
        <v>39700</v>
      </c>
      <c r="V402" s="286">
        <f t="shared" si="727"/>
        <v>53145.099999999991</v>
      </c>
      <c r="W402" s="286">
        <f t="shared" si="727"/>
        <v>56993.2</v>
      </c>
      <c r="X402" s="286">
        <f t="shared" si="727"/>
        <v>77646.5</v>
      </c>
      <c r="Y402" s="286">
        <f t="shared" si="727"/>
        <v>84049.22</v>
      </c>
      <c r="Z402" s="286">
        <f t="shared" si="727"/>
        <v>89869.8</v>
      </c>
      <c r="AA402" s="286">
        <f>AA400-AA401</f>
        <v>126842.09852222164</v>
      </c>
      <c r="AB402" s="286">
        <f>AB400-AB401</f>
        <v>146636.59999999998</v>
      </c>
      <c r="AC402" s="286">
        <f t="shared" si="727"/>
        <v>166884.59999999998</v>
      </c>
      <c r="AD402" s="286">
        <f t="shared" si="727"/>
        <v>190108.59999999998</v>
      </c>
      <c r="AF402" s="580">
        <f t="shared" ref="AF402:BK402" si="728">AF400-AF401</f>
        <v>0</v>
      </c>
      <c r="AG402" s="580">
        <f t="shared" si="728"/>
        <v>0</v>
      </c>
      <c r="AH402" s="580">
        <f t="shared" si="728"/>
        <v>0</v>
      </c>
      <c r="AI402" s="580">
        <f t="shared" si="728"/>
        <v>0</v>
      </c>
      <c r="AJ402" s="580">
        <f t="shared" si="728"/>
        <v>0</v>
      </c>
      <c r="AK402" s="580">
        <f t="shared" si="728"/>
        <v>0</v>
      </c>
      <c r="AL402" s="580">
        <f t="shared" si="728"/>
        <v>0</v>
      </c>
      <c r="AM402" s="580">
        <f t="shared" si="728"/>
        <v>0</v>
      </c>
      <c r="AN402" s="580">
        <f t="shared" si="728"/>
        <v>0</v>
      </c>
      <c r="AO402" s="580">
        <f t="shared" si="728"/>
        <v>0</v>
      </c>
      <c r="AP402" s="580">
        <f t="shared" si="728"/>
        <v>0</v>
      </c>
      <c r="AQ402" s="580">
        <f t="shared" si="728"/>
        <v>0</v>
      </c>
      <c r="AR402" s="580">
        <f t="shared" si="728"/>
        <v>0</v>
      </c>
      <c r="AS402" s="580">
        <f t="shared" si="728"/>
        <v>0</v>
      </c>
      <c r="AT402" s="580">
        <f t="shared" si="728"/>
        <v>0</v>
      </c>
      <c r="AU402" s="580">
        <f t="shared" si="728"/>
        <v>0</v>
      </c>
      <c r="AV402" s="580">
        <f t="shared" si="728"/>
        <v>0</v>
      </c>
      <c r="AW402" s="580">
        <f t="shared" si="728"/>
        <v>0</v>
      </c>
      <c r="AX402" s="580">
        <f t="shared" si="728"/>
        <v>0</v>
      </c>
      <c r="AY402" s="580">
        <f t="shared" si="728"/>
        <v>0</v>
      </c>
      <c r="AZ402" s="580">
        <f t="shared" si="728"/>
        <v>0</v>
      </c>
      <c r="BA402" s="580">
        <f t="shared" si="728"/>
        <v>0</v>
      </c>
      <c r="BB402" s="580">
        <f t="shared" si="728"/>
        <v>0</v>
      </c>
      <c r="BC402" s="580">
        <f t="shared" si="728"/>
        <v>0</v>
      </c>
      <c r="BD402" s="580">
        <f t="shared" si="728"/>
        <v>0</v>
      </c>
      <c r="BE402" s="580">
        <f t="shared" si="728"/>
        <v>0</v>
      </c>
      <c r="BF402" s="580">
        <f t="shared" si="728"/>
        <v>0</v>
      </c>
      <c r="BG402" s="580">
        <f t="shared" si="728"/>
        <v>0</v>
      </c>
      <c r="BH402" s="580">
        <f t="shared" si="728"/>
        <v>0</v>
      </c>
      <c r="BI402" s="580">
        <f t="shared" si="728"/>
        <v>0</v>
      </c>
      <c r="BJ402" s="580">
        <f t="shared" si="728"/>
        <v>0</v>
      </c>
      <c r="BK402" s="580">
        <f t="shared" si="728"/>
        <v>0</v>
      </c>
    </row>
    <row r="403" spans="1:63" s="245" customFormat="1">
      <c r="A403" s="243"/>
      <c r="B403" s="243" t="s">
        <v>1698</v>
      </c>
      <c r="C403" s="243" t="s">
        <v>1699</v>
      </c>
      <c r="D403" s="243"/>
      <c r="F403" s="286"/>
      <c r="G403" s="286"/>
      <c r="H403" s="286"/>
      <c r="I403" s="286"/>
      <c r="J403" s="286"/>
      <c r="K403" s="286"/>
      <c r="L403" s="286"/>
      <c r="M403" s="286"/>
      <c r="N403" s="286"/>
      <c r="O403" s="286"/>
      <c r="P403" s="286"/>
      <c r="Q403" s="286"/>
      <c r="R403" s="286"/>
      <c r="S403" s="286"/>
      <c r="T403" s="286">
        <f t="shared" ref="T403:AD403" si="729">T218</f>
        <v>289.36702000000002</v>
      </c>
      <c r="U403" s="286">
        <f t="shared" si="729"/>
        <v>289.36702000000002</v>
      </c>
      <c r="V403" s="286">
        <f t="shared" si="729"/>
        <v>289.36702000000002</v>
      </c>
      <c r="W403" s="286">
        <f t="shared" si="729"/>
        <v>289.36702000000002</v>
      </c>
      <c r="X403" s="286">
        <f t="shared" si="729"/>
        <v>289.36702000000002</v>
      </c>
      <c r="Y403" s="286">
        <f t="shared" si="729"/>
        <v>289.36702000000002</v>
      </c>
      <c r="Z403" s="286">
        <f t="shared" si="729"/>
        <v>289.36702000000002</v>
      </c>
      <c r="AA403" s="286">
        <f>AA218</f>
        <v>289.36702000000002</v>
      </c>
      <c r="AB403" s="286">
        <f>AB218</f>
        <v>289.36702000000002</v>
      </c>
      <c r="AC403" s="286">
        <f t="shared" si="729"/>
        <v>289.36702000000002</v>
      </c>
      <c r="AD403" s="286">
        <f t="shared" si="729"/>
        <v>289.36702000000002</v>
      </c>
      <c r="AF403" s="580">
        <f t="shared" ref="AF403:BK403" si="730">AF218</f>
        <v>101.17999999999999</v>
      </c>
      <c r="AG403" s="580">
        <f t="shared" si="730"/>
        <v>101.17999999999999</v>
      </c>
      <c r="AH403" s="580">
        <f t="shared" si="730"/>
        <v>101.17999999999999</v>
      </c>
      <c r="AI403" s="580">
        <f t="shared" si="730"/>
        <v>101.17999999999999</v>
      </c>
      <c r="AJ403" s="580">
        <f t="shared" si="730"/>
        <v>101.17999999999999</v>
      </c>
      <c r="AK403" s="580">
        <f t="shared" si="730"/>
        <v>101.17999999999999</v>
      </c>
      <c r="AL403" s="580">
        <f t="shared" si="730"/>
        <v>137.80000000000001</v>
      </c>
      <c r="AM403" s="580">
        <f t="shared" si="730"/>
        <v>289.36</v>
      </c>
      <c r="AN403" s="580">
        <f t="shared" si="730"/>
        <v>289.36</v>
      </c>
      <c r="AO403" s="580">
        <f t="shared" si="730"/>
        <v>289.36</v>
      </c>
      <c r="AP403" s="580">
        <f t="shared" si="730"/>
        <v>289.36</v>
      </c>
      <c r="AQ403" s="580">
        <f t="shared" si="730"/>
        <v>289.36</v>
      </c>
      <c r="AR403" s="580">
        <f t="shared" si="730"/>
        <v>289.36</v>
      </c>
      <c r="AS403" s="580">
        <f t="shared" si="730"/>
        <v>289.36</v>
      </c>
      <c r="AT403" s="580">
        <f t="shared" si="730"/>
        <v>289.36</v>
      </c>
      <c r="AU403" s="580">
        <f t="shared" si="730"/>
        <v>289.36</v>
      </c>
      <c r="AV403" s="580">
        <f t="shared" si="730"/>
        <v>289.36</v>
      </c>
      <c r="AW403" s="580">
        <f t="shared" si="730"/>
        <v>289.36</v>
      </c>
      <c r="AX403" s="580">
        <f t="shared" si="730"/>
        <v>289.36</v>
      </c>
      <c r="AY403" s="580">
        <f t="shared" si="730"/>
        <v>289.36</v>
      </c>
      <c r="AZ403" s="580">
        <f t="shared" si="730"/>
        <v>289.36</v>
      </c>
      <c r="BA403" s="580">
        <f t="shared" si="730"/>
        <v>289.36</v>
      </c>
      <c r="BB403" s="580">
        <f t="shared" si="730"/>
        <v>289.36</v>
      </c>
      <c r="BC403" s="580">
        <f t="shared" si="730"/>
        <v>289.36</v>
      </c>
      <c r="BD403" s="580">
        <f t="shared" si="730"/>
        <v>289.36</v>
      </c>
      <c r="BE403" s="580">
        <f t="shared" si="730"/>
        <v>289.36</v>
      </c>
      <c r="BF403" s="580">
        <f t="shared" si="730"/>
        <v>289.36</v>
      </c>
      <c r="BG403" s="580">
        <f t="shared" si="730"/>
        <v>289.36</v>
      </c>
      <c r="BH403" s="580">
        <f t="shared" si="730"/>
        <v>289.36</v>
      </c>
      <c r="BI403" s="580">
        <f t="shared" si="730"/>
        <v>289.36</v>
      </c>
      <c r="BJ403" s="580">
        <f t="shared" si="730"/>
        <v>289.36</v>
      </c>
      <c r="BK403" s="580">
        <f t="shared" si="730"/>
        <v>289.36</v>
      </c>
    </row>
    <row r="404" spans="1:63" s="245" customFormat="1">
      <c r="A404" s="243"/>
      <c r="B404" s="243" t="s">
        <v>1700</v>
      </c>
      <c r="C404" s="243" t="s">
        <v>1701</v>
      </c>
      <c r="D404" s="243"/>
      <c r="F404" s="286"/>
      <c r="G404" s="286"/>
      <c r="H404" s="286"/>
      <c r="I404" s="286"/>
      <c r="J404" s="286"/>
      <c r="K404" s="286"/>
      <c r="L404" s="286"/>
      <c r="M404" s="286"/>
      <c r="N404" s="286"/>
      <c r="O404" s="286"/>
      <c r="P404" s="286"/>
      <c r="Q404" s="286"/>
      <c r="R404" s="286"/>
      <c r="S404" s="286"/>
      <c r="T404" s="286" t="e">
        <f t="shared" ref="T404:AD404" si="731">T402/T403</f>
        <v>#DIV/0!</v>
      </c>
      <c r="U404" s="286">
        <f t="shared" si="731"/>
        <v>137.19600803159943</v>
      </c>
      <c r="V404" s="286">
        <f t="shared" si="731"/>
        <v>183.65983794559583</v>
      </c>
      <c r="W404" s="286">
        <f t="shared" si="731"/>
        <v>196.9581744319031</v>
      </c>
      <c r="X404" s="286">
        <f t="shared" si="731"/>
        <v>268.33223772356638</v>
      </c>
      <c r="Y404" s="286">
        <f t="shared" si="731"/>
        <v>290.4588781402939</v>
      </c>
      <c r="Z404" s="286">
        <f t="shared" si="731"/>
        <v>310.573748176278</v>
      </c>
      <c r="AA404" s="286">
        <f>AA402/AA403</f>
        <v>438.34331404533117</v>
      </c>
      <c r="AB404" s="286">
        <f>AB402/AB403</f>
        <v>506.74952522232826</v>
      </c>
      <c r="AC404" s="286">
        <f t="shared" si="731"/>
        <v>576.72294513728605</v>
      </c>
      <c r="AD404" s="286">
        <f t="shared" si="731"/>
        <v>656.98088192635066</v>
      </c>
      <c r="AF404" s="580">
        <f t="shared" ref="AF404:BK404" si="732">AF402/AF403</f>
        <v>0</v>
      </c>
      <c r="AG404" s="580">
        <f t="shared" si="732"/>
        <v>0</v>
      </c>
      <c r="AH404" s="580">
        <f t="shared" si="732"/>
        <v>0</v>
      </c>
      <c r="AI404" s="580">
        <f t="shared" si="732"/>
        <v>0</v>
      </c>
      <c r="AJ404" s="580">
        <f t="shared" si="732"/>
        <v>0</v>
      </c>
      <c r="AK404" s="580">
        <f t="shared" si="732"/>
        <v>0</v>
      </c>
      <c r="AL404" s="580">
        <f t="shared" si="732"/>
        <v>0</v>
      </c>
      <c r="AM404" s="580">
        <f t="shared" si="732"/>
        <v>0</v>
      </c>
      <c r="AN404" s="580">
        <f t="shared" si="732"/>
        <v>0</v>
      </c>
      <c r="AO404" s="580">
        <f t="shared" si="732"/>
        <v>0</v>
      </c>
      <c r="AP404" s="580">
        <f t="shared" si="732"/>
        <v>0</v>
      </c>
      <c r="AQ404" s="580">
        <f t="shared" si="732"/>
        <v>0</v>
      </c>
      <c r="AR404" s="580">
        <f t="shared" si="732"/>
        <v>0</v>
      </c>
      <c r="AS404" s="580">
        <f t="shared" si="732"/>
        <v>0</v>
      </c>
      <c r="AT404" s="580">
        <f t="shared" si="732"/>
        <v>0</v>
      </c>
      <c r="AU404" s="580">
        <f t="shared" si="732"/>
        <v>0</v>
      </c>
      <c r="AV404" s="580">
        <f t="shared" si="732"/>
        <v>0</v>
      </c>
      <c r="AW404" s="580">
        <f t="shared" si="732"/>
        <v>0</v>
      </c>
      <c r="AX404" s="580">
        <f t="shared" si="732"/>
        <v>0</v>
      </c>
      <c r="AY404" s="580">
        <f t="shared" si="732"/>
        <v>0</v>
      </c>
      <c r="AZ404" s="580">
        <f t="shared" si="732"/>
        <v>0</v>
      </c>
      <c r="BA404" s="580">
        <f t="shared" si="732"/>
        <v>0</v>
      </c>
      <c r="BB404" s="580">
        <f t="shared" si="732"/>
        <v>0</v>
      </c>
      <c r="BC404" s="580">
        <f t="shared" si="732"/>
        <v>0</v>
      </c>
      <c r="BD404" s="580">
        <f t="shared" si="732"/>
        <v>0</v>
      </c>
      <c r="BE404" s="580">
        <f t="shared" si="732"/>
        <v>0</v>
      </c>
      <c r="BF404" s="580">
        <f t="shared" si="732"/>
        <v>0</v>
      </c>
      <c r="BG404" s="580">
        <f t="shared" si="732"/>
        <v>0</v>
      </c>
      <c r="BH404" s="580">
        <f t="shared" si="732"/>
        <v>0</v>
      </c>
      <c r="BI404" s="580">
        <f t="shared" si="732"/>
        <v>0</v>
      </c>
      <c r="BJ404" s="580">
        <f t="shared" si="732"/>
        <v>0</v>
      </c>
      <c r="BK404" s="580">
        <f t="shared" si="732"/>
        <v>0</v>
      </c>
    </row>
    <row r="405" spans="1:63" s="240" customFormat="1">
      <c r="A405" s="209"/>
      <c r="B405" s="209"/>
      <c r="C405" s="209"/>
      <c r="D405" s="209"/>
      <c r="AF405" s="579"/>
      <c r="AG405" s="579"/>
      <c r="AH405" s="579"/>
      <c r="AI405" s="579"/>
      <c r="AJ405" s="579"/>
      <c r="AK405" s="579"/>
      <c r="AL405" s="579"/>
      <c r="AM405" s="579"/>
      <c r="AN405" s="579"/>
      <c r="AO405" s="579"/>
      <c r="AP405" s="579"/>
      <c r="AQ405" s="579"/>
      <c r="AR405" s="579"/>
      <c r="AS405" s="579"/>
      <c r="AT405" s="579"/>
      <c r="AU405" s="579"/>
      <c r="AV405" s="579"/>
      <c r="AW405" s="579"/>
      <c r="AX405" s="579"/>
      <c r="AY405" s="579"/>
      <c r="AZ405" s="579"/>
      <c r="BA405" s="579"/>
      <c r="BB405" s="579"/>
      <c r="BC405" s="579"/>
      <c r="BD405" s="579"/>
      <c r="BE405" s="579"/>
      <c r="BF405" s="579"/>
      <c r="BG405" s="579"/>
      <c r="BH405" s="579"/>
      <c r="BI405" s="579"/>
      <c r="BJ405" s="579"/>
      <c r="BK405" s="579"/>
    </row>
    <row r="406" spans="1:63" s="240" customFormat="1">
      <c r="A406" s="209"/>
      <c r="B406" s="209"/>
      <c r="C406" s="209"/>
      <c r="D406" s="209"/>
      <c r="AF406" s="579"/>
      <c r="AG406" s="579"/>
      <c r="AH406" s="579"/>
      <c r="AI406" s="579"/>
      <c r="AJ406" s="579"/>
      <c r="AK406" s="579"/>
      <c r="AL406" s="579"/>
      <c r="AM406" s="579"/>
      <c r="AN406" s="579"/>
      <c r="AO406" s="579"/>
      <c r="AP406" s="579"/>
      <c r="AQ406" s="579"/>
      <c r="AR406" s="579"/>
      <c r="AS406" s="579"/>
      <c r="AT406" s="579"/>
      <c r="AU406" s="579"/>
      <c r="AV406" s="579"/>
      <c r="AW406" s="579"/>
      <c r="AX406" s="579"/>
      <c r="AY406" s="579"/>
      <c r="AZ406" s="579"/>
      <c r="BA406" s="579"/>
      <c r="BB406" s="579"/>
      <c r="BC406" s="579"/>
      <c r="BD406" s="579"/>
      <c r="BE406" s="579"/>
      <c r="BF406" s="579"/>
      <c r="BG406" s="579"/>
      <c r="BH406" s="579"/>
      <c r="BI406" s="579"/>
      <c r="BJ406" s="579"/>
      <c r="BK406" s="579"/>
    </row>
    <row r="407" spans="1:63" s="240" customFormat="1">
      <c r="A407" s="209"/>
      <c r="B407" s="209"/>
      <c r="C407" s="209"/>
      <c r="D407" s="209"/>
      <c r="AF407" s="579"/>
      <c r="AG407" s="579"/>
      <c r="AH407" s="579"/>
      <c r="AI407" s="579"/>
      <c r="AJ407" s="579"/>
      <c r="AK407" s="579"/>
      <c r="AL407" s="579"/>
      <c r="AM407" s="579"/>
      <c r="AN407" s="579"/>
      <c r="AO407" s="579"/>
      <c r="AP407" s="579"/>
      <c r="AQ407" s="579"/>
      <c r="AR407" s="579"/>
      <c r="AS407" s="579"/>
      <c r="AT407" s="579"/>
      <c r="AU407" s="579"/>
      <c r="AV407" s="579"/>
      <c r="AW407" s="579"/>
      <c r="AX407" s="579"/>
      <c r="AY407" s="579"/>
      <c r="AZ407" s="579"/>
      <c r="BA407" s="579"/>
      <c r="BB407" s="579"/>
      <c r="BC407" s="579"/>
      <c r="BD407" s="579"/>
      <c r="BE407" s="579"/>
      <c r="BF407" s="579"/>
      <c r="BG407" s="579"/>
      <c r="BH407" s="579"/>
      <c r="BI407" s="579"/>
      <c r="BJ407" s="579"/>
      <c r="BK407" s="579"/>
    </row>
    <row r="408" spans="1:63" s="240" customFormat="1">
      <c r="A408" s="209"/>
      <c r="B408" s="209"/>
      <c r="C408" s="209"/>
      <c r="D408" s="209"/>
      <c r="AF408" s="579"/>
      <c r="AG408" s="579"/>
      <c r="AH408" s="579"/>
      <c r="AI408" s="579"/>
      <c r="AJ408" s="579"/>
      <c r="AK408" s="579"/>
      <c r="AL408" s="579"/>
      <c r="AM408" s="579"/>
      <c r="AN408" s="579"/>
      <c r="AO408" s="579"/>
      <c r="AP408" s="579"/>
      <c r="AQ408" s="579"/>
      <c r="AR408" s="579"/>
      <c r="AS408" s="579"/>
      <c r="AT408" s="579"/>
      <c r="AU408" s="579"/>
      <c r="AV408" s="579"/>
      <c r="AW408" s="579"/>
      <c r="AX408" s="579"/>
      <c r="AY408" s="579"/>
      <c r="AZ408" s="579"/>
      <c r="BA408" s="579"/>
      <c r="BB408" s="579"/>
      <c r="BC408" s="579"/>
      <c r="BD408" s="579"/>
      <c r="BE408" s="579"/>
      <c r="BF408" s="579"/>
      <c r="BG408" s="579"/>
      <c r="BH408" s="579"/>
      <c r="BI408" s="579"/>
      <c r="BJ408" s="579"/>
      <c r="BK408" s="579"/>
    </row>
    <row r="409" spans="1:63" s="240" customFormat="1">
      <c r="A409" s="209"/>
      <c r="B409" s="209"/>
      <c r="C409" s="275" t="s">
        <v>1702</v>
      </c>
      <c r="D409" s="209"/>
      <c r="AF409" s="579"/>
      <c r="AG409" s="579"/>
      <c r="AH409" s="579"/>
      <c r="AI409" s="579"/>
      <c r="AJ409" s="579"/>
      <c r="AK409" s="579"/>
      <c r="AL409" s="579"/>
      <c r="AM409" s="579"/>
      <c r="AN409" s="579"/>
      <c r="AO409" s="579"/>
      <c r="AP409" s="579"/>
      <c r="AQ409" s="579"/>
      <c r="AR409" s="579"/>
      <c r="AS409" s="579"/>
      <c r="AT409" s="579"/>
      <c r="AU409" s="579"/>
      <c r="AV409" s="579"/>
      <c r="AW409" s="579"/>
      <c r="AX409" s="579"/>
      <c r="AY409" s="579"/>
      <c r="AZ409" s="579"/>
      <c r="BA409" s="579"/>
      <c r="BB409" s="579"/>
      <c r="BC409" s="579"/>
      <c r="BD409" s="579"/>
      <c r="BE409" s="579"/>
      <c r="BF409" s="579"/>
      <c r="BG409" s="579"/>
      <c r="BH409" s="579"/>
      <c r="BI409" s="579"/>
      <c r="BJ409" s="579"/>
      <c r="BK409" s="579"/>
    </row>
    <row r="410" spans="1:63" s="248" customFormat="1">
      <c r="A410" s="247"/>
      <c r="B410" s="247" t="s">
        <v>1703</v>
      </c>
      <c r="C410" s="247" t="s">
        <v>1704</v>
      </c>
      <c r="D410" s="247"/>
      <c r="F410" s="249"/>
      <c r="G410" s="249"/>
      <c r="H410" s="249"/>
      <c r="I410" s="249"/>
      <c r="J410" s="249"/>
      <c r="K410" s="249"/>
      <c r="L410" s="249"/>
      <c r="M410" s="249"/>
      <c r="N410" s="249"/>
      <c r="O410" s="249"/>
      <c r="P410" s="249"/>
      <c r="Q410" s="249"/>
      <c r="R410" s="249"/>
      <c r="S410" s="249"/>
      <c r="T410" s="249"/>
      <c r="U410" s="249"/>
      <c r="V410" s="249"/>
      <c r="W410" s="249"/>
      <c r="X410" s="249"/>
      <c r="Y410" s="249"/>
      <c r="Z410" s="249"/>
      <c r="AA410" s="249"/>
      <c r="AB410" s="249"/>
      <c r="AC410" s="249"/>
      <c r="AD410" s="249"/>
      <c r="AF410" s="581"/>
      <c r="AG410" s="581"/>
      <c r="AH410" s="581"/>
      <c r="AI410" s="581"/>
      <c r="AJ410" s="581"/>
      <c r="AK410" s="581"/>
      <c r="AL410" s="581"/>
      <c r="AM410" s="581"/>
      <c r="AN410" s="581"/>
      <c r="AO410" s="581"/>
      <c r="AP410" s="581"/>
      <c r="AQ410" s="581"/>
      <c r="AR410" s="581"/>
      <c r="AS410" s="581"/>
      <c r="AT410" s="581"/>
      <c r="AU410" s="581"/>
      <c r="AV410" s="581"/>
      <c r="AW410" s="581"/>
      <c r="AX410" s="581"/>
      <c r="AY410" s="581"/>
      <c r="AZ410" s="581"/>
      <c r="BA410" s="581"/>
      <c r="BB410" s="581"/>
      <c r="BC410" s="581"/>
      <c r="BD410" s="581"/>
      <c r="BE410" s="581"/>
      <c r="BF410" s="581"/>
      <c r="BG410" s="581"/>
      <c r="BH410" s="581"/>
      <c r="BI410" s="581"/>
      <c r="BJ410" s="581"/>
      <c r="BK410" s="581"/>
    </row>
    <row r="411" spans="1:63" s="245" customFormat="1">
      <c r="A411" s="243"/>
      <c r="B411" s="243" t="s">
        <v>1705</v>
      </c>
      <c r="C411" s="243" t="s">
        <v>1706</v>
      </c>
      <c r="D411" s="243"/>
      <c r="F411" s="286"/>
      <c r="G411" s="286"/>
      <c r="H411" s="286"/>
      <c r="I411" s="286"/>
      <c r="J411" s="286"/>
      <c r="K411" s="286"/>
      <c r="L411" s="286"/>
      <c r="M411" s="286"/>
      <c r="N411" s="286"/>
      <c r="O411" s="286"/>
      <c r="P411" s="286"/>
      <c r="Q411" s="286"/>
      <c r="R411" s="286"/>
      <c r="S411" s="286">
        <f t="shared" ref="S411:AD411" si="733">S271</f>
        <v>3.2108865672555496</v>
      </c>
      <c r="T411" s="286">
        <f t="shared" si="733"/>
        <v>3.3463892439309277</v>
      </c>
      <c r="U411" s="286">
        <f t="shared" si="733"/>
        <v>3.440062827446138</v>
      </c>
      <c r="V411" s="286">
        <f t="shared" si="733"/>
        <v>3.4105607394071114</v>
      </c>
      <c r="W411" s="286">
        <f t="shared" si="733"/>
        <v>2.8016566153641098</v>
      </c>
      <c r="X411" s="286">
        <f t="shared" si="733"/>
        <v>2.251687320855619</v>
      </c>
      <c r="Y411" s="286">
        <f t="shared" si="733"/>
        <v>2.0826381592938596</v>
      </c>
      <c r="Z411" s="286">
        <f t="shared" si="733"/>
        <v>1.9150933481247334</v>
      </c>
      <c r="AA411" s="286">
        <f>AA271</f>
        <v>1.6176370676407867</v>
      </c>
      <c r="AB411" s="286">
        <f>AB271</f>
        <v>1.7261864331780954</v>
      </c>
      <c r="AC411" s="286">
        <f t="shared" si="733"/>
        <v>1.745423719331189</v>
      </c>
      <c r="AD411" s="286">
        <f t="shared" si="733"/>
        <v>1.6448458861647</v>
      </c>
      <c r="AF411" s="580" t="e">
        <f t="shared" ref="AF411:BK411" si="734">AF271</f>
        <v>#DIV/0!</v>
      </c>
      <c r="AG411" s="580" t="e">
        <f t="shared" si="734"/>
        <v>#DIV/0!</v>
      </c>
      <c r="AH411" s="580" t="e">
        <f t="shared" si="734"/>
        <v>#DIV/0!</v>
      </c>
      <c r="AI411" s="580" t="e">
        <f t="shared" si="734"/>
        <v>#DIV/0!</v>
      </c>
      <c r="AJ411" s="580" t="e">
        <f t="shared" si="734"/>
        <v>#DIV/0!</v>
      </c>
      <c r="AK411" s="580" t="e">
        <f t="shared" si="734"/>
        <v>#DIV/0!</v>
      </c>
      <c r="AL411" s="580" t="e">
        <f t="shared" si="734"/>
        <v>#DIV/0!</v>
      </c>
      <c r="AM411" s="580" t="e">
        <f t="shared" si="734"/>
        <v>#DIV/0!</v>
      </c>
      <c r="AN411" s="580" t="e">
        <f t="shared" si="734"/>
        <v>#DIV/0!</v>
      </c>
      <c r="AO411" s="580" t="e">
        <f t="shared" si="734"/>
        <v>#DIV/0!</v>
      </c>
      <c r="AP411" s="580" t="e">
        <f t="shared" si="734"/>
        <v>#DIV/0!</v>
      </c>
      <c r="AQ411" s="580" t="e">
        <f t="shared" si="734"/>
        <v>#DIV/0!</v>
      </c>
      <c r="AR411" s="580" t="e">
        <f t="shared" si="734"/>
        <v>#DIV/0!</v>
      </c>
      <c r="AS411" s="580" t="e">
        <f t="shared" si="734"/>
        <v>#DIV/0!</v>
      </c>
      <c r="AT411" s="580" t="e">
        <f t="shared" si="734"/>
        <v>#DIV/0!</v>
      </c>
      <c r="AU411" s="580" t="e">
        <f t="shared" si="734"/>
        <v>#DIV/0!</v>
      </c>
      <c r="AV411" s="580" t="e">
        <f t="shared" si="734"/>
        <v>#DIV/0!</v>
      </c>
      <c r="AW411" s="580" t="e">
        <f t="shared" si="734"/>
        <v>#DIV/0!</v>
      </c>
      <c r="AX411" s="580" t="e">
        <f t="shared" si="734"/>
        <v>#DIV/0!</v>
      </c>
      <c r="AY411" s="580" t="e">
        <f t="shared" si="734"/>
        <v>#DIV/0!</v>
      </c>
      <c r="AZ411" s="580" t="e">
        <f t="shared" si="734"/>
        <v>#DIV/0!</v>
      </c>
      <c r="BA411" s="580" t="e">
        <f t="shared" si="734"/>
        <v>#DIV/0!</v>
      </c>
      <c r="BB411" s="580" t="e">
        <f t="shared" si="734"/>
        <v>#DIV/0!</v>
      </c>
      <c r="BC411" s="580" t="e">
        <f t="shared" si="734"/>
        <v>#DIV/0!</v>
      </c>
      <c r="BD411" s="580" t="e">
        <f t="shared" si="734"/>
        <v>#DIV/0!</v>
      </c>
      <c r="BE411" s="580" t="e">
        <f t="shared" si="734"/>
        <v>#DIV/0!</v>
      </c>
      <c r="BF411" s="580" t="e">
        <f t="shared" si="734"/>
        <v>#DIV/0!</v>
      </c>
      <c r="BG411" s="580" t="e">
        <f t="shared" si="734"/>
        <v>#DIV/0!</v>
      </c>
      <c r="BH411" s="580" t="e">
        <f t="shared" si="734"/>
        <v>#DIV/0!</v>
      </c>
      <c r="BI411" s="580" t="e">
        <f t="shared" si="734"/>
        <v>#DIV/0!</v>
      </c>
      <c r="BJ411" s="580" t="e">
        <f t="shared" si="734"/>
        <v>#DIV/0!</v>
      </c>
      <c r="BK411" s="580" t="e">
        <f t="shared" si="734"/>
        <v>#DIV/0!</v>
      </c>
    </row>
    <row r="412" spans="1:63" s="245" customFormat="1">
      <c r="A412" s="243"/>
      <c r="B412" s="243" t="s">
        <v>1707</v>
      </c>
      <c r="C412" s="243" t="s">
        <v>1708</v>
      </c>
      <c r="D412" s="243"/>
      <c r="F412" s="286"/>
      <c r="G412" s="286"/>
      <c r="H412" s="286"/>
      <c r="I412" s="286"/>
      <c r="J412" s="286"/>
      <c r="K412" s="286"/>
      <c r="L412" s="286"/>
      <c r="M412" s="286"/>
      <c r="N412" s="286"/>
      <c r="O412" s="286"/>
      <c r="P412" s="286"/>
      <c r="Q412" s="286"/>
      <c r="R412" s="286"/>
      <c r="S412" s="286">
        <f t="shared" ref="S412:AD412" si="735">S250/100</f>
        <v>0.12407527785624425</v>
      </c>
      <c r="T412" s="286">
        <f t="shared" si="735"/>
        <v>0.21643347436202659</v>
      </c>
      <c r="U412" s="286">
        <f t="shared" si="735"/>
        <v>0.22113362234826553</v>
      </c>
      <c r="V412" s="286">
        <f t="shared" si="735"/>
        <v>0.20616386518906771</v>
      </c>
      <c r="W412" s="286">
        <f t="shared" si="735"/>
        <v>0.20092462713623138</v>
      </c>
      <c r="X412" s="286">
        <f t="shared" si="735"/>
        <v>0.23216445461949195</v>
      </c>
      <c r="Y412" s="286">
        <f t="shared" si="735"/>
        <v>0.2066286291742416</v>
      </c>
      <c r="Z412" s="286">
        <f t="shared" si="735"/>
        <v>0.24560312965432476</v>
      </c>
      <c r="AA412" s="286">
        <f>AA250/100</f>
        <v>0.24512833376518606</v>
      </c>
      <c r="AB412" s="286">
        <f>AB250/100</f>
        <v>0.23613276020317658</v>
      </c>
      <c r="AC412" s="286">
        <f t="shared" si="735"/>
        <v>0.23618241432615883</v>
      </c>
      <c r="AD412" s="286">
        <f t="shared" si="735"/>
        <v>0.21841619391547659</v>
      </c>
      <c r="AF412" s="580">
        <f t="shared" ref="AF412:BK412" si="736">AF250/100</f>
        <v>0.18450419038798535</v>
      </c>
      <c r="AG412" s="580">
        <f t="shared" si="736"/>
        <v>0.18737915491570084</v>
      </c>
      <c r="AH412" s="580">
        <f t="shared" si="736"/>
        <v>0.18578554101462877</v>
      </c>
      <c r="AI412" s="580">
        <f t="shared" si="736"/>
        <v>0.1883858140087743</v>
      </c>
      <c r="AJ412" s="580">
        <f t="shared" si="736"/>
        <v>0.15579162023095347</v>
      </c>
      <c r="AK412" s="580">
        <f t="shared" si="736"/>
        <v>0.20120076889856128</v>
      </c>
      <c r="AL412" s="580">
        <f t="shared" si="736"/>
        <v>0.14639480259870061</v>
      </c>
      <c r="AM412" s="580">
        <f t="shared" si="736"/>
        <v>0.1151196702740486</v>
      </c>
      <c r="AN412" s="580">
        <f t="shared" si="736"/>
        <v>0.11300129394098078</v>
      </c>
      <c r="AO412" s="580">
        <f t="shared" si="736"/>
        <v>0.12830252351447757</v>
      </c>
      <c r="AP412" s="580">
        <f t="shared" si="736"/>
        <v>0.1439826922162521</v>
      </c>
      <c r="AQ412" s="580">
        <f t="shared" si="736"/>
        <v>0.15358312847441613</v>
      </c>
      <c r="AR412" s="580">
        <f t="shared" si="736"/>
        <v>0.18794767518933309</v>
      </c>
      <c r="AS412" s="580">
        <f t="shared" si="736"/>
        <v>0.21633171833171136</v>
      </c>
      <c r="AT412" s="580">
        <f t="shared" si="736"/>
        <v>0.2193800731289163</v>
      </c>
      <c r="AU412" s="580">
        <f t="shared" si="736"/>
        <v>0.23106679021606435</v>
      </c>
      <c r="AV412" s="580">
        <f t="shared" si="736"/>
        <v>0.21237461632982516</v>
      </c>
      <c r="AW412" s="580">
        <f t="shared" si="736"/>
        <v>0.21886674251811444</v>
      </c>
      <c r="AX412" s="580">
        <f t="shared" si="736"/>
        <v>0.21962710793185677</v>
      </c>
      <c r="AY412" s="580">
        <f t="shared" si="736"/>
        <v>0.22424779059976496</v>
      </c>
      <c r="AZ412" s="580">
        <f t="shared" si="736"/>
        <v>0.20250770776981464</v>
      </c>
      <c r="BA412" s="580">
        <f t="shared" si="736"/>
        <v>0.20356124436614093</v>
      </c>
      <c r="BB412" s="580">
        <f t="shared" si="736"/>
        <v>0.22464394521339204</v>
      </c>
      <c r="BC412" s="580">
        <f t="shared" si="736"/>
        <v>0.22119816658927111</v>
      </c>
      <c r="BD412" s="580">
        <f t="shared" si="736"/>
        <v>0.20930151305269984</v>
      </c>
      <c r="BE412" s="580">
        <f t="shared" si="736"/>
        <v>0.20928927680798004</v>
      </c>
      <c r="BF412" s="580">
        <f t="shared" si="736"/>
        <v>0.21685255629804651</v>
      </c>
      <c r="BG412" s="580">
        <f t="shared" si="736"/>
        <v>0.21772134297416193</v>
      </c>
      <c r="BH412" s="580">
        <f t="shared" si="736"/>
        <v>0.23087135442437437</v>
      </c>
      <c r="BI412" s="580">
        <f t="shared" si="736"/>
        <v>0.24177325508368289</v>
      </c>
      <c r="BJ412" s="580">
        <f t="shared" si="736"/>
        <v>0.23685502919372312</v>
      </c>
      <c r="BK412" s="580">
        <f t="shared" si="736"/>
        <v>0.22474753106569156</v>
      </c>
    </row>
    <row r="413" spans="1:63" s="245" customFormat="1">
      <c r="A413" s="243"/>
      <c r="B413" s="243" t="s">
        <v>1709</v>
      </c>
      <c r="C413" s="243" t="s">
        <v>1710</v>
      </c>
      <c r="D413" s="243"/>
      <c r="F413" s="286"/>
      <c r="G413" s="286"/>
      <c r="H413" s="286"/>
      <c r="I413" s="286"/>
      <c r="J413" s="286"/>
      <c r="K413" s="286"/>
      <c r="L413" s="286"/>
      <c r="M413" s="286"/>
      <c r="N413" s="286"/>
      <c r="O413" s="286"/>
      <c r="P413" s="286"/>
      <c r="Q413" s="286"/>
      <c r="R413" s="286"/>
      <c r="S413" s="286">
        <f t="shared" ref="S413:AD413" si="737">S252/100</f>
        <v>0.26413093169973473</v>
      </c>
      <c r="T413" s="286">
        <f t="shared" si="737"/>
        <v>0.27501039791963883</v>
      </c>
      <c r="U413" s="286">
        <f t="shared" si="737"/>
        <v>0.2788097733164196</v>
      </c>
      <c r="V413" s="286">
        <f t="shared" si="737"/>
        <v>0.25386906166406287</v>
      </c>
      <c r="W413" s="286">
        <f t="shared" si="737"/>
        <v>0.30430021354226272</v>
      </c>
      <c r="X413" s="286">
        <f t="shared" si="737"/>
        <v>0.29715690466011119</v>
      </c>
      <c r="Y413" s="286">
        <f t="shared" si="737"/>
        <v>0.28462758024569706</v>
      </c>
      <c r="Z413" s="286">
        <f t="shared" si="737"/>
        <v>0.29160928159904242</v>
      </c>
      <c r="AA413" s="286">
        <f>AA252/100</f>
        <v>0.2826414125417242</v>
      </c>
      <c r="AB413" s="286">
        <f>AB252/100</f>
        <v>0.29000000000000004</v>
      </c>
      <c r="AC413" s="286">
        <f t="shared" si="737"/>
        <v>0.29000000000000004</v>
      </c>
      <c r="AD413" s="286">
        <f t="shared" si="737"/>
        <v>0.28999999999999987</v>
      </c>
      <c r="AF413" s="580">
        <f t="shared" ref="AF413:BK413" si="738">AF252/100</f>
        <v>0.31988188976377968</v>
      </c>
      <c r="AG413" s="580">
        <f t="shared" si="738"/>
        <v>0.2738525577828898</v>
      </c>
      <c r="AH413" s="580">
        <f t="shared" si="738"/>
        <v>0.25149851196713752</v>
      </c>
      <c r="AI413" s="580">
        <f t="shared" si="738"/>
        <v>0.26406479441997077</v>
      </c>
      <c r="AJ413" s="580">
        <f t="shared" si="738"/>
        <v>0.31201485495114301</v>
      </c>
      <c r="AK413" s="580">
        <f t="shared" si="738"/>
        <v>0.27672558922558921</v>
      </c>
      <c r="AL413" s="580">
        <f t="shared" si="738"/>
        <v>0.27667476855012707</v>
      </c>
      <c r="AM413" s="580">
        <f t="shared" si="738"/>
        <v>0.28039026841422043</v>
      </c>
      <c r="AN413" s="580">
        <f t="shared" si="738"/>
        <v>0.32935049019607815</v>
      </c>
      <c r="AO413" s="580">
        <f t="shared" si="738"/>
        <v>0.24772914946325345</v>
      </c>
      <c r="AP413" s="580">
        <f t="shared" si="738"/>
        <v>0.24933126382880372</v>
      </c>
      <c r="AQ413" s="580">
        <f t="shared" si="738"/>
        <v>0.20434902855562462</v>
      </c>
      <c r="AR413" s="580">
        <f t="shared" si="738"/>
        <v>0.27758185251757661</v>
      </c>
      <c r="AS413" s="580">
        <f t="shared" si="738"/>
        <v>0.2817532737809369</v>
      </c>
      <c r="AT413" s="580">
        <f t="shared" si="738"/>
        <v>0.27939992641546485</v>
      </c>
      <c r="AU413" s="580">
        <f t="shared" si="738"/>
        <v>0.26416295353278169</v>
      </c>
      <c r="AV413" s="580">
        <f t="shared" si="738"/>
        <v>0.28566240997397579</v>
      </c>
      <c r="AW413" s="580">
        <f t="shared" si="738"/>
        <v>0.28223260512691006</v>
      </c>
      <c r="AX413" s="580">
        <f t="shared" si="738"/>
        <v>0.27282537606278606</v>
      </c>
      <c r="AY413" s="580">
        <f t="shared" si="738"/>
        <v>0.27277128655348271</v>
      </c>
      <c r="AZ413" s="580">
        <f t="shared" si="738"/>
        <v>0.25391895578452539</v>
      </c>
      <c r="BA413" s="580">
        <f t="shared" si="738"/>
        <v>0.23409593269975107</v>
      </c>
      <c r="BB413" s="580">
        <f t="shared" si="738"/>
        <v>0.23748939779474143</v>
      </c>
      <c r="BC413" s="580">
        <f t="shared" si="738"/>
        <v>0.25573190525712192</v>
      </c>
      <c r="BD413" s="580">
        <f t="shared" si="738"/>
        <v>0.29458262551674719</v>
      </c>
      <c r="BE413" s="580">
        <f t="shared" si="738"/>
        <v>0.28827582230678317</v>
      </c>
      <c r="BF413" s="580">
        <f t="shared" si="738"/>
        <v>0.30246387677208303</v>
      </c>
      <c r="BG413" s="580">
        <f t="shared" si="738"/>
        <v>0.25898723643084542</v>
      </c>
      <c r="BH413" s="580">
        <f t="shared" si="738"/>
        <v>0.2647222246721288</v>
      </c>
      <c r="BI413" s="580">
        <f t="shared" si="738"/>
        <v>0.29942852575630424</v>
      </c>
      <c r="BJ413" s="580">
        <f t="shared" si="738"/>
        <v>0.33432892311743034</v>
      </c>
      <c r="BK413" s="580">
        <f t="shared" si="738"/>
        <v>0.2787410240681269</v>
      </c>
    </row>
    <row r="414" spans="1:63" s="245" customFormat="1">
      <c r="A414" s="243"/>
      <c r="B414" s="243" t="s">
        <v>1711</v>
      </c>
      <c r="C414" s="243" t="s">
        <v>1712</v>
      </c>
      <c r="D414" s="243"/>
      <c r="F414" s="286"/>
      <c r="G414" s="286"/>
      <c r="H414" s="286"/>
      <c r="I414" s="286"/>
      <c r="J414" s="286"/>
      <c r="K414" s="286"/>
      <c r="L414" s="286"/>
      <c r="M414" s="286"/>
      <c r="N414" s="286"/>
      <c r="O414" s="286"/>
      <c r="P414" s="286"/>
      <c r="Q414" s="286"/>
      <c r="R414" s="286"/>
      <c r="S414" s="286">
        <f t="shared" ref="S414:AD414" si="739">S263/100</f>
        <v>0.88967378896335025</v>
      </c>
      <c r="T414" s="286">
        <f t="shared" si="739"/>
        <v>0.51684874752345178</v>
      </c>
      <c r="U414" s="286">
        <f t="shared" si="739"/>
        <v>0.83870180193669375</v>
      </c>
      <c r="V414" s="286">
        <f t="shared" si="739"/>
        <v>1.0359513757833676</v>
      </c>
      <c r="W414" s="286">
        <f t="shared" si="739"/>
        <v>0.732411288297801</v>
      </c>
      <c r="X414" s="286">
        <f t="shared" si="739"/>
        <v>0.77069217587851013</v>
      </c>
      <c r="Y414" s="286">
        <f t="shared" si="739"/>
        <v>0.70174570486879906</v>
      </c>
      <c r="Z414" s="286">
        <f t="shared" si="739"/>
        <v>0.84016535090714128</v>
      </c>
      <c r="AA414" s="286">
        <f>AA263/100</f>
        <v>0.85607627198978686</v>
      </c>
      <c r="AB414" s="286">
        <f>AB263/100</f>
        <v>0</v>
      </c>
      <c r="AC414" s="286">
        <f t="shared" si="739"/>
        <v>0</v>
      </c>
      <c r="AD414" s="286">
        <f t="shared" si="739"/>
        <v>0</v>
      </c>
      <c r="AF414" s="580" t="e">
        <f t="shared" ref="AF414:BK414" si="740">AF263/100</f>
        <v>#DIV/0!</v>
      </c>
      <c r="AG414" s="580" t="e">
        <f t="shared" si="740"/>
        <v>#DIV/0!</v>
      </c>
      <c r="AH414" s="580" t="e">
        <f t="shared" si="740"/>
        <v>#DIV/0!</v>
      </c>
      <c r="AI414" s="580" t="e">
        <f t="shared" si="740"/>
        <v>#DIV/0!</v>
      </c>
      <c r="AJ414" s="580" t="e">
        <f t="shared" si="740"/>
        <v>#DIV/0!</v>
      </c>
      <c r="AK414" s="580" t="e">
        <f t="shared" si="740"/>
        <v>#DIV/0!</v>
      </c>
      <c r="AL414" s="580" t="e">
        <f t="shared" si="740"/>
        <v>#DIV/0!</v>
      </c>
      <c r="AM414" s="580" t="e">
        <f t="shared" si="740"/>
        <v>#DIV/0!</v>
      </c>
      <c r="AN414" s="580" t="e">
        <f t="shared" si="740"/>
        <v>#DIV/0!</v>
      </c>
      <c r="AO414" s="580" t="e">
        <f t="shared" si="740"/>
        <v>#DIV/0!</v>
      </c>
      <c r="AP414" s="580" t="e">
        <f t="shared" si="740"/>
        <v>#DIV/0!</v>
      </c>
      <c r="AQ414" s="580" t="e">
        <f t="shared" si="740"/>
        <v>#DIV/0!</v>
      </c>
      <c r="AR414" s="580" t="e">
        <f t="shared" si="740"/>
        <v>#DIV/0!</v>
      </c>
      <c r="AS414" s="580" t="e">
        <f t="shared" si="740"/>
        <v>#DIV/0!</v>
      </c>
      <c r="AT414" s="580" t="e">
        <f t="shared" si="740"/>
        <v>#DIV/0!</v>
      </c>
      <c r="AU414" s="580" t="e">
        <f t="shared" si="740"/>
        <v>#DIV/0!</v>
      </c>
      <c r="AV414" s="580" t="e">
        <f t="shared" si="740"/>
        <v>#DIV/0!</v>
      </c>
      <c r="AW414" s="580" t="e">
        <f t="shared" si="740"/>
        <v>#DIV/0!</v>
      </c>
      <c r="AX414" s="580" t="e">
        <f t="shared" si="740"/>
        <v>#DIV/0!</v>
      </c>
      <c r="AY414" s="580" t="e">
        <f t="shared" si="740"/>
        <v>#DIV/0!</v>
      </c>
      <c r="AZ414" s="580" t="e">
        <f t="shared" si="740"/>
        <v>#DIV/0!</v>
      </c>
      <c r="BA414" s="580" t="e">
        <f t="shared" si="740"/>
        <v>#DIV/0!</v>
      </c>
      <c r="BB414" s="580" t="e">
        <f t="shared" si="740"/>
        <v>#DIV/0!</v>
      </c>
      <c r="BC414" s="580" t="e">
        <f t="shared" si="740"/>
        <v>#DIV/0!</v>
      </c>
      <c r="BD414" s="580" t="e">
        <f t="shared" si="740"/>
        <v>#DIV/0!</v>
      </c>
      <c r="BE414" s="580" t="e">
        <f t="shared" si="740"/>
        <v>#DIV/0!</v>
      </c>
      <c r="BF414" s="580" t="e">
        <f t="shared" si="740"/>
        <v>#DIV/0!</v>
      </c>
      <c r="BG414" s="580" t="e">
        <f t="shared" si="740"/>
        <v>#DIV/0!</v>
      </c>
      <c r="BH414" s="580" t="e">
        <f t="shared" si="740"/>
        <v>#DIV/0!</v>
      </c>
      <c r="BI414" s="580" t="e">
        <f t="shared" si="740"/>
        <v>#DIV/0!</v>
      </c>
      <c r="BJ414" s="580" t="e">
        <f t="shared" si="740"/>
        <v>#DIV/0!</v>
      </c>
      <c r="BK414" s="580" t="e">
        <f t="shared" si="740"/>
        <v>#DIV/0!</v>
      </c>
    </row>
    <row r="415" spans="1:63" s="245" customFormat="1">
      <c r="A415" s="243"/>
      <c r="B415" s="243" t="s">
        <v>1713</v>
      </c>
      <c r="C415" s="243" t="s">
        <v>1714</v>
      </c>
      <c r="D415" s="243"/>
      <c r="F415" s="286"/>
      <c r="G415" s="286"/>
      <c r="H415" s="286"/>
      <c r="I415" s="286"/>
      <c r="J415" s="286"/>
      <c r="K415" s="286"/>
      <c r="L415" s="286"/>
      <c r="M415" s="286"/>
      <c r="N415" s="286"/>
      <c r="O415" s="286"/>
      <c r="P415" s="286"/>
      <c r="Q415" s="286"/>
      <c r="R415" s="286"/>
      <c r="S415" s="286">
        <f t="shared" ref="S415:AD415" si="741">S266/100</f>
        <v>0</v>
      </c>
      <c r="T415" s="286">
        <f t="shared" si="741"/>
        <v>0</v>
      </c>
      <c r="U415" s="286">
        <f t="shared" si="741"/>
        <v>0</v>
      </c>
      <c r="V415" s="286">
        <f t="shared" si="741"/>
        <v>0</v>
      </c>
      <c r="W415" s="286">
        <f t="shared" si="741"/>
        <v>0</v>
      </c>
      <c r="X415" s="286">
        <f t="shared" si="741"/>
        <v>0</v>
      </c>
      <c r="Y415" s="286">
        <f t="shared" si="741"/>
        <v>0</v>
      </c>
      <c r="Z415" s="286">
        <f t="shared" si="741"/>
        <v>0</v>
      </c>
      <c r="AA415" s="286">
        <f>AA266/100</f>
        <v>0</v>
      </c>
      <c r="AB415" s="286">
        <f>AB266/100</f>
        <v>0</v>
      </c>
      <c r="AC415" s="286">
        <f t="shared" si="741"/>
        <v>0</v>
      </c>
      <c r="AD415" s="286">
        <f t="shared" si="741"/>
        <v>0</v>
      </c>
      <c r="AF415" s="580" t="e">
        <f t="shared" ref="AF415:BK415" si="742">AF266/100</f>
        <v>#DIV/0!</v>
      </c>
      <c r="AG415" s="580" t="e">
        <f t="shared" si="742"/>
        <v>#DIV/0!</v>
      </c>
      <c r="AH415" s="580" t="e">
        <f t="shared" si="742"/>
        <v>#DIV/0!</v>
      </c>
      <c r="AI415" s="580" t="e">
        <f t="shared" si="742"/>
        <v>#DIV/0!</v>
      </c>
      <c r="AJ415" s="580" t="e">
        <f t="shared" si="742"/>
        <v>#DIV/0!</v>
      </c>
      <c r="AK415" s="580" t="e">
        <f t="shared" si="742"/>
        <v>#DIV/0!</v>
      </c>
      <c r="AL415" s="580" t="e">
        <f t="shared" si="742"/>
        <v>#DIV/0!</v>
      </c>
      <c r="AM415" s="580" t="e">
        <f t="shared" si="742"/>
        <v>#DIV/0!</v>
      </c>
      <c r="AN415" s="580" t="e">
        <f t="shared" si="742"/>
        <v>#DIV/0!</v>
      </c>
      <c r="AO415" s="580" t="e">
        <f t="shared" si="742"/>
        <v>#DIV/0!</v>
      </c>
      <c r="AP415" s="580" t="e">
        <f t="shared" si="742"/>
        <v>#DIV/0!</v>
      </c>
      <c r="AQ415" s="580" t="e">
        <f t="shared" si="742"/>
        <v>#DIV/0!</v>
      </c>
      <c r="AR415" s="580" t="e">
        <f t="shared" si="742"/>
        <v>#DIV/0!</v>
      </c>
      <c r="AS415" s="580" t="e">
        <f t="shared" si="742"/>
        <v>#DIV/0!</v>
      </c>
      <c r="AT415" s="580" t="e">
        <f t="shared" si="742"/>
        <v>#DIV/0!</v>
      </c>
      <c r="AU415" s="580" t="e">
        <f t="shared" si="742"/>
        <v>#DIV/0!</v>
      </c>
      <c r="AV415" s="580" t="e">
        <f t="shared" si="742"/>
        <v>#DIV/0!</v>
      </c>
      <c r="AW415" s="580" t="e">
        <f t="shared" si="742"/>
        <v>#DIV/0!</v>
      </c>
      <c r="AX415" s="580" t="e">
        <f t="shared" si="742"/>
        <v>#DIV/0!</v>
      </c>
      <c r="AY415" s="580" t="e">
        <f t="shared" si="742"/>
        <v>#DIV/0!</v>
      </c>
      <c r="AZ415" s="580" t="e">
        <f t="shared" si="742"/>
        <v>#DIV/0!</v>
      </c>
      <c r="BA415" s="580" t="e">
        <f t="shared" si="742"/>
        <v>#DIV/0!</v>
      </c>
      <c r="BB415" s="580" t="e">
        <f t="shared" si="742"/>
        <v>#DIV/0!</v>
      </c>
      <c r="BC415" s="580" t="e">
        <f t="shared" si="742"/>
        <v>#DIV/0!</v>
      </c>
      <c r="BD415" s="580" t="e">
        <f t="shared" si="742"/>
        <v>#DIV/0!</v>
      </c>
      <c r="BE415" s="580" t="e">
        <f t="shared" si="742"/>
        <v>#DIV/0!</v>
      </c>
      <c r="BF415" s="580" t="e">
        <f t="shared" si="742"/>
        <v>#DIV/0!</v>
      </c>
      <c r="BG415" s="580" t="e">
        <f t="shared" si="742"/>
        <v>#DIV/0!</v>
      </c>
      <c r="BH415" s="580" t="e">
        <f t="shared" si="742"/>
        <v>#DIV/0!</v>
      </c>
      <c r="BI415" s="580" t="e">
        <f t="shared" si="742"/>
        <v>#DIV/0!</v>
      </c>
      <c r="BJ415" s="580" t="e">
        <f t="shared" si="742"/>
        <v>#DIV/0!</v>
      </c>
      <c r="BK415" s="580" t="e">
        <f t="shared" si="742"/>
        <v>#DIV/0!</v>
      </c>
    </row>
    <row r="416" spans="1:63" s="245" customFormat="1">
      <c r="A416" s="243"/>
      <c r="B416" s="243" t="s">
        <v>1715</v>
      </c>
      <c r="C416" s="243" t="s">
        <v>1716</v>
      </c>
      <c r="D416" s="243"/>
      <c r="F416" s="286"/>
      <c r="G416" s="286"/>
      <c r="H416" s="286"/>
      <c r="I416" s="286"/>
      <c r="J416" s="286"/>
      <c r="K416" s="286"/>
      <c r="L416" s="286"/>
      <c r="M416" s="286"/>
      <c r="N416" s="286"/>
      <c r="O416" s="286"/>
      <c r="P416" s="286"/>
      <c r="Q416" s="286"/>
      <c r="R416" s="286"/>
      <c r="S416" s="286">
        <f t="shared" ref="S416:AD416" si="743">S230/100</f>
        <v>-2.241777984795279E-2</v>
      </c>
      <c r="T416" s="286">
        <f t="shared" si="743"/>
        <v>0.34846582059057396</v>
      </c>
      <c r="U416" s="286">
        <f t="shared" si="743"/>
        <v>0.37957105852284134</v>
      </c>
      <c r="V416" s="286">
        <f t="shared" si="743"/>
        <v>0.1909199956336749</v>
      </c>
      <c r="W416" s="286">
        <f t="shared" si="743"/>
        <v>2.3978210843577319E-2</v>
      </c>
      <c r="X416" s="286">
        <f t="shared" si="743"/>
        <v>7.6140469314531778E-3</v>
      </c>
      <c r="Y416" s="286">
        <f t="shared" si="743"/>
        <v>7.258241019260514E-2</v>
      </c>
      <c r="Z416" s="286">
        <f t="shared" si="743"/>
        <v>4.5091132199180262E-2</v>
      </c>
      <c r="AA416" s="286">
        <f>AA230/100</f>
        <v>-3.6297756360873734E-2</v>
      </c>
      <c r="AB416" s="286">
        <f>AB230/100</f>
        <v>0.20534518315446662</v>
      </c>
      <c r="AC416" s="286">
        <f t="shared" si="743"/>
        <v>0.15800062026025796</v>
      </c>
      <c r="AD416" s="286">
        <f t="shared" si="743"/>
        <v>0.15942287381312226</v>
      </c>
      <c r="AF416" s="580">
        <f t="shared" ref="AF416:BK416" si="744">AF230/100</f>
        <v>0</v>
      </c>
      <c r="AG416" s="580">
        <f t="shared" si="744"/>
        <v>0</v>
      </c>
      <c r="AH416" s="580">
        <f t="shared" si="744"/>
        <v>0</v>
      </c>
      <c r="AI416" s="580">
        <f t="shared" si="744"/>
        <v>0</v>
      </c>
      <c r="AJ416" s="580">
        <f t="shared" si="744"/>
        <v>-4.2680213923165573E-2</v>
      </c>
      <c r="AK416" s="580">
        <f t="shared" si="744"/>
        <v>-3.0439619535544415E-2</v>
      </c>
      <c r="AL416" s="580">
        <f t="shared" si="744"/>
        <v>-2.6080218672003608E-2</v>
      </c>
      <c r="AM416" s="580">
        <f t="shared" si="744"/>
        <v>-0.10334766916643258</v>
      </c>
      <c r="AN416" s="580">
        <f t="shared" si="744"/>
        <v>9.5852796813126862E-2</v>
      </c>
      <c r="AO416" s="580">
        <f t="shared" si="744"/>
        <v>7.9011101608081891E-2</v>
      </c>
      <c r="AP416" s="580">
        <f t="shared" si="744"/>
        <v>-0.1591804097951024</v>
      </c>
      <c r="AQ416" s="580">
        <f t="shared" si="744"/>
        <v>-9.2091879775362026E-2</v>
      </c>
      <c r="AR416" s="580">
        <f t="shared" si="744"/>
        <v>1.1987346209272109E-2</v>
      </c>
      <c r="AS416" s="580">
        <f t="shared" si="744"/>
        <v>0.13305446882982852</v>
      </c>
      <c r="AT416" s="580">
        <f t="shared" si="744"/>
        <v>0.56699633873805344</v>
      </c>
      <c r="AU416" s="580">
        <f t="shared" si="744"/>
        <v>0.80494422350948525</v>
      </c>
      <c r="AV416" s="580">
        <f t="shared" si="744"/>
        <v>0.66350648073312901</v>
      </c>
      <c r="AW416" s="580">
        <f t="shared" si="744"/>
        <v>0.50365539859602215</v>
      </c>
      <c r="AX416" s="580">
        <f t="shared" si="744"/>
        <v>0.26749101060521019</v>
      </c>
      <c r="AY416" s="580">
        <f t="shared" si="744"/>
        <v>0.2192531144744003</v>
      </c>
      <c r="AZ416" s="580">
        <f t="shared" si="744"/>
        <v>0.20982452712811628</v>
      </c>
      <c r="BA416" s="580">
        <f t="shared" si="744"/>
        <v>0.21314563938624828</v>
      </c>
      <c r="BB416" s="580">
        <f t="shared" si="744"/>
        <v>0.19363047870761396</v>
      </c>
      <c r="BC416" s="580">
        <f t="shared" si="744"/>
        <v>0.12223779733110728</v>
      </c>
      <c r="BD416" s="580">
        <f t="shared" si="744"/>
        <v>3.3863191601027465E-2</v>
      </c>
      <c r="BE416" s="580">
        <f t="shared" si="744"/>
        <v>-5.5979769367754721E-2</v>
      </c>
      <c r="BF416" s="580">
        <f t="shared" si="744"/>
        <v>8.5605578943779292E-2</v>
      </c>
      <c r="BG416" s="580">
        <f t="shared" si="744"/>
        <v>2.0432382230019197E-2</v>
      </c>
      <c r="BH416" s="580">
        <f t="shared" si="744"/>
        <v>9.3368628305308121E-3</v>
      </c>
      <c r="BI416" s="580">
        <f t="shared" si="744"/>
        <v>4.0722789799694237E-2</v>
      </c>
      <c r="BJ416" s="580">
        <f t="shared" si="744"/>
        <v>-5.2001677533065616E-2</v>
      </c>
      <c r="BK416" s="580">
        <f t="shared" si="744"/>
        <v>3.9146904653553749E-2</v>
      </c>
    </row>
    <row r="417" spans="1:63" s="245" customFormat="1">
      <c r="A417" s="243"/>
      <c r="B417" s="243" t="s">
        <v>1717</v>
      </c>
      <c r="C417" s="243" t="s">
        <v>1718</v>
      </c>
      <c r="D417" s="243"/>
      <c r="F417" s="286"/>
      <c r="G417" s="286"/>
      <c r="H417" s="286"/>
      <c r="I417" s="286"/>
      <c r="J417" s="286"/>
      <c r="K417" s="286"/>
      <c r="L417" s="286"/>
      <c r="M417" s="286"/>
      <c r="N417" s="286"/>
      <c r="O417" s="286"/>
      <c r="P417" s="286"/>
      <c r="Q417" s="286"/>
      <c r="R417" s="286"/>
      <c r="S417" s="286">
        <f t="shared" ref="S417:AD417" si="745">S243/100</f>
        <v>0.26492745394263117</v>
      </c>
      <c r="T417" s="286">
        <f t="shared" si="745"/>
        <v>-0.91650902561800573</v>
      </c>
      <c r="U417" s="286">
        <f t="shared" si="745"/>
        <v>-2.5022081413210309</v>
      </c>
      <c r="V417" s="286" t="e">
        <f t="shared" si="745"/>
        <v>#VALUE!</v>
      </c>
      <c r="W417" s="286" t="e">
        <f t="shared" si="745"/>
        <v>#VALUE!</v>
      </c>
      <c r="X417" s="286">
        <f t="shared" si="745"/>
        <v>-0.23054862378487015</v>
      </c>
      <c r="Y417" s="286">
        <f t="shared" si="745"/>
        <v>0.53461445374896921</v>
      </c>
      <c r="Z417" s="286">
        <f t="shared" si="745"/>
        <v>1.3319644036218836</v>
      </c>
      <c r="AA417" s="286">
        <f>AA243/100</f>
        <v>-0.93343224117864043</v>
      </c>
      <c r="AB417" s="286">
        <f>AB243/100</f>
        <v>3.8572853578562665</v>
      </c>
      <c r="AC417" s="286">
        <f t="shared" si="745"/>
        <v>0.70702376545087642</v>
      </c>
      <c r="AD417" s="286">
        <f t="shared" si="745"/>
        <v>0.46975855115129489</v>
      </c>
      <c r="AF417" s="580">
        <f t="shared" ref="AF417:BK417" si="746">AF243/100</f>
        <v>0</v>
      </c>
      <c r="AG417" s="580">
        <f t="shared" si="746"/>
        <v>0</v>
      </c>
      <c r="AH417" s="580">
        <f t="shared" si="746"/>
        <v>0</v>
      </c>
      <c r="AI417" s="580">
        <f t="shared" si="746"/>
        <v>0</v>
      </c>
      <c r="AJ417" s="580">
        <f t="shared" si="746"/>
        <v>0</v>
      </c>
      <c r="AK417" s="580">
        <f t="shared" si="746"/>
        <v>0</v>
      </c>
      <c r="AL417" s="580">
        <f t="shared" si="746"/>
        <v>0</v>
      </c>
      <c r="AM417" s="580">
        <f t="shared" si="746"/>
        <v>0</v>
      </c>
      <c r="AN417" s="580">
        <f t="shared" si="746"/>
        <v>0</v>
      </c>
      <c r="AO417" s="580">
        <f t="shared" si="746"/>
        <v>0</v>
      </c>
      <c r="AP417" s="580">
        <f t="shared" si="746"/>
        <v>0</v>
      </c>
      <c r="AQ417" s="580">
        <f t="shared" si="746"/>
        <v>0</v>
      </c>
      <c r="AR417" s="580">
        <f t="shared" si="746"/>
        <v>0</v>
      </c>
      <c r="AS417" s="580">
        <f t="shared" si="746"/>
        <v>0</v>
      </c>
      <c r="AT417" s="580">
        <f t="shared" si="746"/>
        <v>0</v>
      </c>
      <c r="AU417" s="580">
        <f t="shared" si="746"/>
        <v>0</v>
      </c>
      <c r="AV417" s="580">
        <f t="shared" si="746"/>
        <v>0</v>
      </c>
      <c r="AW417" s="580">
        <f t="shared" si="746"/>
        <v>0</v>
      </c>
      <c r="AX417" s="580">
        <f t="shared" si="746"/>
        <v>0</v>
      </c>
      <c r="AY417" s="580">
        <f t="shared" si="746"/>
        <v>0</v>
      </c>
      <c r="AZ417" s="580">
        <f t="shared" si="746"/>
        <v>0</v>
      </c>
      <c r="BA417" s="580">
        <f t="shared" si="746"/>
        <v>0</v>
      </c>
      <c r="BB417" s="580">
        <f t="shared" si="746"/>
        <v>0</v>
      </c>
      <c r="BC417" s="580">
        <f t="shared" si="746"/>
        <v>0</v>
      </c>
      <c r="BD417" s="580">
        <f t="shared" si="746"/>
        <v>0</v>
      </c>
      <c r="BE417" s="580">
        <f t="shared" si="746"/>
        <v>0</v>
      </c>
      <c r="BF417" s="580">
        <f t="shared" si="746"/>
        <v>0</v>
      </c>
      <c r="BG417" s="580">
        <f t="shared" si="746"/>
        <v>0</v>
      </c>
      <c r="BH417" s="580">
        <f t="shared" si="746"/>
        <v>0</v>
      </c>
      <c r="BI417" s="580">
        <f t="shared" si="746"/>
        <v>0</v>
      </c>
      <c r="BJ417" s="580">
        <f t="shared" si="746"/>
        <v>0</v>
      </c>
      <c r="BK417" s="580">
        <f t="shared" si="746"/>
        <v>0</v>
      </c>
    </row>
    <row r="418" spans="1:63" s="245" customFormat="1">
      <c r="A418" s="243"/>
      <c r="B418" s="243" t="s">
        <v>1719</v>
      </c>
      <c r="C418" s="243" t="s">
        <v>1720</v>
      </c>
      <c r="D418" s="243"/>
      <c r="F418" s="286"/>
      <c r="G418" s="286"/>
      <c r="H418" s="286"/>
      <c r="I418" s="286"/>
      <c r="J418" s="286"/>
      <c r="K418" s="286"/>
      <c r="L418" s="286"/>
      <c r="M418" s="286"/>
      <c r="N418" s="286"/>
      <c r="O418" s="286"/>
      <c r="P418" s="286"/>
      <c r="Q418" s="286"/>
      <c r="R418" s="286"/>
      <c r="S418" s="286">
        <f t="shared" ref="S418:AD418" si="747">S414-S415</f>
        <v>0.88967378896335025</v>
      </c>
      <c r="T418" s="286">
        <f t="shared" si="747"/>
        <v>0.51684874752345178</v>
      </c>
      <c r="U418" s="286">
        <f t="shared" si="747"/>
        <v>0.83870180193669375</v>
      </c>
      <c r="V418" s="286">
        <f t="shared" si="747"/>
        <v>1.0359513757833676</v>
      </c>
      <c r="W418" s="286">
        <f t="shared" si="747"/>
        <v>0.732411288297801</v>
      </c>
      <c r="X418" s="286">
        <f t="shared" si="747"/>
        <v>0.77069217587851013</v>
      </c>
      <c r="Y418" s="286">
        <f t="shared" si="747"/>
        <v>0.70174570486879906</v>
      </c>
      <c r="Z418" s="286">
        <f t="shared" si="747"/>
        <v>0.84016535090714128</v>
      </c>
      <c r="AA418" s="286">
        <f>AA414-AA415</f>
        <v>0.85607627198978686</v>
      </c>
      <c r="AB418" s="286">
        <f>AB414-AB415</f>
        <v>0</v>
      </c>
      <c r="AC418" s="286">
        <f t="shared" si="747"/>
        <v>0</v>
      </c>
      <c r="AD418" s="286">
        <f t="shared" si="747"/>
        <v>0</v>
      </c>
      <c r="AF418" s="580" t="e">
        <f t="shared" ref="AF418:BK418" si="748">AF414-AF415</f>
        <v>#DIV/0!</v>
      </c>
      <c r="AG418" s="580" t="e">
        <f t="shared" si="748"/>
        <v>#DIV/0!</v>
      </c>
      <c r="AH418" s="580" t="e">
        <f t="shared" si="748"/>
        <v>#DIV/0!</v>
      </c>
      <c r="AI418" s="580" t="e">
        <f t="shared" si="748"/>
        <v>#DIV/0!</v>
      </c>
      <c r="AJ418" s="580" t="e">
        <f t="shared" si="748"/>
        <v>#DIV/0!</v>
      </c>
      <c r="AK418" s="580" t="e">
        <f t="shared" si="748"/>
        <v>#DIV/0!</v>
      </c>
      <c r="AL418" s="580" t="e">
        <f t="shared" si="748"/>
        <v>#DIV/0!</v>
      </c>
      <c r="AM418" s="580" t="e">
        <f t="shared" si="748"/>
        <v>#DIV/0!</v>
      </c>
      <c r="AN418" s="580" t="e">
        <f t="shared" si="748"/>
        <v>#DIV/0!</v>
      </c>
      <c r="AO418" s="580" t="e">
        <f t="shared" si="748"/>
        <v>#DIV/0!</v>
      </c>
      <c r="AP418" s="580" t="e">
        <f t="shared" si="748"/>
        <v>#DIV/0!</v>
      </c>
      <c r="AQ418" s="580" t="e">
        <f t="shared" si="748"/>
        <v>#DIV/0!</v>
      </c>
      <c r="AR418" s="580" t="e">
        <f t="shared" si="748"/>
        <v>#DIV/0!</v>
      </c>
      <c r="AS418" s="580" t="e">
        <f t="shared" si="748"/>
        <v>#DIV/0!</v>
      </c>
      <c r="AT418" s="580" t="e">
        <f t="shared" si="748"/>
        <v>#DIV/0!</v>
      </c>
      <c r="AU418" s="580" t="e">
        <f t="shared" si="748"/>
        <v>#DIV/0!</v>
      </c>
      <c r="AV418" s="580" t="e">
        <f t="shared" si="748"/>
        <v>#DIV/0!</v>
      </c>
      <c r="AW418" s="580" t="e">
        <f t="shared" si="748"/>
        <v>#DIV/0!</v>
      </c>
      <c r="AX418" s="580" t="e">
        <f t="shared" si="748"/>
        <v>#DIV/0!</v>
      </c>
      <c r="AY418" s="580" t="e">
        <f t="shared" si="748"/>
        <v>#DIV/0!</v>
      </c>
      <c r="AZ418" s="580" t="e">
        <f t="shared" si="748"/>
        <v>#DIV/0!</v>
      </c>
      <c r="BA418" s="580" t="e">
        <f t="shared" si="748"/>
        <v>#DIV/0!</v>
      </c>
      <c r="BB418" s="580" t="e">
        <f t="shared" si="748"/>
        <v>#DIV/0!</v>
      </c>
      <c r="BC418" s="580" t="e">
        <f t="shared" si="748"/>
        <v>#DIV/0!</v>
      </c>
      <c r="BD418" s="580" t="e">
        <f t="shared" si="748"/>
        <v>#DIV/0!</v>
      </c>
      <c r="BE418" s="580" t="e">
        <f t="shared" si="748"/>
        <v>#DIV/0!</v>
      </c>
      <c r="BF418" s="580" t="e">
        <f t="shared" si="748"/>
        <v>#DIV/0!</v>
      </c>
      <c r="BG418" s="580" t="e">
        <f t="shared" si="748"/>
        <v>#DIV/0!</v>
      </c>
      <c r="BH418" s="580" t="e">
        <f t="shared" si="748"/>
        <v>#DIV/0!</v>
      </c>
      <c r="BI418" s="580" t="e">
        <f t="shared" si="748"/>
        <v>#DIV/0!</v>
      </c>
      <c r="BJ418" s="580" t="e">
        <f t="shared" si="748"/>
        <v>#DIV/0!</v>
      </c>
      <c r="BK418" s="580" t="e">
        <f t="shared" si="748"/>
        <v>#DIV/0!</v>
      </c>
    </row>
    <row r="419" spans="1:63" s="240" customFormat="1">
      <c r="A419" s="209"/>
      <c r="B419" s="209"/>
      <c r="C419" s="209"/>
      <c r="D419" s="209"/>
      <c r="AF419" s="579"/>
      <c r="AG419" s="579"/>
      <c r="AH419" s="579"/>
      <c r="AI419" s="579"/>
      <c r="AJ419" s="579"/>
      <c r="AK419" s="579"/>
      <c r="AL419" s="579"/>
      <c r="AM419" s="579"/>
      <c r="AN419" s="579"/>
      <c r="AO419" s="579"/>
      <c r="AP419" s="579"/>
      <c r="AQ419" s="579"/>
      <c r="AR419" s="579"/>
      <c r="AS419" s="579"/>
      <c r="AT419" s="579"/>
      <c r="AU419" s="579"/>
      <c r="AV419" s="579"/>
      <c r="AW419" s="579"/>
      <c r="AX419" s="579"/>
      <c r="AY419" s="579"/>
      <c r="AZ419" s="579"/>
      <c r="BA419" s="579"/>
      <c r="BB419" s="579"/>
      <c r="BC419" s="579"/>
      <c r="BD419" s="579"/>
      <c r="BE419" s="579"/>
      <c r="BF419" s="579"/>
      <c r="BG419" s="579"/>
      <c r="BH419" s="579"/>
      <c r="BI419" s="579"/>
      <c r="BJ419" s="579"/>
      <c r="BK419" s="579"/>
    </row>
    <row r="420" spans="1:63" s="240" customFormat="1">
      <c r="A420" s="209"/>
      <c r="B420" s="209"/>
      <c r="C420" s="209"/>
      <c r="D420" s="209"/>
      <c r="AF420" s="579"/>
      <c r="AG420" s="579"/>
      <c r="AH420" s="579"/>
      <c r="AI420" s="579"/>
      <c r="AJ420" s="579"/>
      <c r="AK420" s="579"/>
      <c r="AL420" s="579"/>
      <c r="AM420" s="579"/>
      <c r="AN420" s="579"/>
      <c r="AO420" s="579"/>
      <c r="AP420" s="579"/>
      <c r="AQ420" s="579"/>
      <c r="AR420" s="579"/>
      <c r="AS420" s="579"/>
      <c r="AT420" s="579"/>
      <c r="AU420" s="579"/>
      <c r="AV420" s="579"/>
      <c r="AW420" s="579"/>
      <c r="AX420" s="579"/>
      <c r="AY420" s="579"/>
      <c r="AZ420" s="579"/>
      <c r="BA420" s="579"/>
      <c r="BB420" s="579"/>
      <c r="BC420" s="579"/>
      <c r="BD420" s="579"/>
      <c r="BE420" s="579"/>
      <c r="BF420" s="579"/>
      <c r="BG420" s="579"/>
      <c r="BH420" s="579"/>
      <c r="BI420" s="579"/>
      <c r="BJ420" s="579"/>
      <c r="BK420" s="579"/>
    </row>
    <row r="421" spans="1:63" s="240" customFormat="1">
      <c r="A421" s="209"/>
      <c r="B421" s="209"/>
      <c r="C421" s="209"/>
      <c r="D421" s="209"/>
      <c r="AF421" s="579"/>
      <c r="AG421" s="579"/>
      <c r="AH421" s="579"/>
      <c r="AI421" s="579"/>
      <c r="AJ421" s="579"/>
      <c r="AK421" s="579"/>
      <c r="AL421" s="579"/>
      <c r="AM421" s="579"/>
      <c r="AN421" s="579"/>
      <c r="AO421" s="579"/>
      <c r="AP421" s="579"/>
      <c r="AQ421" s="579"/>
      <c r="AR421" s="579"/>
      <c r="AS421" s="579"/>
      <c r="AT421" s="579"/>
      <c r="AU421" s="579"/>
      <c r="AV421" s="579"/>
      <c r="AW421" s="579"/>
      <c r="AX421" s="579"/>
      <c r="AY421" s="579"/>
      <c r="AZ421" s="579"/>
      <c r="BA421" s="579"/>
      <c r="BB421" s="579"/>
      <c r="BC421" s="579"/>
      <c r="BD421" s="579"/>
      <c r="BE421" s="579"/>
      <c r="BF421" s="579"/>
      <c r="BG421" s="579"/>
      <c r="BH421" s="579"/>
      <c r="BI421" s="579"/>
      <c r="BJ421" s="579"/>
      <c r="BK421" s="579"/>
    </row>
    <row r="422" spans="1:63" s="240" customFormat="1">
      <c r="A422" s="209"/>
      <c r="B422" s="209"/>
      <c r="C422" s="209"/>
      <c r="D422" s="209"/>
      <c r="E422" s="288"/>
      <c r="F422" s="288"/>
      <c r="G422" s="288"/>
      <c r="H422" s="288"/>
      <c r="I422" s="288"/>
      <c r="J422" s="288"/>
      <c r="K422" s="288"/>
      <c r="L422" s="288" t="s">
        <v>1721</v>
      </c>
      <c r="M422" s="288"/>
      <c r="N422" s="288"/>
      <c r="O422" s="288"/>
      <c r="P422" s="288"/>
      <c r="Q422" s="288"/>
      <c r="R422" s="288"/>
      <c r="S422" s="288"/>
      <c r="T422" s="288"/>
      <c r="U422" s="288"/>
      <c r="V422" s="288"/>
      <c r="W422" s="288"/>
      <c r="X422" s="288"/>
      <c r="AF422" s="579"/>
      <c r="AG422" s="579"/>
      <c r="AH422" s="579"/>
      <c r="AI422" s="579"/>
      <c r="AJ422" s="579"/>
      <c r="AK422" s="579"/>
      <c r="AL422" s="579"/>
      <c r="AM422" s="579"/>
      <c r="AN422" s="579"/>
      <c r="AO422" s="579"/>
      <c r="AP422" s="579"/>
      <c r="AQ422" s="579"/>
      <c r="AR422" s="579"/>
      <c r="AS422" s="579"/>
      <c r="AT422" s="579"/>
      <c r="AU422" s="579"/>
      <c r="AV422" s="579"/>
      <c r="AW422" s="579"/>
      <c r="AX422" s="579"/>
      <c r="AY422" s="579"/>
      <c r="AZ422" s="579"/>
      <c r="BA422" s="579"/>
      <c r="BB422" s="579"/>
      <c r="BC422" s="579"/>
      <c r="BD422" s="579"/>
      <c r="BE422" s="579"/>
      <c r="BF422" s="579"/>
      <c r="BG422" s="579"/>
      <c r="BH422" s="579"/>
      <c r="BI422" s="579"/>
      <c r="BJ422" s="579"/>
      <c r="BK422" s="579"/>
    </row>
    <row r="423" spans="1:63" s="240" customFormat="1">
      <c r="A423" s="209"/>
      <c r="B423" s="209"/>
      <c r="C423" s="275" t="s">
        <v>1722</v>
      </c>
      <c r="D423" s="209"/>
      <c r="E423" s="288" t="s">
        <v>546</v>
      </c>
      <c r="F423" s="288" t="s">
        <v>1723</v>
      </c>
      <c r="G423" s="288" t="s">
        <v>1725</v>
      </c>
      <c r="H423" s="288" t="s">
        <v>1726</v>
      </c>
      <c r="I423" s="288" t="s">
        <v>1727</v>
      </c>
      <c r="J423" s="288" t="s">
        <v>1728</v>
      </c>
      <c r="K423" s="288" t="s">
        <v>1729</v>
      </c>
      <c r="L423" s="288" t="s">
        <v>1730</v>
      </c>
      <c r="M423" s="288" t="s">
        <v>1731</v>
      </c>
      <c r="N423" s="288" t="s">
        <v>1732</v>
      </c>
      <c r="O423" s="288" t="s">
        <v>1733</v>
      </c>
      <c r="P423" s="288" t="s">
        <v>1734</v>
      </c>
      <c r="Q423" s="288" t="s">
        <v>1735</v>
      </c>
      <c r="R423" s="288" t="s">
        <v>462</v>
      </c>
      <c r="S423" s="288" t="s">
        <v>1736</v>
      </c>
      <c r="T423" s="288" t="s">
        <v>1736</v>
      </c>
      <c r="U423" s="288" t="s">
        <v>1736</v>
      </c>
      <c r="V423" s="288"/>
      <c r="W423" s="288"/>
      <c r="X423" s="288"/>
      <c r="AF423" s="579"/>
      <c r="AG423" s="579"/>
      <c r="AH423" s="579"/>
      <c r="AI423" s="579"/>
      <c r="AJ423" s="579"/>
      <c r="AK423" s="579"/>
      <c r="AL423" s="579"/>
      <c r="AM423" s="579"/>
      <c r="AN423" s="579"/>
      <c r="AO423" s="579"/>
      <c r="AP423" s="579"/>
      <c r="AQ423" s="579"/>
      <c r="AR423" s="579"/>
      <c r="AS423" s="579"/>
      <c r="AT423" s="579"/>
      <c r="AU423" s="579"/>
      <c r="AV423" s="579"/>
      <c r="AW423" s="579"/>
      <c r="AX423" s="579"/>
      <c r="AY423" s="579"/>
      <c r="AZ423" s="579"/>
      <c r="BA423" s="579"/>
      <c r="BB423" s="579"/>
      <c r="BC423" s="579"/>
      <c r="BD423" s="579"/>
      <c r="BE423" s="579"/>
      <c r="BF423" s="579"/>
      <c r="BG423" s="579"/>
      <c r="BH423" s="579"/>
      <c r="BI423" s="579"/>
      <c r="BJ423" s="579"/>
      <c r="BK423" s="579"/>
    </row>
    <row r="424" spans="1:63" s="240" customFormat="1">
      <c r="A424" s="209"/>
      <c r="B424" s="209"/>
      <c r="C424" s="270" t="s">
        <v>1737</v>
      </c>
      <c r="D424" s="209"/>
      <c r="E424" s="251"/>
      <c r="F424" s="251"/>
      <c r="G424" s="251"/>
      <c r="H424" s="251"/>
      <c r="I424" s="251"/>
      <c r="J424" s="251"/>
      <c r="K424" s="251"/>
      <c r="L424" s="251"/>
      <c r="M424" s="251"/>
      <c r="N424" s="251"/>
      <c r="O424" s="251"/>
      <c r="P424" s="251"/>
      <c r="Q424" s="251"/>
      <c r="R424" s="251"/>
      <c r="S424" s="251"/>
      <c r="T424" s="251"/>
      <c r="U424" s="251"/>
      <c r="AF424" s="579"/>
      <c r="AG424" s="579"/>
      <c r="AH424" s="579"/>
      <c r="AI424" s="579"/>
      <c r="AJ424" s="579"/>
      <c r="AK424" s="579"/>
      <c r="AL424" s="579"/>
      <c r="AM424" s="579"/>
      <c r="AN424" s="579"/>
      <c r="AO424" s="579"/>
      <c r="AP424" s="579"/>
      <c r="AQ424" s="579"/>
      <c r="AR424" s="579"/>
      <c r="AS424" s="579"/>
      <c r="AT424" s="579"/>
      <c r="AU424" s="579"/>
      <c r="AV424" s="579"/>
      <c r="AW424" s="579"/>
      <c r="AX424" s="579"/>
      <c r="AY424" s="579"/>
      <c r="AZ424" s="579"/>
      <c r="BA424" s="579"/>
      <c r="BB424" s="579"/>
      <c r="BC424" s="579"/>
      <c r="BD424" s="579"/>
      <c r="BE424" s="579"/>
      <c r="BF424" s="579"/>
      <c r="BG424" s="579"/>
      <c r="BH424" s="579"/>
      <c r="BI424" s="579"/>
      <c r="BJ424" s="579"/>
      <c r="BK424" s="579"/>
    </row>
    <row r="425" spans="1:63" s="240" customFormat="1">
      <c r="A425" s="209"/>
      <c r="B425" s="209"/>
      <c r="C425" s="270" t="s">
        <v>1738</v>
      </c>
      <c r="D425" s="209"/>
      <c r="E425" s="251"/>
      <c r="F425" s="251"/>
      <c r="G425" s="251"/>
      <c r="H425" s="251"/>
      <c r="I425" s="251"/>
      <c r="J425" s="251"/>
      <c r="K425" s="251"/>
      <c r="L425" s="251"/>
      <c r="M425" s="251"/>
      <c r="N425" s="251"/>
      <c r="O425" s="251"/>
      <c r="P425" s="251"/>
      <c r="Q425" s="251"/>
      <c r="R425" s="251"/>
      <c r="S425" s="251"/>
      <c r="T425" s="251"/>
      <c r="U425" s="251"/>
      <c r="AF425" s="579"/>
      <c r="AG425" s="579"/>
      <c r="AH425" s="579"/>
      <c r="AI425" s="579"/>
      <c r="AJ425" s="579"/>
      <c r="AK425" s="579"/>
      <c r="AL425" s="579"/>
      <c r="AM425" s="579"/>
      <c r="AN425" s="579"/>
      <c r="AO425" s="579"/>
      <c r="AP425" s="579"/>
      <c r="AQ425" s="579"/>
      <c r="AR425" s="579"/>
      <c r="AS425" s="579"/>
      <c r="AT425" s="579"/>
      <c r="AU425" s="579"/>
      <c r="AV425" s="579"/>
      <c r="AW425" s="579"/>
      <c r="AX425" s="579"/>
      <c r="AY425" s="579"/>
      <c r="AZ425" s="579"/>
      <c r="BA425" s="579"/>
      <c r="BB425" s="579"/>
      <c r="BC425" s="579"/>
      <c r="BD425" s="579"/>
      <c r="BE425" s="579"/>
      <c r="BF425" s="579"/>
      <c r="BG425" s="579"/>
      <c r="BH425" s="579"/>
      <c r="BI425" s="579"/>
      <c r="BJ425" s="579"/>
      <c r="BK425" s="579"/>
    </row>
    <row r="426" spans="1:63" s="240" customFormat="1">
      <c r="A426" s="209"/>
      <c r="B426" s="209"/>
      <c r="C426" s="270" t="s">
        <v>1739</v>
      </c>
      <c r="D426" s="209"/>
      <c r="E426" s="251"/>
      <c r="F426" s="251"/>
      <c r="G426" s="251"/>
      <c r="H426" s="251"/>
      <c r="I426" s="251"/>
      <c r="J426" s="251"/>
      <c r="K426" s="251"/>
      <c r="L426" s="251"/>
      <c r="M426" s="251"/>
      <c r="N426" s="251"/>
      <c r="O426" s="251"/>
      <c r="P426" s="251"/>
      <c r="Q426" s="251"/>
      <c r="R426" s="251"/>
      <c r="S426" s="251"/>
      <c r="T426" s="251"/>
      <c r="U426" s="251"/>
      <c r="AF426" s="579"/>
      <c r="AG426" s="579"/>
      <c r="AH426" s="579"/>
      <c r="AI426" s="579"/>
      <c r="AJ426" s="579"/>
      <c r="AK426" s="579"/>
      <c r="AL426" s="579"/>
      <c r="AM426" s="579"/>
      <c r="AN426" s="579"/>
      <c r="AO426" s="579"/>
      <c r="AP426" s="579"/>
      <c r="AQ426" s="579"/>
      <c r="AR426" s="579"/>
      <c r="AS426" s="579"/>
      <c r="AT426" s="579"/>
      <c r="AU426" s="579"/>
      <c r="AV426" s="579"/>
      <c r="AW426" s="579"/>
      <c r="AX426" s="579"/>
      <c r="AY426" s="579"/>
      <c r="AZ426" s="579"/>
      <c r="BA426" s="579"/>
      <c r="BB426" s="579"/>
      <c r="BC426" s="579"/>
      <c r="BD426" s="579"/>
      <c r="BE426" s="579"/>
      <c r="BF426" s="579"/>
      <c r="BG426" s="579"/>
      <c r="BH426" s="579"/>
      <c r="BI426" s="579"/>
      <c r="BJ426" s="579"/>
      <c r="BK426" s="579"/>
    </row>
    <row r="427" spans="1:63" s="240" customFormat="1">
      <c r="A427" s="209"/>
      <c r="B427" s="209"/>
      <c r="C427" s="270" t="s">
        <v>1740</v>
      </c>
      <c r="D427" s="209"/>
      <c r="E427" s="251"/>
      <c r="F427" s="251"/>
      <c r="G427" s="251"/>
      <c r="H427" s="251"/>
      <c r="I427" s="251"/>
      <c r="J427" s="251"/>
      <c r="K427" s="251"/>
      <c r="L427" s="251"/>
      <c r="M427" s="251"/>
      <c r="N427" s="251"/>
      <c r="O427" s="251"/>
      <c r="P427" s="251"/>
      <c r="Q427" s="251"/>
      <c r="R427" s="251"/>
      <c r="S427" s="251"/>
      <c r="T427" s="251"/>
      <c r="U427" s="251"/>
      <c r="AF427" s="579"/>
      <c r="AG427" s="579"/>
      <c r="AH427" s="579"/>
      <c r="AI427" s="579"/>
      <c r="AJ427" s="579"/>
      <c r="AK427" s="579"/>
      <c r="AL427" s="579"/>
      <c r="AM427" s="579"/>
      <c r="AN427" s="579"/>
      <c r="AO427" s="579"/>
      <c r="AP427" s="579"/>
      <c r="AQ427" s="579"/>
      <c r="AR427" s="579"/>
      <c r="AS427" s="579"/>
      <c r="AT427" s="579"/>
      <c r="AU427" s="579"/>
      <c r="AV427" s="579"/>
      <c r="AW427" s="579"/>
      <c r="AX427" s="579"/>
      <c r="AY427" s="579"/>
      <c r="AZ427" s="579"/>
      <c r="BA427" s="579"/>
      <c r="BB427" s="579"/>
      <c r="BC427" s="579"/>
      <c r="BD427" s="579"/>
      <c r="BE427" s="579"/>
      <c r="BF427" s="579"/>
      <c r="BG427" s="579"/>
      <c r="BH427" s="579"/>
      <c r="BI427" s="579"/>
      <c r="BJ427" s="579"/>
      <c r="BK427" s="579"/>
    </row>
    <row r="428" spans="1:63" s="240" customFormat="1">
      <c r="A428" s="209"/>
      <c r="B428" s="209"/>
      <c r="C428" s="270" t="s">
        <v>1741</v>
      </c>
      <c r="D428" s="209"/>
      <c r="E428" s="251"/>
      <c r="F428" s="251"/>
      <c r="G428" s="251"/>
      <c r="H428" s="251"/>
      <c r="I428" s="251"/>
      <c r="J428" s="251"/>
      <c r="K428" s="251"/>
      <c r="L428" s="251"/>
      <c r="M428" s="251"/>
      <c r="N428" s="251"/>
      <c r="O428" s="251"/>
      <c r="P428" s="251"/>
      <c r="Q428" s="251"/>
      <c r="R428" s="251"/>
      <c r="S428" s="251"/>
      <c r="T428" s="251"/>
      <c r="U428" s="251"/>
      <c r="AF428" s="579"/>
      <c r="AG428" s="579"/>
      <c r="AH428" s="579"/>
      <c r="AI428" s="579"/>
      <c r="AJ428" s="579"/>
      <c r="AK428" s="579"/>
      <c r="AL428" s="579"/>
      <c r="AM428" s="579"/>
      <c r="AN428" s="579"/>
      <c r="AO428" s="579"/>
      <c r="AP428" s="579"/>
      <c r="AQ428" s="579"/>
      <c r="AR428" s="579"/>
      <c r="AS428" s="579"/>
      <c r="AT428" s="579"/>
      <c r="AU428" s="579"/>
      <c r="AV428" s="579"/>
      <c r="AW428" s="579"/>
      <c r="AX428" s="579"/>
      <c r="AY428" s="579"/>
      <c r="AZ428" s="579"/>
      <c r="BA428" s="579"/>
      <c r="BB428" s="579"/>
      <c r="BC428" s="579"/>
      <c r="BD428" s="579"/>
      <c r="BE428" s="579"/>
      <c r="BF428" s="579"/>
      <c r="BG428" s="579"/>
      <c r="BH428" s="579"/>
      <c r="BI428" s="579"/>
      <c r="BJ428" s="579"/>
      <c r="BK428" s="579"/>
    </row>
    <row r="429" spans="1:63" s="240" customFormat="1">
      <c r="A429" s="209"/>
      <c r="B429" s="209"/>
      <c r="C429" s="270" t="s">
        <v>1733</v>
      </c>
      <c r="D429" s="209"/>
      <c r="E429" s="251"/>
      <c r="F429" s="251"/>
      <c r="G429" s="251"/>
      <c r="H429" s="251"/>
      <c r="I429" s="251"/>
      <c r="J429" s="251"/>
      <c r="K429" s="251"/>
      <c r="L429" s="251"/>
      <c r="M429" s="251"/>
      <c r="N429" s="251"/>
      <c r="O429" s="251"/>
      <c r="P429" s="251"/>
      <c r="Q429" s="251"/>
      <c r="R429" s="251"/>
      <c r="S429" s="251"/>
      <c r="T429" s="251"/>
      <c r="U429" s="251"/>
      <c r="AF429" s="579"/>
      <c r="AG429" s="579"/>
      <c r="AH429" s="579"/>
      <c r="AI429" s="579"/>
      <c r="AJ429" s="579"/>
      <c r="AK429" s="579"/>
      <c r="AL429" s="579"/>
      <c r="AM429" s="579"/>
      <c r="AN429" s="579"/>
      <c r="AO429" s="579"/>
      <c r="AP429" s="579"/>
      <c r="AQ429" s="579"/>
      <c r="AR429" s="579"/>
      <c r="AS429" s="579"/>
      <c r="AT429" s="579"/>
      <c r="AU429" s="579"/>
      <c r="AV429" s="579"/>
      <c r="AW429" s="579"/>
      <c r="AX429" s="579"/>
      <c r="AY429" s="579"/>
      <c r="AZ429" s="579"/>
      <c r="BA429" s="579"/>
      <c r="BB429" s="579"/>
      <c r="BC429" s="579"/>
      <c r="BD429" s="579"/>
      <c r="BE429" s="579"/>
      <c r="BF429" s="579"/>
      <c r="BG429" s="579"/>
      <c r="BH429" s="579"/>
      <c r="BI429" s="579"/>
      <c r="BJ429" s="579"/>
      <c r="BK429" s="579"/>
    </row>
    <row r="430" spans="1:63" s="291" customFormat="1">
      <c r="A430" s="289"/>
      <c r="B430" s="289"/>
      <c r="C430" s="289" t="s">
        <v>560</v>
      </c>
      <c r="D430" s="289"/>
      <c r="E430" s="290">
        <f>E12</f>
        <v>2900</v>
      </c>
      <c r="F430" s="290"/>
      <c r="G430" s="290"/>
      <c r="H430" s="290"/>
      <c r="I430" s="290"/>
      <c r="J430" s="290"/>
      <c r="K430" s="290"/>
      <c r="L430" s="290"/>
      <c r="M430" s="290"/>
      <c r="N430" s="290"/>
      <c r="O430" s="290"/>
      <c r="P430" s="290"/>
      <c r="Q430" s="290"/>
      <c r="R430" s="290"/>
      <c r="S430" s="290"/>
      <c r="T430" s="290"/>
      <c r="U430" s="290"/>
      <c r="AF430" s="587"/>
      <c r="AG430" s="587"/>
      <c r="AH430" s="587"/>
      <c r="AI430" s="587"/>
      <c r="AJ430" s="587"/>
      <c r="AK430" s="587"/>
      <c r="AL430" s="587"/>
      <c r="AM430" s="587"/>
      <c r="AN430" s="587"/>
      <c r="AO430" s="587"/>
      <c r="AP430" s="587"/>
      <c r="AQ430" s="587"/>
      <c r="AR430" s="587"/>
      <c r="AS430" s="587"/>
      <c r="AT430" s="587"/>
      <c r="AU430" s="587"/>
      <c r="AV430" s="587"/>
      <c r="AW430" s="587"/>
      <c r="AX430" s="587"/>
      <c r="AY430" s="587"/>
      <c r="AZ430" s="587"/>
      <c r="BA430" s="587"/>
      <c r="BB430" s="587"/>
      <c r="BC430" s="587"/>
      <c r="BD430" s="587"/>
      <c r="BE430" s="587"/>
      <c r="BF430" s="587"/>
      <c r="BG430" s="587"/>
      <c r="BH430" s="587"/>
      <c r="BI430" s="587"/>
      <c r="BJ430" s="587"/>
      <c r="BK430" s="587"/>
    </row>
    <row r="431" spans="1:63" s="291" customFormat="1">
      <c r="A431" s="289"/>
      <c r="B431" s="289"/>
      <c r="C431" s="289" t="s">
        <v>401</v>
      </c>
      <c r="D431" s="289"/>
      <c r="E431" s="290" t="e">
        <f ca="1">E11</f>
        <v>#NAME?</v>
      </c>
      <c r="F431" s="290"/>
      <c r="G431" s="290"/>
      <c r="H431" s="290"/>
      <c r="I431" s="290"/>
      <c r="J431" s="290"/>
      <c r="K431" s="290"/>
      <c r="L431" s="290"/>
      <c r="M431" s="290"/>
      <c r="N431" s="290"/>
      <c r="O431" s="290"/>
      <c r="P431" s="290"/>
      <c r="Q431" s="290"/>
      <c r="R431" s="290"/>
      <c r="S431" s="290"/>
      <c r="T431" s="290"/>
      <c r="U431" s="290"/>
      <c r="AF431" s="587"/>
      <c r="AG431" s="587"/>
      <c r="AH431" s="587"/>
      <c r="AI431" s="587"/>
      <c r="AJ431" s="587"/>
      <c r="AK431" s="587"/>
      <c r="AL431" s="587"/>
      <c r="AM431" s="587"/>
      <c r="AN431" s="587"/>
      <c r="AO431" s="587"/>
      <c r="AP431" s="587"/>
      <c r="AQ431" s="587"/>
      <c r="AR431" s="587"/>
      <c r="AS431" s="587"/>
      <c r="AT431" s="587"/>
      <c r="AU431" s="587"/>
      <c r="AV431" s="587"/>
      <c r="AW431" s="587"/>
      <c r="AX431" s="587"/>
      <c r="AY431" s="587"/>
      <c r="AZ431" s="587"/>
      <c r="BA431" s="587"/>
      <c r="BB431" s="587"/>
      <c r="BC431" s="587"/>
      <c r="BD431" s="587"/>
      <c r="BE431" s="587"/>
      <c r="BF431" s="587"/>
      <c r="BG431" s="587"/>
      <c r="BH431" s="587"/>
      <c r="BI431" s="587"/>
      <c r="BJ431" s="587"/>
      <c r="BK431" s="587"/>
    </row>
    <row r="432" spans="1:63" s="245" customFormat="1">
      <c r="A432" s="243"/>
      <c r="B432" s="243"/>
      <c r="C432" s="243" t="s">
        <v>1742</v>
      </c>
      <c r="D432" s="243"/>
      <c r="E432" s="286" t="e">
        <f ca="1">E430/E431-1</f>
        <v>#NAME?</v>
      </c>
      <c r="F432" s="286"/>
      <c r="G432" s="286"/>
      <c r="H432" s="286"/>
      <c r="I432" s="286"/>
      <c r="J432" s="286"/>
      <c r="K432" s="286"/>
      <c r="L432" s="286"/>
      <c r="M432" s="286"/>
      <c r="N432" s="286"/>
      <c r="O432" s="286"/>
      <c r="P432" s="286"/>
      <c r="Q432" s="286"/>
      <c r="R432" s="286"/>
      <c r="S432" s="286"/>
      <c r="T432" s="286"/>
      <c r="U432" s="286"/>
      <c r="AF432" s="580"/>
      <c r="AG432" s="580"/>
      <c r="AH432" s="580"/>
      <c r="AI432" s="580"/>
      <c r="AJ432" s="580"/>
      <c r="AK432" s="580"/>
      <c r="AL432" s="580"/>
      <c r="AM432" s="580"/>
      <c r="AN432" s="580"/>
      <c r="AO432" s="580"/>
      <c r="AP432" s="580"/>
      <c r="AQ432" s="580"/>
      <c r="AR432" s="580"/>
      <c r="AS432" s="580"/>
      <c r="AT432" s="580"/>
      <c r="AU432" s="580"/>
      <c r="AV432" s="580"/>
      <c r="AW432" s="580"/>
      <c r="AX432" s="580"/>
      <c r="AY432" s="580"/>
      <c r="AZ432" s="580"/>
      <c r="BA432" s="580"/>
      <c r="BB432" s="580"/>
      <c r="BC432" s="580"/>
      <c r="BD432" s="580"/>
      <c r="BE432" s="580"/>
      <c r="BF432" s="580"/>
      <c r="BG432" s="580"/>
      <c r="BH432" s="580"/>
      <c r="BI432" s="580"/>
      <c r="BJ432" s="580"/>
      <c r="BK432" s="580"/>
    </row>
    <row r="433" spans="1:63" s="240" customFormat="1">
      <c r="A433" s="209"/>
      <c r="B433" s="209"/>
      <c r="C433" s="209"/>
      <c r="D433" s="209"/>
      <c r="AF433" s="579"/>
      <c r="AG433" s="579"/>
      <c r="AH433" s="579"/>
      <c r="AI433" s="579"/>
      <c r="AJ433" s="579"/>
      <c r="AK433" s="579"/>
      <c r="AL433" s="579"/>
      <c r="AM433" s="579"/>
      <c r="AN433" s="579"/>
      <c r="AO433" s="579"/>
      <c r="AP433" s="579"/>
      <c r="AQ433" s="579"/>
      <c r="AR433" s="579"/>
      <c r="AS433" s="579"/>
      <c r="AT433" s="579"/>
      <c r="AU433" s="579"/>
      <c r="AV433" s="579"/>
      <c r="AW433" s="579"/>
      <c r="AX433" s="579"/>
      <c r="AY433" s="579"/>
      <c r="AZ433" s="579"/>
      <c r="BA433" s="579"/>
      <c r="BB433" s="579"/>
      <c r="BC433" s="579"/>
      <c r="BD433" s="579"/>
      <c r="BE433" s="579"/>
      <c r="BF433" s="579"/>
      <c r="BG433" s="579"/>
      <c r="BH433" s="579"/>
      <c r="BI433" s="579"/>
      <c r="BJ433" s="579"/>
      <c r="BK433" s="579"/>
    </row>
    <row r="434" spans="1:63" s="240" customFormat="1">
      <c r="A434" s="209"/>
      <c r="B434" s="209"/>
      <c r="C434" s="209"/>
      <c r="D434" s="209"/>
      <c r="AF434" s="579"/>
      <c r="AG434" s="579"/>
      <c r="AH434" s="579"/>
      <c r="AI434" s="579"/>
      <c r="AJ434" s="579"/>
      <c r="AK434" s="579"/>
      <c r="AL434" s="579"/>
      <c r="AM434" s="579"/>
      <c r="AN434" s="579"/>
      <c r="AO434" s="579"/>
      <c r="AP434" s="579"/>
      <c r="AQ434" s="579"/>
      <c r="AR434" s="579"/>
      <c r="AS434" s="579"/>
      <c r="AT434" s="579"/>
      <c r="AU434" s="579"/>
      <c r="AV434" s="579"/>
      <c r="AW434" s="579"/>
      <c r="AX434" s="579"/>
      <c r="AY434" s="579"/>
      <c r="AZ434" s="579"/>
      <c r="BA434" s="579"/>
      <c r="BB434" s="579"/>
      <c r="BC434" s="579"/>
      <c r="BD434" s="579"/>
      <c r="BE434" s="579"/>
      <c r="BF434" s="579"/>
      <c r="BG434" s="579"/>
      <c r="BH434" s="579"/>
      <c r="BI434" s="579"/>
      <c r="BJ434" s="579"/>
      <c r="BK434" s="579"/>
    </row>
    <row r="435" spans="1:63" s="248" customFormat="1">
      <c r="A435" s="247"/>
      <c r="B435" s="220"/>
      <c r="C435" s="220"/>
      <c r="D435" s="220"/>
      <c r="E435" s="292"/>
      <c r="AF435" s="581"/>
      <c r="AG435" s="581"/>
      <c r="AH435" s="581"/>
      <c r="AI435" s="581"/>
      <c r="AJ435" s="581"/>
      <c r="AK435" s="581"/>
      <c r="AL435" s="581"/>
      <c r="AM435" s="581"/>
      <c r="AN435" s="581"/>
      <c r="AO435" s="581"/>
      <c r="AP435" s="581"/>
      <c r="AQ435" s="581"/>
      <c r="AR435" s="581"/>
      <c r="AS435" s="581"/>
      <c r="AT435" s="581"/>
      <c r="AU435" s="581"/>
      <c r="AV435" s="581"/>
      <c r="AW435" s="581"/>
      <c r="AX435" s="581"/>
      <c r="AY435" s="581"/>
      <c r="AZ435" s="581"/>
      <c r="BA435" s="581"/>
      <c r="BB435" s="581"/>
      <c r="BC435" s="581"/>
      <c r="BD435" s="581"/>
      <c r="BE435" s="581"/>
      <c r="BF435" s="581"/>
      <c r="BG435" s="581"/>
      <c r="BH435" s="581"/>
      <c r="BI435" s="581"/>
      <c r="BJ435" s="581"/>
      <c r="BK435" s="581"/>
    </row>
    <row r="436" spans="1:63" s="248" customFormat="1">
      <c r="A436" s="247"/>
      <c r="B436" s="220"/>
      <c r="C436" s="220"/>
      <c r="D436" s="220"/>
      <c r="E436" s="292"/>
      <c r="AF436" s="581"/>
      <c r="AG436" s="581"/>
      <c r="AH436" s="581"/>
      <c r="AI436" s="581"/>
      <c r="AJ436" s="581"/>
      <c r="AK436" s="581"/>
      <c r="AL436" s="581"/>
      <c r="AM436" s="581"/>
      <c r="AN436" s="581"/>
      <c r="AO436" s="581"/>
      <c r="AP436" s="581"/>
      <c r="AQ436" s="581"/>
      <c r="AR436" s="581"/>
      <c r="AS436" s="581"/>
      <c r="AT436" s="581"/>
      <c r="AU436" s="581"/>
      <c r="AV436" s="581"/>
      <c r="AW436" s="581"/>
      <c r="AX436" s="581"/>
      <c r="AY436" s="581"/>
      <c r="AZ436" s="581"/>
      <c r="BA436" s="581"/>
      <c r="BB436" s="581"/>
      <c r="BC436" s="581"/>
      <c r="BD436" s="581"/>
      <c r="BE436" s="581"/>
      <c r="BF436" s="581"/>
      <c r="BG436" s="581"/>
      <c r="BH436" s="581"/>
      <c r="BI436" s="581"/>
      <c r="BJ436" s="581"/>
      <c r="BK436" s="581"/>
    </row>
    <row r="437" spans="1:63" s="248" customFormat="1">
      <c r="A437" s="247"/>
      <c r="B437" s="220"/>
      <c r="C437" s="220"/>
      <c r="D437" s="220"/>
      <c r="E437" s="292"/>
      <c r="AF437" s="581"/>
      <c r="AG437" s="581"/>
      <c r="AH437" s="581"/>
      <c r="AI437" s="581"/>
      <c r="AJ437" s="581"/>
      <c r="AK437" s="581"/>
      <c r="AL437" s="581"/>
      <c r="AM437" s="581"/>
      <c r="AN437" s="581"/>
      <c r="AO437" s="581"/>
      <c r="AP437" s="581"/>
      <c r="AQ437" s="581"/>
      <c r="AR437" s="581"/>
      <c r="AS437" s="581"/>
      <c r="AT437" s="581"/>
      <c r="AU437" s="581"/>
      <c r="AV437" s="581"/>
      <c r="AW437" s="581"/>
      <c r="AX437" s="581"/>
      <c r="AY437" s="581"/>
      <c r="AZ437" s="581"/>
      <c r="BA437" s="581"/>
      <c r="BB437" s="581"/>
      <c r="BC437" s="581"/>
      <c r="BD437" s="581"/>
      <c r="BE437" s="581"/>
      <c r="BF437" s="581"/>
      <c r="BG437" s="581"/>
      <c r="BH437" s="581"/>
      <c r="BI437" s="581"/>
      <c r="BJ437" s="581"/>
      <c r="BK437" s="581"/>
    </row>
    <row r="438" spans="1:63" s="247" customFormat="1">
      <c r="B438" s="220"/>
      <c r="C438" s="216" t="s">
        <v>1743</v>
      </c>
      <c r="D438" s="209"/>
      <c r="E438" s="293"/>
      <c r="F438" s="294"/>
      <c r="G438" s="294" t="s">
        <v>477</v>
      </c>
      <c r="H438" s="294" t="s">
        <v>478</v>
      </c>
      <c r="I438" s="294" t="s">
        <v>479</v>
      </c>
      <c r="J438" s="294" t="s">
        <v>480</v>
      </c>
      <c r="K438" s="294" t="s">
        <v>481</v>
      </c>
      <c r="L438" s="294" t="s">
        <v>482</v>
      </c>
      <c r="M438" s="294" t="s">
        <v>483</v>
      </c>
      <c r="N438" s="294" t="s">
        <v>484</v>
      </c>
      <c r="O438" s="294" t="s">
        <v>563</v>
      </c>
      <c r="P438" s="294" t="s">
        <v>588</v>
      </c>
      <c r="Q438" s="294" t="s">
        <v>596</v>
      </c>
      <c r="R438" s="294" t="s">
        <v>1744</v>
      </c>
      <c r="S438" s="294" t="s">
        <v>656</v>
      </c>
      <c r="T438" s="294" t="s">
        <v>599</v>
      </c>
      <c r="U438" s="294" t="s">
        <v>202</v>
      </c>
      <c r="V438" s="294" t="s">
        <v>722</v>
      </c>
      <c r="W438" s="294" t="s">
        <v>722</v>
      </c>
      <c r="X438" s="294" t="s">
        <v>1745</v>
      </c>
      <c r="Y438" s="294" t="s">
        <v>1746</v>
      </c>
      <c r="Z438" s="294" t="s">
        <v>1747</v>
      </c>
      <c r="AA438" s="294" t="s">
        <v>1748</v>
      </c>
      <c r="AB438" s="294" t="s">
        <v>1749</v>
      </c>
      <c r="AC438" s="294" t="s">
        <v>1750</v>
      </c>
      <c r="AD438" s="294" t="s">
        <v>1751</v>
      </c>
      <c r="AE438" s="294" t="s">
        <v>1515</v>
      </c>
      <c r="AF438" s="294" t="s">
        <v>1029</v>
      </c>
      <c r="AG438" s="294" t="s">
        <v>110</v>
      </c>
      <c r="AH438" s="294" t="s">
        <v>1131</v>
      </c>
      <c r="AI438" s="294" t="s">
        <v>1305</v>
      </c>
      <c r="AJ438" s="294" t="s">
        <v>1120</v>
      </c>
      <c r="AK438" s="294" t="s">
        <v>1724</v>
      </c>
      <c r="AL438" s="294" t="s">
        <v>1503</v>
      </c>
      <c r="AM438" s="294" t="s">
        <v>1643</v>
      </c>
      <c r="AN438" s="294" t="s">
        <v>2372</v>
      </c>
      <c r="AO438" s="571"/>
      <c r="AP438" s="571"/>
      <c r="AQ438" s="571"/>
      <c r="AR438" s="571"/>
      <c r="AS438" s="571"/>
      <c r="AT438" s="571"/>
      <c r="AU438" s="571"/>
      <c r="AV438" s="571"/>
      <c r="AW438" s="571"/>
      <c r="AX438" s="571"/>
      <c r="AY438" s="571"/>
      <c r="AZ438" s="571"/>
      <c r="BA438" s="571"/>
      <c r="BB438" s="571"/>
      <c r="BC438" s="571"/>
      <c r="BD438" s="571"/>
      <c r="BE438" s="571"/>
      <c r="BF438" s="571"/>
      <c r="BG438" s="571"/>
      <c r="BH438" s="571"/>
      <c r="BI438" s="571"/>
      <c r="BJ438" s="571"/>
      <c r="BK438" s="571"/>
    </row>
    <row r="439" spans="1:63" s="247" customFormat="1">
      <c r="B439" s="220"/>
      <c r="C439" s="216"/>
      <c r="D439" s="209"/>
      <c r="E439" s="293"/>
      <c r="F439" s="294"/>
      <c r="G439" s="294">
        <v>38869</v>
      </c>
      <c r="H439" s="294">
        <v>38961</v>
      </c>
      <c r="I439" s="294">
        <v>39052</v>
      </c>
      <c r="J439" s="294">
        <v>39172</v>
      </c>
      <c r="K439" s="294">
        <v>39234</v>
      </c>
      <c r="L439" s="294">
        <v>39326</v>
      </c>
      <c r="M439" s="294">
        <v>39417</v>
      </c>
      <c r="N439" s="294">
        <v>39538</v>
      </c>
      <c r="O439" s="294">
        <v>39600</v>
      </c>
      <c r="P439" s="294">
        <v>39692</v>
      </c>
      <c r="Q439" s="294">
        <v>39783</v>
      </c>
      <c r="R439" s="294">
        <v>39903</v>
      </c>
      <c r="S439" s="294">
        <v>39965</v>
      </c>
      <c r="T439" s="294">
        <v>40057</v>
      </c>
      <c r="U439" s="294">
        <v>40148</v>
      </c>
      <c r="V439" s="294">
        <v>40268</v>
      </c>
      <c r="W439" s="294">
        <v>40268</v>
      </c>
      <c r="X439" s="294">
        <v>40422</v>
      </c>
      <c r="Y439" s="294">
        <v>40513</v>
      </c>
      <c r="Z439" s="294">
        <v>40633</v>
      </c>
      <c r="AA439" s="294">
        <v>40695</v>
      </c>
      <c r="AB439" s="294">
        <v>40787</v>
      </c>
      <c r="AC439" s="294">
        <v>40878</v>
      </c>
      <c r="AD439" s="294">
        <v>40999</v>
      </c>
      <c r="AE439" s="294">
        <v>41061</v>
      </c>
      <c r="AF439" s="294">
        <v>41182</v>
      </c>
      <c r="AG439" s="294">
        <v>41274</v>
      </c>
      <c r="AH439" s="294">
        <v>41364</v>
      </c>
      <c r="AI439" s="294">
        <v>41455</v>
      </c>
      <c r="AJ439" s="294">
        <v>41547</v>
      </c>
      <c r="AK439" s="294">
        <v>41639</v>
      </c>
      <c r="AL439" s="294">
        <v>41729</v>
      </c>
      <c r="AM439" s="294">
        <v>41820</v>
      </c>
      <c r="AN439" s="294">
        <v>41883</v>
      </c>
      <c r="AO439" s="571"/>
      <c r="AP439" s="571"/>
      <c r="AQ439" s="571"/>
      <c r="AR439" s="571"/>
      <c r="AS439" s="571"/>
      <c r="AT439" s="571"/>
      <c r="AU439" s="571"/>
      <c r="AV439" s="571"/>
      <c r="AW439" s="571"/>
      <c r="AX439" s="571"/>
      <c r="AY439" s="571"/>
      <c r="AZ439" s="571"/>
      <c r="BA439" s="571"/>
      <c r="BB439" s="571"/>
      <c r="BC439" s="571"/>
      <c r="BD439" s="571"/>
      <c r="BE439" s="571"/>
      <c r="BF439" s="571"/>
      <c r="BG439" s="571"/>
      <c r="BH439" s="571"/>
      <c r="BI439" s="571"/>
      <c r="BJ439" s="571"/>
      <c r="BK439" s="571"/>
    </row>
    <row r="440" spans="1:63" s="247" customFormat="1">
      <c r="B440" s="220"/>
      <c r="C440" s="216" t="s">
        <v>775</v>
      </c>
      <c r="D440" s="209"/>
      <c r="E440" s="295"/>
      <c r="F440" s="295"/>
      <c r="G440" s="295" t="str">
        <f t="shared" ref="G440:AE440" si="749">IF(G439&lt;=$E$16,"Actual","Estimate")</f>
        <v>Actual</v>
      </c>
      <c r="H440" s="295" t="str">
        <f t="shared" si="749"/>
        <v>Actual</v>
      </c>
      <c r="I440" s="295" t="str">
        <f t="shared" si="749"/>
        <v>Actual</v>
      </c>
      <c r="J440" s="295" t="str">
        <f t="shared" si="749"/>
        <v>Actual</v>
      </c>
      <c r="K440" s="295" t="str">
        <f t="shared" si="749"/>
        <v>Actual</v>
      </c>
      <c r="L440" s="295" t="str">
        <f t="shared" si="749"/>
        <v>Actual</v>
      </c>
      <c r="M440" s="295" t="str">
        <f t="shared" si="749"/>
        <v>Actual</v>
      </c>
      <c r="N440" s="295" t="str">
        <f t="shared" si="749"/>
        <v>Actual</v>
      </c>
      <c r="O440" s="295" t="str">
        <f t="shared" si="749"/>
        <v>Actual</v>
      </c>
      <c r="P440" s="295" t="str">
        <f t="shared" si="749"/>
        <v>Actual</v>
      </c>
      <c r="Q440" s="295" t="str">
        <f t="shared" si="749"/>
        <v>Actual</v>
      </c>
      <c r="R440" s="295" t="str">
        <f t="shared" si="749"/>
        <v>Actual</v>
      </c>
      <c r="S440" s="295" t="str">
        <f t="shared" si="749"/>
        <v>Actual</v>
      </c>
      <c r="T440" s="295" t="str">
        <f t="shared" si="749"/>
        <v>Actual</v>
      </c>
      <c r="U440" s="295" t="str">
        <f t="shared" si="749"/>
        <v>Actual</v>
      </c>
      <c r="V440" s="295" t="str">
        <f t="shared" si="749"/>
        <v>Actual</v>
      </c>
      <c r="W440" s="295" t="str">
        <f t="shared" si="749"/>
        <v>Actual</v>
      </c>
      <c r="X440" s="295" t="str">
        <f t="shared" si="749"/>
        <v>Actual</v>
      </c>
      <c r="Y440" s="295" t="str">
        <f t="shared" si="749"/>
        <v>Actual</v>
      </c>
      <c r="Z440" s="295" t="str">
        <f t="shared" si="749"/>
        <v>Actual</v>
      </c>
      <c r="AA440" s="295" t="str">
        <f t="shared" si="749"/>
        <v>Actual</v>
      </c>
      <c r="AB440" s="295" t="str">
        <f t="shared" si="749"/>
        <v>Actual</v>
      </c>
      <c r="AC440" s="295" t="str">
        <f t="shared" si="749"/>
        <v>Actual</v>
      </c>
      <c r="AD440" s="295" t="str">
        <f t="shared" si="749"/>
        <v>Actual</v>
      </c>
      <c r="AE440" s="295" t="str">
        <f t="shared" si="749"/>
        <v>Actual</v>
      </c>
      <c r="AF440" s="295" t="str">
        <f t="shared" ref="AF440:AM440" si="750">IF(AF439&lt;=$E$16,"Actual","Estimate")</f>
        <v>Actual</v>
      </c>
      <c r="AG440" s="295" t="str">
        <f t="shared" si="750"/>
        <v>Actual</v>
      </c>
      <c r="AH440" s="295" t="str">
        <f t="shared" si="750"/>
        <v>Actual</v>
      </c>
      <c r="AI440" s="295" t="str">
        <f t="shared" si="750"/>
        <v>Actual</v>
      </c>
      <c r="AJ440" s="295" t="str">
        <f t="shared" si="750"/>
        <v>Actual</v>
      </c>
      <c r="AK440" s="295" t="str">
        <f t="shared" si="750"/>
        <v>Actual</v>
      </c>
      <c r="AL440" s="295" t="str">
        <f t="shared" si="750"/>
        <v>Actual</v>
      </c>
      <c r="AM440" s="295" t="str">
        <f t="shared" si="750"/>
        <v>Actual</v>
      </c>
      <c r="AN440" s="295" t="str">
        <f>IF(AN439&lt;=$E$16,"Actual","Estimate")</f>
        <v>Actual</v>
      </c>
      <c r="AO440" s="571"/>
      <c r="AP440" s="571"/>
      <c r="AQ440" s="571"/>
      <c r="AR440" s="571"/>
      <c r="AS440" s="571"/>
      <c r="AT440" s="571"/>
      <c r="AU440" s="571"/>
      <c r="AV440" s="571"/>
      <c r="AW440" s="571"/>
      <c r="AX440" s="571"/>
      <c r="AY440" s="571"/>
      <c r="AZ440" s="571"/>
      <c r="BA440" s="571"/>
      <c r="BB440" s="571"/>
      <c r="BC440" s="571"/>
      <c r="BD440" s="571"/>
      <c r="BE440" s="571"/>
      <c r="BF440" s="571"/>
      <c r="BG440" s="571"/>
      <c r="BH440" s="571"/>
      <c r="BI440" s="571"/>
      <c r="BJ440" s="571"/>
      <c r="BK440" s="571"/>
    </row>
    <row r="441" spans="1:63" s="247" customFormat="1">
      <c r="B441" s="220"/>
      <c r="C441" s="274"/>
      <c r="AF441" s="571"/>
      <c r="AG441" s="571"/>
      <c r="AH441" s="571"/>
      <c r="AI441" s="571"/>
      <c r="AJ441" s="571"/>
      <c r="AK441" s="571"/>
      <c r="AL441" s="571"/>
      <c r="AM441" s="571"/>
      <c r="AN441" s="571"/>
      <c r="AO441" s="571"/>
      <c r="AP441" s="571"/>
      <c r="AQ441" s="571"/>
      <c r="AR441" s="571"/>
      <c r="AS441" s="571"/>
      <c r="AT441" s="571"/>
      <c r="AU441" s="571"/>
      <c r="AV441" s="571"/>
      <c r="AW441" s="571"/>
      <c r="AX441" s="571"/>
      <c r="AY441" s="571"/>
      <c r="AZ441" s="571"/>
      <c r="BA441" s="571"/>
      <c r="BB441" s="571"/>
      <c r="BC441" s="571"/>
      <c r="BD441" s="571"/>
      <c r="BE441" s="571"/>
      <c r="BF441" s="571"/>
      <c r="BG441" s="571"/>
      <c r="BH441" s="571"/>
      <c r="BI441" s="571"/>
      <c r="BJ441" s="571"/>
      <c r="BK441" s="571"/>
    </row>
    <row r="442" spans="1:63" s="248" customFormat="1">
      <c r="A442" s="247"/>
      <c r="B442" s="220"/>
      <c r="C442" s="216" t="s">
        <v>1752</v>
      </c>
      <c r="D442" s="247"/>
      <c r="AF442" s="581"/>
      <c r="AG442" s="581"/>
      <c r="AH442" s="581"/>
      <c r="AI442" s="581"/>
      <c r="AJ442" s="581"/>
      <c r="AK442" s="581"/>
      <c r="AL442" s="581"/>
      <c r="AM442" s="581"/>
      <c r="AN442" s="581"/>
      <c r="AO442" s="581"/>
      <c r="AP442" s="581"/>
      <c r="AQ442" s="581"/>
      <c r="AR442" s="581"/>
      <c r="AS442" s="581"/>
      <c r="AT442" s="581"/>
      <c r="AU442" s="581"/>
      <c r="AV442" s="581"/>
      <c r="AW442" s="581"/>
      <c r="AX442" s="581"/>
      <c r="AY442" s="581"/>
      <c r="AZ442" s="581"/>
      <c r="BA442" s="581"/>
      <c r="BB442" s="581"/>
      <c r="BC442" s="581"/>
      <c r="BD442" s="581"/>
      <c r="BE442" s="581"/>
      <c r="BF442" s="581"/>
      <c r="BG442" s="581"/>
      <c r="BH442" s="581"/>
      <c r="BI442" s="581"/>
      <c r="BJ442" s="581"/>
      <c r="BK442" s="581"/>
    </row>
    <row r="443" spans="1:63" s="248" customFormat="1">
      <c r="A443" s="247"/>
      <c r="B443" s="220"/>
      <c r="C443" s="216" t="s">
        <v>1753</v>
      </c>
      <c r="D443" s="247"/>
      <c r="AF443" s="581"/>
      <c r="AG443" s="581"/>
      <c r="AH443" s="581"/>
      <c r="AI443" s="581"/>
      <c r="AJ443" s="581"/>
      <c r="AK443" s="581"/>
      <c r="AL443" s="581"/>
      <c r="AM443" s="581"/>
      <c r="AN443" s="581"/>
      <c r="AO443" s="581"/>
      <c r="AP443" s="581"/>
      <c r="AQ443" s="581"/>
      <c r="AR443" s="581"/>
      <c r="AS443" s="581"/>
      <c r="AT443" s="581"/>
      <c r="AU443" s="581"/>
      <c r="AV443" s="581"/>
      <c r="AW443" s="581"/>
      <c r="AX443" s="581"/>
      <c r="AY443" s="581"/>
      <c r="AZ443" s="581"/>
      <c r="BA443" s="581"/>
      <c r="BB443" s="581"/>
      <c r="BC443" s="581"/>
      <c r="BD443" s="581"/>
      <c r="BE443" s="581"/>
      <c r="BF443" s="581"/>
      <c r="BG443" s="581"/>
      <c r="BH443" s="581"/>
      <c r="BI443" s="581"/>
      <c r="BJ443" s="581"/>
      <c r="BK443" s="581"/>
    </row>
    <row r="444" spans="1:63" s="248" customFormat="1">
      <c r="A444" s="247"/>
      <c r="B444" s="247" t="s">
        <v>1754</v>
      </c>
      <c r="C444" s="241" t="s">
        <v>764</v>
      </c>
      <c r="D444" s="247"/>
      <c r="F444" s="249"/>
      <c r="G444" s="249"/>
      <c r="H444" s="249"/>
      <c r="I444" s="249"/>
      <c r="J444" s="249"/>
      <c r="K444" s="249">
        <f>+Quarterly!G14</f>
        <v>21086.5</v>
      </c>
      <c r="L444" s="249">
        <f>+Quarterly!H14</f>
        <v>23618.2</v>
      </c>
      <c r="M444" s="249">
        <f>+Quarterly!I14</f>
        <v>25012.5</v>
      </c>
      <c r="N444" s="249">
        <f>+Quarterly!J14</f>
        <v>20744.5</v>
      </c>
      <c r="O444" s="249">
        <f>+Quarterly!K14</f>
        <v>23107.7</v>
      </c>
      <c r="P444" s="249">
        <f>+Quarterly!L14</f>
        <v>25484.3</v>
      </c>
      <c r="Q444" s="249">
        <f>+Quarterly!M14</f>
        <v>21031</v>
      </c>
      <c r="R444" s="249">
        <f>+Quarterly!N14</f>
        <v>18834.100000000002</v>
      </c>
      <c r="S444" s="249">
        <f>+Quarterly!O14</f>
        <v>23384.699999999997</v>
      </c>
      <c r="T444" s="249">
        <f>+Quarterly!P14</f>
        <v>28875.1</v>
      </c>
      <c r="U444" s="249">
        <f>+Quarterly!Q14</f>
        <v>32955.5</v>
      </c>
      <c r="V444" s="249">
        <f>+Quarterly!R14</f>
        <v>33994.5</v>
      </c>
      <c r="W444" s="249">
        <f>+Quarterly!S14</f>
        <v>38900.6</v>
      </c>
      <c r="X444" s="249">
        <f>+Quarterly!T14</f>
        <v>43418.2</v>
      </c>
      <c r="Y444" s="249">
        <f>+Quarterly!U14</f>
        <v>41770.800000000003</v>
      </c>
      <c r="Z444" s="249">
        <f>+Quarterly!V14</f>
        <v>41447.9</v>
      </c>
      <c r="AA444" s="249">
        <f>+Quarterly!W14</f>
        <v>47062.9</v>
      </c>
      <c r="AB444" s="249">
        <f>+Quarterly!X14</f>
        <v>52672.6</v>
      </c>
      <c r="AC444" s="249">
        <f>+Quarterly!Y14</f>
        <v>49858.9</v>
      </c>
      <c r="AD444" s="249">
        <f>+Quarterly!Z14</f>
        <v>46514.400000000001</v>
      </c>
      <c r="AE444" s="249">
        <f>+Quarterly!AA14</f>
        <v>48656.6</v>
      </c>
      <c r="AF444" s="249">
        <f>+Quarterly!AB14</f>
        <v>49724</v>
      </c>
      <c r="AG444" s="249">
        <f>+Quarterly!AC14</f>
        <v>54127.1</v>
      </c>
      <c r="AH444" s="249">
        <f>+Quarterly!AD14</f>
        <v>47464.800000000003</v>
      </c>
      <c r="AI444" s="249">
        <f>+Quarterly!AE14</f>
        <v>49110.9</v>
      </c>
      <c r="AJ444" s="249">
        <f>+Quarterly!AF14</f>
        <v>51748.9</v>
      </c>
      <c r="AK444" s="249">
        <f>+Quarterly!AG14</f>
        <v>51312.4</v>
      </c>
      <c r="AL444" s="249">
        <f>+Quarterly!AH14</f>
        <v>49322.9</v>
      </c>
      <c r="AM444" s="249">
        <f>+Quarterly!AI14</f>
        <v>52524.1</v>
      </c>
      <c r="AN444" s="249">
        <f>+Quarterly!AL14</f>
        <v>47393.4</v>
      </c>
      <c r="AO444" s="581"/>
      <c r="AP444" s="581"/>
      <c r="AQ444" s="581"/>
      <c r="AR444" s="581"/>
      <c r="AS444" s="581"/>
      <c r="AT444" s="581"/>
      <c r="AU444" s="581"/>
      <c r="AV444" s="581"/>
      <c r="AW444" s="581"/>
      <c r="AX444" s="581"/>
      <c r="AY444" s="581"/>
      <c r="AZ444" s="581"/>
      <c r="BA444" s="581"/>
      <c r="BB444" s="581"/>
      <c r="BC444" s="581"/>
      <c r="BD444" s="581"/>
      <c r="BE444" s="581"/>
      <c r="BF444" s="581"/>
      <c r="BG444" s="581"/>
      <c r="BH444" s="581"/>
      <c r="BI444" s="581"/>
      <c r="BJ444" s="581"/>
      <c r="BK444" s="581"/>
    </row>
    <row r="445" spans="1:63" s="248" customFormat="1">
      <c r="A445" s="247"/>
      <c r="B445" s="247" t="s">
        <v>1755</v>
      </c>
      <c r="C445" s="241" t="s">
        <v>1756</v>
      </c>
      <c r="D445" s="247"/>
      <c r="F445" s="249"/>
      <c r="G445" s="249"/>
      <c r="H445" s="249"/>
      <c r="I445" s="249"/>
      <c r="J445" s="249"/>
      <c r="K445" s="249"/>
      <c r="L445" s="249"/>
      <c r="M445" s="249"/>
      <c r="N445" s="249"/>
      <c r="O445" s="249"/>
      <c r="P445" s="249"/>
      <c r="Q445" s="249"/>
      <c r="R445" s="249"/>
      <c r="S445" s="249"/>
      <c r="T445" s="249"/>
      <c r="U445" s="249"/>
      <c r="V445" s="249"/>
      <c r="W445" s="249"/>
      <c r="X445" s="249"/>
      <c r="Y445" s="249"/>
      <c r="Z445" s="249"/>
      <c r="AA445" s="249"/>
      <c r="AB445" s="249"/>
      <c r="AC445" s="249"/>
      <c r="AD445" s="249"/>
      <c r="AE445" s="249"/>
      <c r="AF445" s="249"/>
      <c r="AG445" s="249"/>
      <c r="AH445" s="249"/>
      <c r="AI445" s="249"/>
      <c r="AJ445" s="249"/>
      <c r="AK445" s="249"/>
      <c r="AL445" s="249"/>
      <c r="AM445" s="249"/>
      <c r="AN445" s="249"/>
      <c r="AO445" s="581"/>
      <c r="AP445" s="581"/>
      <c r="AQ445" s="581"/>
      <c r="AR445" s="581"/>
      <c r="AS445" s="581"/>
      <c r="AT445" s="581"/>
      <c r="AU445" s="581"/>
      <c r="AV445" s="581"/>
      <c r="AW445" s="581"/>
      <c r="AX445" s="581"/>
      <c r="AY445" s="581"/>
      <c r="AZ445" s="581"/>
      <c r="BA445" s="581"/>
      <c r="BB445" s="581"/>
      <c r="BC445" s="581"/>
      <c r="BD445" s="581"/>
      <c r="BE445" s="581"/>
      <c r="BF445" s="581"/>
      <c r="BG445" s="581"/>
      <c r="BH445" s="581"/>
      <c r="BI445" s="581"/>
      <c r="BJ445" s="581"/>
      <c r="BK445" s="581"/>
    </row>
    <row r="446" spans="1:63" s="245" customFormat="1">
      <c r="A446" s="243"/>
      <c r="B446" s="243" t="s">
        <v>1757</v>
      </c>
      <c r="C446" s="243" t="s">
        <v>1758</v>
      </c>
      <c r="D446" s="243"/>
      <c r="F446" s="245">
        <f t="shared" ref="F446:AE446" si="751">+SUM(F444:F445)</f>
        <v>0</v>
      </c>
      <c r="G446" s="245">
        <f t="shared" si="751"/>
        <v>0</v>
      </c>
      <c r="H446" s="245">
        <f t="shared" si="751"/>
        <v>0</v>
      </c>
      <c r="I446" s="245">
        <f t="shared" si="751"/>
        <v>0</v>
      </c>
      <c r="J446" s="245">
        <f t="shared" si="751"/>
        <v>0</v>
      </c>
      <c r="K446" s="245">
        <f t="shared" si="751"/>
        <v>21086.5</v>
      </c>
      <c r="L446" s="245">
        <f t="shared" si="751"/>
        <v>23618.2</v>
      </c>
      <c r="M446" s="245">
        <f t="shared" si="751"/>
        <v>25012.5</v>
      </c>
      <c r="N446" s="245">
        <f t="shared" si="751"/>
        <v>20744.5</v>
      </c>
      <c r="O446" s="245">
        <f t="shared" si="751"/>
        <v>23107.7</v>
      </c>
      <c r="P446" s="245">
        <f t="shared" si="751"/>
        <v>25484.3</v>
      </c>
      <c r="Q446" s="245">
        <f t="shared" si="751"/>
        <v>21031</v>
      </c>
      <c r="R446" s="245">
        <f t="shared" si="751"/>
        <v>18834.100000000002</v>
      </c>
      <c r="S446" s="245">
        <f t="shared" si="751"/>
        <v>23384.699999999997</v>
      </c>
      <c r="T446" s="245">
        <f t="shared" si="751"/>
        <v>28875.1</v>
      </c>
      <c r="U446" s="245">
        <f t="shared" si="751"/>
        <v>32955.5</v>
      </c>
      <c r="V446" s="245">
        <f t="shared" si="751"/>
        <v>33994.5</v>
      </c>
      <c r="W446" s="245">
        <f t="shared" si="751"/>
        <v>38900.6</v>
      </c>
      <c r="X446" s="245">
        <f t="shared" si="751"/>
        <v>43418.2</v>
      </c>
      <c r="Y446" s="245">
        <f t="shared" si="751"/>
        <v>41770.800000000003</v>
      </c>
      <c r="Z446" s="245">
        <f t="shared" si="751"/>
        <v>41447.9</v>
      </c>
      <c r="AA446" s="245">
        <f t="shared" si="751"/>
        <v>47062.9</v>
      </c>
      <c r="AB446" s="245">
        <f t="shared" si="751"/>
        <v>52672.6</v>
      </c>
      <c r="AC446" s="245">
        <f t="shared" si="751"/>
        <v>49858.9</v>
      </c>
      <c r="AD446" s="245">
        <f t="shared" si="751"/>
        <v>46514.400000000001</v>
      </c>
      <c r="AE446" s="245">
        <f t="shared" si="751"/>
        <v>48656.6</v>
      </c>
      <c r="AF446" s="245">
        <f t="shared" ref="AF446:AM446" si="752">+SUM(AF444:AF445)</f>
        <v>49724</v>
      </c>
      <c r="AG446" s="245">
        <f t="shared" si="752"/>
        <v>54127.1</v>
      </c>
      <c r="AH446" s="245">
        <f t="shared" si="752"/>
        <v>47464.800000000003</v>
      </c>
      <c r="AI446" s="245">
        <f t="shared" si="752"/>
        <v>49110.9</v>
      </c>
      <c r="AJ446" s="245">
        <f t="shared" si="752"/>
        <v>51748.9</v>
      </c>
      <c r="AK446" s="245">
        <f t="shared" si="752"/>
        <v>51312.4</v>
      </c>
      <c r="AL446" s="245">
        <f t="shared" si="752"/>
        <v>49322.9</v>
      </c>
      <c r="AM446" s="245">
        <f t="shared" si="752"/>
        <v>52524.1</v>
      </c>
      <c r="AN446" s="245">
        <f>+SUM(AN444:AN445)</f>
        <v>47393.4</v>
      </c>
      <c r="AO446" s="580">
        <f t="shared" ref="AO446:BK446" si="753">+SUM(AO444:AO445)</f>
        <v>0</v>
      </c>
      <c r="AP446" s="580">
        <f t="shared" si="753"/>
        <v>0</v>
      </c>
      <c r="AQ446" s="580">
        <f t="shared" si="753"/>
        <v>0</v>
      </c>
      <c r="AR446" s="580">
        <f t="shared" si="753"/>
        <v>0</v>
      </c>
      <c r="AS446" s="580">
        <f t="shared" si="753"/>
        <v>0</v>
      </c>
      <c r="AT446" s="580">
        <f t="shared" si="753"/>
        <v>0</v>
      </c>
      <c r="AU446" s="580">
        <f t="shared" si="753"/>
        <v>0</v>
      </c>
      <c r="AV446" s="580">
        <f t="shared" si="753"/>
        <v>0</v>
      </c>
      <c r="AW446" s="580">
        <f t="shared" si="753"/>
        <v>0</v>
      </c>
      <c r="AX446" s="580">
        <f t="shared" si="753"/>
        <v>0</v>
      </c>
      <c r="AY446" s="580">
        <f t="shared" si="753"/>
        <v>0</v>
      </c>
      <c r="AZ446" s="580">
        <f t="shared" si="753"/>
        <v>0</v>
      </c>
      <c r="BA446" s="580">
        <f t="shared" si="753"/>
        <v>0</v>
      </c>
      <c r="BB446" s="580">
        <f t="shared" si="753"/>
        <v>0</v>
      </c>
      <c r="BC446" s="580">
        <f t="shared" si="753"/>
        <v>0</v>
      </c>
      <c r="BD446" s="580">
        <f t="shared" si="753"/>
        <v>0</v>
      </c>
      <c r="BE446" s="580">
        <f t="shared" si="753"/>
        <v>0</v>
      </c>
      <c r="BF446" s="580">
        <f t="shared" si="753"/>
        <v>0</v>
      </c>
      <c r="BG446" s="580">
        <f t="shared" si="753"/>
        <v>0</v>
      </c>
      <c r="BH446" s="580">
        <f t="shared" si="753"/>
        <v>0</v>
      </c>
      <c r="BI446" s="580">
        <f t="shared" si="753"/>
        <v>0</v>
      </c>
      <c r="BJ446" s="580">
        <f t="shared" si="753"/>
        <v>0</v>
      </c>
      <c r="BK446" s="580">
        <f t="shared" si="753"/>
        <v>0</v>
      </c>
    </row>
    <row r="447" spans="1:63" s="245" customFormat="1">
      <c r="B447" s="243" t="s">
        <v>1759</v>
      </c>
      <c r="C447" s="243" t="s">
        <v>820</v>
      </c>
      <c r="F447" s="245">
        <f t="shared" ref="F447:AD447" si="754">F448+F452+F471+F474</f>
        <v>0</v>
      </c>
      <c r="G447" s="245">
        <f t="shared" si="754"/>
        <v>0</v>
      </c>
      <c r="H447" s="245">
        <f t="shared" si="754"/>
        <v>0</v>
      </c>
      <c r="I447" s="245">
        <f t="shared" si="754"/>
        <v>0</v>
      </c>
      <c r="J447" s="245">
        <f t="shared" si="754"/>
        <v>0</v>
      </c>
      <c r="K447" s="245">
        <f t="shared" si="754"/>
        <v>18337.5</v>
      </c>
      <c r="L447" s="245">
        <f t="shared" si="754"/>
        <v>19837.7</v>
      </c>
      <c r="M447" s="245">
        <f t="shared" si="754"/>
        <v>21342.7</v>
      </c>
      <c r="N447" s="245">
        <f t="shared" si="754"/>
        <v>18128.8</v>
      </c>
      <c r="O447" s="245">
        <f t="shared" si="754"/>
        <v>20439.8</v>
      </c>
      <c r="P447" s="245">
        <f t="shared" si="754"/>
        <v>22046.1</v>
      </c>
      <c r="Q447" s="245">
        <f t="shared" si="754"/>
        <v>17972.600000000002</v>
      </c>
      <c r="R447" s="245">
        <f t="shared" si="754"/>
        <v>15805.7</v>
      </c>
      <c r="S447" s="245">
        <f t="shared" si="754"/>
        <v>18830.5</v>
      </c>
      <c r="T447" s="245">
        <f t="shared" si="754"/>
        <v>22510</v>
      </c>
      <c r="U447" s="245">
        <f t="shared" si="754"/>
        <v>25720.199999999997</v>
      </c>
      <c r="V447" s="245">
        <f t="shared" si="754"/>
        <v>26223.5</v>
      </c>
      <c r="W447" s="245">
        <f t="shared" si="754"/>
        <v>31131.300000000003</v>
      </c>
      <c r="X447" s="245">
        <f t="shared" si="754"/>
        <v>34446.5</v>
      </c>
      <c r="Y447" s="245">
        <f t="shared" si="754"/>
        <v>33277.599999999999</v>
      </c>
      <c r="Z447" s="245">
        <f t="shared" si="754"/>
        <v>33413.800000000003</v>
      </c>
      <c r="AA447" s="245">
        <f t="shared" si="754"/>
        <v>38664.499999999993</v>
      </c>
      <c r="AB447" s="245">
        <f t="shared" si="754"/>
        <v>42098.9</v>
      </c>
      <c r="AC447" s="245">
        <f t="shared" si="754"/>
        <v>40017.600000000006</v>
      </c>
      <c r="AD447" s="245">
        <f t="shared" si="754"/>
        <v>37308.500000000007</v>
      </c>
      <c r="AE447" s="245">
        <f t="shared" ref="AE447:BK447" si="755">AE448+AE452+AE471+AE474</f>
        <v>39939.600000000006</v>
      </c>
      <c r="AF447" s="245">
        <f t="shared" ref="AF447:AL447" si="756">AF448+AF452+AF471+AF474</f>
        <v>40571.9</v>
      </c>
      <c r="AG447" s="245">
        <f t="shared" si="756"/>
        <v>44009.600000000006</v>
      </c>
      <c r="AH447" s="245">
        <f t="shared" si="756"/>
        <v>39098.9</v>
      </c>
      <c r="AI447" s="245">
        <f t="shared" si="756"/>
        <v>39083.799999999996</v>
      </c>
      <c r="AJ447" s="245">
        <f t="shared" si="756"/>
        <v>40035.700000000004</v>
      </c>
      <c r="AK447" s="245">
        <f t="shared" si="756"/>
        <v>40915.800000000003</v>
      </c>
      <c r="AL447" s="245">
        <f t="shared" si="756"/>
        <v>39639.300000000003</v>
      </c>
      <c r="AM447" s="245">
        <f>AM448+AM452+AM471+AM474</f>
        <v>42600.5</v>
      </c>
      <c r="AN447" s="245">
        <f>AN448+AN452+AN471+AN474</f>
        <v>39069.600000000006</v>
      </c>
      <c r="AO447" s="580">
        <f t="shared" si="755"/>
        <v>0</v>
      </c>
      <c r="AP447" s="580">
        <f t="shared" si="755"/>
        <v>0</v>
      </c>
      <c r="AQ447" s="580">
        <f t="shared" si="755"/>
        <v>0</v>
      </c>
      <c r="AR447" s="580">
        <f t="shared" si="755"/>
        <v>0</v>
      </c>
      <c r="AS447" s="580">
        <f t="shared" si="755"/>
        <v>0</v>
      </c>
      <c r="AT447" s="580">
        <f t="shared" si="755"/>
        <v>0</v>
      </c>
      <c r="AU447" s="580">
        <f t="shared" si="755"/>
        <v>0</v>
      </c>
      <c r="AV447" s="580">
        <f t="shared" si="755"/>
        <v>0</v>
      </c>
      <c r="AW447" s="580">
        <f t="shared" si="755"/>
        <v>0</v>
      </c>
      <c r="AX447" s="580">
        <f t="shared" si="755"/>
        <v>0</v>
      </c>
      <c r="AY447" s="580">
        <f t="shared" si="755"/>
        <v>0</v>
      </c>
      <c r="AZ447" s="580">
        <f t="shared" si="755"/>
        <v>0</v>
      </c>
      <c r="BA447" s="580">
        <f t="shared" si="755"/>
        <v>0</v>
      </c>
      <c r="BB447" s="580">
        <f t="shared" si="755"/>
        <v>0</v>
      </c>
      <c r="BC447" s="580">
        <f t="shared" si="755"/>
        <v>0</v>
      </c>
      <c r="BD447" s="580">
        <f t="shared" si="755"/>
        <v>0</v>
      </c>
      <c r="BE447" s="580">
        <f t="shared" si="755"/>
        <v>0</v>
      </c>
      <c r="BF447" s="580">
        <f t="shared" si="755"/>
        <v>0</v>
      </c>
      <c r="BG447" s="580">
        <f t="shared" si="755"/>
        <v>0</v>
      </c>
      <c r="BH447" s="580">
        <f t="shared" si="755"/>
        <v>0</v>
      </c>
      <c r="BI447" s="580">
        <f t="shared" si="755"/>
        <v>0</v>
      </c>
      <c r="BJ447" s="580">
        <f t="shared" si="755"/>
        <v>0</v>
      </c>
      <c r="BK447" s="580">
        <f t="shared" si="755"/>
        <v>0</v>
      </c>
    </row>
    <row r="448" spans="1:63" s="248" customFormat="1">
      <c r="A448" s="245"/>
      <c r="B448" s="243" t="s">
        <v>1760</v>
      </c>
      <c r="C448" s="243" t="s">
        <v>822</v>
      </c>
      <c r="D448" s="245"/>
      <c r="E448" s="245"/>
      <c r="F448" s="245">
        <f t="shared" ref="F448:AD448" si="757">SUM(F449:F451)</f>
        <v>0</v>
      </c>
      <c r="G448" s="245">
        <f t="shared" si="757"/>
        <v>0</v>
      </c>
      <c r="H448" s="245">
        <f t="shared" si="757"/>
        <v>0</v>
      </c>
      <c r="I448" s="245">
        <f t="shared" si="757"/>
        <v>0</v>
      </c>
      <c r="J448" s="245">
        <f t="shared" si="757"/>
        <v>0</v>
      </c>
      <c r="K448" s="245">
        <f t="shared" si="757"/>
        <v>15260.2</v>
      </c>
      <c r="L448" s="245">
        <f t="shared" si="757"/>
        <v>17066.7</v>
      </c>
      <c r="M448" s="245">
        <f t="shared" si="757"/>
        <v>18636.5</v>
      </c>
      <c r="N448" s="245">
        <f t="shared" si="757"/>
        <v>15240.3</v>
      </c>
      <c r="O448" s="245">
        <f t="shared" si="757"/>
        <v>17454.3</v>
      </c>
      <c r="P448" s="245">
        <f t="shared" si="757"/>
        <v>19015.3</v>
      </c>
      <c r="Q448" s="245">
        <f t="shared" si="757"/>
        <v>15162.100000000002</v>
      </c>
      <c r="R448" s="245">
        <f t="shared" si="757"/>
        <v>12951.5</v>
      </c>
      <c r="S448" s="245">
        <f t="shared" si="757"/>
        <v>15470.199999999999</v>
      </c>
      <c r="T448" s="245">
        <f t="shared" si="757"/>
        <v>19124</v>
      </c>
      <c r="U448" s="245">
        <f t="shared" si="757"/>
        <v>22566.6</v>
      </c>
      <c r="V448" s="245">
        <f t="shared" si="757"/>
        <v>23543.599999999999</v>
      </c>
      <c r="W448" s="245">
        <f t="shared" si="757"/>
        <v>27681.800000000003</v>
      </c>
      <c r="X448" s="245">
        <f t="shared" si="757"/>
        <v>30711.9</v>
      </c>
      <c r="Y448" s="245">
        <f t="shared" si="757"/>
        <v>29826</v>
      </c>
      <c r="Z448" s="245">
        <f t="shared" si="757"/>
        <v>29768.400000000001</v>
      </c>
      <c r="AA448" s="245">
        <f t="shared" si="757"/>
        <v>34658.799999999996</v>
      </c>
      <c r="AB448" s="245">
        <f t="shared" si="757"/>
        <v>37615.599999999999</v>
      </c>
      <c r="AC448" s="245">
        <f t="shared" si="757"/>
        <v>35636.100000000006</v>
      </c>
      <c r="AD448" s="245">
        <f t="shared" si="757"/>
        <v>33126.100000000006</v>
      </c>
      <c r="AE448" s="245">
        <f>SUM(AE449:AE451)</f>
        <v>35080.400000000001</v>
      </c>
      <c r="AF448" s="245">
        <f t="shared" ref="AF448:AL448" si="758">SUM(AF449:AF451)</f>
        <v>35686.300000000003</v>
      </c>
      <c r="AG448" s="245">
        <f t="shared" si="758"/>
        <v>39210.700000000004</v>
      </c>
      <c r="AH448" s="245">
        <f t="shared" si="758"/>
        <v>34088.300000000003</v>
      </c>
      <c r="AI448" s="245">
        <f t="shared" si="758"/>
        <v>34066.6</v>
      </c>
      <c r="AJ448" s="245">
        <f t="shared" si="758"/>
        <v>34685.700000000004</v>
      </c>
      <c r="AK448" s="245">
        <f t="shared" si="758"/>
        <v>35662.700000000004</v>
      </c>
      <c r="AL448" s="245">
        <f t="shared" si="758"/>
        <v>34351.700000000004</v>
      </c>
      <c r="AM448" s="245">
        <f>SUM(AM449:AM451)</f>
        <v>36802.199999999997</v>
      </c>
      <c r="AN448" s="245">
        <f>SUM(AN449:AN451)</f>
        <v>31975.500000000004</v>
      </c>
      <c r="AO448" s="580">
        <f t="shared" ref="AO448:BK448" si="759">SUM(AO449:AO451)</f>
        <v>0</v>
      </c>
      <c r="AP448" s="580">
        <f t="shared" si="759"/>
        <v>0</v>
      </c>
      <c r="AQ448" s="580">
        <f t="shared" si="759"/>
        <v>0</v>
      </c>
      <c r="AR448" s="580">
        <f t="shared" si="759"/>
        <v>0</v>
      </c>
      <c r="AS448" s="580">
        <f t="shared" si="759"/>
        <v>0</v>
      </c>
      <c r="AT448" s="580">
        <f t="shared" si="759"/>
        <v>0</v>
      </c>
      <c r="AU448" s="580">
        <f t="shared" si="759"/>
        <v>0</v>
      </c>
      <c r="AV448" s="580">
        <f t="shared" si="759"/>
        <v>0</v>
      </c>
      <c r="AW448" s="580">
        <f t="shared" si="759"/>
        <v>0</v>
      </c>
      <c r="AX448" s="580">
        <f t="shared" si="759"/>
        <v>0</v>
      </c>
      <c r="AY448" s="580">
        <f t="shared" si="759"/>
        <v>0</v>
      </c>
      <c r="AZ448" s="580">
        <f t="shared" si="759"/>
        <v>0</v>
      </c>
      <c r="BA448" s="580">
        <f t="shared" si="759"/>
        <v>0</v>
      </c>
      <c r="BB448" s="580">
        <f t="shared" si="759"/>
        <v>0</v>
      </c>
      <c r="BC448" s="580">
        <f t="shared" si="759"/>
        <v>0</v>
      </c>
      <c r="BD448" s="580">
        <f t="shared" si="759"/>
        <v>0</v>
      </c>
      <c r="BE448" s="580">
        <f t="shared" si="759"/>
        <v>0</v>
      </c>
      <c r="BF448" s="580">
        <f t="shared" si="759"/>
        <v>0</v>
      </c>
      <c r="BG448" s="580">
        <f t="shared" si="759"/>
        <v>0</v>
      </c>
      <c r="BH448" s="580">
        <f t="shared" si="759"/>
        <v>0</v>
      </c>
      <c r="BI448" s="580">
        <f t="shared" si="759"/>
        <v>0</v>
      </c>
      <c r="BJ448" s="580">
        <f t="shared" si="759"/>
        <v>0</v>
      </c>
      <c r="BK448" s="580">
        <f t="shared" si="759"/>
        <v>0</v>
      </c>
    </row>
    <row r="449" spans="2:63" s="248" customFormat="1">
      <c r="B449" s="247" t="s">
        <v>1761</v>
      </c>
      <c r="C449" s="247" t="s">
        <v>824</v>
      </c>
      <c r="D449" s="240"/>
      <c r="E449" s="240"/>
      <c r="F449" s="251"/>
      <c r="G449" s="251"/>
      <c r="H449" s="251"/>
      <c r="I449" s="251"/>
      <c r="J449" s="251"/>
      <c r="K449" s="249">
        <f>+Quarterly!G18</f>
        <v>15260.2</v>
      </c>
      <c r="L449" s="249">
        <f>+Quarterly!H18</f>
        <v>17066.7</v>
      </c>
      <c r="M449" s="249">
        <f>+Quarterly!I18</f>
        <v>18636.5</v>
      </c>
      <c r="N449" s="249">
        <f>+Quarterly!J18</f>
        <v>15240.3</v>
      </c>
      <c r="O449" s="249">
        <f>+Quarterly!K18</f>
        <v>17454.3</v>
      </c>
      <c r="P449" s="249">
        <f>+Quarterly!L18</f>
        <v>19015.3</v>
      </c>
      <c r="Q449" s="249">
        <f>+Quarterly!M18</f>
        <v>15162.100000000002</v>
      </c>
      <c r="R449" s="249">
        <f>+Quarterly!N18</f>
        <v>12951.5</v>
      </c>
      <c r="S449" s="249">
        <f>+Quarterly!O18</f>
        <v>15470.199999999999</v>
      </c>
      <c r="T449" s="249">
        <f>+Quarterly!P18</f>
        <v>19124</v>
      </c>
      <c r="U449" s="249">
        <f>+Quarterly!Q18</f>
        <v>22566.6</v>
      </c>
      <c r="V449" s="249">
        <f>+Quarterly!R18</f>
        <v>23543.599999999999</v>
      </c>
      <c r="W449" s="249">
        <f>+Quarterly!S18</f>
        <v>27681.800000000003</v>
      </c>
      <c r="X449" s="249">
        <f>+Quarterly!T18</f>
        <v>30711.9</v>
      </c>
      <c r="Y449" s="249">
        <f>+Quarterly!U18</f>
        <v>29826</v>
      </c>
      <c r="Z449" s="249">
        <f>+Quarterly!V18</f>
        <v>29768.400000000001</v>
      </c>
      <c r="AA449" s="249">
        <f>+Quarterly!W18</f>
        <v>34658.799999999996</v>
      </c>
      <c r="AB449" s="249">
        <f>+Quarterly!X18</f>
        <v>37615.599999999999</v>
      </c>
      <c r="AC449" s="249">
        <f>+Quarterly!Y18</f>
        <v>35636.100000000006</v>
      </c>
      <c r="AD449" s="249">
        <f>+Quarterly!Z18</f>
        <v>33126.100000000006</v>
      </c>
      <c r="AE449" s="249">
        <f>+Quarterly!AA18</f>
        <v>35080.400000000001</v>
      </c>
      <c r="AF449" s="249">
        <f>+Quarterly!AB18</f>
        <v>35686.300000000003</v>
      </c>
      <c r="AG449" s="249">
        <f>+Quarterly!AC18</f>
        <v>39210.700000000004</v>
      </c>
      <c r="AH449" s="249">
        <f>+Quarterly!AD18</f>
        <v>34088.300000000003</v>
      </c>
      <c r="AI449" s="249">
        <f>+Quarterly!AE18</f>
        <v>34066.6</v>
      </c>
      <c r="AJ449" s="249">
        <f>+Quarterly!AF18</f>
        <v>34685.700000000004</v>
      </c>
      <c r="AK449" s="249">
        <f>+Quarterly!AG18</f>
        <v>35662.700000000004</v>
      </c>
      <c r="AL449" s="249">
        <f>+Quarterly!AH18</f>
        <v>34351.700000000004</v>
      </c>
      <c r="AM449" s="249">
        <f>+Quarterly!AI18</f>
        <v>36802.199999999997</v>
      </c>
      <c r="AN449" s="249">
        <f>+Quarterly!AL18</f>
        <v>31975.500000000004</v>
      </c>
      <c r="AO449" s="581"/>
      <c r="AP449" s="581"/>
      <c r="AQ449" s="581"/>
      <c r="AR449" s="581"/>
      <c r="AS449" s="581"/>
      <c r="AT449" s="581"/>
      <c r="AU449" s="581"/>
      <c r="AV449" s="581"/>
      <c r="AW449" s="581"/>
      <c r="AX449" s="581"/>
      <c r="AY449" s="581"/>
      <c r="AZ449" s="581"/>
      <c r="BA449" s="581"/>
      <c r="BB449" s="581"/>
      <c r="BC449" s="581"/>
      <c r="BD449" s="581"/>
      <c r="BE449" s="581"/>
      <c r="BF449" s="581"/>
      <c r="BG449" s="581"/>
      <c r="BH449" s="581"/>
      <c r="BI449" s="581"/>
      <c r="BJ449" s="581"/>
      <c r="BK449" s="581"/>
    </row>
    <row r="450" spans="2:63" s="248" customFormat="1">
      <c r="B450" s="247" t="s">
        <v>1762</v>
      </c>
      <c r="C450" s="247" t="s">
        <v>826</v>
      </c>
      <c r="D450" s="240"/>
      <c r="E450" s="240"/>
      <c r="F450" s="251"/>
      <c r="G450" s="251"/>
      <c r="H450" s="251"/>
      <c r="I450" s="251"/>
      <c r="J450" s="251"/>
      <c r="K450" s="249"/>
      <c r="L450" s="249"/>
      <c r="M450" s="249"/>
      <c r="N450" s="249"/>
      <c r="O450" s="249"/>
      <c r="P450" s="249"/>
      <c r="Q450" s="249"/>
      <c r="R450" s="249"/>
      <c r="S450" s="249"/>
      <c r="T450" s="249"/>
      <c r="U450" s="249"/>
      <c r="V450" s="249"/>
      <c r="W450" s="249"/>
      <c r="X450" s="249"/>
      <c r="Y450" s="249"/>
      <c r="Z450" s="249"/>
      <c r="AA450" s="249"/>
      <c r="AB450" s="249"/>
      <c r="AC450" s="249"/>
      <c r="AD450" s="249"/>
      <c r="AE450" s="249"/>
      <c r="AF450" s="249"/>
      <c r="AG450" s="249"/>
      <c r="AH450" s="249"/>
      <c r="AI450" s="249"/>
      <c r="AJ450" s="249"/>
      <c r="AK450" s="249"/>
      <c r="AL450" s="249"/>
      <c r="AM450" s="249"/>
      <c r="AN450" s="249"/>
      <c r="AO450" s="581"/>
      <c r="AP450" s="581"/>
      <c r="AQ450" s="581"/>
      <c r="AR450" s="581"/>
      <c r="AS450" s="581"/>
      <c r="AT450" s="581"/>
      <c r="AU450" s="581"/>
      <c r="AV450" s="581"/>
      <c r="AW450" s="581"/>
      <c r="AX450" s="581"/>
      <c r="AY450" s="581"/>
      <c r="AZ450" s="581"/>
      <c r="BA450" s="581"/>
      <c r="BB450" s="581"/>
      <c r="BC450" s="581"/>
      <c r="BD450" s="581"/>
      <c r="BE450" s="581"/>
      <c r="BF450" s="581"/>
      <c r="BG450" s="581"/>
      <c r="BH450" s="581"/>
      <c r="BI450" s="581"/>
      <c r="BJ450" s="581"/>
      <c r="BK450" s="581"/>
    </row>
    <row r="451" spans="2:63" s="248" customFormat="1">
      <c r="B451" s="247" t="s">
        <v>1763</v>
      </c>
      <c r="C451" s="247" t="s">
        <v>831</v>
      </c>
      <c r="D451" s="240"/>
      <c r="E451" s="240"/>
      <c r="F451" s="251"/>
      <c r="G451" s="251"/>
      <c r="H451" s="251"/>
      <c r="I451" s="251"/>
      <c r="J451" s="251"/>
      <c r="K451" s="249"/>
      <c r="L451" s="249"/>
      <c r="M451" s="249"/>
      <c r="N451" s="249"/>
      <c r="O451" s="249"/>
      <c r="P451" s="249"/>
      <c r="Q451" s="249"/>
      <c r="R451" s="249"/>
      <c r="S451" s="249"/>
      <c r="T451" s="249"/>
      <c r="U451" s="249"/>
      <c r="V451" s="249"/>
      <c r="W451" s="249"/>
      <c r="X451" s="249"/>
      <c r="Y451" s="249"/>
      <c r="Z451" s="249"/>
      <c r="AA451" s="249"/>
      <c r="AB451" s="249"/>
      <c r="AC451" s="249"/>
      <c r="AD451" s="249"/>
      <c r="AE451" s="249"/>
      <c r="AF451" s="249"/>
      <c r="AG451" s="249"/>
      <c r="AH451" s="249"/>
      <c r="AI451" s="249"/>
      <c r="AJ451" s="249"/>
      <c r="AK451" s="249"/>
      <c r="AL451" s="249"/>
      <c r="AM451" s="249"/>
      <c r="AN451" s="249"/>
      <c r="AO451" s="581"/>
      <c r="AP451" s="581"/>
      <c r="AQ451" s="581"/>
      <c r="AR451" s="581"/>
      <c r="AS451" s="581"/>
      <c r="AT451" s="581"/>
      <c r="AU451" s="581"/>
      <c r="AV451" s="581"/>
      <c r="AW451" s="581"/>
      <c r="AX451" s="581"/>
      <c r="AY451" s="581"/>
      <c r="AZ451" s="581"/>
      <c r="BA451" s="581"/>
      <c r="BB451" s="581"/>
      <c r="BC451" s="581"/>
      <c r="BD451" s="581"/>
      <c r="BE451" s="581"/>
      <c r="BF451" s="581"/>
      <c r="BG451" s="581"/>
      <c r="BH451" s="581"/>
      <c r="BI451" s="581"/>
      <c r="BJ451" s="581"/>
      <c r="BK451" s="581"/>
    </row>
    <row r="452" spans="2:63" s="245" customFormat="1">
      <c r="B452" s="243" t="s">
        <v>1764</v>
      </c>
      <c r="C452" s="243" t="s">
        <v>833</v>
      </c>
      <c r="F452" s="245">
        <f t="shared" ref="F452:AD452" si="760">SUM(F453:F470)</f>
        <v>0</v>
      </c>
      <c r="G452" s="245">
        <f t="shared" si="760"/>
        <v>0</v>
      </c>
      <c r="H452" s="245">
        <f t="shared" si="760"/>
        <v>0</v>
      </c>
      <c r="I452" s="245">
        <f t="shared" si="760"/>
        <v>0</v>
      </c>
      <c r="J452" s="245">
        <f t="shared" si="760"/>
        <v>0</v>
      </c>
      <c r="K452" s="245">
        <f t="shared" si="760"/>
        <v>3077.3</v>
      </c>
      <c r="L452" s="245">
        <f t="shared" si="760"/>
        <v>2771</v>
      </c>
      <c r="M452" s="245">
        <f t="shared" si="760"/>
        <v>2706.2</v>
      </c>
      <c r="N452" s="245">
        <f t="shared" si="760"/>
        <v>2888.5</v>
      </c>
      <c r="O452" s="245">
        <f t="shared" si="760"/>
        <v>2985.5</v>
      </c>
      <c r="P452" s="245">
        <f t="shared" si="760"/>
        <v>3030.7999999999997</v>
      </c>
      <c r="Q452" s="245">
        <f t="shared" si="760"/>
        <v>2810.5</v>
      </c>
      <c r="R452" s="245">
        <f t="shared" si="760"/>
        <v>2854.2000000000003</v>
      </c>
      <c r="S452" s="245">
        <f t="shared" si="760"/>
        <v>3360.2999999999997</v>
      </c>
      <c r="T452" s="245">
        <f t="shared" si="760"/>
        <v>3386</v>
      </c>
      <c r="U452" s="245">
        <f t="shared" si="760"/>
        <v>3153.6000000000004</v>
      </c>
      <c r="V452" s="245">
        <f t="shared" si="760"/>
        <v>2679.9</v>
      </c>
      <c r="W452" s="245">
        <f t="shared" si="760"/>
        <v>3449.5</v>
      </c>
      <c r="X452" s="245">
        <f t="shared" si="760"/>
        <v>3734.6000000000004</v>
      </c>
      <c r="Y452" s="245">
        <f t="shared" si="760"/>
        <v>3451.6</v>
      </c>
      <c r="Z452" s="245">
        <f t="shared" si="760"/>
        <v>3645.4</v>
      </c>
      <c r="AA452" s="245">
        <f t="shared" si="760"/>
        <v>4005.7000000000003</v>
      </c>
      <c r="AB452" s="245">
        <f t="shared" si="760"/>
        <v>4483.3</v>
      </c>
      <c r="AC452" s="245">
        <f t="shared" si="760"/>
        <v>4381.5</v>
      </c>
      <c r="AD452" s="245">
        <f t="shared" si="760"/>
        <v>4182.3999999999996</v>
      </c>
      <c r="AE452" s="245">
        <f>SUM(AE453:AE470)</f>
        <v>4859.2000000000007</v>
      </c>
      <c r="AF452" s="245">
        <f t="shared" ref="AF452:AL452" si="761">SUM(AF453:AF470)</f>
        <v>4885.5999999999995</v>
      </c>
      <c r="AG452" s="245">
        <f t="shared" si="761"/>
        <v>4798.8999999999996</v>
      </c>
      <c r="AH452" s="245">
        <f t="shared" si="761"/>
        <v>5010.6000000000004</v>
      </c>
      <c r="AI452" s="245">
        <f t="shared" si="761"/>
        <v>5017.2</v>
      </c>
      <c r="AJ452" s="245">
        <f t="shared" si="761"/>
        <v>5350</v>
      </c>
      <c r="AK452" s="245">
        <f t="shared" si="761"/>
        <v>5253.1</v>
      </c>
      <c r="AL452" s="245">
        <f t="shared" si="761"/>
        <v>5287.6</v>
      </c>
      <c r="AM452" s="245">
        <f>SUM(AM453:AM470)</f>
        <v>5798.3</v>
      </c>
      <c r="AN452" s="245">
        <f>SUM(AN453:AN470)</f>
        <v>7094.1</v>
      </c>
      <c r="AO452" s="580">
        <f t="shared" ref="AO452:BK452" si="762">SUM(AO453:AO470)</f>
        <v>0</v>
      </c>
      <c r="AP452" s="580">
        <f t="shared" si="762"/>
        <v>0</v>
      </c>
      <c r="AQ452" s="580">
        <f t="shared" si="762"/>
        <v>0</v>
      </c>
      <c r="AR452" s="580">
        <f t="shared" si="762"/>
        <v>0</v>
      </c>
      <c r="AS452" s="580">
        <f t="shared" si="762"/>
        <v>0</v>
      </c>
      <c r="AT452" s="580">
        <f t="shared" si="762"/>
        <v>0</v>
      </c>
      <c r="AU452" s="580">
        <f t="shared" si="762"/>
        <v>0</v>
      </c>
      <c r="AV452" s="580">
        <f t="shared" si="762"/>
        <v>0</v>
      </c>
      <c r="AW452" s="580">
        <f t="shared" si="762"/>
        <v>0</v>
      </c>
      <c r="AX452" s="580">
        <f t="shared" si="762"/>
        <v>0</v>
      </c>
      <c r="AY452" s="580">
        <f t="shared" si="762"/>
        <v>0</v>
      </c>
      <c r="AZ452" s="580">
        <f t="shared" si="762"/>
        <v>0</v>
      </c>
      <c r="BA452" s="580">
        <f t="shared" si="762"/>
        <v>0</v>
      </c>
      <c r="BB452" s="580">
        <f t="shared" si="762"/>
        <v>0</v>
      </c>
      <c r="BC452" s="580">
        <f t="shared" si="762"/>
        <v>0</v>
      </c>
      <c r="BD452" s="580">
        <f t="shared" si="762"/>
        <v>0</v>
      </c>
      <c r="BE452" s="580">
        <f t="shared" si="762"/>
        <v>0</v>
      </c>
      <c r="BF452" s="580">
        <f t="shared" si="762"/>
        <v>0</v>
      </c>
      <c r="BG452" s="580">
        <f t="shared" si="762"/>
        <v>0</v>
      </c>
      <c r="BH452" s="580">
        <f t="shared" si="762"/>
        <v>0</v>
      </c>
      <c r="BI452" s="580">
        <f t="shared" si="762"/>
        <v>0</v>
      </c>
      <c r="BJ452" s="580">
        <f t="shared" si="762"/>
        <v>0</v>
      </c>
      <c r="BK452" s="580">
        <f t="shared" si="762"/>
        <v>0</v>
      </c>
    </row>
    <row r="453" spans="2:63" s="248" customFormat="1">
      <c r="B453" s="247" t="s">
        <v>1765</v>
      </c>
      <c r="C453" s="247" t="s">
        <v>835</v>
      </c>
      <c r="D453" s="240"/>
      <c r="E453" s="240"/>
      <c r="F453" s="251"/>
      <c r="G453" s="251"/>
      <c r="H453" s="251"/>
      <c r="I453" s="251"/>
      <c r="J453" s="251"/>
      <c r="K453" s="251"/>
      <c r="L453" s="251"/>
      <c r="M453" s="251"/>
      <c r="N453" s="251"/>
      <c r="O453" s="251"/>
      <c r="P453" s="251"/>
      <c r="Q453" s="251"/>
      <c r="R453" s="251"/>
      <c r="S453" s="251"/>
      <c r="T453" s="251"/>
      <c r="U453" s="251"/>
      <c r="V453" s="251"/>
      <c r="W453" s="251"/>
      <c r="X453" s="251"/>
      <c r="Y453" s="251"/>
      <c r="Z453" s="251"/>
      <c r="AA453" s="251"/>
      <c r="AB453" s="251"/>
      <c r="AC453" s="251"/>
      <c r="AD453" s="251"/>
      <c r="AE453" s="251"/>
      <c r="AF453" s="251"/>
      <c r="AG453" s="251"/>
      <c r="AH453" s="251"/>
      <c r="AI453" s="251"/>
      <c r="AJ453" s="251"/>
      <c r="AK453" s="251"/>
      <c r="AL453" s="251"/>
      <c r="AM453" s="251"/>
      <c r="AN453" s="251"/>
      <c r="AO453" s="581"/>
      <c r="AP453" s="581"/>
      <c r="AQ453" s="581"/>
      <c r="AR453" s="581"/>
      <c r="AS453" s="581"/>
      <c r="AT453" s="581"/>
      <c r="AU453" s="581"/>
      <c r="AV453" s="581"/>
      <c r="AW453" s="581"/>
      <c r="AX453" s="581"/>
      <c r="AY453" s="581"/>
      <c r="AZ453" s="581"/>
      <c r="BA453" s="581"/>
      <c r="BB453" s="581"/>
      <c r="BC453" s="581"/>
      <c r="BD453" s="581"/>
      <c r="BE453" s="581"/>
      <c r="BF453" s="581"/>
      <c r="BG453" s="581"/>
      <c r="BH453" s="581"/>
      <c r="BI453" s="581"/>
      <c r="BJ453" s="581"/>
      <c r="BK453" s="581"/>
    </row>
    <row r="454" spans="2:63" s="248" customFormat="1">
      <c r="B454" s="247" t="s">
        <v>1766</v>
      </c>
      <c r="C454" s="247" t="s">
        <v>837</v>
      </c>
      <c r="D454" s="240"/>
      <c r="E454" s="240"/>
      <c r="F454" s="251"/>
      <c r="G454" s="251"/>
      <c r="H454" s="251"/>
      <c r="I454" s="251"/>
      <c r="J454" s="251"/>
      <c r="K454" s="251"/>
      <c r="L454" s="251"/>
      <c r="M454" s="251"/>
      <c r="N454" s="251"/>
      <c r="O454" s="251"/>
      <c r="P454" s="251"/>
      <c r="Q454" s="251"/>
      <c r="R454" s="251"/>
      <c r="S454" s="251"/>
      <c r="T454" s="251"/>
      <c r="U454" s="251"/>
      <c r="V454" s="251"/>
      <c r="W454" s="251"/>
      <c r="X454" s="251"/>
      <c r="Y454" s="251"/>
      <c r="Z454" s="251"/>
      <c r="AA454" s="251"/>
      <c r="AB454" s="251"/>
      <c r="AC454" s="251"/>
      <c r="AD454" s="251"/>
      <c r="AE454" s="251"/>
      <c r="AF454" s="251"/>
      <c r="AG454" s="251"/>
      <c r="AH454" s="251"/>
      <c r="AI454" s="251"/>
      <c r="AJ454" s="251"/>
      <c r="AK454" s="251"/>
      <c r="AL454" s="251"/>
      <c r="AM454" s="251"/>
      <c r="AN454" s="251"/>
      <c r="AO454" s="581"/>
      <c r="AP454" s="581"/>
      <c r="AQ454" s="581"/>
      <c r="AR454" s="581"/>
      <c r="AS454" s="581"/>
      <c r="AT454" s="581"/>
      <c r="AU454" s="581"/>
      <c r="AV454" s="581"/>
      <c r="AW454" s="581"/>
      <c r="AX454" s="581"/>
      <c r="AY454" s="581"/>
      <c r="AZ454" s="581"/>
      <c r="BA454" s="581"/>
      <c r="BB454" s="581"/>
      <c r="BC454" s="581"/>
      <c r="BD454" s="581"/>
      <c r="BE454" s="581"/>
      <c r="BF454" s="581"/>
      <c r="BG454" s="581"/>
      <c r="BH454" s="581"/>
      <c r="BI454" s="581"/>
      <c r="BJ454" s="581"/>
      <c r="BK454" s="581"/>
    </row>
    <row r="455" spans="2:63" s="248" customFormat="1">
      <c r="B455" s="247" t="s">
        <v>1767</v>
      </c>
      <c r="C455" s="247" t="s">
        <v>839</v>
      </c>
      <c r="D455" s="240"/>
      <c r="E455" s="240"/>
      <c r="F455" s="251"/>
      <c r="G455" s="251"/>
      <c r="H455" s="251"/>
      <c r="I455" s="251"/>
      <c r="J455" s="251"/>
      <c r="K455" s="249">
        <f>+Quarterly!G27</f>
        <v>986.7</v>
      </c>
      <c r="L455" s="249">
        <f>+Quarterly!H27</f>
        <v>735.2</v>
      </c>
      <c r="M455" s="249">
        <f>+Quarterly!I27</f>
        <v>845.9</v>
      </c>
      <c r="N455" s="249">
        <f>+Quarterly!J27</f>
        <v>863</v>
      </c>
      <c r="O455" s="249">
        <f>+Quarterly!K27</f>
        <v>1081.0999999999999</v>
      </c>
      <c r="P455" s="249">
        <f>+Quarterly!L27</f>
        <v>754.6</v>
      </c>
      <c r="Q455" s="249">
        <f>+Quarterly!M27</f>
        <v>761.5</v>
      </c>
      <c r="R455" s="249">
        <f>+Quarterly!N27</f>
        <v>946.4</v>
      </c>
      <c r="S455" s="249">
        <f>+Quarterly!O27</f>
        <v>1129.0999999999999</v>
      </c>
      <c r="T455" s="249">
        <f>+Quarterly!P27</f>
        <v>1073.8</v>
      </c>
      <c r="U455" s="249">
        <f>+Quarterly!Q27</f>
        <v>929.8</v>
      </c>
      <c r="V455" s="249">
        <f>+Quarterly!R27</f>
        <v>861.9</v>
      </c>
      <c r="W455" s="249">
        <f>+Quarterly!S27</f>
        <v>1263.9000000000001</v>
      </c>
      <c r="X455" s="249">
        <f>+Quarterly!T27</f>
        <v>1141.5</v>
      </c>
      <c r="Y455" s="249">
        <f>+Quarterly!U27</f>
        <v>1066</v>
      </c>
      <c r="Z455" s="249">
        <f>+Quarterly!V27</f>
        <v>1338.4</v>
      </c>
      <c r="AA455" s="249">
        <f>+Quarterly!W27</f>
        <v>1430.9</v>
      </c>
      <c r="AB455" s="249">
        <f>+Quarterly!X27</f>
        <v>1310.8</v>
      </c>
      <c r="AC455" s="249">
        <f>+Quarterly!Y27</f>
        <v>1320.4</v>
      </c>
      <c r="AD455" s="249">
        <f>+Quarterly!Z27</f>
        <v>1195.5999999999999</v>
      </c>
      <c r="AE455" s="249">
        <f>+Quarterly!AA27</f>
        <v>1604</v>
      </c>
      <c r="AF455" s="249">
        <f>+Quarterly!AB27</f>
        <v>1532.2</v>
      </c>
      <c r="AG455" s="249">
        <f>+Quarterly!AC27</f>
        <v>1592.3</v>
      </c>
      <c r="AH455" s="249">
        <f>+Quarterly!AD27</f>
        <v>1666.3</v>
      </c>
      <c r="AI455" s="249">
        <f>+Quarterly!AE27</f>
        <v>1836.5</v>
      </c>
      <c r="AJ455" s="249">
        <f>+Quarterly!AF27</f>
        <v>1833.8</v>
      </c>
      <c r="AK455" s="249">
        <f>+Quarterly!AG27</f>
        <v>1847.9</v>
      </c>
      <c r="AL455" s="249">
        <f>+Quarterly!AH27</f>
        <v>1747.6</v>
      </c>
      <c r="AM455" s="249">
        <f>+Quarterly!AI27</f>
        <v>2145.6999999999998</v>
      </c>
      <c r="AN455" s="249">
        <f>+Quarterly!AL27</f>
        <v>2585.6999999999998</v>
      </c>
      <c r="AO455" s="581"/>
      <c r="AP455" s="581"/>
      <c r="AQ455" s="581"/>
      <c r="AR455" s="581"/>
      <c r="AS455" s="581"/>
      <c r="AT455" s="581"/>
      <c r="AU455" s="581"/>
      <c r="AV455" s="581"/>
      <c r="AW455" s="581"/>
      <c r="AX455" s="581"/>
      <c r="AY455" s="581"/>
      <c r="AZ455" s="581"/>
      <c r="BA455" s="581"/>
      <c r="BB455" s="581"/>
      <c r="BC455" s="581"/>
      <c r="BD455" s="581"/>
      <c r="BE455" s="581"/>
      <c r="BF455" s="581"/>
      <c r="BG455" s="581"/>
      <c r="BH455" s="581"/>
      <c r="BI455" s="581"/>
      <c r="BJ455" s="581"/>
      <c r="BK455" s="581"/>
    </row>
    <row r="456" spans="2:63" s="248" customFormat="1">
      <c r="B456" s="247" t="s">
        <v>1768</v>
      </c>
      <c r="C456" s="247" t="s">
        <v>841</v>
      </c>
      <c r="D456" s="240"/>
      <c r="E456" s="240"/>
      <c r="F456" s="251"/>
      <c r="G456" s="251"/>
      <c r="H456" s="251"/>
      <c r="I456" s="251"/>
      <c r="J456" s="251"/>
      <c r="K456" s="251"/>
      <c r="L456" s="251"/>
      <c r="M456" s="251"/>
      <c r="N456" s="251"/>
      <c r="O456" s="251"/>
      <c r="P456" s="251"/>
      <c r="Q456" s="251"/>
      <c r="R456" s="251"/>
      <c r="S456" s="251"/>
      <c r="T456" s="251"/>
      <c r="U456" s="251"/>
      <c r="V456" s="251"/>
      <c r="W456" s="251"/>
      <c r="X456" s="251"/>
      <c r="Y456" s="251"/>
      <c r="Z456" s="251"/>
      <c r="AA456" s="251"/>
      <c r="AB456" s="251"/>
      <c r="AC456" s="251"/>
      <c r="AD456" s="251"/>
      <c r="AE456" s="251"/>
      <c r="AF456" s="251"/>
      <c r="AG456" s="251"/>
      <c r="AH456" s="251"/>
      <c r="AI456" s="251"/>
      <c r="AJ456" s="251"/>
      <c r="AK456" s="251"/>
      <c r="AL456" s="251"/>
      <c r="AM456" s="251"/>
      <c r="AN456" s="251"/>
      <c r="AO456" s="581"/>
      <c r="AP456" s="581"/>
      <c r="AQ456" s="581"/>
      <c r="AR456" s="581"/>
      <c r="AS456" s="581"/>
      <c r="AT456" s="581"/>
      <c r="AU456" s="581"/>
      <c r="AV456" s="581"/>
      <c r="AW456" s="581"/>
      <c r="AX456" s="581"/>
      <c r="AY456" s="581"/>
      <c r="AZ456" s="581"/>
      <c r="BA456" s="581"/>
      <c r="BB456" s="581"/>
      <c r="BC456" s="581"/>
      <c r="BD456" s="581"/>
      <c r="BE456" s="581"/>
      <c r="BF456" s="581"/>
      <c r="BG456" s="581"/>
      <c r="BH456" s="581"/>
      <c r="BI456" s="581"/>
      <c r="BJ456" s="581"/>
      <c r="BK456" s="581"/>
    </row>
    <row r="457" spans="2:63" s="248" customFormat="1">
      <c r="B457" s="247" t="s">
        <v>1769</v>
      </c>
      <c r="C457" s="247" t="s">
        <v>843</v>
      </c>
      <c r="D457" s="240"/>
      <c r="E457" s="240"/>
      <c r="F457" s="251"/>
      <c r="G457" s="251"/>
      <c r="H457" s="251"/>
      <c r="I457" s="251"/>
      <c r="J457" s="251"/>
      <c r="K457" s="251"/>
      <c r="L457" s="251"/>
      <c r="M457" s="251"/>
      <c r="N457" s="251"/>
      <c r="O457" s="251"/>
      <c r="P457" s="251"/>
      <c r="Q457" s="251"/>
      <c r="R457" s="251"/>
      <c r="S457" s="251"/>
      <c r="T457" s="251"/>
      <c r="U457" s="251"/>
      <c r="V457" s="251"/>
      <c r="W457" s="251"/>
      <c r="X457" s="251"/>
      <c r="Y457" s="251"/>
      <c r="Z457" s="251"/>
      <c r="AA457" s="251"/>
      <c r="AB457" s="251"/>
      <c r="AC457" s="251"/>
      <c r="AD457" s="251"/>
      <c r="AE457" s="251"/>
      <c r="AF457" s="251"/>
      <c r="AG457" s="251"/>
      <c r="AH457" s="251"/>
      <c r="AI457" s="251"/>
      <c r="AJ457" s="251"/>
      <c r="AK457" s="251"/>
      <c r="AL457" s="251"/>
      <c r="AM457" s="251"/>
      <c r="AN457" s="251"/>
      <c r="AO457" s="581"/>
      <c r="AP457" s="581"/>
      <c r="AQ457" s="581"/>
      <c r="AR457" s="581"/>
      <c r="AS457" s="581"/>
      <c r="AT457" s="581"/>
      <c r="AU457" s="581"/>
      <c r="AV457" s="581"/>
      <c r="AW457" s="581"/>
      <c r="AX457" s="581"/>
      <c r="AY457" s="581"/>
      <c r="AZ457" s="581"/>
      <c r="BA457" s="581"/>
      <c r="BB457" s="581"/>
      <c r="BC457" s="581"/>
      <c r="BD457" s="581"/>
      <c r="BE457" s="581"/>
      <c r="BF457" s="581"/>
      <c r="BG457" s="581"/>
      <c r="BH457" s="581"/>
      <c r="BI457" s="581"/>
      <c r="BJ457" s="581"/>
      <c r="BK457" s="581"/>
    </row>
    <row r="458" spans="2:63" s="248" customFormat="1">
      <c r="B458" s="247" t="s">
        <v>1770</v>
      </c>
      <c r="C458" s="247" t="s">
        <v>845</v>
      </c>
      <c r="D458" s="240"/>
      <c r="E458" s="240"/>
      <c r="F458" s="251"/>
      <c r="G458" s="251"/>
      <c r="H458" s="251"/>
      <c r="I458" s="251"/>
      <c r="J458" s="251"/>
      <c r="K458" s="251"/>
      <c r="L458" s="251"/>
      <c r="M458" s="251"/>
      <c r="N458" s="251"/>
      <c r="O458" s="251"/>
      <c r="P458" s="251"/>
      <c r="Q458" s="251"/>
      <c r="R458" s="251"/>
      <c r="S458" s="251"/>
      <c r="T458" s="251"/>
      <c r="U458" s="251"/>
      <c r="V458" s="251"/>
      <c r="W458" s="251"/>
      <c r="X458" s="251"/>
      <c r="Y458" s="251"/>
      <c r="Z458" s="251"/>
      <c r="AA458" s="251"/>
      <c r="AB458" s="251"/>
      <c r="AC458" s="251"/>
      <c r="AD458" s="251"/>
      <c r="AE458" s="251"/>
      <c r="AF458" s="251"/>
      <c r="AG458" s="251"/>
      <c r="AH458" s="251"/>
      <c r="AI458" s="251"/>
      <c r="AJ458" s="251"/>
      <c r="AK458" s="251"/>
      <c r="AL458" s="251"/>
      <c r="AM458" s="251"/>
      <c r="AN458" s="251"/>
      <c r="AO458" s="581"/>
      <c r="AP458" s="581"/>
      <c r="AQ458" s="581"/>
      <c r="AR458" s="581"/>
      <c r="AS458" s="581"/>
      <c r="AT458" s="581"/>
      <c r="AU458" s="581"/>
      <c r="AV458" s="581"/>
      <c r="AW458" s="581"/>
      <c r="AX458" s="581"/>
      <c r="AY458" s="581"/>
      <c r="AZ458" s="581"/>
      <c r="BA458" s="581"/>
      <c r="BB458" s="581"/>
      <c r="BC458" s="581"/>
      <c r="BD458" s="581"/>
      <c r="BE458" s="581"/>
      <c r="BF458" s="581"/>
      <c r="BG458" s="581"/>
      <c r="BH458" s="581"/>
      <c r="BI458" s="581"/>
      <c r="BJ458" s="581"/>
      <c r="BK458" s="581"/>
    </row>
    <row r="459" spans="2:63" s="248" customFormat="1">
      <c r="B459" s="247" t="s">
        <v>1771</v>
      </c>
      <c r="C459" s="247" t="s">
        <v>847</v>
      </c>
      <c r="D459" s="240"/>
      <c r="E459" s="240"/>
      <c r="F459" s="251"/>
      <c r="G459" s="251"/>
      <c r="H459" s="251"/>
      <c r="I459" s="251"/>
      <c r="J459" s="251"/>
      <c r="K459" s="251"/>
      <c r="L459" s="251"/>
      <c r="M459" s="251"/>
      <c r="N459" s="251"/>
      <c r="O459" s="251"/>
      <c r="P459" s="251"/>
      <c r="Q459" s="251"/>
      <c r="R459" s="251"/>
      <c r="S459" s="251"/>
      <c r="T459" s="251"/>
      <c r="U459" s="251"/>
      <c r="V459" s="251"/>
      <c r="W459" s="251"/>
      <c r="X459" s="251"/>
      <c r="Y459" s="251"/>
      <c r="Z459" s="251"/>
      <c r="AA459" s="251"/>
      <c r="AB459" s="251"/>
      <c r="AC459" s="251"/>
      <c r="AD459" s="251"/>
      <c r="AE459" s="251"/>
      <c r="AF459" s="251"/>
      <c r="AG459" s="251"/>
      <c r="AH459" s="251"/>
      <c r="AI459" s="251"/>
      <c r="AJ459" s="251"/>
      <c r="AK459" s="251"/>
      <c r="AL459" s="251"/>
      <c r="AM459" s="251"/>
      <c r="AN459" s="251"/>
      <c r="AO459" s="581"/>
      <c r="AP459" s="581"/>
      <c r="AQ459" s="581"/>
      <c r="AR459" s="581"/>
      <c r="AS459" s="581"/>
      <c r="AT459" s="581"/>
      <c r="AU459" s="581"/>
      <c r="AV459" s="581"/>
      <c r="AW459" s="581"/>
      <c r="AX459" s="581"/>
      <c r="AY459" s="581"/>
      <c r="AZ459" s="581"/>
      <c r="BA459" s="581"/>
      <c r="BB459" s="581"/>
      <c r="BC459" s="581"/>
      <c r="BD459" s="581"/>
      <c r="BE459" s="581"/>
      <c r="BF459" s="581"/>
      <c r="BG459" s="581"/>
      <c r="BH459" s="581"/>
      <c r="BI459" s="581"/>
      <c r="BJ459" s="581"/>
      <c r="BK459" s="581"/>
    </row>
    <row r="460" spans="2:63" s="248" customFormat="1">
      <c r="B460" s="247" t="s">
        <v>1772</v>
      </c>
      <c r="C460" s="247" t="s">
        <v>849</v>
      </c>
      <c r="D460" s="240"/>
      <c r="E460" s="240"/>
      <c r="F460" s="251"/>
      <c r="G460" s="251"/>
      <c r="H460" s="251"/>
      <c r="I460" s="251"/>
      <c r="J460" s="251"/>
      <c r="K460" s="251"/>
      <c r="L460" s="251"/>
      <c r="M460" s="251"/>
      <c r="N460" s="251"/>
      <c r="O460" s="251"/>
      <c r="P460" s="251"/>
      <c r="Q460" s="251"/>
      <c r="R460" s="251"/>
      <c r="S460" s="251"/>
      <c r="T460" s="251"/>
      <c r="U460" s="251"/>
      <c r="V460" s="251"/>
      <c r="W460" s="251"/>
      <c r="X460" s="251"/>
      <c r="Y460" s="251"/>
      <c r="Z460" s="251"/>
      <c r="AA460" s="251"/>
      <c r="AB460" s="251"/>
      <c r="AC460" s="251"/>
      <c r="AD460" s="251"/>
      <c r="AE460" s="251"/>
      <c r="AF460" s="251"/>
      <c r="AG460" s="251"/>
      <c r="AH460" s="251"/>
      <c r="AI460" s="251"/>
      <c r="AJ460" s="251"/>
      <c r="AK460" s="251"/>
      <c r="AL460" s="251"/>
      <c r="AM460" s="251"/>
      <c r="AN460" s="251"/>
      <c r="AO460" s="581"/>
      <c r="AP460" s="581"/>
      <c r="AQ460" s="581"/>
      <c r="AR460" s="581"/>
      <c r="AS460" s="581"/>
      <c r="AT460" s="581"/>
      <c r="AU460" s="581"/>
      <c r="AV460" s="581"/>
      <c r="AW460" s="581"/>
      <c r="AX460" s="581"/>
      <c r="AY460" s="581"/>
      <c r="AZ460" s="581"/>
      <c r="BA460" s="581"/>
      <c r="BB460" s="581"/>
      <c r="BC460" s="581"/>
      <c r="BD460" s="581"/>
      <c r="BE460" s="581"/>
      <c r="BF460" s="581"/>
      <c r="BG460" s="581"/>
      <c r="BH460" s="581"/>
      <c r="BI460" s="581"/>
      <c r="BJ460" s="581"/>
      <c r="BK460" s="581"/>
    </row>
    <row r="461" spans="2:63" s="248" customFormat="1">
      <c r="B461" s="247" t="s">
        <v>1773</v>
      </c>
      <c r="C461" s="247" t="s">
        <v>851</v>
      </c>
      <c r="D461" s="240"/>
      <c r="E461" s="240"/>
      <c r="F461" s="251"/>
      <c r="G461" s="251"/>
      <c r="H461" s="251"/>
      <c r="I461" s="251"/>
      <c r="J461" s="251"/>
      <c r="K461" s="251"/>
      <c r="L461" s="251"/>
      <c r="M461" s="251"/>
      <c r="N461" s="251"/>
      <c r="O461" s="251"/>
      <c r="P461" s="251"/>
      <c r="Q461" s="251"/>
      <c r="R461" s="251"/>
      <c r="S461" s="251"/>
      <c r="T461" s="251"/>
      <c r="U461" s="251"/>
      <c r="V461" s="251"/>
      <c r="W461" s="251"/>
      <c r="X461" s="251"/>
      <c r="Y461" s="251"/>
      <c r="Z461" s="251"/>
      <c r="AA461" s="251"/>
      <c r="AB461" s="251"/>
      <c r="AC461" s="251"/>
      <c r="AD461" s="251"/>
      <c r="AE461" s="251"/>
      <c r="AF461" s="251"/>
      <c r="AG461" s="251"/>
      <c r="AH461" s="251"/>
      <c r="AI461" s="251"/>
      <c r="AJ461" s="251"/>
      <c r="AK461" s="251"/>
      <c r="AL461" s="251"/>
      <c r="AM461" s="251"/>
      <c r="AN461" s="251"/>
      <c r="AO461" s="581"/>
      <c r="AP461" s="581"/>
      <c r="AQ461" s="581"/>
      <c r="AR461" s="581"/>
      <c r="AS461" s="581"/>
      <c r="AT461" s="581"/>
      <c r="AU461" s="581"/>
      <c r="AV461" s="581"/>
      <c r="AW461" s="581"/>
      <c r="AX461" s="581"/>
      <c r="AY461" s="581"/>
      <c r="AZ461" s="581"/>
      <c r="BA461" s="581"/>
      <c r="BB461" s="581"/>
      <c r="BC461" s="581"/>
      <c r="BD461" s="581"/>
      <c r="BE461" s="581"/>
      <c r="BF461" s="581"/>
      <c r="BG461" s="581"/>
      <c r="BH461" s="581"/>
      <c r="BI461" s="581"/>
      <c r="BJ461" s="581"/>
      <c r="BK461" s="581"/>
    </row>
    <row r="462" spans="2:63" s="248" customFormat="1">
      <c r="B462" s="247" t="s">
        <v>1774</v>
      </c>
      <c r="C462" s="247" t="s">
        <v>853</v>
      </c>
      <c r="D462" s="240"/>
      <c r="E462" s="240"/>
      <c r="F462" s="251"/>
      <c r="G462" s="251"/>
      <c r="H462" s="251"/>
      <c r="I462" s="251"/>
      <c r="J462" s="251"/>
      <c r="K462" s="251"/>
      <c r="L462" s="251"/>
      <c r="M462" s="251"/>
      <c r="N462" s="251"/>
      <c r="O462" s="251"/>
      <c r="P462" s="251"/>
      <c r="Q462" s="251"/>
      <c r="R462" s="251"/>
      <c r="S462" s="251"/>
      <c r="T462" s="251"/>
      <c r="U462" s="251"/>
      <c r="V462" s="251"/>
      <c r="W462" s="251"/>
      <c r="X462" s="251"/>
      <c r="Y462" s="251"/>
      <c r="Z462" s="251"/>
      <c r="AA462" s="251"/>
      <c r="AB462" s="251"/>
      <c r="AC462" s="251"/>
      <c r="AD462" s="251"/>
      <c r="AE462" s="251"/>
      <c r="AF462" s="251"/>
      <c r="AG462" s="251"/>
      <c r="AH462" s="251"/>
      <c r="AI462" s="251"/>
      <c r="AJ462" s="251"/>
      <c r="AK462" s="251"/>
      <c r="AL462" s="251"/>
      <c r="AM462" s="251"/>
      <c r="AN462" s="251"/>
      <c r="AO462" s="581"/>
      <c r="AP462" s="581"/>
      <c r="AQ462" s="581"/>
      <c r="AR462" s="581"/>
      <c r="AS462" s="581"/>
      <c r="AT462" s="581"/>
      <c r="AU462" s="581"/>
      <c r="AV462" s="581"/>
      <c r="AW462" s="581"/>
      <c r="AX462" s="581"/>
      <c r="AY462" s="581"/>
      <c r="AZ462" s="581"/>
      <c r="BA462" s="581"/>
      <c r="BB462" s="581"/>
      <c r="BC462" s="581"/>
      <c r="BD462" s="581"/>
      <c r="BE462" s="581"/>
      <c r="BF462" s="581"/>
      <c r="BG462" s="581"/>
      <c r="BH462" s="581"/>
      <c r="BI462" s="581"/>
      <c r="BJ462" s="581"/>
      <c r="BK462" s="581"/>
    </row>
    <row r="463" spans="2:63" s="248" customFormat="1">
      <c r="B463" s="247" t="s">
        <v>1775</v>
      </c>
      <c r="C463" s="247" t="s">
        <v>855</v>
      </c>
      <c r="D463" s="240"/>
      <c r="E463" s="240"/>
      <c r="F463" s="251"/>
      <c r="G463" s="251"/>
      <c r="H463" s="251"/>
      <c r="I463" s="251"/>
      <c r="J463" s="251"/>
      <c r="K463" s="251"/>
      <c r="L463" s="251"/>
      <c r="M463" s="251"/>
      <c r="N463" s="251"/>
      <c r="O463" s="251"/>
      <c r="P463" s="251"/>
      <c r="Q463" s="251"/>
      <c r="R463" s="251"/>
      <c r="S463" s="251"/>
      <c r="T463" s="251"/>
      <c r="U463" s="251"/>
      <c r="V463" s="251"/>
      <c r="W463" s="251"/>
      <c r="X463" s="251"/>
      <c r="Y463" s="251"/>
      <c r="Z463" s="251"/>
      <c r="AA463" s="251"/>
      <c r="AB463" s="251"/>
      <c r="AC463" s="251"/>
      <c r="AD463" s="251"/>
      <c r="AE463" s="251"/>
      <c r="AF463" s="251"/>
      <c r="AG463" s="251"/>
      <c r="AH463" s="251"/>
      <c r="AI463" s="251"/>
      <c r="AJ463" s="251"/>
      <c r="AK463" s="251"/>
      <c r="AL463" s="251"/>
      <c r="AM463" s="251"/>
      <c r="AN463" s="251"/>
      <c r="AO463" s="581"/>
      <c r="AP463" s="581"/>
      <c r="AQ463" s="581"/>
      <c r="AR463" s="581"/>
      <c r="AS463" s="581"/>
      <c r="AT463" s="581"/>
      <c r="AU463" s="581"/>
      <c r="AV463" s="581"/>
      <c r="AW463" s="581"/>
      <c r="AX463" s="581"/>
      <c r="AY463" s="581"/>
      <c r="AZ463" s="581"/>
      <c r="BA463" s="581"/>
      <c r="BB463" s="581"/>
      <c r="BC463" s="581"/>
      <c r="BD463" s="581"/>
      <c r="BE463" s="581"/>
      <c r="BF463" s="581"/>
      <c r="BG463" s="581"/>
      <c r="BH463" s="581"/>
      <c r="BI463" s="581"/>
      <c r="BJ463" s="581"/>
      <c r="BK463" s="581"/>
    </row>
    <row r="464" spans="2:63" s="248" customFormat="1">
      <c r="B464" s="247" t="s">
        <v>1776</v>
      </c>
      <c r="C464" s="247" t="s">
        <v>857</v>
      </c>
      <c r="D464" s="240"/>
      <c r="E464" s="240"/>
      <c r="F464" s="251"/>
      <c r="G464" s="251"/>
      <c r="H464" s="251"/>
      <c r="I464" s="251"/>
      <c r="J464" s="251"/>
      <c r="K464" s="251"/>
      <c r="L464" s="251"/>
      <c r="M464" s="251"/>
      <c r="N464" s="251"/>
      <c r="O464" s="251"/>
      <c r="P464" s="251"/>
      <c r="Q464" s="251"/>
      <c r="R464" s="251"/>
      <c r="S464" s="251"/>
      <c r="T464" s="251"/>
      <c r="U464" s="251"/>
      <c r="V464" s="251"/>
      <c r="W464" s="251"/>
      <c r="X464" s="251"/>
      <c r="Y464" s="251"/>
      <c r="Z464" s="251"/>
      <c r="AA464" s="251"/>
      <c r="AB464" s="251"/>
      <c r="AC464" s="251"/>
      <c r="AD464" s="251"/>
      <c r="AE464" s="251"/>
      <c r="AF464" s="251"/>
      <c r="AG464" s="251"/>
      <c r="AH464" s="251"/>
      <c r="AI464" s="251"/>
      <c r="AJ464" s="251"/>
      <c r="AK464" s="251"/>
      <c r="AL464" s="251"/>
      <c r="AM464" s="251"/>
      <c r="AN464" s="251"/>
      <c r="AO464" s="581"/>
      <c r="AP464" s="581"/>
      <c r="AQ464" s="581"/>
      <c r="AR464" s="581"/>
      <c r="AS464" s="581"/>
      <c r="AT464" s="581"/>
      <c r="AU464" s="581"/>
      <c r="AV464" s="581"/>
      <c r="AW464" s="581"/>
      <c r="AX464" s="581"/>
      <c r="AY464" s="581"/>
      <c r="AZ464" s="581"/>
      <c r="BA464" s="581"/>
      <c r="BB464" s="581"/>
      <c r="BC464" s="581"/>
      <c r="BD464" s="581"/>
      <c r="BE464" s="581"/>
      <c r="BF464" s="581"/>
      <c r="BG464" s="581"/>
      <c r="BH464" s="581"/>
      <c r="BI464" s="581"/>
      <c r="BJ464" s="581"/>
      <c r="BK464" s="581"/>
    </row>
    <row r="465" spans="2:63" s="248" customFormat="1">
      <c r="B465" s="247" t="s">
        <v>1777</v>
      </c>
      <c r="C465" s="247" t="s">
        <v>859</v>
      </c>
      <c r="D465" s="240"/>
      <c r="E465" s="240"/>
      <c r="F465" s="251"/>
      <c r="G465" s="251"/>
      <c r="H465" s="251"/>
      <c r="I465" s="251"/>
      <c r="J465" s="251"/>
      <c r="K465" s="251"/>
      <c r="L465" s="251"/>
      <c r="M465" s="251"/>
      <c r="N465" s="251"/>
      <c r="O465" s="251"/>
      <c r="P465" s="251"/>
      <c r="Q465" s="251"/>
      <c r="R465" s="251"/>
      <c r="S465" s="251"/>
      <c r="T465" s="251"/>
      <c r="U465" s="251"/>
      <c r="V465" s="251"/>
      <c r="W465" s="251"/>
      <c r="X465" s="251"/>
      <c r="Y465" s="251"/>
      <c r="Z465" s="251"/>
      <c r="AA465" s="251"/>
      <c r="AB465" s="251"/>
      <c r="AC465" s="251"/>
      <c r="AD465" s="251"/>
      <c r="AE465" s="251"/>
      <c r="AF465" s="251"/>
      <c r="AG465" s="251"/>
      <c r="AH465" s="251"/>
      <c r="AI465" s="251"/>
      <c r="AJ465" s="251"/>
      <c r="AK465" s="251"/>
      <c r="AL465" s="251"/>
      <c r="AM465" s="251"/>
      <c r="AN465" s="251"/>
      <c r="AO465" s="581"/>
      <c r="AP465" s="581"/>
      <c r="AQ465" s="581"/>
      <c r="AR465" s="581"/>
      <c r="AS465" s="581"/>
      <c r="AT465" s="581"/>
      <c r="AU465" s="581"/>
      <c r="AV465" s="581"/>
      <c r="AW465" s="581"/>
      <c r="AX465" s="581"/>
      <c r="AY465" s="581"/>
      <c r="AZ465" s="581"/>
      <c r="BA465" s="581"/>
      <c r="BB465" s="581"/>
      <c r="BC465" s="581"/>
      <c r="BD465" s="581"/>
      <c r="BE465" s="581"/>
      <c r="BF465" s="581"/>
      <c r="BG465" s="581"/>
      <c r="BH465" s="581"/>
      <c r="BI465" s="581"/>
      <c r="BJ465" s="581"/>
      <c r="BK465" s="581"/>
    </row>
    <row r="466" spans="2:63" s="248" customFormat="1">
      <c r="B466" s="247" t="s">
        <v>1778</v>
      </c>
      <c r="C466" s="247" t="s">
        <v>861</v>
      </c>
      <c r="D466" s="240"/>
      <c r="E466" s="240"/>
      <c r="F466" s="251"/>
      <c r="G466" s="251"/>
      <c r="H466" s="251"/>
      <c r="I466" s="251"/>
      <c r="J466" s="251"/>
      <c r="K466" s="251"/>
      <c r="L466" s="251"/>
      <c r="M466" s="251"/>
      <c r="N466" s="251"/>
      <c r="O466" s="251"/>
      <c r="P466" s="251"/>
      <c r="Q466" s="251"/>
      <c r="R466" s="251"/>
      <c r="S466" s="251"/>
      <c r="T466" s="251"/>
      <c r="U466" s="251"/>
      <c r="V466" s="251"/>
      <c r="W466" s="251"/>
      <c r="X466" s="251"/>
      <c r="Y466" s="251"/>
      <c r="Z466" s="251"/>
      <c r="AA466" s="251"/>
      <c r="AB466" s="251"/>
      <c r="AC466" s="251"/>
      <c r="AD466" s="251"/>
      <c r="AE466" s="251"/>
      <c r="AF466" s="251"/>
      <c r="AG466" s="251"/>
      <c r="AH466" s="251"/>
      <c r="AI466" s="251"/>
      <c r="AJ466" s="251"/>
      <c r="AK466" s="251"/>
      <c r="AL466" s="251"/>
      <c r="AM466" s="251"/>
      <c r="AN466" s="251"/>
      <c r="AO466" s="581"/>
      <c r="AP466" s="581"/>
      <c r="AQ466" s="581"/>
      <c r="AR466" s="581"/>
      <c r="AS466" s="581"/>
      <c r="AT466" s="581"/>
      <c r="AU466" s="581"/>
      <c r="AV466" s="581"/>
      <c r="AW466" s="581"/>
      <c r="AX466" s="581"/>
      <c r="AY466" s="581"/>
      <c r="AZ466" s="581"/>
      <c r="BA466" s="581"/>
      <c r="BB466" s="581"/>
      <c r="BC466" s="581"/>
      <c r="BD466" s="581"/>
      <c r="BE466" s="581"/>
      <c r="BF466" s="581"/>
      <c r="BG466" s="581"/>
      <c r="BH466" s="581"/>
      <c r="BI466" s="581"/>
      <c r="BJ466" s="581"/>
      <c r="BK466" s="581"/>
    </row>
    <row r="467" spans="2:63" s="248" customFormat="1">
      <c r="B467" s="247" t="s">
        <v>1779</v>
      </c>
      <c r="C467" s="247" t="s">
        <v>863</v>
      </c>
      <c r="D467" s="240"/>
      <c r="E467" s="240"/>
      <c r="F467" s="251"/>
      <c r="G467" s="251"/>
      <c r="H467" s="251"/>
      <c r="I467" s="251"/>
      <c r="J467" s="251"/>
      <c r="K467" s="251"/>
      <c r="L467" s="251"/>
      <c r="M467" s="251"/>
      <c r="N467" s="251"/>
      <c r="O467" s="251"/>
      <c r="P467" s="251"/>
      <c r="Q467" s="251"/>
      <c r="R467" s="251"/>
      <c r="S467" s="251"/>
      <c r="T467" s="251"/>
      <c r="U467" s="251"/>
      <c r="V467" s="251"/>
      <c r="W467" s="251"/>
      <c r="X467" s="251"/>
      <c r="Y467" s="251"/>
      <c r="Z467" s="251"/>
      <c r="AA467" s="251"/>
      <c r="AB467" s="251"/>
      <c r="AC467" s="251"/>
      <c r="AD467" s="251"/>
      <c r="AE467" s="251"/>
      <c r="AF467" s="251"/>
      <c r="AG467" s="251"/>
      <c r="AH467" s="251"/>
      <c r="AI467" s="251"/>
      <c r="AJ467" s="251"/>
      <c r="AK467" s="251"/>
      <c r="AL467" s="251"/>
      <c r="AM467" s="251"/>
      <c r="AN467" s="251"/>
      <c r="AO467" s="581"/>
      <c r="AP467" s="581"/>
      <c r="AQ467" s="581"/>
      <c r="AR467" s="581"/>
      <c r="AS467" s="581"/>
      <c r="AT467" s="581"/>
      <c r="AU467" s="581"/>
      <c r="AV467" s="581"/>
      <c r="AW467" s="581"/>
      <c r="AX467" s="581"/>
      <c r="AY467" s="581"/>
      <c r="AZ467" s="581"/>
      <c r="BA467" s="581"/>
      <c r="BB467" s="581"/>
      <c r="BC467" s="581"/>
      <c r="BD467" s="581"/>
      <c r="BE467" s="581"/>
      <c r="BF467" s="581"/>
      <c r="BG467" s="581"/>
      <c r="BH467" s="581"/>
      <c r="BI467" s="581"/>
      <c r="BJ467" s="581"/>
      <c r="BK467" s="581"/>
    </row>
    <row r="468" spans="2:63" s="248" customFormat="1">
      <c r="B468" s="247" t="s">
        <v>1780</v>
      </c>
      <c r="C468" s="247" t="s">
        <v>865</v>
      </c>
      <c r="D468" s="240"/>
      <c r="E468" s="240"/>
      <c r="F468" s="251"/>
      <c r="G468" s="251"/>
      <c r="H468" s="251"/>
      <c r="I468" s="251"/>
      <c r="J468" s="251"/>
      <c r="K468" s="251"/>
      <c r="L468" s="251"/>
      <c r="M468" s="251"/>
      <c r="N468" s="251"/>
      <c r="O468" s="251"/>
      <c r="P468" s="251"/>
      <c r="Q468" s="251"/>
      <c r="R468" s="251"/>
      <c r="S468" s="251"/>
      <c r="T468" s="251"/>
      <c r="U468" s="251"/>
      <c r="V468" s="251"/>
      <c r="W468" s="251"/>
      <c r="X468" s="251"/>
      <c r="Y468" s="251"/>
      <c r="Z468" s="251"/>
      <c r="AA468" s="251"/>
      <c r="AB468" s="251"/>
      <c r="AC468" s="251"/>
      <c r="AD468" s="251"/>
      <c r="AE468" s="251"/>
      <c r="AF468" s="251"/>
      <c r="AG468" s="251"/>
      <c r="AH468" s="251"/>
      <c r="AI468" s="251"/>
      <c r="AJ468" s="251"/>
      <c r="AK468" s="251"/>
      <c r="AL468" s="251"/>
      <c r="AM468" s="251"/>
      <c r="AN468" s="251"/>
      <c r="AO468" s="581"/>
      <c r="AP468" s="581"/>
      <c r="AQ468" s="581"/>
      <c r="AR468" s="581"/>
      <c r="AS468" s="581"/>
      <c r="AT468" s="581"/>
      <c r="AU468" s="581"/>
      <c r="AV468" s="581"/>
      <c r="AW468" s="581"/>
      <c r="AX468" s="581"/>
      <c r="AY468" s="581"/>
      <c r="AZ468" s="581"/>
      <c r="BA468" s="581"/>
      <c r="BB468" s="581"/>
      <c r="BC468" s="581"/>
      <c r="BD468" s="581"/>
      <c r="BE468" s="581"/>
      <c r="BF468" s="581"/>
      <c r="BG468" s="581"/>
      <c r="BH468" s="581"/>
      <c r="BI468" s="581"/>
      <c r="BJ468" s="581"/>
      <c r="BK468" s="581"/>
    </row>
    <row r="469" spans="2:63" s="248" customFormat="1">
      <c r="B469" s="247" t="s">
        <v>1781</v>
      </c>
      <c r="C469" s="247" t="s">
        <v>867</v>
      </c>
      <c r="D469" s="240"/>
      <c r="E469" s="240"/>
      <c r="F469" s="251"/>
      <c r="G469" s="251"/>
      <c r="H469" s="251"/>
      <c r="I469" s="251"/>
      <c r="J469" s="251"/>
      <c r="K469" s="251"/>
      <c r="L469" s="251"/>
      <c r="M469" s="251"/>
      <c r="N469" s="251"/>
      <c r="O469" s="251"/>
      <c r="P469" s="251"/>
      <c r="Q469" s="251"/>
      <c r="R469" s="251"/>
      <c r="S469" s="251"/>
      <c r="T469" s="251"/>
      <c r="U469" s="251"/>
      <c r="V469" s="251"/>
      <c r="W469" s="251"/>
      <c r="X469" s="251"/>
      <c r="Y469" s="251"/>
      <c r="Z469" s="251"/>
      <c r="AA469" s="251"/>
      <c r="AB469" s="251"/>
      <c r="AC469" s="251"/>
      <c r="AD469" s="251"/>
      <c r="AE469" s="251"/>
      <c r="AF469" s="251"/>
      <c r="AG469" s="251"/>
      <c r="AH469" s="251"/>
      <c r="AI469" s="251"/>
      <c r="AJ469" s="251"/>
      <c r="AK469" s="251"/>
      <c r="AL469" s="251"/>
      <c r="AM469" s="251"/>
      <c r="AN469" s="251"/>
      <c r="AO469" s="581"/>
      <c r="AP469" s="581"/>
      <c r="AQ469" s="581"/>
      <c r="AR469" s="581"/>
      <c r="AS469" s="581"/>
      <c r="AT469" s="581"/>
      <c r="AU469" s="581"/>
      <c r="AV469" s="581"/>
      <c r="AW469" s="581"/>
      <c r="AX469" s="581"/>
      <c r="AY469" s="581"/>
      <c r="AZ469" s="581"/>
      <c r="BA469" s="581"/>
      <c r="BB469" s="581"/>
      <c r="BC469" s="581"/>
      <c r="BD469" s="581"/>
      <c r="BE469" s="581"/>
      <c r="BF469" s="581"/>
      <c r="BG469" s="581"/>
      <c r="BH469" s="581"/>
      <c r="BI469" s="581"/>
      <c r="BJ469" s="581"/>
      <c r="BK469" s="581"/>
    </row>
    <row r="470" spans="2:63" s="248" customFormat="1">
      <c r="B470" s="247" t="s">
        <v>1782</v>
      </c>
      <c r="C470" s="247" t="s">
        <v>869</v>
      </c>
      <c r="D470" s="240"/>
      <c r="E470" s="240"/>
      <c r="F470" s="251"/>
      <c r="G470" s="251"/>
      <c r="H470" s="251"/>
      <c r="I470" s="251"/>
      <c r="J470" s="251"/>
      <c r="K470" s="249">
        <f>+Quarterly!G31</f>
        <v>2090.6</v>
      </c>
      <c r="L470" s="249">
        <f>+Quarterly!H31</f>
        <v>2035.8</v>
      </c>
      <c r="M470" s="249">
        <f>+Quarterly!I31</f>
        <v>1860.3</v>
      </c>
      <c r="N470" s="249">
        <f>+Quarterly!J31</f>
        <v>2025.5</v>
      </c>
      <c r="O470" s="249">
        <f>+Quarterly!K31</f>
        <v>1904.4</v>
      </c>
      <c r="P470" s="249">
        <f>+Quarterly!L31</f>
        <v>2276.1999999999998</v>
      </c>
      <c r="Q470" s="249">
        <f>+Quarterly!M31</f>
        <v>2049</v>
      </c>
      <c r="R470" s="249">
        <f>+Quarterly!N31</f>
        <v>1907.8000000000002</v>
      </c>
      <c r="S470" s="249">
        <f>+Quarterly!O31</f>
        <v>2231.1999999999998</v>
      </c>
      <c r="T470" s="249">
        <f>+Quarterly!P31</f>
        <v>2312.1999999999998</v>
      </c>
      <c r="U470" s="249">
        <f>+Quarterly!Q31</f>
        <v>2223.8000000000002</v>
      </c>
      <c r="V470" s="249">
        <f>+Quarterly!R31</f>
        <v>1818</v>
      </c>
      <c r="W470" s="249">
        <f>+Quarterly!S31</f>
        <v>2185.6</v>
      </c>
      <c r="X470" s="249">
        <f>+Quarterly!T31</f>
        <v>2593.1000000000004</v>
      </c>
      <c r="Y470" s="249">
        <f>+Quarterly!U31</f>
        <v>2385.6</v>
      </c>
      <c r="Z470" s="249">
        <f>+Quarterly!V31</f>
        <v>2307</v>
      </c>
      <c r="AA470" s="249">
        <f>+Quarterly!W31</f>
        <v>2574.8000000000002</v>
      </c>
      <c r="AB470" s="249">
        <f>+Quarterly!X31</f>
        <v>3172.5</v>
      </c>
      <c r="AC470" s="249">
        <f>+Quarterly!Y31</f>
        <v>3061.1</v>
      </c>
      <c r="AD470" s="249">
        <f>+Quarterly!Z31</f>
        <v>2986.8</v>
      </c>
      <c r="AE470" s="249">
        <f>+Quarterly!AA31</f>
        <v>3255.2000000000003</v>
      </c>
      <c r="AF470" s="249">
        <f>+Quarterly!AB31</f>
        <v>3353.3999999999996</v>
      </c>
      <c r="AG470" s="249">
        <f>+Quarterly!AC31</f>
        <v>3206.6</v>
      </c>
      <c r="AH470" s="249">
        <f>+Quarterly!AD31</f>
        <v>3344.3</v>
      </c>
      <c r="AI470" s="249">
        <f>+Quarterly!AE31</f>
        <v>3180.7</v>
      </c>
      <c r="AJ470" s="249">
        <f>+Quarterly!AF31</f>
        <v>3516.2000000000003</v>
      </c>
      <c r="AK470" s="249">
        <f>+Quarterly!AG31</f>
        <v>3405.2</v>
      </c>
      <c r="AL470" s="249">
        <f>+Quarterly!AH31</f>
        <v>3540</v>
      </c>
      <c r="AM470" s="249">
        <f>+Quarterly!AI31</f>
        <v>3652.6000000000004</v>
      </c>
      <c r="AN470" s="249">
        <f>+Quarterly!AL31</f>
        <v>4508.4000000000005</v>
      </c>
      <c r="AO470" s="581"/>
      <c r="AP470" s="581"/>
      <c r="AQ470" s="581"/>
      <c r="AR470" s="581"/>
      <c r="AS470" s="581"/>
      <c r="AT470" s="581"/>
      <c r="AU470" s="581"/>
      <c r="AV470" s="581"/>
      <c r="AW470" s="581"/>
      <c r="AX470" s="581"/>
      <c r="AY470" s="581"/>
      <c r="AZ470" s="581"/>
      <c r="BA470" s="581"/>
      <c r="BB470" s="581"/>
      <c r="BC470" s="581"/>
      <c r="BD470" s="581"/>
      <c r="BE470" s="581"/>
      <c r="BF470" s="581"/>
      <c r="BG470" s="581"/>
      <c r="BH470" s="581"/>
      <c r="BI470" s="581"/>
      <c r="BJ470" s="581"/>
      <c r="BK470" s="581"/>
    </row>
    <row r="471" spans="2:63" s="245" customFormat="1">
      <c r="B471" s="243" t="s">
        <v>1783</v>
      </c>
      <c r="C471" s="243" t="s">
        <v>871</v>
      </c>
      <c r="F471" s="245">
        <f t="shared" ref="F471:AD471" si="763">SUM(F472:F473)</f>
        <v>0</v>
      </c>
      <c r="G471" s="245">
        <f t="shared" si="763"/>
        <v>0</v>
      </c>
      <c r="H471" s="245">
        <f t="shared" si="763"/>
        <v>0</v>
      </c>
      <c r="I471" s="245">
        <f t="shared" si="763"/>
        <v>0</v>
      </c>
      <c r="J471" s="245">
        <f t="shared" si="763"/>
        <v>0</v>
      </c>
      <c r="K471" s="245">
        <f t="shared" si="763"/>
        <v>0</v>
      </c>
      <c r="L471" s="245">
        <f t="shared" si="763"/>
        <v>0</v>
      </c>
      <c r="M471" s="245">
        <f t="shared" si="763"/>
        <v>0</v>
      </c>
      <c r="N471" s="245">
        <f t="shared" si="763"/>
        <v>0</v>
      </c>
      <c r="O471" s="245">
        <f t="shared" si="763"/>
        <v>0</v>
      </c>
      <c r="P471" s="245">
        <f t="shared" si="763"/>
        <v>0</v>
      </c>
      <c r="Q471" s="245">
        <f t="shared" si="763"/>
        <v>0</v>
      </c>
      <c r="R471" s="245">
        <f t="shared" si="763"/>
        <v>0</v>
      </c>
      <c r="S471" s="245">
        <f t="shared" si="763"/>
        <v>0</v>
      </c>
      <c r="T471" s="245">
        <f t="shared" si="763"/>
        <v>0</v>
      </c>
      <c r="U471" s="245">
        <f t="shared" si="763"/>
        <v>0</v>
      </c>
      <c r="V471" s="245">
        <f t="shared" si="763"/>
        <v>0</v>
      </c>
      <c r="W471" s="245">
        <f t="shared" si="763"/>
        <v>0</v>
      </c>
      <c r="X471" s="245">
        <f t="shared" si="763"/>
        <v>0</v>
      </c>
      <c r="Y471" s="245">
        <f t="shared" si="763"/>
        <v>0</v>
      </c>
      <c r="Z471" s="245">
        <f t="shared" si="763"/>
        <v>0</v>
      </c>
      <c r="AA471" s="245">
        <f t="shared" si="763"/>
        <v>0</v>
      </c>
      <c r="AB471" s="245">
        <f t="shared" si="763"/>
        <v>0</v>
      </c>
      <c r="AC471" s="245">
        <f t="shared" si="763"/>
        <v>0</v>
      </c>
      <c r="AD471" s="245">
        <f t="shared" si="763"/>
        <v>0</v>
      </c>
      <c r="AE471" s="245">
        <f>SUM(AE472:AE473)</f>
        <v>0</v>
      </c>
      <c r="AF471" s="245">
        <f t="shared" ref="AF471:AL471" si="764">SUM(AF472:AF473)</f>
        <v>0</v>
      </c>
      <c r="AG471" s="245">
        <f t="shared" si="764"/>
        <v>0</v>
      </c>
      <c r="AH471" s="245">
        <f t="shared" si="764"/>
        <v>0</v>
      </c>
      <c r="AI471" s="245">
        <f t="shared" si="764"/>
        <v>0</v>
      </c>
      <c r="AJ471" s="245">
        <f t="shared" si="764"/>
        <v>0</v>
      </c>
      <c r="AK471" s="245">
        <f t="shared" si="764"/>
        <v>0</v>
      </c>
      <c r="AL471" s="245">
        <f t="shared" si="764"/>
        <v>0</v>
      </c>
      <c r="AM471" s="245">
        <f>SUM(AM472:AM473)</f>
        <v>0</v>
      </c>
      <c r="AN471" s="245">
        <f>SUM(AN472:AN473)</f>
        <v>0</v>
      </c>
      <c r="AO471" s="580">
        <f t="shared" ref="AO471:BK471" si="765">SUM(AO472:AO473)</f>
        <v>0</v>
      </c>
      <c r="AP471" s="580">
        <f t="shared" si="765"/>
        <v>0</v>
      </c>
      <c r="AQ471" s="580">
        <f t="shared" si="765"/>
        <v>0</v>
      </c>
      <c r="AR471" s="580">
        <f t="shared" si="765"/>
        <v>0</v>
      </c>
      <c r="AS471" s="580">
        <f t="shared" si="765"/>
        <v>0</v>
      </c>
      <c r="AT471" s="580">
        <f t="shared" si="765"/>
        <v>0</v>
      </c>
      <c r="AU471" s="580">
        <f t="shared" si="765"/>
        <v>0</v>
      </c>
      <c r="AV471" s="580">
        <f t="shared" si="765"/>
        <v>0</v>
      </c>
      <c r="AW471" s="580">
        <f t="shared" si="765"/>
        <v>0</v>
      </c>
      <c r="AX471" s="580">
        <f t="shared" si="765"/>
        <v>0</v>
      </c>
      <c r="AY471" s="580">
        <f t="shared" si="765"/>
        <v>0</v>
      </c>
      <c r="AZ471" s="580">
        <f t="shared" si="765"/>
        <v>0</v>
      </c>
      <c r="BA471" s="580">
        <f t="shared" si="765"/>
        <v>0</v>
      </c>
      <c r="BB471" s="580">
        <f t="shared" si="765"/>
        <v>0</v>
      </c>
      <c r="BC471" s="580">
        <f t="shared" si="765"/>
        <v>0</v>
      </c>
      <c r="BD471" s="580">
        <f t="shared" si="765"/>
        <v>0</v>
      </c>
      <c r="BE471" s="580">
        <f t="shared" si="765"/>
        <v>0</v>
      </c>
      <c r="BF471" s="580">
        <f t="shared" si="765"/>
        <v>0</v>
      </c>
      <c r="BG471" s="580">
        <f t="shared" si="765"/>
        <v>0</v>
      </c>
      <c r="BH471" s="580">
        <f t="shared" si="765"/>
        <v>0</v>
      </c>
      <c r="BI471" s="580">
        <f t="shared" si="765"/>
        <v>0</v>
      </c>
      <c r="BJ471" s="580">
        <f t="shared" si="765"/>
        <v>0</v>
      </c>
      <c r="BK471" s="580">
        <f t="shared" si="765"/>
        <v>0</v>
      </c>
    </row>
    <row r="472" spans="2:63" s="248" customFormat="1">
      <c r="B472" s="247" t="s">
        <v>1784</v>
      </c>
      <c r="C472" s="247" t="s">
        <v>873</v>
      </c>
      <c r="D472" s="240"/>
      <c r="E472" s="240"/>
      <c r="F472" s="251"/>
      <c r="G472" s="251"/>
      <c r="H472" s="251"/>
      <c r="I472" s="251"/>
      <c r="J472" s="251"/>
      <c r="K472" s="251"/>
      <c r="L472" s="251"/>
      <c r="M472" s="251"/>
      <c r="N472" s="251"/>
      <c r="O472" s="251"/>
      <c r="P472" s="251"/>
      <c r="Q472" s="251"/>
      <c r="R472" s="251"/>
      <c r="S472" s="251"/>
      <c r="T472" s="251"/>
      <c r="U472" s="251"/>
      <c r="V472" s="251"/>
      <c r="W472" s="251"/>
      <c r="X472" s="251"/>
      <c r="Y472" s="251"/>
      <c r="Z472" s="251"/>
      <c r="AA472" s="251"/>
      <c r="AB472" s="251"/>
      <c r="AC472" s="251"/>
      <c r="AD472" s="251"/>
      <c r="AE472" s="251"/>
      <c r="AF472" s="251"/>
      <c r="AG472" s="251"/>
      <c r="AH472" s="251"/>
      <c r="AI472" s="251"/>
      <c r="AJ472" s="251"/>
      <c r="AK472" s="251"/>
      <c r="AL472" s="251"/>
      <c r="AM472" s="251"/>
      <c r="AN472" s="251"/>
      <c r="AO472" s="579"/>
      <c r="AP472" s="579"/>
      <c r="AQ472" s="579"/>
      <c r="AR472" s="579"/>
      <c r="AS472" s="579"/>
      <c r="AT472" s="579"/>
      <c r="AU472" s="579"/>
      <c r="AV472" s="579"/>
      <c r="AW472" s="579"/>
      <c r="AX472" s="579"/>
      <c r="AY472" s="579"/>
      <c r="AZ472" s="579"/>
      <c r="BA472" s="579"/>
      <c r="BB472" s="579"/>
      <c r="BC472" s="579"/>
      <c r="BD472" s="579"/>
      <c r="BE472" s="579"/>
      <c r="BF472" s="579"/>
      <c r="BG472" s="579"/>
      <c r="BH472" s="579"/>
      <c r="BI472" s="579"/>
      <c r="BJ472" s="579"/>
      <c r="BK472" s="579"/>
    </row>
    <row r="473" spans="2:63" s="248" customFormat="1">
      <c r="B473" s="247" t="s">
        <v>1785</v>
      </c>
      <c r="C473" s="247" t="s">
        <v>875</v>
      </c>
      <c r="D473" s="240"/>
      <c r="E473" s="240"/>
      <c r="F473" s="251"/>
      <c r="G473" s="251"/>
      <c r="H473" s="251"/>
      <c r="I473" s="251"/>
      <c r="J473" s="251"/>
      <c r="K473" s="251"/>
      <c r="L473" s="251"/>
      <c r="M473" s="251"/>
      <c r="N473" s="251"/>
      <c r="O473" s="251"/>
      <c r="P473" s="251"/>
      <c r="Q473" s="251"/>
      <c r="R473" s="251"/>
      <c r="S473" s="251"/>
      <c r="T473" s="251"/>
      <c r="U473" s="251"/>
      <c r="V473" s="251"/>
      <c r="W473" s="251"/>
      <c r="X473" s="251"/>
      <c r="Y473" s="251"/>
      <c r="Z473" s="251"/>
      <c r="AA473" s="251"/>
      <c r="AB473" s="251"/>
      <c r="AC473" s="251"/>
      <c r="AD473" s="251"/>
      <c r="AE473" s="251"/>
      <c r="AF473" s="251"/>
      <c r="AG473" s="251"/>
      <c r="AH473" s="251"/>
      <c r="AI473" s="251"/>
      <c r="AJ473" s="251"/>
      <c r="AK473" s="251"/>
      <c r="AL473" s="251"/>
      <c r="AM473" s="251"/>
      <c r="AN473" s="251"/>
      <c r="AO473" s="579"/>
      <c r="AP473" s="579"/>
      <c r="AQ473" s="579"/>
      <c r="AR473" s="579"/>
      <c r="AS473" s="579"/>
      <c r="AT473" s="579"/>
      <c r="AU473" s="579"/>
      <c r="AV473" s="579"/>
      <c r="AW473" s="579"/>
      <c r="AX473" s="579"/>
      <c r="AY473" s="579"/>
      <c r="AZ473" s="579"/>
      <c r="BA473" s="579"/>
      <c r="BB473" s="579"/>
      <c r="BC473" s="579"/>
      <c r="BD473" s="579"/>
      <c r="BE473" s="579"/>
      <c r="BF473" s="579"/>
      <c r="BG473" s="579"/>
      <c r="BH473" s="579"/>
      <c r="BI473" s="579"/>
      <c r="BJ473" s="579"/>
      <c r="BK473" s="579"/>
    </row>
    <row r="474" spans="2:63" s="245" customFormat="1">
      <c r="B474" s="243" t="s">
        <v>1786</v>
      </c>
      <c r="C474" s="243" t="s">
        <v>877</v>
      </c>
      <c r="F474" s="245">
        <f t="shared" ref="F474:AD474" si="766">SUM(F475:F481)</f>
        <v>0</v>
      </c>
      <c r="G474" s="245">
        <f t="shared" si="766"/>
        <v>0</v>
      </c>
      <c r="H474" s="245">
        <f t="shared" si="766"/>
        <v>0</v>
      </c>
      <c r="I474" s="245">
        <f t="shared" si="766"/>
        <v>0</v>
      </c>
      <c r="J474" s="245">
        <f t="shared" si="766"/>
        <v>0</v>
      </c>
      <c r="K474" s="245">
        <f t="shared" si="766"/>
        <v>0</v>
      </c>
      <c r="L474" s="245">
        <f t="shared" si="766"/>
        <v>0</v>
      </c>
      <c r="M474" s="245">
        <f t="shared" si="766"/>
        <v>0</v>
      </c>
      <c r="N474" s="245">
        <f t="shared" si="766"/>
        <v>0</v>
      </c>
      <c r="O474" s="245">
        <f t="shared" si="766"/>
        <v>0</v>
      </c>
      <c r="P474" s="245">
        <f t="shared" si="766"/>
        <v>0</v>
      </c>
      <c r="Q474" s="245">
        <f t="shared" si="766"/>
        <v>0</v>
      </c>
      <c r="R474" s="245">
        <f t="shared" si="766"/>
        <v>0</v>
      </c>
      <c r="S474" s="245">
        <f t="shared" si="766"/>
        <v>0</v>
      </c>
      <c r="T474" s="245">
        <f t="shared" si="766"/>
        <v>0</v>
      </c>
      <c r="U474" s="245">
        <f t="shared" si="766"/>
        <v>0</v>
      </c>
      <c r="V474" s="245">
        <f t="shared" si="766"/>
        <v>0</v>
      </c>
      <c r="W474" s="245">
        <f t="shared" si="766"/>
        <v>0</v>
      </c>
      <c r="X474" s="245">
        <f t="shared" si="766"/>
        <v>0</v>
      </c>
      <c r="Y474" s="245">
        <f t="shared" si="766"/>
        <v>0</v>
      </c>
      <c r="Z474" s="245">
        <f t="shared" si="766"/>
        <v>0</v>
      </c>
      <c r="AA474" s="245">
        <f t="shared" si="766"/>
        <v>0</v>
      </c>
      <c r="AB474" s="245">
        <f t="shared" si="766"/>
        <v>0</v>
      </c>
      <c r="AC474" s="245">
        <f t="shared" si="766"/>
        <v>0</v>
      </c>
      <c r="AD474" s="245">
        <f t="shared" si="766"/>
        <v>0</v>
      </c>
      <c r="AE474" s="245">
        <f>SUM(AE475:AE481)</f>
        <v>0</v>
      </c>
      <c r="AF474" s="245">
        <f t="shared" ref="AF474:AL474" si="767">SUM(AF475:AF481)</f>
        <v>0</v>
      </c>
      <c r="AG474" s="245">
        <f t="shared" si="767"/>
        <v>0</v>
      </c>
      <c r="AH474" s="245">
        <f t="shared" si="767"/>
        <v>0</v>
      </c>
      <c r="AI474" s="245">
        <f t="shared" si="767"/>
        <v>0</v>
      </c>
      <c r="AJ474" s="245">
        <f t="shared" si="767"/>
        <v>0</v>
      </c>
      <c r="AK474" s="245">
        <f t="shared" si="767"/>
        <v>0</v>
      </c>
      <c r="AL474" s="245">
        <f t="shared" si="767"/>
        <v>0</v>
      </c>
      <c r="AM474" s="245">
        <f>SUM(AM475:AM481)</f>
        <v>0</v>
      </c>
      <c r="AN474" s="245">
        <f>SUM(AN475:AN481)</f>
        <v>0</v>
      </c>
      <c r="AO474" s="580">
        <f t="shared" ref="AO474:BK474" si="768">SUM(AO475:AO481)</f>
        <v>0</v>
      </c>
      <c r="AP474" s="580">
        <f t="shared" si="768"/>
        <v>0</v>
      </c>
      <c r="AQ474" s="580">
        <f t="shared" si="768"/>
        <v>0</v>
      </c>
      <c r="AR474" s="580">
        <f t="shared" si="768"/>
        <v>0</v>
      </c>
      <c r="AS474" s="580">
        <f t="shared" si="768"/>
        <v>0</v>
      </c>
      <c r="AT474" s="580">
        <f t="shared" si="768"/>
        <v>0</v>
      </c>
      <c r="AU474" s="580">
        <f t="shared" si="768"/>
        <v>0</v>
      </c>
      <c r="AV474" s="580">
        <f t="shared" si="768"/>
        <v>0</v>
      </c>
      <c r="AW474" s="580">
        <f t="shared" si="768"/>
        <v>0</v>
      </c>
      <c r="AX474" s="580">
        <f t="shared" si="768"/>
        <v>0</v>
      </c>
      <c r="AY474" s="580">
        <f t="shared" si="768"/>
        <v>0</v>
      </c>
      <c r="AZ474" s="580">
        <f t="shared" si="768"/>
        <v>0</v>
      </c>
      <c r="BA474" s="580">
        <f t="shared" si="768"/>
        <v>0</v>
      </c>
      <c r="BB474" s="580">
        <f t="shared" si="768"/>
        <v>0</v>
      </c>
      <c r="BC474" s="580">
        <f t="shared" si="768"/>
        <v>0</v>
      </c>
      <c r="BD474" s="580">
        <f t="shared" si="768"/>
        <v>0</v>
      </c>
      <c r="BE474" s="580">
        <f t="shared" si="768"/>
        <v>0</v>
      </c>
      <c r="BF474" s="580">
        <f t="shared" si="768"/>
        <v>0</v>
      </c>
      <c r="BG474" s="580">
        <f t="shared" si="768"/>
        <v>0</v>
      </c>
      <c r="BH474" s="580">
        <f t="shared" si="768"/>
        <v>0</v>
      </c>
      <c r="BI474" s="580">
        <f t="shared" si="768"/>
        <v>0</v>
      </c>
      <c r="BJ474" s="580">
        <f t="shared" si="768"/>
        <v>0</v>
      </c>
      <c r="BK474" s="580">
        <f t="shared" si="768"/>
        <v>0</v>
      </c>
    </row>
    <row r="475" spans="2:63" s="248" customFormat="1">
      <c r="B475" s="247" t="s">
        <v>1787</v>
      </c>
      <c r="C475" s="247" t="s">
        <v>879</v>
      </c>
      <c r="D475" s="240"/>
      <c r="E475" s="240"/>
      <c r="F475" s="251"/>
      <c r="G475" s="251"/>
      <c r="H475" s="251"/>
      <c r="I475" s="251"/>
      <c r="J475" s="251"/>
      <c r="K475" s="251"/>
      <c r="L475" s="251"/>
      <c r="M475" s="251"/>
      <c r="N475" s="251"/>
      <c r="O475" s="251"/>
      <c r="P475" s="251"/>
      <c r="Q475" s="251"/>
      <c r="R475" s="251"/>
      <c r="S475" s="251"/>
      <c r="T475" s="251"/>
      <c r="U475" s="251"/>
      <c r="V475" s="251"/>
      <c r="W475" s="251"/>
      <c r="X475" s="251"/>
      <c r="Y475" s="251"/>
      <c r="Z475" s="251"/>
      <c r="AA475" s="251"/>
      <c r="AB475" s="251"/>
      <c r="AC475" s="251"/>
      <c r="AD475" s="251"/>
      <c r="AE475" s="251"/>
      <c r="AF475" s="251"/>
      <c r="AG475" s="251"/>
      <c r="AH475" s="251"/>
      <c r="AI475" s="251"/>
      <c r="AJ475" s="251"/>
      <c r="AK475" s="251"/>
      <c r="AL475" s="251"/>
      <c r="AM475" s="251"/>
      <c r="AN475" s="251"/>
      <c r="AO475" s="579"/>
      <c r="AP475" s="579"/>
      <c r="AQ475" s="579"/>
      <c r="AR475" s="579"/>
      <c r="AS475" s="579"/>
      <c r="AT475" s="579"/>
      <c r="AU475" s="579"/>
      <c r="AV475" s="579"/>
      <c r="AW475" s="579"/>
      <c r="AX475" s="579"/>
      <c r="AY475" s="579"/>
      <c r="AZ475" s="579"/>
      <c r="BA475" s="579"/>
      <c r="BB475" s="579"/>
      <c r="BC475" s="579"/>
      <c r="BD475" s="579"/>
      <c r="BE475" s="579"/>
      <c r="BF475" s="579"/>
      <c r="BG475" s="579"/>
      <c r="BH475" s="579"/>
      <c r="BI475" s="579"/>
      <c r="BJ475" s="579"/>
      <c r="BK475" s="579"/>
    </row>
    <row r="476" spans="2:63" s="248" customFormat="1">
      <c r="B476" s="247" t="s">
        <v>1788</v>
      </c>
      <c r="C476" s="247" t="s">
        <v>881</v>
      </c>
      <c r="D476" s="240"/>
      <c r="E476" s="240"/>
      <c r="F476" s="251"/>
      <c r="G476" s="251"/>
      <c r="H476" s="251"/>
      <c r="I476" s="251"/>
      <c r="J476" s="251"/>
      <c r="K476" s="251"/>
      <c r="L476" s="251"/>
      <c r="M476" s="251"/>
      <c r="N476" s="251"/>
      <c r="O476" s="251"/>
      <c r="P476" s="251"/>
      <c r="Q476" s="251"/>
      <c r="R476" s="251"/>
      <c r="S476" s="251"/>
      <c r="T476" s="251"/>
      <c r="U476" s="251"/>
      <c r="V476" s="251"/>
      <c r="W476" s="251"/>
      <c r="X476" s="251"/>
      <c r="Y476" s="251"/>
      <c r="Z476" s="251"/>
      <c r="AA476" s="251"/>
      <c r="AB476" s="251"/>
      <c r="AC476" s="251"/>
      <c r="AD476" s="251"/>
      <c r="AE476" s="251"/>
      <c r="AF476" s="251"/>
      <c r="AG476" s="251"/>
      <c r="AH476" s="251"/>
      <c r="AI476" s="251"/>
      <c r="AJ476" s="251"/>
      <c r="AK476" s="251"/>
      <c r="AL476" s="251"/>
      <c r="AM476" s="251"/>
      <c r="AN476" s="251"/>
      <c r="AO476" s="581"/>
      <c r="AP476" s="581"/>
      <c r="AQ476" s="581"/>
      <c r="AR476" s="581"/>
      <c r="AS476" s="581"/>
      <c r="AT476" s="581"/>
      <c r="AU476" s="581"/>
      <c r="AV476" s="581"/>
      <c r="AW476" s="581"/>
      <c r="AX476" s="581"/>
      <c r="AY476" s="581"/>
      <c r="AZ476" s="581"/>
      <c r="BA476" s="581"/>
      <c r="BB476" s="581"/>
      <c r="BC476" s="581"/>
      <c r="BD476" s="581"/>
      <c r="BE476" s="581"/>
      <c r="BF476" s="581"/>
      <c r="BG476" s="581"/>
      <c r="BH476" s="581"/>
      <c r="BI476" s="581"/>
      <c r="BJ476" s="581"/>
      <c r="BK476" s="581"/>
    </row>
    <row r="477" spans="2:63" s="248" customFormat="1">
      <c r="B477" s="247" t="s">
        <v>1789</v>
      </c>
      <c r="C477" s="247" t="s">
        <v>883</v>
      </c>
      <c r="D477" s="240"/>
      <c r="E477" s="240"/>
      <c r="F477" s="251"/>
      <c r="G477" s="251"/>
      <c r="H477" s="251"/>
      <c r="I477" s="251"/>
      <c r="J477" s="251"/>
      <c r="K477" s="251"/>
      <c r="L477" s="251"/>
      <c r="M477" s="251"/>
      <c r="N477" s="251"/>
      <c r="O477" s="251"/>
      <c r="P477" s="251"/>
      <c r="Q477" s="251"/>
      <c r="R477" s="251"/>
      <c r="S477" s="251"/>
      <c r="T477" s="251"/>
      <c r="U477" s="251"/>
      <c r="V477" s="251"/>
      <c r="W477" s="251"/>
      <c r="X477" s="251"/>
      <c r="Y477" s="251"/>
      <c r="Z477" s="251"/>
      <c r="AA477" s="251"/>
      <c r="AB477" s="251"/>
      <c r="AC477" s="251"/>
      <c r="AD477" s="251"/>
      <c r="AE477" s="251"/>
      <c r="AF477" s="251"/>
      <c r="AG477" s="251"/>
      <c r="AH477" s="251"/>
      <c r="AI477" s="251"/>
      <c r="AJ477" s="251"/>
      <c r="AK477" s="251"/>
      <c r="AL477" s="251"/>
      <c r="AM477" s="251"/>
      <c r="AN477" s="251"/>
      <c r="AO477" s="579"/>
      <c r="AP477" s="579"/>
      <c r="AQ477" s="579"/>
      <c r="AR477" s="579"/>
      <c r="AS477" s="579"/>
      <c r="AT477" s="579"/>
      <c r="AU477" s="579"/>
      <c r="AV477" s="579"/>
      <c r="AW477" s="579"/>
      <c r="AX477" s="579"/>
      <c r="AY477" s="579"/>
      <c r="AZ477" s="579"/>
      <c r="BA477" s="579"/>
      <c r="BB477" s="579"/>
      <c r="BC477" s="579"/>
      <c r="BD477" s="579"/>
      <c r="BE477" s="579"/>
      <c r="BF477" s="579"/>
      <c r="BG477" s="579"/>
      <c r="BH477" s="579"/>
      <c r="BI477" s="579"/>
      <c r="BJ477" s="579"/>
      <c r="BK477" s="579"/>
    </row>
    <row r="478" spans="2:63" s="248" customFormat="1">
      <c r="B478" s="247" t="s">
        <v>1790</v>
      </c>
      <c r="C478" s="247" t="s">
        <v>1791</v>
      </c>
      <c r="D478" s="240"/>
      <c r="E478" s="240"/>
      <c r="F478" s="251"/>
      <c r="G478" s="251"/>
      <c r="H478" s="251"/>
      <c r="I478" s="251"/>
      <c r="J478" s="251"/>
      <c r="K478" s="251"/>
      <c r="L478" s="251"/>
      <c r="M478" s="251"/>
      <c r="N478" s="251"/>
      <c r="O478" s="251"/>
      <c r="P478" s="251"/>
      <c r="Q478" s="251"/>
      <c r="R478" s="251"/>
      <c r="S478" s="251"/>
      <c r="T478" s="251"/>
      <c r="U478" s="251"/>
      <c r="V478" s="251"/>
      <c r="W478" s="251"/>
      <c r="X478" s="251"/>
      <c r="Y478" s="251"/>
      <c r="Z478" s="251"/>
      <c r="AA478" s="251"/>
      <c r="AB478" s="251"/>
      <c r="AC478" s="251"/>
      <c r="AD478" s="251"/>
      <c r="AE478" s="251"/>
      <c r="AF478" s="251"/>
      <c r="AG478" s="251"/>
      <c r="AH478" s="251"/>
      <c r="AI478" s="251"/>
      <c r="AJ478" s="251"/>
      <c r="AK478" s="251"/>
      <c r="AL478" s="251"/>
      <c r="AM478" s="251"/>
      <c r="AN478" s="251"/>
      <c r="AO478" s="579"/>
      <c r="AP478" s="579"/>
      <c r="AQ478" s="579"/>
      <c r="AR478" s="579"/>
      <c r="AS478" s="579"/>
      <c r="AT478" s="579"/>
      <c r="AU478" s="579"/>
      <c r="AV478" s="579"/>
      <c r="AW478" s="579"/>
      <c r="AX478" s="579"/>
      <c r="AY478" s="579"/>
      <c r="AZ478" s="579"/>
      <c r="BA478" s="579"/>
      <c r="BB478" s="579"/>
      <c r="BC478" s="579"/>
      <c r="BD478" s="579"/>
      <c r="BE478" s="579"/>
      <c r="BF478" s="579"/>
      <c r="BG478" s="579"/>
      <c r="BH478" s="579"/>
      <c r="BI478" s="579"/>
      <c r="BJ478" s="579"/>
      <c r="BK478" s="579"/>
    </row>
    <row r="479" spans="2:63" s="248" customFormat="1">
      <c r="B479" s="247" t="s">
        <v>1792</v>
      </c>
      <c r="C479" s="247" t="s">
        <v>887</v>
      </c>
      <c r="D479" s="240"/>
      <c r="E479" s="240"/>
      <c r="F479" s="251"/>
      <c r="G479" s="251"/>
      <c r="H479" s="251"/>
      <c r="I479" s="251"/>
      <c r="J479" s="251"/>
      <c r="K479" s="251"/>
      <c r="L479" s="251"/>
      <c r="M479" s="251"/>
      <c r="N479" s="251"/>
      <c r="O479" s="251"/>
      <c r="P479" s="251"/>
      <c r="Q479" s="251"/>
      <c r="R479" s="251"/>
      <c r="S479" s="251"/>
      <c r="T479" s="251"/>
      <c r="U479" s="251"/>
      <c r="V479" s="251"/>
      <c r="W479" s="251"/>
      <c r="X479" s="251"/>
      <c r="Y479" s="251"/>
      <c r="Z479" s="251"/>
      <c r="AA479" s="251"/>
      <c r="AB479" s="251"/>
      <c r="AC479" s="251"/>
      <c r="AD479" s="251"/>
      <c r="AE479" s="251"/>
      <c r="AF479" s="251"/>
      <c r="AG479" s="251"/>
      <c r="AH479" s="251"/>
      <c r="AI479" s="251"/>
      <c r="AJ479" s="251"/>
      <c r="AK479" s="251"/>
      <c r="AL479" s="251"/>
      <c r="AM479" s="251"/>
      <c r="AN479" s="251"/>
      <c r="AO479" s="579"/>
      <c r="AP479" s="579"/>
      <c r="AQ479" s="579"/>
      <c r="AR479" s="579"/>
      <c r="AS479" s="579"/>
      <c r="AT479" s="579"/>
      <c r="AU479" s="579"/>
      <c r="AV479" s="579"/>
      <c r="AW479" s="579"/>
      <c r="AX479" s="579"/>
      <c r="AY479" s="579"/>
      <c r="AZ479" s="579"/>
      <c r="BA479" s="579"/>
      <c r="BB479" s="579"/>
      <c r="BC479" s="579"/>
      <c r="BD479" s="579"/>
      <c r="BE479" s="579"/>
      <c r="BF479" s="579"/>
      <c r="BG479" s="579"/>
      <c r="BH479" s="579"/>
      <c r="BI479" s="579"/>
      <c r="BJ479" s="579"/>
      <c r="BK479" s="579"/>
    </row>
    <row r="480" spans="2:63" s="248" customFormat="1">
      <c r="B480" s="247" t="s">
        <v>1793</v>
      </c>
      <c r="C480" s="247" t="s">
        <v>765</v>
      </c>
      <c r="D480" s="240"/>
      <c r="E480" s="240"/>
      <c r="F480" s="251"/>
      <c r="G480" s="251"/>
      <c r="H480" s="251"/>
      <c r="I480" s="251"/>
      <c r="J480" s="251"/>
      <c r="K480" s="251"/>
      <c r="L480" s="251"/>
      <c r="M480" s="251"/>
      <c r="N480" s="251"/>
      <c r="O480" s="251"/>
      <c r="P480" s="251"/>
      <c r="Q480" s="251"/>
      <c r="R480" s="251"/>
      <c r="S480" s="251"/>
      <c r="T480" s="251"/>
      <c r="U480" s="251"/>
      <c r="V480" s="251"/>
      <c r="W480" s="251"/>
      <c r="X480" s="251"/>
      <c r="Y480" s="251"/>
      <c r="Z480" s="251"/>
      <c r="AA480" s="251"/>
      <c r="AB480" s="251"/>
      <c r="AC480" s="251"/>
      <c r="AD480" s="251"/>
      <c r="AE480" s="251"/>
      <c r="AF480" s="251"/>
      <c r="AG480" s="251"/>
      <c r="AH480" s="251"/>
      <c r="AI480" s="251"/>
      <c r="AJ480" s="251"/>
      <c r="AK480" s="251"/>
      <c r="AL480" s="251"/>
      <c r="AM480" s="251"/>
      <c r="AN480" s="251"/>
      <c r="AO480" s="579"/>
      <c r="AP480" s="579"/>
      <c r="AQ480" s="579"/>
      <c r="AR480" s="579"/>
      <c r="AS480" s="579"/>
      <c r="AT480" s="579"/>
      <c r="AU480" s="579"/>
      <c r="AV480" s="579"/>
      <c r="AW480" s="579"/>
      <c r="AX480" s="579"/>
      <c r="AY480" s="579"/>
      <c r="AZ480" s="579"/>
      <c r="BA480" s="579"/>
      <c r="BB480" s="579"/>
      <c r="BC480" s="579"/>
      <c r="BD480" s="579"/>
      <c r="BE480" s="579"/>
      <c r="BF480" s="579"/>
      <c r="BG480" s="579"/>
      <c r="BH480" s="579"/>
      <c r="BI480" s="579"/>
      <c r="BJ480" s="579"/>
      <c r="BK480" s="579"/>
    </row>
    <row r="481" spans="1:63" s="248" customFormat="1">
      <c r="B481" s="247" t="s">
        <v>1794</v>
      </c>
      <c r="C481" s="247" t="s">
        <v>1795</v>
      </c>
      <c r="D481" s="240"/>
      <c r="E481" s="240"/>
      <c r="F481" s="251"/>
      <c r="G481" s="251"/>
      <c r="H481" s="251"/>
      <c r="I481" s="251"/>
      <c r="J481" s="251"/>
      <c r="K481" s="251"/>
      <c r="L481" s="251"/>
      <c r="M481" s="251"/>
      <c r="N481" s="251"/>
      <c r="O481" s="251"/>
      <c r="P481" s="251"/>
      <c r="Q481" s="251"/>
      <c r="R481" s="251"/>
      <c r="S481" s="251"/>
      <c r="T481" s="251"/>
      <c r="U481" s="251"/>
      <c r="V481" s="251"/>
      <c r="W481" s="251"/>
      <c r="X481" s="251"/>
      <c r="Y481" s="251"/>
      <c r="Z481" s="251"/>
      <c r="AA481" s="251"/>
      <c r="AB481" s="251"/>
      <c r="AC481" s="251"/>
      <c r="AD481" s="251"/>
      <c r="AE481" s="251"/>
      <c r="AF481" s="251"/>
      <c r="AG481" s="251"/>
      <c r="AH481" s="251"/>
      <c r="AI481" s="251"/>
      <c r="AJ481" s="251"/>
      <c r="AK481" s="251"/>
      <c r="AL481" s="251"/>
      <c r="AM481" s="251"/>
      <c r="AN481" s="251"/>
      <c r="AO481" s="579"/>
      <c r="AP481" s="579"/>
      <c r="AQ481" s="579"/>
      <c r="AR481" s="579"/>
      <c r="AS481" s="579"/>
      <c r="AT481" s="579"/>
      <c r="AU481" s="579"/>
      <c r="AV481" s="579"/>
      <c r="AW481" s="579"/>
      <c r="AX481" s="579"/>
      <c r="AY481" s="579"/>
      <c r="AZ481" s="579"/>
      <c r="BA481" s="579"/>
      <c r="BB481" s="579"/>
      <c r="BC481" s="579"/>
      <c r="BD481" s="579"/>
      <c r="BE481" s="579"/>
      <c r="BF481" s="579"/>
      <c r="BG481" s="579"/>
      <c r="BH481" s="579"/>
      <c r="BI481" s="579"/>
      <c r="BJ481" s="579"/>
      <c r="BK481" s="579"/>
    </row>
    <row r="482" spans="1:63" s="245" customFormat="1">
      <c r="A482" s="243"/>
      <c r="B482" s="243" t="s">
        <v>1796</v>
      </c>
      <c r="C482" s="243" t="s">
        <v>659</v>
      </c>
      <c r="D482" s="243"/>
      <c r="F482" s="245">
        <f t="shared" ref="F482:AD482" si="769">+F446-F447</f>
        <v>0</v>
      </c>
      <c r="G482" s="245">
        <f t="shared" si="769"/>
        <v>0</v>
      </c>
      <c r="H482" s="245">
        <f t="shared" si="769"/>
        <v>0</v>
      </c>
      <c r="I482" s="245">
        <f t="shared" si="769"/>
        <v>0</v>
      </c>
      <c r="J482" s="245">
        <f t="shared" si="769"/>
        <v>0</v>
      </c>
      <c r="K482" s="245">
        <f t="shared" si="769"/>
        <v>2749</v>
      </c>
      <c r="L482" s="245">
        <f t="shared" si="769"/>
        <v>3780.5</v>
      </c>
      <c r="M482" s="245">
        <f t="shared" si="769"/>
        <v>3669.7999999999993</v>
      </c>
      <c r="N482" s="245">
        <f t="shared" si="769"/>
        <v>2615.7000000000007</v>
      </c>
      <c r="O482" s="245">
        <f t="shared" si="769"/>
        <v>2667.9000000000015</v>
      </c>
      <c r="P482" s="245">
        <f t="shared" si="769"/>
        <v>3438.2000000000007</v>
      </c>
      <c r="Q482" s="245">
        <f t="shared" si="769"/>
        <v>3058.3999999999978</v>
      </c>
      <c r="R482" s="245">
        <f t="shared" si="769"/>
        <v>3028.4000000000015</v>
      </c>
      <c r="S482" s="245">
        <f t="shared" si="769"/>
        <v>4554.1999999999971</v>
      </c>
      <c r="T482" s="245">
        <f t="shared" si="769"/>
        <v>6365.0999999999985</v>
      </c>
      <c r="U482" s="245">
        <f t="shared" si="769"/>
        <v>7235.3000000000029</v>
      </c>
      <c r="V482" s="245">
        <f t="shared" si="769"/>
        <v>7771</v>
      </c>
      <c r="W482" s="245">
        <f t="shared" si="769"/>
        <v>7769.2999999999956</v>
      </c>
      <c r="X482" s="245">
        <f t="shared" si="769"/>
        <v>8971.6999999999971</v>
      </c>
      <c r="Y482" s="245">
        <f t="shared" si="769"/>
        <v>8493.2000000000044</v>
      </c>
      <c r="Z482" s="245">
        <f t="shared" si="769"/>
        <v>8034.0999999999985</v>
      </c>
      <c r="AA482" s="245">
        <f t="shared" si="769"/>
        <v>8398.4000000000087</v>
      </c>
      <c r="AB482" s="245">
        <f t="shared" si="769"/>
        <v>10573.699999999997</v>
      </c>
      <c r="AC482" s="245">
        <f>+AC446-AC447</f>
        <v>9841.2999999999956</v>
      </c>
      <c r="AD482" s="245">
        <f t="shared" si="769"/>
        <v>9205.8999999999942</v>
      </c>
      <c r="AE482" s="245">
        <f t="shared" ref="AE482:BK482" si="770">+AE446-AE447</f>
        <v>8716.9999999999927</v>
      </c>
      <c r="AF482" s="245">
        <f t="shared" ref="AF482:AL482" si="771">+AF446-AF447</f>
        <v>9152.0999999999985</v>
      </c>
      <c r="AG482" s="245">
        <f t="shared" si="771"/>
        <v>10117.499999999993</v>
      </c>
      <c r="AH482" s="245">
        <f t="shared" si="771"/>
        <v>8365.9000000000015</v>
      </c>
      <c r="AI482" s="245">
        <f t="shared" si="771"/>
        <v>10027.100000000006</v>
      </c>
      <c r="AJ482" s="245">
        <f t="shared" si="771"/>
        <v>11713.199999999997</v>
      </c>
      <c r="AK482" s="245">
        <f t="shared" si="771"/>
        <v>10396.599999999999</v>
      </c>
      <c r="AL482" s="245">
        <f t="shared" si="771"/>
        <v>9683.5999999999985</v>
      </c>
      <c r="AM482" s="245">
        <f>+AM446-AM447</f>
        <v>9923.5999999999985</v>
      </c>
      <c r="AN482" s="245">
        <f>+AN446-AN447</f>
        <v>8323.7999999999956</v>
      </c>
      <c r="AO482" s="580">
        <f t="shared" si="770"/>
        <v>0</v>
      </c>
      <c r="AP482" s="580">
        <f t="shared" si="770"/>
        <v>0</v>
      </c>
      <c r="AQ482" s="580">
        <f t="shared" si="770"/>
        <v>0</v>
      </c>
      <c r="AR482" s="580">
        <f t="shared" si="770"/>
        <v>0</v>
      </c>
      <c r="AS482" s="580">
        <f t="shared" si="770"/>
        <v>0</v>
      </c>
      <c r="AT482" s="580">
        <f t="shared" si="770"/>
        <v>0</v>
      </c>
      <c r="AU482" s="580">
        <f t="shared" si="770"/>
        <v>0</v>
      </c>
      <c r="AV482" s="580">
        <f t="shared" si="770"/>
        <v>0</v>
      </c>
      <c r="AW482" s="580">
        <f t="shared" si="770"/>
        <v>0</v>
      </c>
      <c r="AX482" s="580">
        <f t="shared" si="770"/>
        <v>0</v>
      </c>
      <c r="AY482" s="580">
        <f t="shared" si="770"/>
        <v>0</v>
      </c>
      <c r="AZ482" s="580">
        <f t="shared" si="770"/>
        <v>0</v>
      </c>
      <c r="BA482" s="580">
        <f t="shared" si="770"/>
        <v>0</v>
      </c>
      <c r="BB482" s="580">
        <f t="shared" si="770"/>
        <v>0</v>
      </c>
      <c r="BC482" s="580">
        <f t="shared" si="770"/>
        <v>0</v>
      </c>
      <c r="BD482" s="580">
        <f t="shared" si="770"/>
        <v>0</v>
      </c>
      <c r="BE482" s="580">
        <f t="shared" si="770"/>
        <v>0</v>
      </c>
      <c r="BF482" s="580">
        <f t="shared" si="770"/>
        <v>0</v>
      </c>
      <c r="BG482" s="580">
        <f t="shared" si="770"/>
        <v>0</v>
      </c>
      <c r="BH482" s="580">
        <f t="shared" si="770"/>
        <v>0</v>
      </c>
      <c r="BI482" s="580">
        <f t="shared" si="770"/>
        <v>0</v>
      </c>
      <c r="BJ482" s="580">
        <f t="shared" si="770"/>
        <v>0</v>
      </c>
      <c r="BK482" s="580">
        <f t="shared" si="770"/>
        <v>0</v>
      </c>
    </row>
    <row r="483" spans="1:63" s="248" customFormat="1">
      <c r="A483" s="247"/>
      <c r="B483" s="247" t="s">
        <v>1797</v>
      </c>
      <c r="C483" s="247" t="s">
        <v>660</v>
      </c>
      <c r="D483" s="247"/>
      <c r="F483" s="249"/>
      <c r="G483" s="249"/>
      <c r="H483" s="249"/>
      <c r="I483" s="249"/>
      <c r="J483" s="249"/>
      <c r="K483" s="249">
        <f>+Quarterly!G41</f>
        <v>490.2</v>
      </c>
      <c r="L483" s="249">
        <f>+Quarterly!H41</f>
        <v>487.2</v>
      </c>
      <c r="M483" s="249">
        <f>+Quarterly!I41</f>
        <v>418.3</v>
      </c>
      <c r="N483" s="249">
        <f>+Quarterly!J41</f>
        <v>413.9</v>
      </c>
      <c r="O483" s="249">
        <f>+Quarterly!K41</f>
        <v>335.3</v>
      </c>
      <c r="P483" s="249">
        <f>+Quarterly!L41</f>
        <v>330.8</v>
      </c>
      <c r="Q483" s="249">
        <f>+Quarterly!M41</f>
        <v>318.89999999999998</v>
      </c>
      <c r="R483" s="249">
        <f>+Quarterly!N41</f>
        <v>312.89999999999998</v>
      </c>
      <c r="S483" s="249">
        <f>+Quarterly!O41</f>
        <v>330.8</v>
      </c>
      <c r="T483" s="249">
        <f>+Quarterly!P41</f>
        <v>335.8</v>
      </c>
      <c r="U483" s="249">
        <f>+Quarterly!Q41</f>
        <v>356.8</v>
      </c>
      <c r="V483" s="249">
        <f>+Quarterly!R41</f>
        <v>341.1</v>
      </c>
      <c r="W483" s="249">
        <f>+Quarterly!S41</f>
        <v>318.2</v>
      </c>
      <c r="X483" s="249">
        <f>+Quarterly!T41</f>
        <v>299.5</v>
      </c>
      <c r="Y483" s="249">
        <f>+Quarterly!U41</f>
        <v>310.2</v>
      </c>
      <c r="Z483" s="249">
        <f>+Quarterly!V41</f>
        <v>300.5</v>
      </c>
      <c r="AA483" s="249">
        <f>+Quarterly!W41</f>
        <v>306.39999999999998</v>
      </c>
      <c r="AB483" s="249">
        <f>+Quarterly!X41</f>
        <v>394.2</v>
      </c>
      <c r="AC483" s="249">
        <f>+Quarterly!Y41</f>
        <v>321.39999999999998</v>
      </c>
      <c r="AD483" s="249">
        <f>+Quarterly!Z41</f>
        <v>294.2</v>
      </c>
      <c r="AE483" s="249">
        <f>+Quarterly!AA41</f>
        <v>352.4</v>
      </c>
      <c r="AF483" s="249">
        <f>+Quarterly!AB41</f>
        <v>410.4</v>
      </c>
      <c r="AG483" s="249">
        <f>+Quarterly!AC41</f>
        <v>410.8</v>
      </c>
      <c r="AH483" s="249">
        <f>+Quarterly!AD41</f>
        <v>466.1</v>
      </c>
      <c r="AI483" s="249">
        <f>+Quarterly!AE41</f>
        <v>443.9</v>
      </c>
      <c r="AJ483" s="249">
        <f>+Quarterly!AF41</f>
        <v>442.9</v>
      </c>
      <c r="AK483" s="249">
        <f>+Quarterly!AG41</f>
        <v>459.5</v>
      </c>
      <c r="AL483" s="249">
        <f>+Quarterly!AH41</f>
        <v>444.8</v>
      </c>
      <c r="AM483" s="249">
        <f>+Quarterly!AI41</f>
        <v>692</v>
      </c>
      <c r="AN483" s="249">
        <f>+Quarterly!AL41</f>
        <v>638.1</v>
      </c>
      <c r="AO483" s="581"/>
      <c r="AP483" s="581"/>
      <c r="AQ483" s="581"/>
      <c r="AR483" s="581"/>
      <c r="AS483" s="581"/>
      <c r="AT483" s="581"/>
      <c r="AU483" s="581"/>
      <c r="AV483" s="581"/>
      <c r="AW483" s="581"/>
      <c r="AX483" s="581"/>
      <c r="AY483" s="581"/>
      <c r="AZ483" s="581"/>
      <c r="BA483" s="581"/>
      <c r="BB483" s="581"/>
      <c r="BC483" s="581"/>
      <c r="BD483" s="581"/>
      <c r="BE483" s="581"/>
      <c r="BF483" s="581"/>
      <c r="BG483" s="581"/>
      <c r="BH483" s="581"/>
      <c r="BI483" s="581"/>
      <c r="BJ483" s="581"/>
      <c r="BK483" s="581"/>
    </row>
    <row r="484" spans="1:63" s="248" customFormat="1">
      <c r="A484" s="247"/>
      <c r="B484" s="247" t="s">
        <v>1798</v>
      </c>
      <c r="C484" s="247" t="s">
        <v>1799</v>
      </c>
      <c r="D484" s="247"/>
      <c r="F484" s="249"/>
      <c r="G484" s="249"/>
      <c r="H484" s="249"/>
      <c r="I484" s="249"/>
      <c r="J484" s="249"/>
      <c r="K484" s="249"/>
      <c r="L484" s="249"/>
      <c r="M484" s="249"/>
      <c r="N484" s="249"/>
      <c r="O484" s="249"/>
      <c r="P484" s="249"/>
      <c r="Q484" s="249"/>
      <c r="R484" s="249"/>
      <c r="S484" s="249"/>
      <c r="T484" s="249"/>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581"/>
      <c r="AP484" s="581"/>
      <c r="AQ484" s="581"/>
      <c r="AR484" s="581"/>
      <c r="AS484" s="581"/>
      <c r="AT484" s="581"/>
      <c r="AU484" s="581"/>
      <c r="AV484" s="581"/>
      <c r="AW484" s="581"/>
      <c r="AX484" s="581"/>
      <c r="AY484" s="581"/>
      <c r="AZ484" s="581"/>
      <c r="BA484" s="581"/>
      <c r="BB484" s="581"/>
      <c r="BC484" s="581"/>
      <c r="BD484" s="581"/>
      <c r="BE484" s="581"/>
      <c r="BF484" s="581"/>
      <c r="BG484" s="581"/>
      <c r="BH484" s="581"/>
      <c r="BI484" s="581"/>
      <c r="BJ484" s="581"/>
      <c r="BK484" s="581"/>
    </row>
    <row r="485" spans="1:63" s="245" customFormat="1">
      <c r="A485" s="243"/>
      <c r="B485" s="243" t="s">
        <v>1800</v>
      </c>
      <c r="C485" s="243" t="s">
        <v>663</v>
      </c>
      <c r="D485" s="243"/>
      <c r="F485" s="245">
        <f t="shared" ref="F485:BK485" si="772">F482-F483-F484</f>
        <v>0</v>
      </c>
      <c r="G485" s="245">
        <f t="shared" si="772"/>
        <v>0</v>
      </c>
      <c r="H485" s="245">
        <f t="shared" si="772"/>
        <v>0</v>
      </c>
      <c r="I485" s="245">
        <f t="shared" si="772"/>
        <v>0</v>
      </c>
      <c r="J485" s="245">
        <f t="shared" si="772"/>
        <v>0</v>
      </c>
      <c r="K485" s="245">
        <f t="shared" si="772"/>
        <v>2258.8000000000002</v>
      </c>
      <c r="L485" s="245">
        <f t="shared" si="772"/>
        <v>3293.3</v>
      </c>
      <c r="M485" s="245">
        <f t="shared" si="772"/>
        <v>3251.4999999999991</v>
      </c>
      <c r="N485" s="245">
        <f t="shared" si="772"/>
        <v>2201.8000000000006</v>
      </c>
      <c r="O485" s="245">
        <f t="shared" si="772"/>
        <v>2332.6000000000013</v>
      </c>
      <c r="P485" s="245">
        <f t="shared" si="772"/>
        <v>3107.4000000000005</v>
      </c>
      <c r="Q485" s="245">
        <f t="shared" si="772"/>
        <v>2739.4999999999977</v>
      </c>
      <c r="R485" s="245">
        <f t="shared" si="772"/>
        <v>2715.5000000000014</v>
      </c>
      <c r="S485" s="245">
        <f t="shared" si="772"/>
        <v>4223.3999999999969</v>
      </c>
      <c r="T485" s="245">
        <f t="shared" si="772"/>
        <v>6029.2999999999984</v>
      </c>
      <c r="U485" s="245">
        <f t="shared" si="772"/>
        <v>6878.5000000000027</v>
      </c>
      <c r="V485" s="245">
        <f t="shared" si="772"/>
        <v>7429.9</v>
      </c>
      <c r="W485" s="245">
        <f t="shared" si="772"/>
        <v>7451.0999999999958</v>
      </c>
      <c r="X485" s="245">
        <f t="shared" si="772"/>
        <v>8672.1999999999971</v>
      </c>
      <c r="Y485" s="245">
        <f t="shared" si="772"/>
        <v>8183.0000000000045</v>
      </c>
      <c r="Z485" s="245">
        <f t="shared" si="772"/>
        <v>7733.5999999999985</v>
      </c>
      <c r="AA485" s="245">
        <f t="shared" si="772"/>
        <v>8092.0000000000091</v>
      </c>
      <c r="AB485" s="245">
        <f t="shared" si="772"/>
        <v>10179.499999999996</v>
      </c>
      <c r="AC485" s="245">
        <f t="shared" si="772"/>
        <v>9519.899999999996</v>
      </c>
      <c r="AD485" s="245">
        <f t="shared" si="772"/>
        <v>8911.6999999999935</v>
      </c>
      <c r="AE485" s="245">
        <f t="shared" si="772"/>
        <v>8364.5999999999931</v>
      </c>
      <c r="AF485" s="245">
        <f t="shared" ref="AF485:AM485" si="773">AF482-AF483-AF484</f>
        <v>8741.6999999999989</v>
      </c>
      <c r="AG485" s="245">
        <f t="shared" si="773"/>
        <v>9706.6999999999935</v>
      </c>
      <c r="AH485" s="245">
        <f t="shared" si="773"/>
        <v>7899.8000000000011</v>
      </c>
      <c r="AI485" s="245">
        <f t="shared" si="773"/>
        <v>9583.2000000000062</v>
      </c>
      <c r="AJ485" s="245">
        <f t="shared" si="773"/>
        <v>11270.299999999997</v>
      </c>
      <c r="AK485" s="245">
        <f t="shared" si="773"/>
        <v>9937.0999999999985</v>
      </c>
      <c r="AL485" s="245">
        <f t="shared" si="773"/>
        <v>9238.7999999999993</v>
      </c>
      <c r="AM485" s="245">
        <f t="shared" si="773"/>
        <v>9231.5999999999985</v>
      </c>
      <c r="AN485" s="245">
        <f>AN482-AN483-AN484</f>
        <v>7685.6999999999953</v>
      </c>
      <c r="AO485" s="580">
        <f t="shared" si="772"/>
        <v>0</v>
      </c>
      <c r="AP485" s="580">
        <f t="shared" si="772"/>
        <v>0</v>
      </c>
      <c r="AQ485" s="580">
        <f t="shared" si="772"/>
        <v>0</v>
      </c>
      <c r="AR485" s="580">
        <f t="shared" si="772"/>
        <v>0</v>
      </c>
      <c r="AS485" s="580">
        <f t="shared" si="772"/>
        <v>0</v>
      </c>
      <c r="AT485" s="580">
        <f t="shared" si="772"/>
        <v>0</v>
      </c>
      <c r="AU485" s="580">
        <f t="shared" si="772"/>
        <v>0</v>
      </c>
      <c r="AV485" s="580">
        <f t="shared" si="772"/>
        <v>0</v>
      </c>
      <c r="AW485" s="580">
        <f t="shared" si="772"/>
        <v>0</v>
      </c>
      <c r="AX485" s="580">
        <f t="shared" si="772"/>
        <v>0</v>
      </c>
      <c r="AY485" s="580">
        <f t="shared" si="772"/>
        <v>0</v>
      </c>
      <c r="AZ485" s="580">
        <f t="shared" si="772"/>
        <v>0</v>
      </c>
      <c r="BA485" s="580">
        <f t="shared" si="772"/>
        <v>0</v>
      </c>
      <c r="BB485" s="580">
        <f t="shared" si="772"/>
        <v>0</v>
      </c>
      <c r="BC485" s="580">
        <f t="shared" si="772"/>
        <v>0</v>
      </c>
      <c r="BD485" s="580">
        <f t="shared" si="772"/>
        <v>0</v>
      </c>
      <c r="BE485" s="580">
        <f t="shared" si="772"/>
        <v>0</v>
      </c>
      <c r="BF485" s="580">
        <f t="shared" si="772"/>
        <v>0</v>
      </c>
      <c r="BG485" s="580">
        <f t="shared" si="772"/>
        <v>0</v>
      </c>
      <c r="BH485" s="580">
        <f t="shared" si="772"/>
        <v>0</v>
      </c>
      <c r="BI485" s="580">
        <f t="shared" si="772"/>
        <v>0</v>
      </c>
      <c r="BJ485" s="580">
        <f t="shared" si="772"/>
        <v>0</v>
      </c>
      <c r="BK485" s="580">
        <f t="shared" si="772"/>
        <v>0</v>
      </c>
    </row>
    <row r="486" spans="1:63" s="248" customFormat="1">
      <c r="A486" s="247"/>
      <c r="B486" s="247" t="s">
        <v>1801</v>
      </c>
      <c r="C486" s="247" t="s">
        <v>367</v>
      </c>
      <c r="D486" s="247"/>
      <c r="F486" s="249"/>
      <c r="G486" s="249"/>
      <c r="H486" s="249"/>
      <c r="I486" s="249"/>
      <c r="J486" s="249"/>
      <c r="K486" s="249">
        <f>+Quarterly!G51</f>
        <v>1026.9000000000001</v>
      </c>
      <c r="L486" s="249">
        <f>+Quarterly!H51</f>
        <v>1472.3</v>
      </c>
      <c r="M486" s="249">
        <f>+Quarterly!I51</f>
        <v>429.5</v>
      </c>
      <c r="N486" s="249">
        <f>+Quarterly!J51</f>
        <v>204.4</v>
      </c>
      <c r="O486" s="249">
        <f>+Quarterly!K51</f>
        <v>287.8</v>
      </c>
      <c r="P486" s="249">
        <f>+Quarterly!L51</f>
        <v>221</v>
      </c>
      <c r="Q486" s="249">
        <f>+Quarterly!M51</f>
        <v>378.8</v>
      </c>
      <c r="R486" s="249">
        <f>+Quarterly!N51</f>
        <v>229.1</v>
      </c>
      <c r="S486" s="249">
        <f>+Quarterly!O51</f>
        <v>231.4</v>
      </c>
      <c r="T486" s="249">
        <f>+Quarterly!P51</f>
        <v>217.3</v>
      </c>
      <c r="U486" s="249">
        <f>+Quarterly!Q51</f>
        <v>351.3</v>
      </c>
      <c r="V486" s="249">
        <f>+Quarterly!R51</f>
        <v>425</v>
      </c>
      <c r="W486" s="249">
        <f>+Quarterly!S51</f>
        <v>816.7</v>
      </c>
      <c r="X486" s="249">
        <f>+Quarterly!T51</f>
        <v>837.1</v>
      </c>
      <c r="Y486" s="249">
        <f>+Quarterly!U51</f>
        <v>994.6</v>
      </c>
      <c r="Z486" s="249">
        <f>+Quarterly!V51</f>
        <v>1561.5</v>
      </c>
      <c r="AA486" s="249">
        <f>+Quarterly!W51</f>
        <v>1440.9</v>
      </c>
      <c r="AB486" s="249">
        <f>+Quarterly!X51</f>
        <v>744.8</v>
      </c>
      <c r="AC486" s="249">
        <f>+Quarterly!Y51</f>
        <v>1680.8</v>
      </c>
      <c r="AD486" s="249">
        <f>+Quarterly!Z51</f>
        <v>1394.9</v>
      </c>
      <c r="AE486" s="249">
        <f>+Quarterly!AA51</f>
        <v>1819.7</v>
      </c>
      <c r="AF486" s="249">
        <f>+Quarterly!AB51</f>
        <v>1667.2</v>
      </c>
      <c r="AG486" s="249">
        <f>+Quarterly!AC51</f>
        <v>2031.9</v>
      </c>
      <c r="AH486" s="249">
        <f>+Quarterly!AD51</f>
        <v>2436.1</v>
      </c>
      <c r="AI486" s="249">
        <f>+Quarterly!AE51</f>
        <v>1756</v>
      </c>
      <c r="AJ486" s="249">
        <f>+Quarterly!AF51</f>
        <v>1241.5999999999999</v>
      </c>
      <c r="AK486" s="249">
        <f>+Quarterly!AG51</f>
        <v>2218.4</v>
      </c>
      <c r="AL486" s="249">
        <f>+Quarterly!AH51</f>
        <v>1848.1</v>
      </c>
      <c r="AM486" s="249">
        <f>+Quarterly!AI51</f>
        <v>2192.6999999999998</v>
      </c>
      <c r="AN486" s="249">
        <f>+Quarterly!AL51</f>
        <v>1542.7</v>
      </c>
      <c r="AO486" s="581"/>
      <c r="AP486" s="581"/>
      <c r="AQ486" s="581"/>
      <c r="AR486" s="581"/>
      <c r="AS486" s="581"/>
      <c r="AT486" s="581"/>
      <c r="AU486" s="581"/>
      <c r="AV486" s="581"/>
      <c r="AW486" s="581"/>
      <c r="AX486" s="581"/>
      <c r="AY486" s="581"/>
      <c r="AZ486" s="581"/>
      <c r="BA486" s="581"/>
      <c r="BB486" s="581"/>
      <c r="BC486" s="581"/>
      <c r="BD486" s="581"/>
      <c r="BE486" s="581"/>
      <c r="BF486" s="581"/>
      <c r="BG486" s="581"/>
      <c r="BH486" s="581"/>
      <c r="BI486" s="581"/>
      <c r="BJ486" s="581"/>
      <c r="BK486" s="581"/>
    </row>
    <row r="487" spans="1:63" s="245" customFormat="1">
      <c r="A487" s="243"/>
      <c r="B487" s="243" t="s">
        <v>1802</v>
      </c>
      <c r="C487" s="246" t="s">
        <v>899</v>
      </c>
      <c r="D487" s="243"/>
      <c r="F487" s="245">
        <f t="shared" ref="F487:BK487" si="774">+F485+F486</f>
        <v>0</v>
      </c>
      <c r="G487" s="245">
        <f t="shared" si="774"/>
        <v>0</v>
      </c>
      <c r="H487" s="245">
        <f t="shared" si="774"/>
        <v>0</v>
      </c>
      <c r="I487" s="245">
        <f t="shared" si="774"/>
        <v>0</v>
      </c>
      <c r="J487" s="245">
        <f t="shared" si="774"/>
        <v>0</v>
      </c>
      <c r="K487" s="245">
        <f t="shared" si="774"/>
        <v>3285.7000000000003</v>
      </c>
      <c r="L487" s="245">
        <f t="shared" si="774"/>
        <v>4765.6000000000004</v>
      </c>
      <c r="M487" s="245">
        <f t="shared" si="774"/>
        <v>3680.9999999999991</v>
      </c>
      <c r="N487" s="245">
        <f t="shared" si="774"/>
        <v>2406.2000000000007</v>
      </c>
      <c r="O487" s="245">
        <f t="shared" si="774"/>
        <v>2620.4000000000015</v>
      </c>
      <c r="P487" s="245">
        <f t="shared" si="774"/>
        <v>3328.4000000000005</v>
      </c>
      <c r="Q487" s="245">
        <f t="shared" si="774"/>
        <v>3118.2999999999979</v>
      </c>
      <c r="R487" s="245">
        <f t="shared" si="774"/>
        <v>2944.6000000000013</v>
      </c>
      <c r="S487" s="245">
        <f t="shared" si="774"/>
        <v>4454.7999999999965</v>
      </c>
      <c r="T487" s="245">
        <f t="shared" si="774"/>
        <v>6246.5999999999985</v>
      </c>
      <c r="U487" s="245">
        <f t="shared" si="774"/>
        <v>7229.8000000000029</v>
      </c>
      <c r="V487" s="245">
        <f t="shared" si="774"/>
        <v>7854.9</v>
      </c>
      <c r="W487" s="245">
        <f t="shared" si="774"/>
        <v>8267.7999999999956</v>
      </c>
      <c r="X487" s="245">
        <f t="shared" si="774"/>
        <v>9509.2999999999975</v>
      </c>
      <c r="Y487" s="245">
        <f t="shared" si="774"/>
        <v>9177.600000000004</v>
      </c>
      <c r="Z487" s="245">
        <f t="shared" si="774"/>
        <v>9295.0999999999985</v>
      </c>
      <c r="AA487" s="245">
        <f t="shared" si="774"/>
        <v>9532.9000000000087</v>
      </c>
      <c r="AB487" s="245">
        <f t="shared" si="774"/>
        <v>10924.299999999996</v>
      </c>
      <c r="AC487" s="245">
        <f t="shared" si="774"/>
        <v>11200.699999999995</v>
      </c>
      <c r="AD487" s="245">
        <f t="shared" si="774"/>
        <v>10306.599999999993</v>
      </c>
      <c r="AE487" s="245">
        <f t="shared" si="774"/>
        <v>10184.299999999994</v>
      </c>
      <c r="AF487" s="245">
        <f t="shared" ref="AF487:AM487" si="775">+AF485+AF486</f>
        <v>10408.9</v>
      </c>
      <c r="AG487" s="245">
        <f t="shared" si="775"/>
        <v>11738.599999999993</v>
      </c>
      <c r="AH487" s="245">
        <f t="shared" si="775"/>
        <v>10335.900000000001</v>
      </c>
      <c r="AI487" s="245">
        <f t="shared" si="775"/>
        <v>11339.200000000006</v>
      </c>
      <c r="AJ487" s="245">
        <f t="shared" si="775"/>
        <v>12511.899999999998</v>
      </c>
      <c r="AK487" s="245">
        <f t="shared" si="775"/>
        <v>12155.499999999998</v>
      </c>
      <c r="AL487" s="245">
        <f t="shared" si="775"/>
        <v>11086.9</v>
      </c>
      <c r="AM487" s="245">
        <f t="shared" si="775"/>
        <v>11424.3</v>
      </c>
      <c r="AN487" s="245">
        <f>+AN485+AN486</f>
        <v>9228.399999999996</v>
      </c>
      <c r="AO487" s="580">
        <f t="shared" si="774"/>
        <v>0</v>
      </c>
      <c r="AP487" s="580">
        <f t="shared" si="774"/>
        <v>0</v>
      </c>
      <c r="AQ487" s="580">
        <f t="shared" si="774"/>
        <v>0</v>
      </c>
      <c r="AR487" s="580">
        <f t="shared" si="774"/>
        <v>0</v>
      </c>
      <c r="AS487" s="580">
        <f t="shared" si="774"/>
        <v>0</v>
      </c>
      <c r="AT487" s="580">
        <f t="shared" si="774"/>
        <v>0</v>
      </c>
      <c r="AU487" s="580">
        <f t="shared" si="774"/>
        <v>0</v>
      </c>
      <c r="AV487" s="580">
        <f t="shared" si="774"/>
        <v>0</v>
      </c>
      <c r="AW487" s="580">
        <f t="shared" si="774"/>
        <v>0</v>
      </c>
      <c r="AX487" s="580">
        <f t="shared" si="774"/>
        <v>0</v>
      </c>
      <c r="AY487" s="580">
        <f t="shared" si="774"/>
        <v>0</v>
      </c>
      <c r="AZ487" s="580">
        <f t="shared" si="774"/>
        <v>0</v>
      </c>
      <c r="BA487" s="580">
        <f t="shared" si="774"/>
        <v>0</v>
      </c>
      <c r="BB487" s="580">
        <f t="shared" si="774"/>
        <v>0</v>
      </c>
      <c r="BC487" s="580">
        <f t="shared" si="774"/>
        <v>0</v>
      </c>
      <c r="BD487" s="580">
        <f t="shared" si="774"/>
        <v>0</v>
      </c>
      <c r="BE487" s="580">
        <f t="shared" si="774"/>
        <v>0</v>
      </c>
      <c r="BF487" s="580">
        <f t="shared" si="774"/>
        <v>0</v>
      </c>
      <c r="BG487" s="580">
        <f t="shared" si="774"/>
        <v>0</v>
      </c>
      <c r="BH487" s="580">
        <f t="shared" si="774"/>
        <v>0</v>
      </c>
      <c r="BI487" s="580">
        <f t="shared" si="774"/>
        <v>0</v>
      </c>
      <c r="BJ487" s="580">
        <f t="shared" si="774"/>
        <v>0</v>
      </c>
      <c r="BK487" s="580">
        <f t="shared" si="774"/>
        <v>0</v>
      </c>
    </row>
    <row r="488" spans="1:63" s="245" customFormat="1">
      <c r="A488" s="243"/>
      <c r="B488" s="243" t="s">
        <v>1803</v>
      </c>
      <c r="C488" s="296" t="s">
        <v>409</v>
      </c>
      <c r="D488" s="243"/>
      <c r="F488" s="245">
        <f t="shared" ref="F488:AD488" si="776">F490-F489</f>
        <v>0</v>
      </c>
      <c r="G488" s="245">
        <f t="shared" si="776"/>
        <v>0</v>
      </c>
      <c r="H488" s="245">
        <f t="shared" si="776"/>
        <v>0</v>
      </c>
      <c r="I488" s="245">
        <f t="shared" si="776"/>
        <v>0</v>
      </c>
      <c r="J488" s="245">
        <f t="shared" si="776"/>
        <v>0</v>
      </c>
      <c r="K488" s="245">
        <f t="shared" si="776"/>
        <v>0.6</v>
      </c>
      <c r="L488" s="245">
        <f t="shared" si="776"/>
        <v>13.6</v>
      </c>
      <c r="M488" s="245">
        <f t="shared" si="776"/>
        <v>19.3</v>
      </c>
      <c r="N488" s="245">
        <f t="shared" si="776"/>
        <v>18.100000000000001</v>
      </c>
      <c r="O488" s="245">
        <f t="shared" si="776"/>
        <v>9.1999999999999993</v>
      </c>
      <c r="P488" s="245">
        <f t="shared" si="776"/>
        <v>58.7</v>
      </c>
      <c r="Q488" s="245">
        <f t="shared" si="776"/>
        <v>90.2</v>
      </c>
      <c r="R488" s="245">
        <f t="shared" si="776"/>
        <v>52</v>
      </c>
      <c r="S488" s="245">
        <f t="shared" si="776"/>
        <v>59.7</v>
      </c>
      <c r="T488" s="245">
        <f t="shared" si="776"/>
        <v>0</v>
      </c>
      <c r="U488" s="245">
        <f t="shared" si="776"/>
        <v>0.02</v>
      </c>
      <c r="V488" s="245">
        <f t="shared" si="776"/>
        <v>-0.1</v>
      </c>
      <c r="W488" s="245">
        <f t="shared" si="776"/>
        <v>6.3</v>
      </c>
      <c r="X488" s="245">
        <f t="shared" si="776"/>
        <v>6.5</v>
      </c>
      <c r="Y488" s="245">
        <f t="shared" si="776"/>
        <v>3.6</v>
      </c>
      <c r="Z488" s="245">
        <f t="shared" si="776"/>
        <v>0.5</v>
      </c>
      <c r="AA488" s="245">
        <f t="shared" si="776"/>
        <v>2.2999999999999998</v>
      </c>
      <c r="AB488" s="245">
        <f t="shared" si="776"/>
        <v>202.2</v>
      </c>
      <c r="AC488" s="245">
        <f t="shared" si="776"/>
        <v>0.2</v>
      </c>
      <c r="AD488" s="245">
        <f t="shared" si="776"/>
        <v>17.7</v>
      </c>
      <c r="AE488" s="245">
        <f t="shared" ref="AE488:BK488" si="777">AE490-AE489</f>
        <v>0.4</v>
      </c>
      <c r="AF488" s="245">
        <f t="shared" ref="AF488:AL488" si="778">AF490-AF489</f>
        <v>2.2000000000000002</v>
      </c>
      <c r="AG488" s="245">
        <f t="shared" si="778"/>
        <v>1</v>
      </c>
      <c r="AH488" s="245">
        <f t="shared" si="778"/>
        <v>1.8</v>
      </c>
      <c r="AI488" s="245">
        <f t="shared" si="778"/>
        <v>0.9</v>
      </c>
      <c r="AJ488" s="245">
        <f t="shared" si="778"/>
        <v>0.4</v>
      </c>
      <c r="AK488" s="245">
        <f t="shared" si="778"/>
        <v>1.9</v>
      </c>
      <c r="AL488" s="245">
        <f t="shared" si="778"/>
        <v>1.7</v>
      </c>
      <c r="AM488" s="245">
        <f>AM490-AM489</f>
        <v>1.1000000000000001</v>
      </c>
      <c r="AN488" s="245">
        <f>AN490-AN489</f>
        <v>61.6</v>
      </c>
      <c r="AO488" s="580">
        <f t="shared" si="777"/>
        <v>0</v>
      </c>
      <c r="AP488" s="580">
        <f t="shared" si="777"/>
        <v>0</v>
      </c>
      <c r="AQ488" s="580">
        <f t="shared" si="777"/>
        <v>0</v>
      </c>
      <c r="AR488" s="580">
        <f t="shared" si="777"/>
        <v>0</v>
      </c>
      <c r="AS488" s="580">
        <f t="shared" si="777"/>
        <v>0</v>
      </c>
      <c r="AT488" s="580">
        <f t="shared" si="777"/>
        <v>0</v>
      </c>
      <c r="AU488" s="580">
        <f t="shared" si="777"/>
        <v>0</v>
      </c>
      <c r="AV488" s="580">
        <f t="shared" si="777"/>
        <v>0</v>
      </c>
      <c r="AW488" s="580">
        <f t="shared" si="777"/>
        <v>0</v>
      </c>
      <c r="AX488" s="580">
        <f t="shared" si="777"/>
        <v>0</v>
      </c>
      <c r="AY488" s="580">
        <f t="shared" si="777"/>
        <v>0</v>
      </c>
      <c r="AZ488" s="580">
        <f t="shared" si="777"/>
        <v>0</v>
      </c>
      <c r="BA488" s="580">
        <f t="shared" si="777"/>
        <v>0</v>
      </c>
      <c r="BB488" s="580">
        <f t="shared" si="777"/>
        <v>0</v>
      </c>
      <c r="BC488" s="580">
        <f t="shared" si="777"/>
        <v>0</v>
      </c>
      <c r="BD488" s="580">
        <f t="shared" si="777"/>
        <v>0</v>
      </c>
      <c r="BE488" s="580">
        <f t="shared" si="777"/>
        <v>0</v>
      </c>
      <c r="BF488" s="580">
        <f t="shared" si="777"/>
        <v>0</v>
      </c>
      <c r="BG488" s="580">
        <f t="shared" si="777"/>
        <v>0</v>
      </c>
      <c r="BH488" s="580">
        <f t="shared" si="777"/>
        <v>0</v>
      </c>
      <c r="BI488" s="580">
        <f t="shared" si="777"/>
        <v>0</v>
      </c>
      <c r="BJ488" s="580">
        <f t="shared" si="777"/>
        <v>0</v>
      </c>
      <c r="BK488" s="580">
        <f t="shared" si="777"/>
        <v>0</v>
      </c>
    </row>
    <row r="489" spans="1:63" s="248" customFormat="1">
      <c r="A489" s="247"/>
      <c r="B489" s="247" t="s">
        <v>1804</v>
      </c>
      <c r="C489" s="220" t="s">
        <v>1805</v>
      </c>
      <c r="D489" s="247"/>
      <c r="F489" s="249"/>
      <c r="G489" s="249"/>
      <c r="H489" s="249"/>
      <c r="I489" s="249"/>
      <c r="J489" s="249"/>
      <c r="K489" s="249"/>
      <c r="L489" s="249"/>
      <c r="M489" s="249"/>
      <c r="N489" s="249"/>
      <c r="O489" s="249"/>
      <c r="P489" s="249"/>
      <c r="Q489" s="249"/>
      <c r="R489" s="249"/>
      <c r="S489" s="249"/>
      <c r="T489" s="249"/>
      <c r="U489" s="249"/>
      <c r="V489" s="249"/>
      <c r="W489" s="249"/>
      <c r="X489" s="249"/>
      <c r="Y489" s="249"/>
      <c r="Z489" s="249"/>
      <c r="AA489" s="249"/>
      <c r="AB489" s="249"/>
      <c r="AC489" s="249"/>
      <c r="AD489" s="249"/>
      <c r="AE489" s="249"/>
      <c r="AF489" s="249"/>
      <c r="AG489" s="249"/>
      <c r="AH489" s="249"/>
      <c r="AI489" s="249"/>
      <c r="AJ489" s="249"/>
      <c r="AK489" s="249"/>
      <c r="AL489" s="249"/>
      <c r="AM489" s="249"/>
      <c r="AN489" s="249"/>
      <c r="AO489" s="581"/>
      <c r="AP489" s="581"/>
      <c r="AQ489" s="581"/>
      <c r="AR489" s="581"/>
      <c r="AS489" s="581"/>
      <c r="AT489" s="581"/>
      <c r="AU489" s="581"/>
      <c r="AV489" s="581"/>
      <c r="AW489" s="581"/>
      <c r="AX489" s="581"/>
      <c r="AY489" s="581"/>
      <c r="AZ489" s="581"/>
      <c r="BA489" s="581"/>
      <c r="BB489" s="581"/>
      <c r="BC489" s="581"/>
      <c r="BD489" s="581"/>
      <c r="BE489" s="581"/>
      <c r="BF489" s="581"/>
      <c r="BG489" s="581"/>
      <c r="BH489" s="581"/>
      <c r="BI489" s="581"/>
      <c r="BJ489" s="581"/>
      <c r="BK489" s="581"/>
    </row>
    <row r="490" spans="1:63" s="248" customFormat="1">
      <c r="A490" s="247"/>
      <c r="B490" s="209" t="s">
        <v>1806</v>
      </c>
      <c r="C490" s="220" t="s">
        <v>397</v>
      </c>
      <c r="D490" s="247"/>
      <c r="F490" s="249"/>
      <c r="G490" s="249"/>
      <c r="H490" s="249"/>
      <c r="I490" s="249"/>
      <c r="J490" s="249"/>
      <c r="K490" s="249">
        <f>+Quarterly!G50</f>
        <v>0.6</v>
      </c>
      <c r="L490" s="249">
        <f>+Quarterly!H50</f>
        <v>13.6</v>
      </c>
      <c r="M490" s="249">
        <f>+Quarterly!I50</f>
        <v>19.3</v>
      </c>
      <c r="N490" s="249">
        <f>+Quarterly!J50</f>
        <v>18.100000000000001</v>
      </c>
      <c r="O490" s="249">
        <f>+Quarterly!K50</f>
        <v>9.1999999999999993</v>
      </c>
      <c r="P490" s="249">
        <f>+Quarterly!L50</f>
        <v>58.7</v>
      </c>
      <c r="Q490" s="249">
        <f>+Quarterly!M50</f>
        <v>90.2</v>
      </c>
      <c r="R490" s="249">
        <f>+Quarterly!N50</f>
        <v>52</v>
      </c>
      <c r="S490" s="249">
        <f>+Quarterly!O50</f>
        <v>59.7</v>
      </c>
      <c r="T490" s="249">
        <f>+Quarterly!P50</f>
        <v>0</v>
      </c>
      <c r="U490" s="249">
        <f>+Quarterly!Q50</f>
        <v>0.02</v>
      </c>
      <c r="V490" s="249">
        <f>+Quarterly!R50</f>
        <v>-0.1</v>
      </c>
      <c r="W490" s="249">
        <f>+Quarterly!S50</f>
        <v>6.3</v>
      </c>
      <c r="X490" s="249">
        <f>+Quarterly!T50</f>
        <v>6.5</v>
      </c>
      <c r="Y490" s="249">
        <f>+Quarterly!U50</f>
        <v>3.6</v>
      </c>
      <c r="Z490" s="249">
        <f>+Quarterly!V50</f>
        <v>0.5</v>
      </c>
      <c r="AA490" s="249">
        <f>+Quarterly!W50</f>
        <v>2.2999999999999998</v>
      </c>
      <c r="AB490" s="249">
        <f>+Quarterly!X50</f>
        <v>202.2</v>
      </c>
      <c r="AC490" s="249">
        <f>+Quarterly!Y50</f>
        <v>0.2</v>
      </c>
      <c r="AD490" s="249">
        <f>+Quarterly!Z50</f>
        <v>17.7</v>
      </c>
      <c r="AE490" s="249">
        <f>+Quarterly!AA50</f>
        <v>0.4</v>
      </c>
      <c r="AF490" s="249">
        <f>+Quarterly!AB50</f>
        <v>2.2000000000000002</v>
      </c>
      <c r="AG490" s="249">
        <f>+Quarterly!AC50</f>
        <v>1</v>
      </c>
      <c r="AH490" s="249">
        <f>+Quarterly!AD50</f>
        <v>1.8</v>
      </c>
      <c r="AI490" s="249">
        <f>+Quarterly!AE50</f>
        <v>0.9</v>
      </c>
      <c r="AJ490" s="249">
        <f>+Quarterly!AF50</f>
        <v>0.4</v>
      </c>
      <c r="AK490" s="249">
        <f>+Quarterly!AG50</f>
        <v>1.9</v>
      </c>
      <c r="AL490" s="249">
        <f>+Quarterly!AH50</f>
        <v>1.7</v>
      </c>
      <c r="AM490" s="249">
        <f>+Quarterly!AI50</f>
        <v>1.1000000000000001</v>
      </c>
      <c r="AN490" s="249">
        <f>+Quarterly!AL50</f>
        <v>61.6</v>
      </c>
      <c r="AO490" s="581"/>
      <c r="AP490" s="581"/>
      <c r="AQ490" s="581"/>
      <c r="AR490" s="581"/>
      <c r="AS490" s="581"/>
      <c r="AT490" s="581"/>
      <c r="AU490" s="581"/>
      <c r="AV490" s="581"/>
      <c r="AW490" s="581"/>
      <c r="AX490" s="581"/>
      <c r="AY490" s="581"/>
      <c r="AZ490" s="581"/>
      <c r="BA490" s="581"/>
      <c r="BB490" s="581"/>
      <c r="BC490" s="581"/>
      <c r="BD490" s="581"/>
      <c r="BE490" s="581"/>
      <c r="BF490" s="581"/>
      <c r="BG490" s="581"/>
      <c r="BH490" s="581"/>
      <c r="BI490" s="581"/>
      <c r="BJ490" s="581"/>
      <c r="BK490" s="581"/>
    </row>
    <row r="491" spans="1:63" s="245" customFormat="1">
      <c r="A491" s="243"/>
      <c r="B491" s="243" t="s">
        <v>1807</v>
      </c>
      <c r="C491" s="246" t="s">
        <v>906</v>
      </c>
      <c r="D491" s="243"/>
      <c r="F491" s="245">
        <f t="shared" ref="F491:AD491" si="779">+F487-F488</f>
        <v>0</v>
      </c>
      <c r="G491" s="245">
        <f t="shared" si="779"/>
        <v>0</v>
      </c>
      <c r="H491" s="245">
        <f t="shared" si="779"/>
        <v>0</v>
      </c>
      <c r="I491" s="245">
        <f t="shared" si="779"/>
        <v>0</v>
      </c>
      <c r="J491" s="245">
        <f t="shared" si="779"/>
        <v>0</v>
      </c>
      <c r="K491" s="245">
        <f t="shared" si="779"/>
        <v>3285.1000000000004</v>
      </c>
      <c r="L491" s="245">
        <f t="shared" si="779"/>
        <v>4752</v>
      </c>
      <c r="M491" s="245">
        <f t="shared" si="779"/>
        <v>3661.6999999999989</v>
      </c>
      <c r="N491" s="245">
        <f t="shared" si="779"/>
        <v>2388.1000000000008</v>
      </c>
      <c r="O491" s="245">
        <f t="shared" si="779"/>
        <v>2611.2000000000016</v>
      </c>
      <c r="P491" s="245">
        <f t="shared" si="779"/>
        <v>3269.7000000000007</v>
      </c>
      <c r="Q491" s="245">
        <f t="shared" si="779"/>
        <v>3028.0999999999981</v>
      </c>
      <c r="R491" s="245">
        <f t="shared" si="779"/>
        <v>2892.6000000000013</v>
      </c>
      <c r="S491" s="245">
        <f t="shared" si="779"/>
        <v>4395.0999999999967</v>
      </c>
      <c r="T491" s="245">
        <f t="shared" si="779"/>
        <v>6246.5999999999985</v>
      </c>
      <c r="U491" s="245">
        <f t="shared" si="779"/>
        <v>7229.7800000000025</v>
      </c>
      <c r="V491" s="245">
        <f t="shared" si="779"/>
        <v>7855</v>
      </c>
      <c r="W491" s="245">
        <f t="shared" si="779"/>
        <v>8261.4999999999964</v>
      </c>
      <c r="X491" s="245">
        <f t="shared" si="779"/>
        <v>9502.7999999999975</v>
      </c>
      <c r="Y491" s="245">
        <f t="shared" si="779"/>
        <v>9174.0000000000036</v>
      </c>
      <c r="Z491" s="245">
        <f t="shared" si="779"/>
        <v>9294.5999999999985</v>
      </c>
      <c r="AA491" s="245">
        <f t="shared" si="779"/>
        <v>9530.6000000000095</v>
      </c>
      <c r="AB491" s="245">
        <f t="shared" si="779"/>
        <v>10722.099999999995</v>
      </c>
      <c r="AC491" s="245">
        <f t="shared" si="779"/>
        <v>11200.499999999995</v>
      </c>
      <c r="AD491" s="245">
        <f t="shared" si="779"/>
        <v>10288.899999999992</v>
      </c>
      <c r="AE491" s="245">
        <f t="shared" ref="AE491:BK491" si="780">+AE487-AE488</f>
        <v>10183.899999999994</v>
      </c>
      <c r="AF491" s="245">
        <f t="shared" ref="AF491:AL491" si="781">+AF487-AF488</f>
        <v>10406.699999999999</v>
      </c>
      <c r="AG491" s="245">
        <f t="shared" si="781"/>
        <v>11737.599999999993</v>
      </c>
      <c r="AH491" s="245">
        <f t="shared" si="781"/>
        <v>10334.100000000002</v>
      </c>
      <c r="AI491" s="245">
        <f t="shared" si="781"/>
        <v>11338.300000000007</v>
      </c>
      <c r="AJ491" s="245">
        <f t="shared" si="781"/>
        <v>12511.499999999998</v>
      </c>
      <c r="AK491" s="245">
        <f t="shared" si="781"/>
        <v>12153.599999999999</v>
      </c>
      <c r="AL491" s="245">
        <f t="shared" si="781"/>
        <v>11085.199999999999</v>
      </c>
      <c r="AM491" s="245">
        <f>+AM487-AM488</f>
        <v>11423.199999999999</v>
      </c>
      <c r="AN491" s="245">
        <f>+AN487-AN488</f>
        <v>9166.7999999999956</v>
      </c>
      <c r="AO491" s="580">
        <f t="shared" si="780"/>
        <v>0</v>
      </c>
      <c r="AP491" s="580">
        <f t="shared" si="780"/>
        <v>0</v>
      </c>
      <c r="AQ491" s="580">
        <f t="shared" si="780"/>
        <v>0</v>
      </c>
      <c r="AR491" s="580">
        <f t="shared" si="780"/>
        <v>0</v>
      </c>
      <c r="AS491" s="580">
        <f t="shared" si="780"/>
        <v>0</v>
      </c>
      <c r="AT491" s="580">
        <f t="shared" si="780"/>
        <v>0</v>
      </c>
      <c r="AU491" s="580">
        <f t="shared" si="780"/>
        <v>0</v>
      </c>
      <c r="AV491" s="580">
        <f t="shared" si="780"/>
        <v>0</v>
      </c>
      <c r="AW491" s="580">
        <f t="shared" si="780"/>
        <v>0</v>
      </c>
      <c r="AX491" s="580">
        <f t="shared" si="780"/>
        <v>0</v>
      </c>
      <c r="AY491" s="580">
        <f t="shared" si="780"/>
        <v>0</v>
      </c>
      <c r="AZ491" s="580">
        <f t="shared" si="780"/>
        <v>0</v>
      </c>
      <c r="BA491" s="580">
        <f t="shared" si="780"/>
        <v>0</v>
      </c>
      <c r="BB491" s="580">
        <f t="shared" si="780"/>
        <v>0</v>
      </c>
      <c r="BC491" s="580">
        <f t="shared" si="780"/>
        <v>0</v>
      </c>
      <c r="BD491" s="580">
        <f t="shared" si="780"/>
        <v>0</v>
      </c>
      <c r="BE491" s="580">
        <f t="shared" si="780"/>
        <v>0</v>
      </c>
      <c r="BF491" s="580">
        <f t="shared" si="780"/>
        <v>0</v>
      </c>
      <c r="BG491" s="580">
        <f t="shared" si="780"/>
        <v>0</v>
      </c>
      <c r="BH491" s="580">
        <f t="shared" si="780"/>
        <v>0</v>
      </c>
      <c r="BI491" s="580">
        <f t="shared" si="780"/>
        <v>0</v>
      </c>
      <c r="BJ491" s="580">
        <f t="shared" si="780"/>
        <v>0</v>
      </c>
      <c r="BK491" s="580">
        <f t="shared" si="780"/>
        <v>0</v>
      </c>
    </row>
    <row r="492" spans="1:63" s="245" customFormat="1">
      <c r="A492" s="243"/>
      <c r="B492" s="243" t="s">
        <v>1808</v>
      </c>
      <c r="C492" s="252" t="s">
        <v>1809</v>
      </c>
      <c r="D492" s="243"/>
      <c r="F492" s="245">
        <f t="shared" ref="F492:AD492" si="782">SUM(F493:F495)</f>
        <v>0</v>
      </c>
      <c r="G492" s="245">
        <f t="shared" si="782"/>
        <v>0</v>
      </c>
      <c r="H492" s="245">
        <f t="shared" si="782"/>
        <v>0</v>
      </c>
      <c r="I492" s="245">
        <f t="shared" si="782"/>
        <v>0</v>
      </c>
      <c r="J492" s="245">
        <f t="shared" si="782"/>
        <v>0</v>
      </c>
      <c r="K492" s="245">
        <f t="shared" si="782"/>
        <v>1025</v>
      </c>
      <c r="L492" s="245">
        <f t="shared" si="782"/>
        <v>1315</v>
      </c>
      <c r="M492" s="245">
        <f t="shared" si="782"/>
        <v>1166.6400000000001</v>
      </c>
      <c r="N492" s="245">
        <f t="shared" si="782"/>
        <v>823.14</v>
      </c>
      <c r="O492" s="245">
        <f t="shared" si="782"/>
        <v>860</v>
      </c>
      <c r="P492" s="245">
        <f t="shared" si="782"/>
        <v>993.3</v>
      </c>
      <c r="Q492" s="245">
        <f t="shared" si="782"/>
        <v>938.3</v>
      </c>
      <c r="R492" s="245">
        <f t="shared" si="782"/>
        <v>890.8</v>
      </c>
      <c r="S492" s="245">
        <f t="shared" si="782"/>
        <v>1292.06</v>
      </c>
      <c r="T492" s="245">
        <f t="shared" si="782"/>
        <v>1897.49</v>
      </c>
      <c r="U492" s="245">
        <f t="shared" si="782"/>
        <v>2157.46</v>
      </c>
      <c r="V492" s="245">
        <f t="shared" si="782"/>
        <v>2212.4899999999998</v>
      </c>
      <c r="W492" s="245">
        <f t="shared" si="782"/>
        <v>2360</v>
      </c>
      <c r="X492" s="245">
        <f t="shared" si="782"/>
        <v>2682</v>
      </c>
      <c r="Y492" s="245">
        <f t="shared" si="782"/>
        <v>2502.9</v>
      </c>
      <c r="Z492" s="245">
        <f t="shared" si="782"/>
        <v>361.65000000000009</v>
      </c>
      <c r="AA492" s="245">
        <f t="shared" si="782"/>
        <v>2420</v>
      </c>
      <c r="AB492" s="245">
        <f t="shared" si="782"/>
        <v>2796.23</v>
      </c>
      <c r="AC492" s="245">
        <f t="shared" si="782"/>
        <v>2836.58</v>
      </c>
      <c r="AD492" s="245">
        <f t="shared" si="782"/>
        <v>2612.39</v>
      </c>
      <c r="AE492" s="245">
        <f>SUM(AE493:AE495)</f>
        <v>3000</v>
      </c>
      <c r="AF492" s="245">
        <f t="shared" ref="AF492:AL492" si="783">SUM(AF493:AF495)</f>
        <v>3000</v>
      </c>
      <c r="AG492" s="245">
        <f t="shared" si="783"/>
        <v>3550.2</v>
      </c>
      <c r="AH492" s="245">
        <f t="shared" si="783"/>
        <v>2676.4</v>
      </c>
      <c r="AI492" s="245">
        <f t="shared" si="783"/>
        <v>3001.5</v>
      </c>
      <c r="AJ492" s="245">
        <f t="shared" si="783"/>
        <v>3746.3</v>
      </c>
      <c r="AK492" s="245">
        <f t="shared" si="783"/>
        <v>4063.3</v>
      </c>
      <c r="AL492" s="245">
        <f t="shared" si="783"/>
        <v>3089.9</v>
      </c>
      <c r="AM492" s="245">
        <f>SUM(AM493:AM495)</f>
        <v>3351.1</v>
      </c>
      <c r="AN492" s="245">
        <f>SUM(AN493:AN495)</f>
        <v>3003.9</v>
      </c>
      <c r="AO492" s="580">
        <f t="shared" ref="AO492:BK492" si="784">SUM(AO493:AO495)</f>
        <v>0</v>
      </c>
      <c r="AP492" s="580">
        <f t="shared" si="784"/>
        <v>0</v>
      </c>
      <c r="AQ492" s="580">
        <f t="shared" si="784"/>
        <v>0</v>
      </c>
      <c r="AR492" s="580">
        <f t="shared" si="784"/>
        <v>0</v>
      </c>
      <c r="AS492" s="580">
        <f t="shared" si="784"/>
        <v>0</v>
      </c>
      <c r="AT492" s="580">
        <f t="shared" si="784"/>
        <v>0</v>
      </c>
      <c r="AU492" s="580">
        <f t="shared" si="784"/>
        <v>0</v>
      </c>
      <c r="AV492" s="580">
        <f t="shared" si="784"/>
        <v>0</v>
      </c>
      <c r="AW492" s="580">
        <f t="shared" si="784"/>
        <v>0</v>
      </c>
      <c r="AX492" s="580">
        <f t="shared" si="784"/>
        <v>0</v>
      </c>
      <c r="AY492" s="580">
        <f t="shared" si="784"/>
        <v>0</v>
      </c>
      <c r="AZ492" s="580">
        <f t="shared" si="784"/>
        <v>0</v>
      </c>
      <c r="BA492" s="580">
        <f t="shared" si="784"/>
        <v>0</v>
      </c>
      <c r="BB492" s="580">
        <f t="shared" si="784"/>
        <v>0</v>
      </c>
      <c r="BC492" s="580">
        <f t="shared" si="784"/>
        <v>0</v>
      </c>
      <c r="BD492" s="580">
        <f t="shared" si="784"/>
        <v>0</v>
      </c>
      <c r="BE492" s="580">
        <f t="shared" si="784"/>
        <v>0</v>
      </c>
      <c r="BF492" s="580">
        <f t="shared" si="784"/>
        <v>0</v>
      </c>
      <c r="BG492" s="580">
        <f t="shared" si="784"/>
        <v>0</v>
      </c>
      <c r="BH492" s="580">
        <f t="shared" si="784"/>
        <v>0</v>
      </c>
      <c r="BI492" s="580">
        <f t="shared" si="784"/>
        <v>0</v>
      </c>
      <c r="BJ492" s="580">
        <f t="shared" si="784"/>
        <v>0</v>
      </c>
      <c r="BK492" s="580">
        <f t="shared" si="784"/>
        <v>0</v>
      </c>
    </row>
    <row r="493" spans="1:63" s="248" customFormat="1">
      <c r="A493" s="247"/>
      <c r="B493" s="247" t="s">
        <v>1810</v>
      </c>
      <c r="C493" s="297" t="s">
        <v>1811</v>
      </c>
      <c r="D493" s="247"/>
      <c r="F493" s="249"/>
      <c r="G493" s="249"/>
      <c r="H493" s="249"/>
      <c r="I493" s="249"/>
      <c r="J493" s="249"/>
      <c r="K493" s="249">
        <f>+Quarterly!G57</f>
        <v>1025</v>
      </c>
      <c r="L493" s="249">
        <f>+Quarterly!H57</f>
        <v>1315</v>
      </c>
      <c r="M493" s="249">
        <f>+Quarterly!I57</f>
        <v>1013.1</v>
      </c>
      <c r="N493" s="249">
        <f>+Quarterly!J57</f>
        <v>669.6</v>
      </c>
      <c r="O493" s="249">
        <f>+Quarterly!K57</f>
        <v>860</v>
      </c>
      <c r="P493" s="249">
        <f>+Quarterly!L57</f>
        <v>810</v>
      </c>
      <c r="Q493" s="249">
        <f>+Quarterly!M57</f>
        <v>755</v>
      </c>
      <c r="R493" s="249">
        <f>+Quarterly!N57</f>
        <v>591.1</v>
      </c>
      <c r="S493" s="249">
        <f>+Quarterly!O57</f>
        <v>1220</v>
      </c>
      <c r="T493" s="249">
        <f>+Quarterly!P57</f>
        <v>1760</v>
      </c>
      <c r="U493" s="249">
        <f>+Quarterly!Q57</f>
        <v>2020</v>
      </c>
      <c r="V493" s="249">
        <f>+Quarterly!R57</f>
        <v>2075</v>
      </c>
      <c r="W493" s="249">
        <f>+Quarterly!S57</f>
        <v>2360</v>
      </c>
      <c r="X493" s="249">
        <f>+Quarterly!T57</f>
        <v>2682</v>
      </c>
      <c r="Y493" s="249">
        <f>+Quarterly!U57</f>
        <v>2502.9</v>
      </c>
      <c r="Z493" s="249">
        <f>+Quarterly!V57</f>
        <v>2535.3000000000002</v>
      </c>
      <c r="AA493" s="249">
        <f>+Quarterly!W57</f>
        <v>2420</v>
      </c>
      <c r="AB493" s="249">
        <f>+Quarterly!X57</f>
        <v>2510</v>
      </c>
      <c r="AC493" s="249">
        <f>+Quarterly!Y57</f>
        <v>2660</v>
      </c>
      <c r="AD493" s="249">
        <f>+Quarterly!Z57</f>
        <v>2631.2</v>
      </c>
      <c r="AE493" s="249">
        <f>+Quarterly!AA57</f>
        <v>3000</v>
      </c>
      <c r="AF493" s="249">
        <f>+Quarterly!AB57</f>
        <v>3000</v>
      </c>
      <c r="AG493" s="249">
        <f>+Quarterly!AC57</f>
        <v>3550.2</v>
      </c>
      <c r="AH493" s="249">
        <f>+Quarterly!AD57</f>
        <v>2676.4</v>
      </c>
      <c r="AI493" s="249">
        <f>+Quarterly!AE57</f>
        <v>3001.5</v>
      </c>
      <c r="AJ493" s="249">
        <f>+Quarterly!AF57</f>
        <v>3746.3</v>
      </c>
      <c r="AK493" s="249">
        <f>+Quarterly!AG57</f>
        <v>4063.3</v>
      </c>
      <c r="AL493" s="249">
        <f>+Quarterly!AH57</f>
        <v>3089.9</v>
      </c>
      <c r="AM493" s="249">
        <f>+Quarterly!AI57</f>
        <v>3351.1</v>
      </c>
      <c r="AN493" s="249">
        <f>+Quarterly!AL57</f>
        <v>3003.9</v>
      </c>
      <c r="AO493" s="581"/>
      <c r="AP493" s="581"/>
      <c r="AQ493" s="581"/>
      <c r="AR493" s="581"/>
      <c r="AS493" s="581"/>
      <c r="AT493" s="581"/>
      <c r="AU493" s="581"/>
      <c r="AV493" s="581"/>
      <c r="AW493" s="581"/>
      <c r="AX493" s="581"/>
      <c r="AY493" s="581"/>
      <c r="AZ493" s="581"/>
      <c r="BA493" s="581"/>
      <c r="BB493" s="581"/>
      <c r="BC493" s="581"/>
      <c r="BD493" s="581"/>
      <c r="BE493" s="581"/>
      <c r="BF493" s="581"/>
      <c r="BG493" s="581"/>
      <c r="BH493" s="581"/>
      <c r="BI493" s="581"/>
      <c r="BJ493" s="581"/>
      <c r="BK493" s="581"/>
    </row>
    <row r="494" spans="1:63" s="248" customFormat="1">
      <c r="A494" s="247"/>
      <c r="B494" s="247" t="s">
        <v>1812</v>
      </c>
      <c r="C494" s="297" t="s">
        <v>1813</v>
      </c>
      <c r="D494" s="247"/>
      <c r="F494" s="249"/>
      <c r="G494" s="249"/>
      <c r="H494" s="249"/>
      <c r="I494" s="249"/>
      <c r="J494" s="249"/>
      <c r="K494" s="249">
        <f t="shared" ref="K494:AA494" si="785">+K504</f>
        <v>0</v>
      </c>
      <c r="L494" s="249">
        <f t="shared" si="785"/>
        <v>0</v>
      </c>
      <c r="M494" s="249">
        <f t="shared" si="785"/>
        <v>153.54</v>
      </c>
      <c r="N494" s="249">
        <f t="shared" si="785"/>
        <v>153.54</v>
      </c>
      <c r="O494" s="249">
        <f t="shared" si="785"/>
        <v>0</v>
      </c>
      <c r="P494" s="249">
        <f t="shared" si="785"/>
        <v>183.29999999999998</v>
      </c>
      <c r="Q494" s="249">
        <f t="shared" si="785"/>
        <v>183.29999999999998</v>
      </c>
      <c r="R494" s="249">
        <f t="shared" si="785"/>
        <v>299.7</v>
      </c>
      <c r="S494" s="249">
        <f t="shared" si="785"/>
        <v>72.059999999999988</v>
      </c>
      <c r="T494" s="249">
        <f t="shared" si="785"/>
        <v>137.49</v>
      </c>
      <c r="U494" s="249">
        <f t="shared" si="785"/>
        <v>137.45999999999998</v>
      </c>
      <c r="V494" s="249">
        <f t="shared" si="785"/>
        <v>137.49</v>
      </c>
      <c r="W494" s="249">
        <f t="shared" si="785"/>
        <v>0</v>
      </c>
      <c r="X494" s="249">
        <f t="shared" si="785"/>
        <v>0</v>
      </c>
      <c r="Y494" s="249">
        <f t="shared" si="785"/>
        <v>0</v>
      </c>
      <c r="Z494" s="249">
        <f t="shared" si="785"/>
        <v>-2173.65</v>
      </c>
      <c r="AA494" s="249">
        <f t="shared" si="785"/>
        <v>0</v>
      </c>
      <c r="AB494" s="249">
        <f>+AB504</f>
        <v>286.23</v>
      </c>
      <c r="AC494" s="249">
        <f>+AC504</f>
        <v>176.58</v>
      </c>
      <c r="AD494" s="249">
        <f>+AD504</f>
        <v>-18.809999999999995</v>
      </c>
      <c r="AE494" s="249"/>
      <c r="AF494" s="249"/>
      <c r="AG494" s="249"/>
      <c r="AH494" s="249"/>
      <c r="AI494" s="249"/>
      <c r="AJ494" s="249"/>
      <c r="AK494" s="249"/>
      <c r="AL494" s="249"/>
      <c r="AM494" s="249"/>
      <c r="AN494" s="249"/>
      <c r="AO494" s="581"/>
      <c r="AP494" s="581"/>
      <c r="AQ494" s="581"/>
      <c r="AR494" s="581"/>
      <c r="AS494" s="581"/>
      <c r="AT494" s="581"/>
      <c r="AU494" s="581"/>
      <c r="AV494" s="581"/>
      <c r="AW494" s="581"/>
      <c r="AX494" s="581"/>
      <c r="AY494" s="581"/>
      <c r="AZ494" s="581"/>
      <c r="BA494" s="581"/>
      <c r="BB494" s="581"/>
      <c r="BC494" s="581"/>
      <c r="BD494" s="581"/>
      <c r="BE494" s="581"/>
      <c r="BF494" s="581"/>
      <c r="BG494" s="581"/>
      <c r="BH494" s="581"/>
      <c r="BI494" s="581"/>
      <c r="BJ494" s="581"/>
      <c r="BK494" s="581"/>
    </row>
    <row r="495" spans="1:63" s="248" customFormat="1">
      <c r="A495" s="247"/>
      <c r="B495" s="209" t="s">
        <v>1814</v>
      </c>
      <c r="C495" s="255" t="s">
        <v>1815</v>
      </c>
      <c r="D495" s="247"/>
      <c r="F495" s="249"/>
      <c r="G495" s="249"/>
      <c r="H495" s="249"/>
      <c r="I495" s="249"/>
      <c r="J495" s="249"/>
      <c r="K495" s="249"/>
      <c r="L495" s="249"/>
      <c r="M495" s="249"/>
      <c r="N495" s="249"/>
      <c r="O495" s="249"/>
      <c r="P495" s="249"/>
      <c r="Q495" s="249"/>
      <c r="R495" s="249"/>
      <c r="S495" s="249"/>
      <c r="T495" s="249"/>
      <c r="U495" s="249"/>
      <c r="V495" s="249"/>
      <c r="W495" s="249"/>
      <c r="X495" s="249"/>
      <c r="Y495" s="249"/>
      <c r="Z495" s="249"/>
      <c r="AA495" s="249"/>
      <c r="AB495" s="249"/>
      <c r="AC495" s="249"/>
      <c r="AD495" s="249"/>
      <c r="AE495" s="249"/>
      <c r="AF495" s="249"/>
      <c r="AG495" s="249"/>
      <c r="AH495" s="249"/>
      <c r="AI495" s="249"/>
      <c r="AJ495" s="249"/>
      <c r="AK495" s="249"/>
      <c r="AL495" s="249"/>
      <c r="AM495" s="249"/>
      <c r="AN495" s="249"/>
      <c r="AO495" s="581"/>
      <c r="AP495" s="581"/>
      <c r="AQ495" s="581"/>
      <c r="AR495" s="581"/>
      <c r="AS495" s="581"/>
      <c r="AT495" s="581"/>
      <c r="AU495" s="581"/>
      <c r="AV495" s="581"/>
      <c r="AW495" s="581"/>
      <c r="AX495" s="581"/>
      <c r="AY495" s="581"/>
      <c r="AZ495" s="581"/>
      <c r="BA495" s="581"/>
      <c r="BB495" s="581"/>
      <c r="BC495" s="581"/>
      <c r="BD495" s="581"/>
      <c r="BE495" s="581"/>
      <c r="BF495" s="581"/>
      <c r="BG495" s="581"/>
      <c r="BH495" s="581"/>
      <c r="BI495" s="581"/>
      <c r="BJ495" s="581"/>
      <c r="BK495" s="581"/>
    </row>
    <row r="496" spans="1:63" s="245" customFormat="1">
      <c r="A496" s="243"/>
      <c r="B496" s="243" t="s">
        <v>1816</v>
      </c>
      <c r="C496" s="252" t="s">
        <v>910</v>
      </c>
      <c r="D496" s="243"/>
      <c r="F496" s="245">
        <f t="shared" ref="F496:AD496" si="786">+F491-F492</f>
        <v>0</v>
      </c>
      <c r="G496" s="245">
        <f t="shared" si="786"/>
        <v>0</v>
      </c>
      <c r="H496" s="245">
        <f t="shared" si="786"/>
        <v>0</v>
      </c>
      <c r="I496" s="245">
        <f t="shared" si="786"/>
        <v>0</v>
      </c>
      <c r="J496" s="245">
        <f t="shared" si="786"/>
        <v>0</v>
      </c>
      <c r="K496" s="245">
        <f t="shared" si="786"/>
        <v>2260.1000000000004</v>
      </c>
      <c r="L496" s="245">
        <f t="shared" si="786"/>
        <v>3437</v>
      </c>
      <c r="M496" s="245">
        <f t="shared" si="786"/>
        <v>2495.0599999999986</v>
      </c>
      <c r="N496" s="245">
        <f t="shared" si="786"/>
        <v>1564.9600000000009</v>
      </c>
      <c r="O496" s="245">
        <f t="shared" si="786"/>
        <v>1751.2000000000016</v>
      </c>
      <c r="P496" s="245">
        <f t="shared" si="786"/>
        <v>2276.4000000000005</v>
      </c>
      <c r="Q496" s="245">
        <f t="shared" si="786"/>
        <v>2089.7999999999984</v>
      </c>
      <c r="R496" s="245">
        <f t="shared" si="786"/>
        <v>2001.8000000000013</v>
      </c>
      <c r="S496" s="245">
        <f t="shared" si="786"/>
        <v>3103.0399999999968</v>
      </c>
      <c r="T496" s="245">
        <f t="shared" si="786"/>
        <v>4349.1099999999988</v>
      </c>
      <c r="U496" s="245">
        <f t="shared" si="786"/>
        <v>5072.3200000000024</v>
      </c>
      <c r="V496" s="245">
        <f t="shared" si="786"/>
        <v>5642.51</v>
      </c>
      <c r="W496" s="245">
        <f t="shared" si="786"/>
        <v>5901.4999999999964</v>
      </c>
      <c r="X496" s="245">
        <f t="shared" si="786"/>
        <v>6820.7999999999975</v>
      </c>
      <c r="Y496" s="245">
        <f t="shared" si="786"/>
        <v>6671.100000000004</v>
      </c>
      <c r="Z496" s="245">
        <f t="shared" si="786"/>
        <v>8932.9499999999989</v>
      </c>
      <c r="AA496" s="245">
        <f t="shared" si="786"/>
        <v>7110.6000000000095</v>
      </c>
      <c r="AB496" s="245">
        <f t="shared" si="786"/>
        <v>7925.8699999999953</v>
      </c>
      <c r="AC496" s="245">
        <f t="shared" si="786"/>
        <v>8363.9199999999946</v>
      </c>
      <c r="AD496" s="245">
        <f t="shared" si="786"/>
        <v>7676.5099999999929</v>
      </c>
      <c r="AE496" s="245">
        <f t="shared" ref="AE496:BK496" si="787">+AE491-AE492</f>
        <v>7183.8999999999942</v>
      </c>
      <c r="AF496" s="245">
        <f t="shared" ref="AF496:AL496" si="788">+AF491-AF492</f>
        <v>7406.6999999999989</v>
      </c>
      <c r="AG496" s="245">
        <f t="shared" si="788"/>
        <v>8187.3999999999933</v>
      </c>
      <c r="AH496" s="245">
        <f t="shared" si="788"/>
        <v>7657.7000000000025</v>
      </c>
      <c r="AI496" s="245">
        <f t="shared" si="788"/>
        <v>8336.8000000000065</v>
      </c>
      <c r="AJ496" s="245">
        <f t="shared" si="788"/>
        <v>8765.1999999999971</v>
      </c>
      <c r="AK496" s="245">
        <f t="shared" si="788"/>
        <v>8090.2999999999984</v>
      </c>
      <c r="AL496" s="245">
        <f t="shared" si="788"/>
        <v>7995.2999999999993</v>
      </c>
      <c r="AM496" s="245">
        <f>+AM491-AM492</f>
        <v>8072.0999999999985</v>
      </c>
      <c r="AN496" s="245">
        <f>+AN491-AN492</f>
        <v>6162.899999999996</v>
      </c>
      <c r="AO496" s="580">
        <f t="shared" si="787"/>
        <v>0</v>
      </c>
      <c r="AP496" s="580">
        <f t="shared" si="787"/>
        <v>0</v>
      </c>
      <c r="AQ496" s="580">
        <f t="shared" si="787"/>
        <v>0</v>
      </c>
      <c r="AR496" s="580">
        <f t="shared" si="787"/>
        <v>0</v>
      </c>
      <c r="AS496" s="580">
        <f t="shared" si="787"/>
        <v>0</v>
      </c>
      <c r="AT496" s="580">
        <f t="shared" si="787"/>
        <v>0</v>
      </c>
      <c r="AU496" s="580">
        <f t="shared" si="787"/>
        <v>0</v>
      </c>
      <c r="AV496" s="580">
        <f t="shared" si="787"/>
        <v>0</v>
      </c>
      <c r="AW496" s="580">
        <f t="shared" si="787"/>
        <v>0</v>
      </c>
      <c r="AX496" s="580">
        <f t="shared" si="787"/>
        <v>0</v>
      </c>
      <c r="AY496" s="580">
        <f t="shared" si="787"/>
        <v>0</v>
      </c>
      <c r="AZ496" s="580">
        <f t="shared" si="787"/>
        <v>0</v>
      </c>
      <c r="BA496" s="580">
        <f t="shared" si="787"/>
        <v>0</v>
      </c>
      <c r="BB496" s="580">
        <f t="shared" si="787"/>
        <v>0</v>
      </c>
      <c r="BC496" s="580">
        <f t="shared" si="787"/>
        <v>0</v>
      </c>
      <c r="BD496" s="580">
        <f t="shared" si="787"/>
        <v>0</v>
      </c>
      <c r="BE496" s="580">
        <f t="shared" si="787"/>
        <v>0</v>
      </c>
      <c r="BF496" s="580">
        <f t="shared" si="787"/>
        <v>0</v>
      </c>
      <c r="BG496" s="580">
        <f t="shared" si="787"/>
        <v>0</v>
      </c>
      <c r="BH496" s="580">
        <f t="shared" si="787"/>
        <v>0</v>
      </c>
      <c r="BI496" s="580">
        <f t="shared" si="787"/>
        <v>0</v>
      </c>
      <c r="BJ496" s="580">
        <f t="shared" si="787"/>
        <v>0</v>
      </c>
      <c r="BK496" s="580">
        <f t="shared" si="787"/>
        <v>0</v>
      </c>
    </row>
    <row r="497" spans="1:63" s="248" customFormat="1">
      <c r="A497" s="247"/>
      <c r="B497" s="209" t="s">
        <v>1817</v>
      </c>
      <c r="C497" s="253" t="s">
        <v>912</v>
      </c>
      <c r="D497" s="247"/>
      <c r="F497" s="249"/>
      <c r="G497" s="249"/>
      <c r="H497" s="249"/>
      <c r="I497" s="249"/>
      <c r="J497" s="249"/>
      <c r="K497" s="249"/>
      <c r="L497" s="249"/>
      <c r="M497" s="249"/>
      <c r="N497" s="249"/>
      <c r="O497" s="249"/>
      <c r="P497" s="249"/>
      <c r="Q497" s="249"/>
      <c r="R497" s="249"/>
      <c r="S497" s="249"/>
      <c r="T497" s="249"/>
      <c r="U497" s="249"/>
      <c r="V497" s="249"/>
      <c r="W497" s="249"/>
      <c r="X497" s="249"/>
      <c r="Y497" s="249"/>
      <c r="Z497" s="249"/>
      <c r="AA497" s="249"/>
      <c r="AB497" s="249"/>
      <c r="AC497" s="249"/>
      <c r="AD497" s="249"/>
      <c r="AE497" s="249"/>
      <c r="AF497" s="249"/>
      <c r="AG497" s="249"/>
      <c r="AH497" s="249"/>
      <c r="AI497" s="249"/>
      <c r="AJ497" s="249"/>
      <c r="AK497" s="249"/>
      <c r="AL497" s="249"/>
      <c r="AM497" s="249"/>
      <c r="AN497" s="249"/>
      <c r="AO497" s="581"/>
      <c r="AP497" s="581"/>
      <c r="AQ497" s="581"/>
      <c r="AR497" s="581"/>
      <c r="AS497" s="581"/>
      <c r="AT497" s="581"/>
      <c r="AU497" s="581"/>
      <c r="AV497" s="581"/>
      <c r="AW497" s="581"/>
      <c r="AX497" s="581"/>
      <c r="AY497" s="581"/>
      <c r="AZ497" s="581"/>
      <c r="BA497" s="581"/>
      <c r="BB497" s="581"/>
      <c r="BC497" s="581"/>
      <c r="BD497" s="581"/>
      <c r="BE497" s="581"/>
      <c r="BF497" s="581"/>
      <c r="BG497" s="581"/>
      <c r="BH497" s="581"/>
      <c r="BI497" s="581"/>
      <c r="BJ497" s="581"/>
      <c r="BK497" s="581"/>
    </row>
    <row r="498" spans="1:63" s="248" customFormat="1">
      <c r="A498" s="247"/>
      <c r="B498" s="209" t="s">
        <v>1818</v>
      </c>
      <c r="C498" s="253" t="s">
        <v>1819</v>
      </c>
      <c r="D498" s="247"/>
      <c r="F498" s="249"/>
      <c r="G498" s="249"/>
      <c r="H498" s="249"/>
      <c r="I498" s="249"/>
      <c r="J498" s="249"/>
      <c r="K498" s="249"/>
      <c r="L498" s="249"/>
      <c r="M498" s="249"/>
      <c r="N498" s="249"/>
      <c r="O498" s="249"/>
      <c r="P498" s="249"/>
      <c r="Q498" s="249"/>
      <c r="R498" s="249"/>
      <c r="S498" s="249"/>
      <c r="T498" s="249"/>
      <c r="U498" s="249"/>
      <c r="V498" s="249"/>
      <c r="W498" s="249"/>
      <c r="X498" s="249"/>
      <c r="Y498" s="249"/>
      <c r="Z498" s="249"/>
      <c r="AA498" s="249"/>
      <c r="AB498" s="249"/>
      <c r="AC498" s="249"/>
      <c r="AD498" s="249"/>
      <c r="AE498" s="249"/>
      <c r="AF498" s="249"/>
      <c r="AG498" s="249"/>
      <c r="AH498" s="249"/>
      <c r="AI498" s="249"/>
      <c r="AJ498" s="249"/>
      <c r="AK498" s="249"/>
      <c r="AL498" s="249"/>
      <c r="AM498" s="249"/>
      <c r="AN498" s="249"/>
      <c r="AO498" s="581"/>
      <c r="AP498" s="581"/>
      <c r="AQ498" s="581"/>
      <c r="AR498" s="581"/>
      <c r="AS498" s="581"/>
      <c r="AT498" s="581"/>
      <c r="AU498" s="581"/>
      <c r="AV498" s="581"/>
      <c r="AW498" s="581"/>
      <c r="AX498" s="581"/>
      <c r="AY498" s="581"/>
      <c r="AZ498" s="581"/>
      <c r="BA498" s="581"/>
      <c r="BB498" s="581"/>
      <c r="BC498" s="581"/>
      <c r="BD498" s="581"/>
      <c r="BE498" s="581"/>
      <c r="BF498" s="581"/>
      <c r="BG498" s="581"/>
      <c r="BH498" s="581"/>
      <c r="BI498" s="581"/>
      <c r="BJ498" s="581"/>
      <c r="BK498" s="581"/>
    </row>
    <row r="499" spans="1:63" s="245" customFormat="1">
      <c r="A499" s="243"/>
      <c r="B499" s="243" t="s">
        <v>1820</v>
      </c>
      <c r="C499" s="252" t="s">
        <v>916</v>
      </c>
      <c r="D499" s="243"/>
      <c r="F499" s="245">
        <f t="shared" ref="F499:BK499" si="789">F496+F497-F498</f>
        <v>0</v>
      </c>
      <c r="G499" s="245">
        <f t="shared" si="789"/>
        <v>0</v>
      </c>
      <c r="H499" s="245">
        <f t="shared" si="789"/>
        <v>0</v>
      </c>
      <c r="I499" s="245">
        <f t="shared" si="789"/>
        <v>0</v>
      </c>
      <c r="J499" s="245">
        <f t="shared" si="789"/>
        <v>0</v>
      </c>
      <c r="K499" s="245">
        <f t="shared" si="789"/>
        <v>2260.1000000000004</v>
      </c>
      <c r="L499" s="245">
        <f t="shared" si="789"/>
        <v>3437</v>
      </c>
      <c r="M499" s="245">
        <f t="shared" si="789"/>
        <v>2495.0599999999986</v>
      </c>
      <c r="N499" s="245">
        <f t="shared" si="789"/>
        <v>1564.9600000000009</v>
      </c>
      <c r="O499" s="245">
        <f t="shared" si="789"/>
        <v>1751.2000000000016</v>
      </c>
      <c r="P499" s="245">
        <f t="shared" si="789"/>
        <v>2276.4000000000005</v>
      </c>
      <c r="Q499" s="245">
        <f t="shared" si="789"/>
        <v>2089.7999999999984</v>
      </c>
      <c r="R499" s="245">
        <f t="shared" si="789"/>
        <v>2001.8000000000013</v>
      </c>
      <c r="S499" s="245">
        <f t="shared" si="789"/>
        <v>3103.0399999999968</v>
      </c>
      <c r="T499" s="245">
        <f t="shared" si="789"/>
        <v>4349.1099999999988</v>
      </c>
      <c r="U499" s="245">
        <f t="shared" si="789"/>
        <v>5072.3200000000024</v>
      </c>
      <c r="V499" s="245">
        <f t="shared" si="789"/>
        <v>5642.51</v>
      </c>
      <c r="W499" s="245">
        <f t="shared" si="789"/>
        <v>5901.4999999999964</v>
      </c>
      <c r="X499" s="245">
        <f t="shared" si="789"/>
        <v>6820.7999999999975</v>
      </c>
      <c r="Y499" s="245">
        <f t="shared" si="789"/>
        <v>6671.100000000004</v>
      </c>
      <c r="Z499" s="245">
        <f t="shared" si="789"/>
        <v>8932.9499999999989</v>
      </c>
      <c r="AA499" s="245">
        <f t="shared" si="789"/>
        <v>7110.6000000000095</v>
      </c>
      <c r="AB499" s="245">
        <f t="shared" si="789"/>
        <v>7925.8699999999953</v>
      </c>
      <c r="AC499" s="245">
        <f t="shared" si="789"/>
        <v>8363.9199999999946</v>
      </c>
      <c r="AD499" s="245">
        <f t="shared" si="789"/>
        <v>7676.5099999999929</v>
      </c>
      <c r="AE499" s="245">
        <f t="shared" si="789"/>
        <v>7183.8999999999942</v>
      </c>
      <c r="AF499" s="245">
        <f t="shared" ref="AF499:AM499" si="790">AF496+AF497-AF498</f>
        <v>7406.6999999999989</v>
      </c>
      <c r="AG499" s="245">
        <f t="shared" si="790"/>
        <v>8187.3999999999933</v>
      </c>
      <c r="AH499" s="245">
        <f t="shared" si="790"/>
        <v>7657.7000000000025</v>
      </c>
      <c r="AI499" s="245">
        <f t="shared" si="790"/>
        <v>8336.8000000000065</v>
      </c>
      <c r="AJ499" s="245">
        <f t="shared" si="790"/>
        <v>8765.1999999999971</v>
      </c>
      <c r="AK499" s="245">
        <f t="shared" si="790"/>
        <v>8090.2999999999984</v>
      </c>
      <c r="AL499" s="245">
        <f t="shared" si="790"/>
        <v>7995.2999999999993</v>
      </c>
      <c r="AM499" s="245">
        <f t="shared" si="790"/>
        <v>8072.0999999999985</v>
      </c>
      <c r="AN499" s="245">
        <f>AN496+AN497-AN498</f>
        <v>6162.899999999996</v>
      </c>
      <c r="AO499" s="580">
        <f t="shared" si="789"/>
        <v>0</v>
      </c>
      <c r="AP499" s="580">
        <f t="shared" si="789"/>
        <v>0</v>
      </c>
      <c r="AQ499" s="580">
        <f t="shared" si="789"/>
        <v>0</v>
      </c>
      <c r="AR499" s="580">
        <f t="shared" si="789"/>
        <v>0</v>
      </c>
      <c r="AS499" s="580">
        <f t="shared" si="789"/>
        <v>0</v>
      </c>
      <c r="AT499" s="580">
        <f t="shared" si="789"/>
        <v>0</v>
      </c>
      <c r="AU499" s="580">
        <f t="shared" si="789"/>
        <v>0</v>
      </c>
      <c r="AV499" s="580">
        <f t="shared" si="789"/>
        <v>0</v>
      </c>
      <c r="AW499" s="580">
        <f t="shared" si="789"/>
        <v>0</v>
      </c>
      <c r="AX499" s="580">
        <f t="shared" si="789"/>
        <v>0</v>
      </c>
      <c r="AY499" s="580">
        <f t="shared" si="789"/>
        <v>0</v>
      </c>
      <c r="AZ499" s="580">
        <f t="shared" si="789"/>
        <v>0</v>
      </c>
      <c r="BA499" s="580">
        <f t="shared" si="789"/>
        <v>0</v>
      </c>
      <c r="BB499" s="580">
        <f t="shared" si="789"/>
        <v>0</v>
      </c>
      <c r="BC499" s="580">
        <f t="shared" si="789"/>
        <v>0</v>
      </c>
      <c r="BD499" s="580">
        <f t="shared" si="789"/>
        <v>0</v>
      </c>
      <c r="BE499" s="580">
        <f t="shared" si="789"/>
        <v>0</v>
      </c>
      <c r="BF499" s="580">
        <f t="shared" si="789"/>
        <v>0</v>
      </c>
      <c r="BG499" s="580">
        <f t="shared" si="789"/>
        <v>0</v>
      </c>
      <c r="BH499" s="580">
        <f t="shared" si="789"/>
        <v>0</v>
      </c>
      <c r="BI499" s="580">
        <f t="shared" si="789"/>
        <v>0</v>
      </c>
      <c r="BJ499" s="580">
        <f t="shared" si="789"/>
        <v>0</v>
      </c>
      <c r="BK499" s="580">
        <f t="shared" si="789"/>
        <v>0</v>
      </c>
    </row>
    <row r="500" spans="1:63" s="245" customFormat="1">
      <c r="A500" s="243"/>
      <c r="B500" s="243" t="s">
        <v>1821</v>
      </c>
      <c r="C500" s="246" t="s">
        <v>1822</v>
      </c>
      <c r="D500" s="243"/>
      <c r="F500" s="245">
        <f t="shared" ref="F500:AD500" si="791">SUM(F501:F504)</f>
        <v>0</v>
      </c>
      <c r="G500" s="245">
        <f t="shared" si="791"/>
        <v>0</v>
      </c>
      <c r="H500" s="245">
        <f t="shared" si="791"/>
        <v>0</v>
      </c>
      <c r="I500" s="245">
        <f t="shared" si="791"/>
        <v>0</v>
      </c>
      <c r="J500" s="245">
        <f t="shared" si="791"/>
        <v>0</v>
      </c>
      <c r="K500" s="245">
        <f t="shared" si="791"/>
        <v>0</v>
      </c>
      <c r="L500" s="245">
        <f t="shared" si="791"/>
        <v>0</v>
      </c>
      <c r="M500" s="245">
        <f t="shared" si="791"/>
        <v>-358.26</v>
      </c>
      <c r="N500" s="245">
        <f t="shared" si="791"/>
        <v>-358.26</v>
      </c>
      <c r="O500" s="245">
        <f t="shared" si="791"/>
        <v>0</v>
      </c>
      <c r="P500" s="245">
        <f t="shared" si="791"/>
        <v>-427.70000000000005</v>
      </c>
      <c r="Q500" s="245">
        <f t="shared" si="791"/>
        <v>-427.70000000000005</v>
      </c>
      <c r="R500" s="245">
        <f t="shared" si="791"/>
        <v>-699.3</v>
      </c>
      <c r="S500" s="245">
        <f t="shared" si="791"/>
        <v>-168.14</v>
      </c>
      <c r="T500" s="245">
        <f t="shared" si="791"/>
        <v>-320.81</v>
      </c>
      <c r="U500" s="245">
        <f t="shared" si="791"/>
        <v>-320.74</v>
      </c>
      <c r="V500" s="245">
        <f t="shared" si="791"/>
        <v>-320.81</v>
      </c>
      <c r="W500" s="245">
        <f t="shared" si="791"/>
        <v>0</v>
      </c>
      <c r="X500" s="245">
        <f t="shared" si="791"/>
        <v>0</v>
      </c>
      <c r="Y500" s="245">
        <f t="shared" si="791"/>
        <v>0</v>
      </c>
      <c r="Z500" s="245">
        <f t="shared" si="791"/>
        <v>5071.8500000000004</v>
      </c>
      <c r="AA500" s="245">
        <f t="shared" si="791"/>
        <v>0</v>
      </c>
      <c r="AB500" s="245">
        <f t="shared" si="791"/>
        <v>-667.87</v>
      </c>
      <c r="AC500" s="245">
        <f t="shared" si="791"/>
        <v>-412.02</v>
      </c>
      <c r="AD500" s="245">
        <f t="shared" si="791"/>
        <v>43.889999999999993</v>
      </c>
      <c r="AE500" s="245">
        <f>SUM(AE501:AE504)</f>
        <v>0</v>
      </c>
      <c r="AF500" s="245">
        <f t="shared" ref="AF500:AL500" si="792">SUM(AF501:AF504)</f>
        <v>0</v>
      </c>
      <c r="AG500" s="245">
        <f t="shared" si="792"/>
        <v>0</v>
      </c>
      <c r="AH500" s="245">
        <f t="shared" si="792"/>
        <v>0</v>
      </c>
      <c r="AI500" s="245">
        <f t="shared" si="792"/>
        <v>-960</v>
      </c>
      <c r="AJ500" s="245">
        <f t="shared" si="792"/>
        <v>-393.6</v>
      </c>
      <c r="AK500" s="245">
        <f t="shared" si="792"/>
        <v>955.2</v>
      </c>
      <c r="AL500" s="245">
        <f t="shared" si="792"/>
        <v>-356</v>
      </c>
      <c r="AM500" s="245">
        <f>SUM(AM501:AM504)</f>
        <v>-672.3</v>
      </c>
      <c r="AN500" s="245">
        <f>SUM(AN501:AN504)</f>
        <v>54.3</v>
      </c>
      <c r="AO500" s="580">
        <f t="shared" ref="AO500:BK500" si="793">SUM(AO501:AO504)</f>
        <v>0</v>
      </c>
      <c r="AP500" s="580">
        <f t="shared" si="793"/>
        <v>0</v>
      </c>
      <c r="AQ500" s="580">
        <f t="shared" si="793"/>
        <v>0</v>
      </c>
      <c r="AR500" s="580">
        <f t="shared" si="793"/>
        <v>0</v>
      </c>
      <c r="AS500" s="580">
        <f t="shared" si="793"/>
        <v>0</v>
      </c>
      <c r="AT500" s="580">
        <f t="shared" si="793"/>
        <v>0</v>
      </c>
      <c r="AU500" s="580">
        <f t="shared" si="793"/>
        <v>0</v>
      </c>
      <c r="AV500" s="580">
        <f t="shared" si="793"/>
        <v>0</v>
      </c>
      <c r="AW500" s="580">
        <f t="shared" si="793"/>
        <v>0</v>
      </c>
      <c r="AX500" s="580">
        <f t="shared" si="793"/>
        <v>0</v>
      </c>
      <c r="AY500" s="580">
        <f t="shared" si="793"/>
        <v>0</v>
      </c>
      <c r="AZ500" s="580">
        <f t="shared" si="793"/>
        <v>0</v>
      </c>
      <c r="BA500" s="580">
        <f t="shared" si="793"/>
        <v>0</v>
      </c>
      <c r="BB500" s="580">
        <f t="shared" si="793"/>
        <v>0</v>
      </c>
      <c r="BC500" s="580">
        <f t="shared" si="793"/>
        <v>0</v>
      </c>
      <c r="BD500" s="580">
        <f t="shared" si="793"/>
        <v>0</v>
      </c>
      <c r="BE500" s="580">
        <f t="shared" si="793"/>
        <v>0</v>
      </c>
      <c r="BF500" s="580">
        <f t="shared" si="793"/>
        <v>0</v>
      </c>
      <c r="BG500" s="580">
        <f t="shared" si="793"/>
        <v>0</v>
      </c>
      <c r="BH500" s="580">
        <f t="shared" si="793"/>
        <v>0</v>
      </c>
      <c r="BI500" s="580">
        <f t="shared" si="793"/>
        <v>0</v>
      </c>
      <c r="BJ500" s="580">
        <f t="shared" si="793"/>
        <v>0</v>
      </c>
      <c r="BK500" s="580">
        <f t="shared" si="793"/>
        <v>0</v>
      </c>
    </row>
    <row r="501" spans="1:63" s="248" customFormat="1">
      <c r="A501" s="247"/>
      <c r="B501" s="209" t="s">
        <v>1823</v>
      </c>
      <c r="C501" s="253" t="s">
        <v>1824</v>
      </c>
      <c r="D501" s="247"/>
      <c r="F501" s="249"/>
      <c r="G501" s="249"/>
      <c r="H501" s="249"/>
      <c r="I501" s="249"/>
      <c r="J501" s="249"/>
      <c r="K501" s="249"/>
      <c r="L501" s="249"/>
      <c r="M501" s="249"/>
      <c r="N501" s="249"/>
      <c r="O501" s="249"/>
      <c r="P501" s="249"/>
      <c r="Q501" s="249"/>
      <c r="R501" s="249"/>
      <c r="S501" s="249"/>
      <c r="T501" s="249"/>
      <c r="U501" s="249"/>
      <c r="V501" s="249"/>
      <c r="W501" s="249"/>
      <c r="X501" s="249"/>
      <c r="Y501" s="249"/>
      <c r="Z501" s="249"/>
      <c r="AA501" s="249"/>
      <c r="AB501" s="249"/>
      <c r="AC501" s="249"/>
      <c r="AD501" s="249"/>
      <c r="AE501" s="249"/>
      <c r="AF501" s="249"/>
      <c r="AG501" s="249"/>
      <c r="AH501" s="249"/>
      <c r="AI501" s="249"/>
      <c r="AJ501" s="249"/>
      <c r="AK501" s="249"/>
      <c r="AL501" s="249"/>
      <c r="AM501" s="249"/>
      <c r="AN501" s="249"/>
      <c r="AO501" s="581"/>
      <c r="AP501" s="581"/>
      <c r="AQ501" s="581"/>
      <c r="AR501" s="581"/>
      <c r="AS501" s="581"/>
      <c r="AT501" s="581"/>
      <c r="AU501" s="581"/>
      <c r="AV501" s="581"/>
      <c r="AW501" s="581"/>
      <c r="AX501" s="581"/>
      <c r="AY501" s="581"/>
      <c r="AZ501" s="581"/>
      <c r="BA501" s="581"/>
      <c r="BB501" s="581"/>
      <c r="BC501" s="581"/>
      <c r="BD501" s="581"/>
      <c r="BE501" s="581"/>
      <c r="BF501" s="581"/>
      <c r="BG501" s="581"/>
      <c r="BH501" s="581"/>
      <c r="BI501" s="581"/>
      <c r="BJ501" s="581"/>
      <c r="BK501" s="581"/>
    </row>
    <row r="502" spans="1:63" s="248" customFormat="1">
      <c r="A502" s="247"/>
      <c r="B502" s="247" t="s">
        <v>1825</v>
      </c>
      <c r="C502" s="298" t="s">
        <v>928</v>
      </c>
      <c r="D502" s="247"/>
      <c r="F502" s="249"/>
      <c r="G502" s="249"/>
      <c r="H502" s="249"/>
      <c r="I502" s="249"/>
      <c r="J502" s="249"/>
      <c r="K502" s="249"/>
      <c r="L502" s="249"/>
      <c r="M502" s="249"/>
      <c r="N502" s="249"/>
      <c r="O502" s="249"/>
      <c r="P502" s="249"/>
      <c r="Q502" s="249"/>
      <c r="R502" s="249"/>
      <c r="S502" s="249"/>
      <c r="T502" s="249"/>
      <c r="U502" s="249"/>
      <c r="V502" s="249"/>
      <c r="W502" s="249"/>
      <c r="X502" s="249"/>
      <c r="Y502" s="249"/>
      <c r="Z502" s="249"/>
      <c r="AA502" s="249"/>
      <c r="AB502" s="249"/>
      <c r="AC502" s="249"/>
      <c r="AD502" s="249"/>
      <c r="AE502" s="249"/>
      <c r="AF502" s="249"/>
      <c r="AG502" s="249"/>
      <c r="AH502" s="249"/>
      <c r="AI502" s="249"/>
      <c r="AJ502" s="249"/>
      <c r="AK502" s="249"/>
      <c r="AL502" s="249"/>
      <c r="AM502" s="249"/>
      <c r="AN502" s="249"/>
      <c r="AO502" s="581"/>
      <c r="AP502" s="581"/>
      <c r="AQ502" s="581"/>
      <c r="AR502" s="581"/>
      <c r="AS502" s="581"/>
      <c r="AT502" s="581"/>
      <c r="AU502" s="581"/>
      <c r="AV502" s="581"/>
      <c r="AW502" s="581"/>
      <c r="AX502" s="581"/>
      <c r="AY502" s="581"/>
      <c r="AZ502" s="581"/>
      <c r="BA502" s="581"/>
      <c r="BB502" s="581"/>
      <c r="BC502" s="581"/>
      <c r="BD502" s="581"/>
      <c r="BE502" s="581"/>
      <c r="BF502" s="581"/>
      <c r="BG502" s="581"/>
      <c r="BH502" s="581"/>
      <c r="BI502" s="581"/>
      <c r="BJ502" s="581"/>
      <c r="BK502" s="581"/>
    </row>
    <row r="503" spans="1:63" s="248" customFormat="1">
      <c r="A503" s="247"/>
      <c r="B503" s="209" t="s">
        <v>1826</v>
      </c>
      <c r="C503" s="253" t="s">
        <v>1827</v>
      </c>
      <c r="D503" s="247"/>
      <c r="F503" s="249"/>
      <c r="G503" s="249"/>
      <c r="H503" s="249"/>
      <c r="I503" s="249"/>
      <c r="J503" s="249"/>
      <c r="K503" s="249">
        <f>Quarterly!G53</f>
        <v>0</v>
      </c>
      <c r="L503" s="249">
        <f>Quarterly!H53</f>
        <v>0</v>
      </c>
      <c r="M503" s="249">
        <f>Quarterly!I53</f>
        <v>-511.8</v>
      </c>
      <c r="N503" s="249">
        <f>Quarterly!J53</f>
        <v>-511.8</v>
      </c>
      <c r="O503" s="249">
        <f>Quarterly!K53</f>
        <v>0</v>
      </c>
      <c r="P503" s="249">
        <f>Quarterly!L53</f>
        <v>-611</v>
      </c>
      <c r="Q503" s="249">
        <f>Quarterly!M53</f>
        <v>-611</v>
      </c>
      <c r="R503" s="249">
        <f>Quarterly!N53</f>
        <v>-999</v>
      </c>
      <c r="S503" s="249">
        <f>Quarterly!O53</f>
        <v>-240.2</v>
      </c>
      <c r="T503" s="249">
        <f>Quarterly!P53</f>
        <v>-458.3</v>
      </c>
      <c r="U503" s="249">
        <f>Quarterly!Q53</f>
        <v>-458.2</v>
      </c>
      <c r="V503" s="249">
        <f>Quarterly!R53</f>
        <v>-458.3</v>
      </c>
      <c r="W503" s="249">
        <f>Quarterly!S53</f>
        <v>0</v>
      </c>
      <c r="X503" s="249">
        <f>Quarterly!T53</f>
        <v>0</v>
      </c>
      <c r="Y503" s="249">
        <f>Quarterly!U53</f>
        <v>0</v>
      </c>
      <c r="Z503" s="249">
        <f>Quarterly!V53</f>
        <v>7245.5000000000009</v>
      </c>
      <c r="AA503" s="249">
        <f>Quarterly!W53</f>
        <v>0</v>
      </c>
      <c r="AB503" s="249">
        <f>Quarterly!X53</f>
        <v>-954.1</v>
      </c>
      <c r="AC503" s="249">
        <f>Quarterly!Y53</f>
        <v>-588.6</v>
      </c>
      <c r="AD503" s="249">
        <f>Quarterly!Z53</f>
        <v>62.699999999999989</v>
      </c>
      <c r="AE503" s="249">
        <f>Quarterly!AA53</f>
        <v>0</v>
      </c>
      <c r="AF503" s="249">
        <f>Quarterly!AB53</f>
        <v>0</v>
      </c>
      <c r="AG503" s="249">
        <f>Quarterly!AC53</f>
        <v>0</v>
      </c>
      <c r="AH503" s="249">
        <f>Quarterly!AD53</f>
        <v>0</v>
      </c>
      <c r="AI503" s="249">
        <f>Quarterly!AE53</f>
        <v>-960</v>
      </c>
      <c r="AJ503" s="249">
        <f>Quarterly!AF53</f>
        <v>-393.6</v>
      </c>
      <c r="AK503" s="249">
        <f>Quarterly!AG53</f>
        <v>955.2</v>
      </c>
      <c r="AL503" s="249">
        <f>Quarterly!AH53</f>
        <v>-356</v>
      </c>
      <c r="AM503" s="249">
        <f>Quarterly!AI53</f>
        <v>-672.3</v>
      </c>
      <c r="AN503" s="249">
        <f>Quarterly!AL53</f>
        <v>54.3</v>
      </c>
      <c r="AO503" s="581"/>
      <c r="AP503" s="581"/>
      <c r="AQ503" s="581"/>
      <c r="AR503" s="581"/>
      <c r="AS503" s="581"/>
      <c r="AT503" s="581"/>
      <c r="AU503" s="581"/>
      <c r="AV503" s="581"/>
      <c r="AW503" s="581"/>
      <c r="AX503" s="581"/>
      <c r="AY503" s="581"/>
      <c r="AZ503" s="581"/>
      <c r="BA503" s="581"/>
      <c r="BB503" s="581"/>
      <c r="BC503" s="581"/>
      <c r="BD503" s="581"/>
      <c r="BE503" s="581"/>
      <c r="BF503" s="581"/>
      <c r="BG503" s="581"/>
      <c r="BH503" s="581"/>
      <c r="BI503" s="581"/>
      <c r="BJ503" s="581"/>
      <c r="BK503" s="581"/>
    </row>
    <row r="504" spans="1:63" s="248" customFormat="1">
      <c r="A504" s="247"/>
      <c r="B504" s="247" t="s">
        <v>1828</v>
      </c>
      <c r="C504" s="253" t="s">
        <v>1830</v>
      </c>
      <c r="D504" s="247"/>
      <c r="F504" s="249"/>
      <c r="G504" s="249"/>
      <c r="H504" s="249"/>
      <c r="I504" s="249"/>
      <c r="J504" s="249"/>
      <c r="K504" s="249">
        <f t="shared" ref="K504:AA504" si="794">-K503*0.3</f>
        <v>0</v>
      </c>
      <c r="L504" s="249">
        <f t="shared" si="794"/>
        <v>0</v>
      </c>
      <c r="M504" s="249">
        <f t="shared" si="794"/>
        <v>153.54</v>
      </c>
      <c r="N504" s="249">
        <f t="shared" si="794"/>
        <v>153.54</v>
      </c>
      <c r="O504" s="249">
        <f t="shared" si="794"/>
        <v>0</v>
      </c>
      <c r="P504" s="249">
        <f t="shared" si="794"/>
        <v>183.29999999999998</v>
      </c>
      <c r="Q504" s="249">
        <f t="shared" si="794"/>
        <v>183.29999999999998</v>
      </c>
      <c r="R504" s="249">
        <f t="shared" si="794"/>
        <v>299.7</v>
      </c>
      <c r="S504" s="249">
        <f t="shared" si="794"/>
        <v>72.059999999999988</v>
      </c>
      <c r="T504" s="249">
        <f t="shared" si="794"/>
        <v>137.49</v>
      </c>
      <c r="U504" s="249">
        <f t="shared" si="794"/>
        <v>137.45999999999998</v>
      </c>
      <c r="V504" s="249">
        <f t="shared" si="794"/>
        <v>137.49</v>
      </c>
      <c r="W504" s="249">
        <f t="shared" si="794"/>
        <v>0</v>
      </c>
      <c r="X504" s="249">
        <f t="shared" si="794"/>
        <v>0</v>
      </c>
      <c r="Y504" s="249">
        <f t="shared" si="794"/>
        <v>0</v>
      </c>
      <c r="Z504" s="249">
        <f t="shared" si="794"/>
        <v>-2173.65</v>
      </c>
      <c r="AA504" s="249">
        <f t="shared" si="794"/>
        <v>0</v>
      </c>
      <c r="AB504" s="249">
        <f>-AB503*0.3</f>
        <v>286.23</v>
      </c>
      <c r="AC504" s="249">
        <f>-AC503*0.3</f>
        <v>176.58</v>
      </c>
      <c r="AD504" s="249">
        <f>-AD503*0.3</f>
        <v>-18.809999999999995</v>
      </c>
      <c r="AE504" s="249"/>
      <c r="AF504" s="249"/>
      <c r="AG504" s="249"/>
      <c r="AH504" s="249"/>
      <c r="AI504" s="249"/>
      <c r="AJ504" s="249"/>
      <c r="AK504" s="249"/>
      <c r="AL504" s="249"/>
      <c r="AM504" s="249"/>
      <c r="AN504" s="249"/>
      <c r="AO504" s="581"/>
      <c r="AP504" s="581"/>
      <c r="AQ504" s="581"/>
      <c r="AR504" s="581"/>
      <c r="AS504" s="581"/>
      <c r="AT504" s="581"/>
      <c r="AU504" s="581"/>
      <c r="AV504" s="581"/>
      <c r="AW504" s="581"/>
      <c r="AX504" s="581"/>
      <c r="AY504" s="581"/>
      <c r="AZ504" s="581"/>
      <c r="BA504" s="581"/>
      <c r="BB504" s="581"/>
      <c r="BC504" s="581"/>
      <c r="BD504" s="581"/>
      <c r="BE504" s="581"/>
      <c r="BF504" s="581"/>
      <c r="BG504" s="581"/>
      <c r="BH504" s="581"/>
      <c r="BI504" s="581"/>
      <c r="BJ504" s="581"/>
      <c r="BK504" s="581"/>
    </row>
    <row r="505" spans="1:63" s="245" customFormat="1">
      <c r="A505" s="243"/>
      <c r="B505" s="243" t="s">
        <v>1831</v>
      </c>
      <c r="C505" s="299" t="s">
        <v>1832</v>
      </c>
      <c r="D505" s="243"/>
      <c r="F505" s="245">
        <f>+F499+F500</f>
        <v>0</v>
      </c>
      <c r="G505" s="245">
        <f>+G499-G500</f>
        <v>0</v>
      </c>
      <c r="H505" s="245">
        <f>+H499-H500</f>
        <v>0</v>
      </c>
      <c r="I505" s="245">
        <f>+I499-I500</f>
        <v>0</v>
      </c>
      <c r="J505" s="245">
        <f>+J499-J500</f>
        <v>0</v>
      </c>
      <c r="K505" s="245">
        <f t="shared" ref="K505:AD505" si="795">+K499+K500</f>
        <v>2260.1000000000004</v>
      </c>
      <c r="L505" s="245">
        <f t="shared" si="795"/>
        <v>3437</v>
      </c>
      <c r="M505" s="245">
        <f t="shared" si="795"/>
        <v>2136.7999999999984</v>
      </c>
      <c r="N505" s="245">
        <f t="shared" si="795"/>
        <v>1206.700000000001</v>
      </c>
      <c r="O505" s="245">
        <f t="shared" si="795"/>
        <v>1751.2000000000016</v>
      </c>
      <c r="P505" s="245">
        <f t="shared" si="795"/>
        <v>1848.7000000000005</v>
      </c>
      <c r="Q505" s="245">
        <f t="shared" si="795"/>
        <v>1662.0999999999983</v>
      </c>
      <c r="R505" s="245">
        <f t="shared" si="795"/>
        <v>1302.5000000000014</v>
      </c>
      <c r="S505" s="245">
        <f t="shared" si="795"/>
        <v>2934.8999999999969</v>
      </c>
      <c r="T505" s="245">
        <f t="shared" si="795"/>
        <v>4028.2999999999988</v>
      </c>
      <c r="U505" s="245">
        <f t="shared" si="795"/>
        <v>4751.5800000000027</v>
      </c>
      <c r="V505" s="245">
        <f t="shared" si="795"/>
        <v>5321.7</v>
      </c>
      <c r="W505" s="245">
        <f t="shared" si="795"/>
        <v>5901.4999999999964</v>
      </c>
      <c r="X505" s="245">
        <f t="shared" si="795"/>
        <v>6820.7999999999975</v>
      </c>
      <c r="Y505" s="245">
        <f t="shared" si="795"/>
        <v>6671.100000000004</v>
      </c>
      <c r="Z505" s="245">
        <f t="shared" si="795"/>
        <v>14004.8</v>
      </c>
      <c r="AA505" s="245">
        <f t="shared" si="795"/>
        <v>7110.6000000000095</v>
      </c>
      <c r="AB505" s="245">
        <f t="shared" si="795"/>
        <v>7257.9999999999955</v>
      </c>
      <c r="AC505" s="245">
        <f t="shared" si="795"/>
        <v>7951.8999999999942</v>
      </c>
      <c r="AD505" s="245">
        <f t="shared" si="795"/>
        <v>7720.3999999999933</v>
      </c>
      <c r="AE505" s="245">
        <f t="shared" ref="AE505:BK505" si="796">+AE499+AE500</f>
        <v>7183.8999999999942</v>
      </c>
      <c r="AF505" s="245">
        <f t="shared" ref="AF505:AL505" si="797">+AF499+AF500</f>
        <v>7406.6999999999989</v>
      </c>
      <c r="AG505" s="245">
        <f t="shared" si="797"/>
        <v>8187.3999999999933</v>
      </c>
      <c r="AH505" s="245">
        <f t="shared" si="797"/>
        <v>7657.7000000000025</v>
      </c>
      <c r="AI505" s="245">
        <f t="shared" si="797"/>
        <v>7376.8000000000065</v>
      </c>
      <c r="AJ505" s="245">
        <f t="shared" si="797"/>
        <v>8371.5999999999967</v>
      </c>
      <c r="AK505" s="245">
        <f t="shared" si="797"/>
        <v>9045.4999999999982</v>
      </c>
      <c r="AL505" s="245">
        <f t="shared" si="797"/>
        <v>7639.2999999999993</v>
      </c>
      <c r="AM505" s="245">
        <f>+AM499+AM500</f>
        <v>7399.7999999999984</v>
      </c>
      <c r="AN505" s="245">
        <f>+AN499+AN500</f>
        <v>6217.1999999999962</v>
      </c>
      <c r="AO505" s="580">
        <f t="shared" si="796"/>
        <v>0</v>
      </c>
      <c r="AP505" s="580">
        <f t="shared" si="796"/>
        <v>0</v>
      </c>
      <c r="AQ505" s="580">
        <f t="shared" si="796"/>
        <v>0</v>
      </c>
      <c r="AR505" s="580">
        <f t="shared" si="796"/>
        <v>0</v>
      </c>
      <c r="AS505" s="580">
        <f t="shared" si="796"/>
        <v>0</v>
      </c>
      <c r="AT505" s="580">
        <f t="shared" si="796"/>
        <v>0</v>
      </c>
      <c r="AU505" s="580">
        <f t="shared" si="796"/>
        <v>0</v>
      </c>
      <c r="AV505" s="580">
        <f t="shared" si="796"/>
        <v>0</v>
      </c>
      <c r="AW505" s="580">
        <f t="shared" si="796"/>
        <v>0</v>
      </c>
      <c r="AX505" s="580">
        <f t="shared" si="796"/>
        <v>0</v>
      </c>
      <c r="AY505" s="580">
        <f t="shared" si="796"/>
        <v>0</v>
      </c>
      <c r="AZ505" s="580">
        <f t="shared" si="796"/>
        <v>0</v>
      </c>
      <c r="BA505" s="580">
        <f t="shared" si="796"/>
        <v>0</v>
      </c>
      <c r="BB505" s="580">
        <f t="shared" si="796"/>
        <v>0</v>
      </c>
      <c r="BC505" s="580">
        <f t="shared" si="796"/>
        <v>0</v>
      </c>
      <c r="BD505" s="580">
        <f t="shared" si="796"/>
        <v>0</v>
      </c>
      <c r="BE505" s="580">
        <f t="shared" si="796"/>
        <v>0</v>
      </c>
      <c r="BF505" s="580">
        <f t="shared" si="796"/>
        <v>0</v>
      </c>
      <c r="BG505" s="580">
        <f t="shared" si="796"/>
        <v>0</v>
      </c>
      <c r="BH505" s="580">
        <f t="shared" si="796"/>
        <v>0</v>
      </c>
      <c r="BI505" s="580">
        <f t="shared" si="796"/>
        <v>0</v>
      </c>
      <c r="BJ505" s="580">
        <f t="shared" si="796"/>
        <v>0</v>
      </c>
      <c r="BK505" s="580">
        <f t="shared" si="796"/>
        <v>0</v>
      </c>
    </row>
    <row r="506" spans="1:63" s="248" customFormat="1">
      <c r="A506" s="247"/>
      <c r="B506" s="247"/>
      <c r="C506" s="300"/>
      <c r="D506" s="247"/>
      <c r="AF506" s="581"/>
      <c r="AG506" s="581"/>
      <c r="AH506" s="581"/>
      <c r="AI506" s="581"/>
      <c r="AJ506" s="581"/>
      <c r="AK506" s="581"/>
      <c r="AL506" s="581"/>
      <c r="AM506" s="581"/>
      <c r="AN506" s="581"/>
      <c r="AO506" s="581"/>
      <c r="AP506" s="581"/>
      <c r="AQ506" s="581"/>
      <c r="AR506" s="581"/>
      <c r="AS506" s="581"/>
      <c r="AT506" s="581"/>
      <c r="AU506" s="581"/>
      <c r="AV506" s="581"/>
      <c r="AW506" s="581"/>
      <c r="AX506" s="581"/>
      <c r="AY506" s="581"/>
      <c r="AZ506" s="581"/>
      <c r="BA506" s="581"/>
      <c r="BB506" s="581"/>
      <c r="BC506" s="581"/>
      <c r="BD506" s="581"/>
      <c r="BE506" s="581"/>
      <c r="BF506" s="581"/>
      <c r="BG506" s="581"/>
      <c r="BH506" s="581"/>
      <c r="BI506" s="581"/>
      <c r="BJ506" s="581"/>
      <c r="BK506" s="581"/>
    </row>
    <row r="507" spans="1:63" s="240" customFormat="1">
      <c r="A507" s="209"/>
      <c r="B507" s="209"/>
      <c r="C507" s="209"/>
      <c r="D507" s="209"/>
      <c r="AF507" s="579"/>
      <c r="AG507" s="579"/>
      <c r="AH507" s="579"/>
      <c r="AI507" s="579"/>
      <c r="AJ507" s="579"/>
      <c r="AK507" s="579"/>
      <c r="AL507" s="579"/>
      <c r="AM507" s="579"/>
      <c r="AN507" s="579"/>
      <c r="AO507" s="579"/>
      <c r="AP507" s="579"/>
      <c r="AQ507" s="579"/>
      <c r="AR507" s="579"/>
      <c r="AS507" s="579"/>
      <c r="AT507" s="579"/>
      <c r="AU507" s="579"/>
      <c r="AV507" s="579"/>
      <c r="AW507" s="579"/>
      <c r="AX507" s="579"/>
      <c r="AY507" s="579"/>
      <c r="AZ507" s="579"/>
      <c r="BA507" s="579"/>
      <c r="BB507" s="579"/>
      <c r="BC507" s="579"/>
      <c r="BD507" s="579"/>
      <c r="BE507" s="579"/>
      <c r="BF507" s="579"/>
      <c r="BG507" s="579"/>
      <c r="BH507" s="579"/>
      <c r="BI507" s="579"/>
      <c r="BJ507" s="579"/>
      <c r="BK507" s="579"/>
    </row>
    <row r="508" spans="1:63" s="240" customFormat="1">
      <c r="A508" s="209"/>
      <c r="B508" s="209"/>
      <c r="C508" s="275" t="s">
        <v>1833</v>
      </c>
      <c r="D508" s="209"/>
      <c r="AF508" s="579"/>
      <c r="AG508" s="579"/>
      <c r="AH508" s="579"/>
      <c r="AI508" s="579"/>
      <c r="AJ508" s="579"/>
      <c r="AK508" s="579"/>
      <c r="AL508" s="579"/>
      <c r="AM508" s="579"/>
      <c r="AN508" s="579"/>
      <c r="AO508" s="579"/>
      <c r="AP508" s="579"/>
      <c r="AQ508" s="579"/>
      <c r="AR508" s="579"/>
      <c r="AS508" s="579"/>
      <c r="AT508" s="579"/>
      <c r="AU508" s="579"/>
      <c r="AV508" s="579"/>
      <c r="AW508" s="579"/>
      <c r="AX508" s="579"/>
      <c r="AY508" s="579"/>
      <c r="AZ508" s="579"/>
      <c r="BA508" s="579"/>
      <c r="BB508" s="579"/>
      <c r="BC508" s="579"/>
      <c r="BD508" s="579"/>
      <c r="BE508" s="579"/>
      <c r="BF508" s="579"/>
      <c r="BG508" s="579"/>
      <c r="BH508" s="579"/>
      <c r="BI508" s="579"/>
      <c r="BJ508" s="579"/>
      <c r="BK508" s="579"/>
    </row>
    <row r="509" spans="1:63" s="245" customFormat="1">
      <c r="A509" s="243"/>
      <c r="B509" s="246" t="s">
        <v>1834</v>
      </c>
      <c r="C509" s="243" t="s">
        <v>1835</v>
      </c>
      <c r="D509" s="243"/>
      <c r="F509" s="245">
        <f t="shared" ref="F509:AD509" si="798">(F492-F504)</f>
        <v>0</v>
      </c>
      <c r="G509" s="245">
        <f t="shared" si="798"/>
        <v>0</v>
      </c>
      <c r="H509" s="245">
        <f t="shared" si="798"/>
        <v>0</v>
      </c>
      <c r="I509" s="245">
        <f t="shared" si="798"/>
        <v>0</v>
      </c>
      <c r="J509" s="245">
        <f t="shared" si="798"/>
        <v>0</v>
      </c>
      <c r="K509" s="245">
        <f t="shared" si="798"/>
        <v>1025</v>
      </c>
      <c r="L509" s="245">
        <f t="shared" si="798"/>
        <v>1315</v>
      </c>
      <c r="M509" s="245">
        <f t="shared" si="798"/>
        <v>1013.1000000000001</v>
      </c>
      <c r="N509" s="245">
        <f t="shared" si="798"/>
        <v>669.6</v>
      </c>
      <c r="O509" s="245">
        <f t="shared" si="798"/>
        <v>860</v>
      </c>
      <c r="P509" s="245">
        <f t="shared" si="798"/>
        <v>810</v>
      </c>
      <c r="Q509" s="245">
        <f t="shared" si="798"/>
        <v>755</v>
      </c>
      <c r="R509" s="245">
        <f t="shared" si="798"/>
        <v>591.09999999999991</v>
      </c>
      <c r="S509" s="245">
        <f t="shared" si="798"/>
        <v>1220</v>
      </c>
      <c r="T509" s="245">
        <f t="shared" si="798"/>
        <v>1760</v>
      </c>
      <c r="U509" s="245">
        <f t="shared" si="798"/>
        <v>2020</v>
      </c>
      <c r="V509" s="245">
        <f t="shared" si="798"/>
        <v>2075</v>
      </c>
      <c r="W509" s="245">
        <f t="shared" si="798"/>
        <v>2360</v>
      </c>
      <c r="X509" s="245">
        <f t="shared" si="798"/>
        <v>2682</v>
      </c>
      <c r="Y509" s="245">
        <f t="shared" si="798"/>
        <v>2502.9</v>
      </c>
      <c r="Z509" s="245">
        <f t="shared" si="798"/>
        <v>2535.3000000000002</v>
      </c>
      <c r="AA509" s="245">
        <f t="shared" si="798"/>
        <v>2420</v>
      </c>
      <c r="AB509" s="245">
        <f t="shared" si="798"/>
        <v>2510</v>
      </c>
      <c r="AC509" s="245">
        <f t="shared" si="798"/>
        <v>2660</v>
      </c>
      <c r="AD509" s="245">
        <f t="shared" si="798"/>
        <v>2631.2</v>
      </c>
      <c r="AE509" s="245">
        <f>(AE492-AE504)</f>
        <v>3000</v>
      </c>
      <c r="AF509" s="580">
        <f>(AF88-AF97)</f>
        <v>1300</v>
      </c>
      <c r="AG509" s="580">
        <f t="shared" ref="AG509:BK509" si="799">(AG88-AG97)</f>
        <v>1250</v>
      </c>
      <c r="AH509" s="580">
        <f t="shared" si="799"/>
        <v>1200</v>
      </c>
      <c r="AI509" s="580">
        <f t="shared" si="799"/>
        <v>1150.9000000000001</v>
      </c>
      <c r="AJ509" s="580">
        <f t="shared" si="799"/>
        <v>1025</v>
      </c>
      <c r="AK509" s="580">
        <f t="shared" si="799"/>
        <v>1315</v>
      </c>
      <c r="AL509" s="580">
        <f t="shared" si="799"/>
        <v>1013.1</v>
      </c>
      <c r="AM509" s="580">
        <f>(AM88-AM97)</f>
        <v>669.6</v>
      </c>
      <c r="AN509" s="580">
        <f>(AN88-AN97)</f>
        <v>860</v>
      </c>
      <c r="AO509" s="580">
        <f t="shared" si="799"/>
        <v>810</v>
      </c>
      <c r="AP509" s="580">
        <f t="shared" si="799"/>
        <v>755</v>
      </c>
      <c r="AQ509" s="580">
        <f t="shared" si="799"/>
        <v>591.1</v>
      </c>
      <c r="AR509" s="580">
        <f t="shared" si="799"/>
        <v>1220</v>
      </c>
      <c r="AS509" s="580">
        <f t="shared" si="799"/>
        <v>1760</v>
      </c>
      <c r="AT509" s="580">
        <f t="shared" si="799"/>
        <v>2020</v>
      </c>
      <c r="AU509" s="580">
        <f t="shared" si="799"/>
        <v>2075</v>
      </c>
      <c r="AV509" s="580">
        <f t="shared" si="799"/>
        <v>2360</v>
      </c>
      <c r="AW509" s="580">
        <f t="shared" si="799"/>
        <v>2682</v>
      </c>
      <c r="AX509" s="580">
        <f t="shared" si="799"/>
        <v>2502.9</v>
      </c>
      <c r="AY509" s="580">
        <f t="shared" si="799"/>
        <v>2535.3000000000002</v>
      </c>
      <c r="AZ509" s="580">
        <f t="shared" si="799"/>
        <v>2420</v>
      </c>
      <c r="BA509" s="580">
        <f t="shared" si="799"/>
        <v>2510</v>
      </c>
      <c r="BB509" s="580">
        <f t="shared" si="799"/>
        <v>2660</v>
      </c>
      <c r="BC509" s="580">
        <f t="shared" si="799"/>
        <v>2631.2</v>
      </c>
      <c r="BD509" s="580">
        <f t="shared" si="799"/>
        <v>3000</v>
      </c>
      <c r="BE509" s="580">
        <f t="shared" si="799"/>
        <v>3000</v>
      </c>
      <c r="BF509" s="580">
        <f t="shared" si="799"/>
        <v>3550.2</v>
      </c>
      <c r="BG509" s="580">
        <f t="shared" si="799"/>
        <v>2676.4</v>
      </c>
      <c r="BH509" s="580">
        <f t="shared" si="799"/>
        <v>3001.5</v>
      </c>
      <c r="BI509" s="580">
        <f t="shared" si="799"/>
        <v>3746.3</v>
      </c>
      <c r="BJ509" s="580">
        <f t="shared" si="799"/>
        <v>4063.3</v>
      </c>
      <c r="BK509" s="580">
        <f t="shared" si="799"/>
        <v>3089.9</v>
      </c>
    </row>
    <row r="510" spans="1:63" s="245" customFormat="1">
      <c r="A510" s="243"/>
      <c r="B510" s="246" t="s">
        <v>1836</v>
      </c>
      <c r="C510" s="243" t="s">
        <v>1837</v>
      </c>
      <c r="D510" s="243"/>
      <c r="F510" s="245">
        <f t="shared" ref="F510:AD510" si="800">F491</f>
        <v>0</v>
      </c>
      <c r="G510" s="245">
        <f t="shared" si="800"/>
        <v>0</v>
      </c>
      <c r="H510" s="245">
        <f t="shared" si="800"/>
        <v>0</v>
      </c>
      <c r="I510" s="245">
        <f t="shared" si="800"/>
        <v>0</v>
      </c>
      <c r="J510" s="245">
        <f t="shared" si="800"/>
        <v>0</v>
      </c>
      <c r="K510" s="245">
        <f t="shared" si="800"/>
        <v>3285.1000000000004</v>
      </c>
      <c r="L510" s="245">
        <f t="shared" si="800"/>
        <v>4752</v>
      </c>
      <c r="M510" s="245">
        <f t="shared" si="800"/>
        <v>3661.6999999999989</v>
      </c>
      <c r="N510" s="245">
        <f t="shared" si="800"/>
        <v>2388.1000000000008</v>
      </c>
      <c r="O510" s="245">
        <f t="shared" si="800"/>
        <v>2611.2000000000016</v>
      </c>
      <c r="P510" s="245">
        <f t="shared" si="800"/>
        <v>3269.7000000000007</v>
      </c>
      <c r="Q510" s="245">
        <f t="shared" si="800"/>
        <v>3028.0999999999981</v>
      </c>
      <c r="R510" s="245">
        <f t="shared" si="800"/>
        <v>2892.6000000000013</v>
      </c>
      <c r="S510" s="245">
        <f t="shared" si="800"/>
        <v>4395.0999999999967</v>
      </c>
      <c r="T510" s="245">
        <f t="shared" si="800"/>
        <v>6246.5999999999985</v>
      </c>
      <c r="U510" s="245">
        <f t="shared" si="800"/>
        <v>7229.7800000000025</v>
      </c>
      <c r="V510" s="245">
        <f t="shared" si="800"/>
        <v>7855</v>
      </c>
      <c r="W510" s="245">
        <f t="shared" si="800"/>
        <v>8261.4999999999964</v>
      </c>
      <c r="X510" s="245">
        <f t="shared" si="800"/>
        <v>9502.7999999999975</v>
      </c>
      <c r="Y510" s="245">
        <f t="shared" si="800"/>
        <v>9174.0000000000036</v>
      </c>
      <c r="Z510" s="245">
        <f t="shared" si="800"/>
        <v>9294.5999999999985</v>
      </c>
      <c r="AA510" s="245">
        <f t="shared" si="800"/>
        <v>9530.6000000000095</v>
      </c>
      <c r="AB510" s="245">
        <f t="shared" si="800"/>
        <v>10722.099999999995</v>
      </c>
      <c r="AC510" s="245">
        <f t="shared" si="800"/>
        <v>11200.499999999995</v>
      </c>
      <c r="AD510" s="245">
        <f t="shared" si="800"/>
        <v>10288.899999999992</v>
      </c>
      <c r="AE510" s="245">
        <f>AE491</f>
        <v>10183.899999999994</v>
      </c>
      <c r="AF510" s="580">
        <f>AF87</f>
        <v>4063.9999999999977</v>
      </c>
      <c r="AG510" s="580">
        <f t="shared" ref="AG510:BK510" si="801">AG87</f>
        <v>4564.4999999999982</v>
      </c>
      <c r="AH510" s="580">
        <f t="shared" si="801"/>
        <v>4771.4000000000005</v>
      </c>
      <c r="AI510" s="580">
        <f t="shared" si="801"/>
        <v>4358.3999999999978</v>
      </c>
      <c r="AJ510" s="580">
        <f t="shared" si="801"/>
        <v>3285.1000000000004</v>
      </c>
      <c r="AK510" s="580">
        <f t="shared" si="801"/>
        <v>4752</v>
      </c>
      <c r="AL510" s="580">
        <f t="shared" si="801"/>
        <v>3661.6999999999989</v>
      </c>
      <c r="AM510" s="580">
        <f>AM87</f>
        <v>2388.1000000000008</v>
      </c>
      <c r="AN510" s="580">
        <f>AN87</f>
        <v>2611.2000000000016</v>
      </c>
      <c r="AO510" s="580">
        <f t="shared" si="801"/>
        <v>3269.7000000000007</v>
      </c>
      <c r="AP510" s="580">
        <f t="shared" si="801"/>
        <v>3028.0999999999981</v>
      </c>
      <c r="AQ510" s="580">
        <f t="shared" si="801"/>
        <v>2892.6000000000013</v>
      </c>
      <c r="AR510" s="580">
        <f t="shared" si="801"/>
        <v>4395.0999999999967</v>
      </c>
      <c r="AS510" s="580">
        <f t="shared" si="801"/>
        <v>6246.5999999999985</v>
      </c>
      <c r="AT510" s="580">
        <f t="shared" si="801"/>
        <v>7229.7800000000025</v>
      </c>
      <c r="AU510" s="580">
        <f t="shared" si="801"/>
        <v>7855</v>
      </c>
      <c r="AV510" s="580">
        <f t="shared" si="801"/>
        <v>8261.4999999999964</v>
      </c>
      <c r="AW510" s="580">
        <f t="shared" si="801"/>
        <v>9502.7999999999975</v>
      </c>
      <c r="AX510" s="580">
        <f t="shared" si="801"/>
        <v>9174.0000000000036</v>
      </c>
      <c r="AY510" s="580">
        <f t="shared" si="801"/>
        <v>9294.5999999999985</v>
      </c>
      <c r="AZ510" s="580">
        <f t="shared" si="801"/>
        <v>9530.6000000000095</v>
      </c>
      <c r="BA510" s="580">
        <f t="shared" si="801"/>
        <v>10722.099999999995</v>
      </c>
      <c r="BB510" s="580">
        <f t="shared" si="801"/>
        <v>11200.499999999995</v>
      </c>
      <c r="BC510" s="580">
        <f t="shared" si="801"/>
        <v>10288.899999999992</v>
      </c>
      <c r="BD510" s="580">
        <f t="shared" si="801"/>
        <v>10183.899999999994</v>
      </c>
      <c r="BE510" s="580">
        <f t="shared" si="801"/>
        <v>10406.699999999999</v>
      </c>
      <c r="BF510" s="580">
        <f t="shared" si="801"/>
        <v>11737.599999999993</v>
      </c>
      <c r="BG510" s="580">
        <f t="shared" si="801"/>
        <v>10334.100000000002</v>
      </c>
      <c r="BH510" s="580">
        <f t="shared" si="801"/>
        <v>11338.300000000007</v>
      </c>
      <c r="BI510" s="580">
        <f t="shared" si="801"/>
        <v>12511.499999999998</v>
      </c>
      <c r="BJ510" s="580">
        <f t="shared" si="801"/>
        <v>12153.599999999999</v>
      </c>
      <c r="BK510" s="580">
        <f t="shared" si="801"/>
        <v>11085.199999999999</v>
      </c>
    </row>
    <row r="511" spans="1:63" s="245" customFormat="1">
      <c r="A511" s="243"/>
      <c r="B511" s="246" t="s">
        <v>1838</v>
      </c>
      <c r="C511" s="243" t="s">
        <v>1839</v>
      </c>
      <c r="D511" s="243"/>
      <c r="F511" s="245" t="e">
        <f t="shared" ref="F511:BK511" si="802">F509/F510*100</f>
        <v>#DIV/0!</v>
      </c>
      <c r="G511" s="245" t="e">
        <f t="shared" si="802"/>
        <v>#DIV/0!</v>
      </c>
      <c r="H511" s="245" t="e">
        <f t="shared" si="802"/>
        <v>#DIV/0!</v>
      </c>
      <c r="I511" s="245" t="e">
        <f t="shared" si="802"/>
        <v>#DIV/0!</v>
      </c>
      <c r="J511" s="245" t="e">
        <f t="shared" si="802"/>
        <v>#DIV/0!</v>
      </c>
      <c r="K511" s="245">
        <f t="shared" si="802"/>
        <v>31.201485495114301</v>
      </c>
      <c r="L511" s="245">
        <f t="shared" si="802"/>
        <v>27.67255892255892</v>
      </c>
      <c r="M511" s="245">
        <f t="shared" si="802"/>
        <v>27.667476855012712</v>
      </c>
      <c r="N511" s="245">
        <f t="shared" si="802"/>
        <v>28.039026841422043</v>
      </c>
      <c r="O511" s="245">
        <f t="shared" si="802"/>
        <v>32.935049019607817</v>
      </c>
      <c r="P511" s="245">
        <f t="shared" si="802"/>
        <v>24.772914946325344</v>
      </c>
      <c r="Q511" s="245">
        <f t="shared" si="802"/>
        <v>24.933126382880371</v>
      </c>
      <c r="R511" s="245">
        <f t="shared" si="802"/>
        <v>20.434902855562456</v>
      </c>
      <c r="S511" s="245">
        <f t="shared" si="802"/>
        <v>27.758185251757659</v>
      </c>
      <c r="T511" s="245">
        <f t="shared" si="802"/>
        <v>28.175327378093691</v>
      </c>
      <c r="U511" s="245">
        <f t="shared" si="802"/>
        <v>27.939992641546485</v>
      </c>
      <c r="V511" s="245">
        <f t="shared" si="802"/>
        <v>26.416295353278169</v>
      </c>
      <c r="W511" s="245">
        <f t="shared" si="802"/>
        <v>28.566240997397578</v>
      </c>
      <c r="X511" s="245">
        <f t="shared" si="802"/>
        <v>28.223260512691006</v>
      </c>
      <c r="Y511" s="245">
        <f t="shared" si="802"/>
        <v>27.282537606278606</v>
      </c>
      <c r="Z511" s="245">
        <f t="shared" si="802"/>
        <v>27.277128655348271</v>
      </c>
      <c r="AA511" s="245">
        <f t="shared" si="802"/>
        <v>25.391895578452541</v>
      </c>
      <c r="AB511" s="245">
        <f t="shared" si="802"/>
        <v>23.409593269975108</v>
      </c>
      <c r="AC511" s="245">
        <f t="shared" si="802"/>
        <v>23.748939779474142</v>
      </c>
      <c r="AD511" s="245">
        <f t="shared" si="802"/>
        <v>25.573190525712192</v>
      </c>
      <c r="AE511" s="245">
        <f t="shared" si="802"/>
        <v>29.458262551674718</v>
      </c>
      <c r="AF511" s="580">
        <f t="shared" si="802"/>
        <v>31.98818897637797</v>
      </c>
      <c r="AG511" s="580">
        <f t="shared" si="802"/>
        <v>27.385255778288979</v>
      </c>
      <c r="AH511" s="580">
        <f t="shared" si="802"/>
        <v>25.149851196713751</v>
      </c>
      <c r="AI511" s="580">
        <f t="shared" si="802"/>
        <v>26.406479441997078</v>
      </c>
      <c r="AJ511" s="580">
        <f t="shared" si="802"/>
        <v>31.201485495114301</v>
      </c>
      <c r="AK511" s="580">
        <f t="shared" si="802"/>
        <v>27.67255892255892</v>
      </c>
      <c r="AL511" s="580">
        <f t="shared" si="802"/>
        <v>27.667476855012708</v>
      </c>
      <c r="AM511" s="580">
        <f t="shared" si="802"/>
        <v>28.039026841422043</v>
      </c>
      <c r="AN511" s="580">
        <f>AN509/AN510*100</f>
        <v>32.935049019607817</v>
      </c>
      <c r="AO511" s="580">
        <f t="shared" si="802"/>
        <v>24.772914946325344</v>
      </c>
      <c r="AP511" s="580">
        <f t="shared" si="802"/>
        <v>24.933126382880371</v>
      </c>
      <c r="AQ511" s="580">
        <f t="shared" si="802"/>
        <v>20.434902855562463</v>
      </c>
      <c r="AR511" s="580">
        <f t="shared" si="802"/>
        <v>27.758185251757659</v>
      </c>
      <c r="AS511" s="580">
        <f t="shared" si="802"/>
        <v>28.175327378093691</v>
      </c>
      <c r="AT511" s="580">
        <f t="shared" si="802"/>
        <v>27.939992641546485</v>
      </c>
      <c r="AU511" s="580">
        <f t="shared" si="802"/>
        <v>26.416295353278169</v>
      </c>
      <c r="AV511" s="580">
        <f t="shared" si="802"/>
        <v>28.566240997397578</v>
      </c>
      <c r="AW511" s="580">
        <f t="shared" si="802"/>
        <v>28.223260512691006</v>
      </c>
      <c r="AX511" s="580">
        <f t="shared" si="802"/>
        <v>27.282537606278606</v>
      </c>
      <c r="AY511" s="580">
        <f t="shared" si="802"/>
        <v>27.277128655348271</v>
      </c>
      <c r="AZ511" s="580">
        <f t="shared" si="802"/>
        <v>25.391895578452541</v>
      </c>
      <c r="BA511" s="580">
        <f t="shared" si="802"/>
        <v>23.409593269975108</v>
      </c>
      <c r="BB511" s="580">
        <f t="shared" si="802"/>
        <v>23.748939779474142</v>
      </c>
      <c r="BC511" s="580">
        <f t="shared" si="802"/>
        <v>25.573190525712192</v>
      </c>
      <c r="BD511" s="580">
        <f t="shared" si="802"/>
        <v>29.458262551674718</v>
      </c>
      <c r="BE511" s="580">
        <f t="shared" si="802"/>
        <v>28.827582230678317</v>
      </c>
      <c r="BF511" s="580">
        <f t="shared" si="802"/>
        <v>30.246387677208304</v>
      </c>
      <c r="BG511" s="580">
        <f t="shared" si="802"/>
        <v>25.898723643084544</v>
      </c>
      <c r="BH511" s="580">
        <f t="shared" si="802"/>
        <v>26.47222246721288</v>
      </c>
      <c r="BI511" s="580">
        <f t="shared" si="802"/>
        <v>29.942852575630425</v>
      </c>
      <c r="BJ511" s="580">
        <f t="shared" si="802"/>
        <v>33.432892311743032</v>
      </c>
      <c r="BK511" s="580">
        <f t="shared" si="802"/>
        <v>27.874102406812689</v>
      </c>
    </row>
    <row r="512" spans="1:63" s="240" customFormat="1">
      <c r="A512" s="209"/>
      <c r="B512" s="220"/>
      <c r="C512" s="209"/>
      <c r="D512" s="209"/>
      <c r="AF512" s="579"/>
      <c r="AG512" s="579"/>
      <c r="AH512" s="579"/>
      <c r="AI512" s="579"/>
      <c r="AJ512" s="579"/>
      <c r="AK512" s="579"/>
      <c r="AL512" s="579"/>
      <c r="AM512" s="579"/>
      <c r="AN512" s="579"/>
      <c r="AO512" s="579"/>
      <c r="AP512" s="579"/>
      <c r="AQ512" s="579"/>
      <c r="AR512" s="579"/>
      <c r="AS512" s="579"/>
      <c r="AT512" s="579"/>
      <c r="AU512" s="579"/>
      <c r="AV512" s="579"/>
      <c r="AW512" s="579"/>
      <c r="AX512" s="579"/>
      <c r="AY512" s="579"/>
      <c r="AZ512" s="579"/>
      <c r="BA512" s="579"/>
      <c r="BB512" s="579"/>
      <c r="BC512" s="579"/>
      <c r="BD512" s="579"/>
      <c r="BE512" s="579"/>
      <c r="BF512" s="579"/>
      <c r="BG512" s="579"/>
      <c r="BH512" s="579"/>
      <c r="BI512" s="579"/>
      <c r="BJ512" s="579"/>
      <c r="BK512" s="579"/>
    </row>
    <row r="513" spans="1:63" s="245" customFormat="1">
      <c r="A513" s="243"/>
      <c r="B513" s="243" t="s">
        <v>1840</v>
      </c>
      <c r="C513" s="243" t="s">
        <v>1841</v>
      </c>
      <c r="D513" s="243"/>
      <c r="F513" s="245">
        <f t="shared" ref="F513:BK513" si="803">F501</f>
        <v>0</v>
      </c>
      <c r="G513" s="245">
        <f t="shared" si="803"/>
        <v>0</v>
      </c>
      <c r="H513" s="245">
        <f t="shared" si="803"/>
        <v>0</v>
      </c>
      <c r="I513" s="245">
        <f t="shared" si="803"/>
        <v>0</v>
      </c>
      <c r="J513" s="245">
        <f t="shared" si="803"/>
        <v>0</v>
      </c>
      <c r="K513" s="245">
        <f t="shared" si="803"/>
        <v>0</v>
      </c>
      <c r="L513" s="245">
        <f t="shared" si="803"/>
        <v>0</v>
      </c>
      <c r="M513" s="245">
        <f t="shared" si="803"/>
        <v>0</v>
      </c>
      <c r="N513" s="245">
        <f t="shared" si="803"/>
        <v>0</v>
      </c>
      <c r="O513" s="245">
        <f t="shared" si="803"/>
        <v>0</v>
      </c>
      <c r="P513" s="245">
        <f t="shared" si="803"/>
        <v>0</v>
      </c>
      <c r="Q513" s="245">
        <f t="shared" si="803"/>
        <v>0</v>
      </c>
      <c r="R513" s="245">
        <f t="shared" si="803"/>
        <v>0</v>
      </c>
      <c r="S513" s="245">
        <f t="shared" si="803"/>
        <v>0</v>
      </c>
      <c r="T513" s="245">
        <f t="shared" si="803"/>
        <v>0</v>
      </c>
      <c r="U513" s="245">
        <f t="shared" si="803"/>
        <v>0</v>
      </c>
      <c r="V513" s="245">
        <f t="shared" si="803"/>
        <v>0</v>
      </c>
      <c r="W513" s="245">
        <f t="shared" si="803"/>
        <v>0</v>
      </c>
      <c r="X513" s="245">
        <f t="shared" si="803"/>
        <v>0</v>
      </c>
      <c r="Y513" s="245">
        <f t="shared" si="803"/>
        <v>0</v>
      </c>
      <c r="Z513" s="245">
        <f t="shared" si="803"/>
        <v>0</v>
      </c>
      <c r="AA513" s="245">
        <f t="shared" si="803"/>
        <v>0</v>
      </c>
      <c r="AB513" s="245">
        <f t="shared" si="803"/>
        <v>0</v>
      </c>
      <c r="AC513" s="245">
        <f t="shared" si="803"/>
        <v>0</v>
      </c>
      <c r="AD513" s="245">
        <f t="shared" si="803"/>
        <v>0</v>
      </c>
      <c r="AE513" s="245">
        <f t="shared" si="803"/>
        <v>0</v>
      </c>
      <c r="AF513" s="580">
        <f t="shared" si="803"/>
        <v>0</v>
      </c>
      <c r="AG513" s="580">
        <f t="shared" si="803"/>
        <v>0</v>
      </c>
      <c r="AH513" s="580">
        <f t="shared" si="803"/>
        <v>0</v>
      </c>
      <c r="AI513" s="580">
        <f t="shared" si="803"/>
        <v>0</v>
      </c>
      <c r="AJ513" s="580">
        <f t="shared" si="803"/>
        <v>0</v>
      </c>
      <c r="AK513" s="580">
        <f t="shared" si="803"/>
        <v>0</v>
      </c>
      <c r="AL513" s="580">
        <f t="shared" si="803"/>
        <v>0</v>
      </c>
      <c r="AM513" s="580">
        <f>AM501</f>
        <v>0</v>
      </c>
      <c r="AN513" s="580">
        <f>AN501</f>
        <v>0</v>
      </c>
      <c r="AO513" s="580">
        <f t="shared" si="803"/>
        <v>0</v>
      </c>
      <c r="AP513" s="580">
        <f t="shared" si="803"/>
        <v>0</v>
      </c>
      <c r="AQ513" s="580">
        <f t="shared" si="803"/>
        <v>0</v>
      </c>
      <c r="AR513" s="580">
        <f t="shared" si="803"/>
        <v>0</v>
      </c>
      <c r="AS513" s="580">
        <f t="shared" si="803"/>
        <v>0</v>
      </c>
      <c r="AT513" s="580">
        <f t="shared" si="803"/>
        <v>0</v>
      </c>
      <c r="AU513" s="580">
        <f t="shared" si="803"/>
        <v>0</v>
      </c>
      <c r="AV513" s="580">
        <f t="shared" si="803"/>
        <v>0</v>
      </c>
      <c r="AW513" s="580">
        <f t="shared" si="803"/>
        <v>0</v>
      </c>
      <c r="AX513" s="580">
        <f t="shared" si="803"/>
        <v>0</v>
      </c>
      <c r="AY513" s="580">
        <f t="shared" si="803"/>
        <v>0</v>
      </c>
      <c r="AZ513" s="580">
        <f t="shared" si="803"/>
        <v>0</v>
      </c>
      <c r="BA513" s="580">
        <f t="shared" si="803"/>
        <v>0</v>
      </c>
      <c r="BB513" s="580">
        <f t="shared" si="803"/>
        <v>0</v>
      </c>
      <c r="BC513" s="580">
        <f t="shared" si="803"/>
        <v>0</v>
      </c>
      <c r="BD513" s="580">
        <f t="shared" si="803"/>
        <v>0</v>
      </c>
      <c r="BE513" s="580">
        <f t="shared" si="803"/>
        <v>0</v>
      </c>
      <c r="BF513" s="580">
        <f t="shared" si="803"/>
        <v>0</v>
      </c>
      <c r="BG513" s="580">
        <f t="shared" si="803"/>
        <v>0</v>
      </c>
      <c r="BH513" s="580">
        <f t="shared" si="803"/>
        <v>0</v>
      </c>
      <c r="BI513" s="580">
        <f t="shared" si="803"/>
        <v>0</v>
      </c>
      <c r="BJ513" s="580">
        <f t="shared" si="803"/>
        <v>0</v>
      </c>
      <c r="BK513" s="580">
        <f t="shared" si="803"/>
        <v>0</v>
      </c>
    </row>
    <row r="514" spans="1:63" s="240" customFormat="1">
      <c r="A514" s="209"/>
      <c r="B514" s="220"/>
      <c r="C514" s="253"/>
      <c r="D514" s="209"/>
      <c r="AF514" s="579"/>
      <c r="AG514" s="579"/>
      <c r="AH514" s="579"/>
      <c r="AI514" s="579"/>
      <c r="AJ514" s="579"/>
      <c r="AK514" s="579"/>
      <c r="AL514" s="579"/>
      <c r="AM514" s="579"/>
      <c r="AN514" s="579"/>
      <c r="AO514" s="579"/>
      <c r="AP514" s="579"/>
      <c r="AQ514" s="579"/>
      <c r="AR514" s="579"/>
      <c r="AS514" s="579"/>
      <c r="AT514" s="579"/>
      <c r="AU514" s="579"/>
      <c r="AV514" s="579"/>
      <c r="AW514" s="579"/>
      <c r="AX514" s="579"/>
      <c r="AY514" s="579"/>
      <c r="AZ514" s="579"/>
      <c r="BA514" s="579"/>
      <c r="BB514" s="579"/>
      <c r="BC514" s="579"/>
      <c r="BD514" s="579"/>
      <c r="BE514" s="579"/>
      <c r="BF514" s="579"/>
      <c r="BG514" s="579"/>
      <c r="BH514" s="579"/>
      <c r="BI514" s="579"/>
      <c r="BJ514" s="579"/>
      <c r="BK514" s="579"/>
    </row>
    <row r="515" spans="1:63" s="240" customFormat="1">
      <c r="A515" s="209"/>
      <c r="B515" s="220" t="s">
        <v>1842</v>
      </c>
      <c r="C515" s="264" t="s">
        <v>1843</v>
      </c>
      <c r="D515" s="209"/>
      <c r="F515" s="251"/>
      <c r="G515" s="251"/>
      <c r="H515" s="251"/>
      <c r="I515" s="251"/>
      <c r="J515" s="251"/>
      <c r="K515" s="251"/>
      <c r="L515" s="228">
        <f t="shared" ref="L515:AB515" si="804">+M515</f>
        <v>2893.6702000000005</v>
      </c>
      <c r="M515" s="228">
        <f t="shared" si="804"/>
        <v>2893.6702000000005</v>
      </c>
      <c r="N515" s="228">
        <f t="shared" si="804"/>
        <v>2893.6702000000005</v>
      </c>
      <c r="O515" s="228">
        <f t="shared" si="804"/>
        <v>2893.6702000000005</v>
      </c>
      <c r="P515" s="228">
        <f t="shared" si="804"/>
        <v>2893.6702000000005</v>
      </c>
      <c r="Q515" s="228">
        <f t="shared" si="804"/>
        <v>2893.6702000000005</v>
      </c>
      <c r="R515" s="228">
        <f t="shared" si="804"/>
        <v>2893.6702000000005</v>
      </c>
      <c r="S515" s="228">
        <f t="shared" si="804"/>
        <v>2893.6702000000005</v>
      </c>
      <c r="T515" s="228">
        <f t="shared" si="804"/>
        <v>2893.6702000000005</v>
      </c>
      <c r="U515" s="228">
        <f t="shared" si="804"/>
        <v>2893.6702000000005</v>
      </c>
      <c r="V515" s="228">
        <f t="shared" si="804"/>
        <v>2893.6702000000005</v>
      </c>
      <c r="W515" s="228">
        <f t="shared" si="804"/>
        <v>2893.6702000000005</v>
      </c>
      <c r="X515" s="228">
        <f t="shared" si="804"/>
        <v>2893.6702000000005</v>
      </c>
      <c r="Y515" s="228">
        <f t="shared" si="804"/>
        <v>2893.6702000000005</v>
      </c>
      <c r="Z515" s="228">
        <f t="shared" si="804"/>
        <v>2893.6702000000005</v>
      </c>
      <c r="AA515" s="228">
        <f t="shared" si="804"/>
        <v>2893.6702000000005</v>
      </c>
      <c r="AB515" s="228">
        <f t="shared" si="804"/>
        <v>2893.6702000000005</v>
      </c>
      <c r="AC515" s="228">
        <f>+AD515</f>
        <v>2893.6702000000005</v>
      </c>
      <c r="AD515" s="228">
        <f>+'Bal Sheet'!L177</f>
        <v>2893.6702000000005</v>
      </c>
      <c r="AE515" s="228">
        <f>+AD515</f>
        <v>2893.6702000000005</v>
      </c>
      <c r="AF515" s="228">
        <f t="shared" ref="AF515:BK515" si="805">+AE515</f>
        <v>2893.6702000000005</v>
      </c>
      <c r="AG515" s="228">
        <f t="shared" si="805"/>
        <v>2893.6702000000005</v>
      </c>
      <c r="AH515" s="228">
        <f t="shared" si="805"/>
        <v>2893.6702000000005</v>
      </c>
      <c r="AI515" s="228">
        <f t="shared" si="805"/>
        <v>2893.6702000000005</v>
      </c>
      <c r="AJ515" s="228">
        <f t="shared" si="805"/>
        <v>2893.6702000000005</v>
      </c>
      <c r="AK515" s="228">
        <f t="shared" si="805"/>
        <v>2893.6702000000005</v>
      </c>
      <c r="AL515" s="228">
        <f t="shared" si="805"/>
        <v>2893.6702000000005</v>
      </c>
      <c r="AM515" s="228">
        <f>+AL515</f>
        <v>2893.6702000000005</v>
      </c>
      <c r="AN515" s="228">
        <f>+AM515</f>
        <v>2893.6702000000005</v>
      </c>
      <c r="AO515" s="228">
        <f t="shared" si="805"/>
        <v>2893.6702000000005</v>
      </c>
      <c r="AP515" s="228">
        <f t="shared" si="805"/>
        <v>2893.6702000000005</v>
      </c>
      <c r="AQ515" s="228">
        <f t="shared" si="805"/>
        <v>2893.6702000000005</v>
      </c>
      <c r="AR515" s="228">
        <f t="shared" si="805"/>
        <v>2893.6702000000005</v>
      </c>
      <c r="AS515" s="228">
        <f t="shared" si="805"/>
        <v>2893.6702000000005</v>
      </c>
      <c r="AT515" s="228">
        <f t="shared" si="805"/>
        <v>2893.6702000000005</v>
      </c>
      <c r="AU515" s="228">
        <f t="shared" si="805"/>
        <v>2893.6702000000005</v>
      </c>
      <c r="AV515" s="228">
        <f t="shared" si="805"/>
        <v>2893.6702000000005</v>
      </c>
      <c r="AW515" s="228">
        <f t="shared" si="805"/>
        <v>2893.6702000000005</v>
      </c>
      <c r="AX515" s="228">
        <f t="shared" si="805"/>
        <v>2893.6702000000005</v>
      </c>
      <c r="AY515" s="228">
        <f t="shared" si="805"/>
        <v>2893.6702000000005</v>
      </c>
      <c r="AZ515" s="228">
        <f t="shared" si="805"/>
        <v>2893.6702000000005</v>
      </c>
      <c r="BA515" s="228">
        <f t="shared" si="805"/>
        <v>2893.6702000000005</v>
      </c>
      <c r="BB515" s="228">
        <f t="shared" si="805"/>
        <v>2893.6702000000005</v>
      </c>
      <c r="BC515" s="228">
        <f t="shared" si="805"/>
        <v>2893.6702000000005</v>
      </c>
      <c r="BD515" s="228">
        <f t="shared" si="805"/>
        <v>2893.6702000000005</v>
      </c>
      <c r="BE515" s="228">
        <f t="shared" si="805"/>
        <v>2893.6702000000005</v>
      </c>
      <c r="BF515" s="228">
        <f t="shared" si="805"/>
        <v>2893.6702000000005</v>
      </c>
      <c r="BG515" s="228">
        <f t="shared" si="805"/>
        <v>2893.6702000000005</v>
      </c>
      <c r="BH515" s="228">
        <f t="shared" si="805"/>
        <v>2893.6702000000005</v>
      </c>
      <c r="BI515" s="228">
        <f t="shared" si="805"/>
        <v>2893.6702000000005</v>
      </c>
      <c r="BJ515" s="228">
        <f t="shared" si="805"/>
        <v>2893.6702000000005</v>
      </c>
      <c r="BK515" s="228">
        <f t="shared" si="805"/>
        <v>2893.6702000000005</v>
      </c>
    </row>
    <row r="516" spans="1:63" s="240" customFormat="1">
      <c r="A516" s="209"/>
      <c r="B516" s="220" t="s">
        <v>1844</v>
      </c>
      <c r="C516" s="264" t="s">
        <v>807</v>
      </c>
      <c r="D516" s="209"/>
      <c r="F516" s="251"/>
      <c r="G516" s="251"/>
      <c r="H516" s="251"/>
      <c r="I516" s="251"/>
      <c r="J516" s="251"/>
      <c r="K516" s="251"/>
      <c r="L516" s="228">
        <f t="shared" ref="L516:AB516" si="806">+M516</f>
        <v>10</v>
      </c>
      <c r="M516" s="228">
        <f t="shared" si="806"/>
        <v>10</v>
      </c>
      <c r="N516" s="228">
        <f t="shared" si="806"/>
        <v>10</v>
      </c>
      <c r="O516" s="228">
        <f t="shared" si="806"/>
        <v>10</v>
      </c>
      <c r="P516" s="228">
        <f t="shared" si="806"/>
        <v>10</v>
      </c>
      <c r="Q516" s="228">
        <f t="shared" si="806"/>
        <v>10</v>
      </c>
      <c r="R516" s="228">
        <f t="shared" si="806"/>
        <v>10</v>
      </c>
      <c r="S516" s="228">
        <f t="shared" si="806"/>
        <v>10</v>
      </c>
      <c r="T516" s="228">
        <f t="shared" si="806"/>
        <v>10</v>
      </c>
      <c r="U516" s="228">
        <f t="shared" si="806"/>
        <v>10</v>
      </c>
      <c r="V516" s="228">
        <f t="shared" si="806"/>
        <v>10</v>
      </c>
      <c r="W516" s="228">
        <f t="shared" si="806"/>
        <v>10</v>
      </c>
      <c r="X516" s="228">
        <f t="shared" si="806"/>
        <v>10</v>
      </c>
      <c r="Y516" s="228">
        <f t="shared" si="806"/>
        <v>10</v>
      </c>
      <c r="Z516" s="228">
        <f t="shared" si="806"/>
        <v>10</v>
      </c>
      <c r="AA516" s="228">
        <f t="shared" si="806"/>
        <v>10</v>
      </c>
      <c r="AB516" s="228">
        <f t="shared" si="806"/>
        <v>10</v>
      </c>
      <c r="AC516" s="228">
        <f>+AD516</f>
        <v>10</v>
      </c>
      <c r="AD516" s="228">
        <v>10</v>
      </c>
      <c r="AE516" s="228">
        <f>+AD516</f>
        <v>10</v>
      </c>
      <c r="AF516" s="228">
        <f t="shared" ref="AF516:BK516" si="807">+AE516</f>
        <v>10</v>
      </c>
      <c r="AG516" s="228">
        <f t="shared" si="807"/>
        <v>10</v>
      </c>
      <c r="AH516" s="228">
        <f t="shared" si="807"/>
        <v>10</v>
      </c>
      <c r="AI516" s="228">
        <f t="shared" si="807"/>
        <v>10</v>
      </c>
      <c r="AJ516" s="228">
        <f t="shared" si="807"/>
        <v>10</v>
      </c>
      <c r="AK516" s="228">
        <f t="shared" si="807"/>
        <v>10</v>
      </c>
      <c r="AL516" s="228">
        <f t="shared" si="807"/>
        <v>10</v>
      </c>
      <c r="AM516" s="228">
        <f>+AL516</f>
        <v>10</v>
      </c>
      <c r="AN516" s="228">
        <f>+AM516</f>
        <v>10</v>
      </c>
      <c r="AO516" s="228">
        <f t="shared" si="807"/>
        <v>10</v>
      </c>
      <c r="AP516" s="228">
        <f t="shared" si="807"/>
        <v>10</v>
      </c>
      <c r="AQ516" s="228">
        <f t="shared" si="807"/>
        <v>10</v>
      </c>
      <c r="AR516" s="228">
        <f t="shared" si="807"/>
        <v>10</v>
      </c>
      <c r="AS516" s="228">
        <f t="shared" si="807"/>
        <v>10</v>
      </c>
      <c r="AT516" s="228">
        <f t="shared" si="807"/>
        <v>10</v>
      </c>
      <c r="AU516" s="228">
        <f t="shared" si="807"/>
        <v>10</v>
      </c>
      <c r="AV516" s="228">
        <f t="shared" si="807"/>
        <v>10</v>
      </c>
      <c r="AW516" s="228">
        <f t="shared" si="807"/>
        <v>10</v>
      </c>
      <c r="AX516" s="228">
        <f t="shared" si="807"/>
        <v>10</v>
      </c>
      <c r="AY516" s="228">
        <f t="shared" si="807"/>
        <v>10</v>
      </c>
      <c r="AZ516" s="228">
        <f t="shared" si="807"/>
        <v>10</v>
      </c>
      <c r="BA516" s="228">
        <f t="shared" si="807"/>
        <v>10</v>
      </c>
      <c r="BB516" s="228">
        <f t="shared" si="807"/>
        <v>10</v>
      </c>
      <c r="BC516" s="228">
        <f t="shared" si="807"/>
        <v>10</v>
      </c>
      <c r="BD516" s="228">
        <f t="shared" si="807"/>
        <v>10</v>
      </c>
      <c r="BE516" s="228">
        <f t="shared" si="807"/>
        <v>10</v>
      </c>
      <c r="BF516" s="228">
        <f t="shared" si="807"/>
        <v>10</v>
      </c>
      <c r="BG516" s="228">
        <f t="shared" si="807"/>
        <v>10</v>
      </c>
      <c r="BH516" s="228">
        <f t="shared" si="807"/>
        <v>10</v>
      </c>
      <c r="BI516" s="228">
        <f t="shared" si="807"/>
        <v>10</v>
      </c>
      <c r="BJ516" s="228">
        <f t="shared" si="807"/>
        <v>10</v>
      </c>
      <c r="BK516" s="228">
        <f t="shared" si="807"/>
        <v>10</v>
      </c>
    </row>
    <row r="517" spans="1:63" s="245" customFormat="1">
      <c r="A517" s="243"/>
      <c r="B517" s="246" t="s">
        <v>1845</v>
      </c>
      <c r="C517" s="252" t="s">
        <v>1846</v>
      </c>
      <c r="D517" s="243"/>
      <c r="F517" s="245" t="e">
        <f t="shared" ref="F517:BK517" si="808">F515/F516</f>
        <v>#DIV/0!</v>
      </c>
      <c r="G517" s="245" t="e">
        <f t="shared" si="808"/>
        <v>#DIV/0!</v>
      </c>
      <c r="H517" s="245" t="e">
        <f t="shared" si="808"/>
        <v>#DIV/0!</v>
      </c>
      <c r="I517" s="245" t="e">
        <f t="shared" si="808"/>
        <v>#DIV/0!</v>
      </c>
      <c r="J517" s="245" t="e">
        <f t="shared" si="808"/>
        <v>#DIV/0!</v>
      </c>
      <c r="K517" s="245" t="e">
        <f t="shared" si="808"/>
        <v>#DIV/0!</v>
      </c>
      <c r="L517" s="245">
        <f t="shared" si="808"/>
        <v>289.36702000000002</v>
      </c>
      <c r="M517" s="245">
        <f t="shared" si="808"/>
        <v>289.36702000000002</v>
      </c>
      <c r="N517" s="245">
        <f t="shared" si="808"/>
        <v>289.36702000000002</v>
      </c>
      <c r="O517" s="245">
        <f t="shared" si="808"/>
        <v>289.36702000000002</v>
      </c>
      <c r="P517" s="245">
        <f t="shared" si="808"/>
        <v>289.36702000000002</v>
      </c>
      <c r="Q517" s="245">
        <f t="shared" si="808"/>
        <v>289.36702000000002</v>
      </c>
      <c r="R517" s="245">
        <f t="shared" si="808"/>
        <v>289.36702000000002</v>
      </c>
      <c r="S517" s="245">
        <f t="shared" si="808"/>
        <v>289.36702000000002</v>
      </c>
      <c r="T517" s="245">
        <f t="shared" si="808"/>
        <v>289.36702000000002</v>
      </c>
      <c r="U517" s="245">
        <f t="shared" si="808"/>
        <v>289.36702000000002</v>
      </c>
      <c r="V517" s="245">
        <f t="shared" si="808"/>
        <v>289.36702000000002</v>
      </c>
      <c r="W517" s="245">
        <f t="shared" si="808"/>
        <v>289.36702000000002</v>
      </c>
      <c r="X517" s="245">
        <f t="shared" si="808"/>
        <v>289.36702000000002</v>
      </c>
      <c r="Y517" s="245">
        <f t="shared" si="808"/>
        <v>289.36702000000002</v>
      </c>
      <c r="Z517" s="245">
        <f t="shared" si="808"/>
        <v>289.36702000000002</v>
      </c>
      <c r="AA517" s="245">
        <f t="shared" si="808"/>
        <v>289.36702000000002</v>
      </c>
      <c r="AB517" s="245">
        <f t="shared" si="808"/>
        <v>289.36702000000002</v>
      </c>
      <c r="AC517" s="245">
        <f t="shared" si="808"/>
        <v>289.36702000000002</v>
      </c>
      <c r="AD517" s="245">
        <f t="shared" si="808"/>
        <v>289.36702000000002</v>
      </c>
      <c r="AE517" s="245">
        <f t="shared" si="808"/>
        <v>289.36702000000002</v>
      </c>
      <c r="AF517" s="580">
        <f t="shared" si="808"/>
        <v>289.36702000000002</v>
      </c>
      <c r="AG517" s="580">
        <f t="shared" si="808"/>
        <v>289.36702000000002</v>
      </c>
      <c r="AH517" s="580">
        <f t="shared" si="808"/>
        <v>289.36702000000002</v>
      </c>
      <c r="AI517" s="580">
        <f t="shared" si="808"/>
        <v>289.36702000000002</v>
      </c>
      <c r="AJ517" s="580">
        <f t="shared" si="808"/>
        <v>289.36702000000002</v>
      </c>
      <c r="AK517" s="580">
        <f t="shared" si="808"/>
        <v>289.36702000000002</v>
      </c>
      <c r="AL517" s="580">
        <f t="shared" si="808"/>
        <v>289.36702000000002</v>
      </c>
      <c r="AM517" s="580">
        <f t="shared" si="808"/>
        <v>289.36702000000002</v>
      </c>
      <c r="AN517" s="580">
        <f>AN515/AN516</f>
        <v>289.36702000000002</v>
      </c>
      <c r="AO517" s="580">
        <f t="shared" si="808"/>
        <v>289.36702000000002</v>
      </c>
      <c r="AP517" s="580">
        <f t="shared" si="808"/>
        <v>289.36702000000002</v>
      </c>
      <c r="AQ517" s="580">
        <f t="shared" si="808"/>
        <v>289.36702000000002</v>
      </c>
      <c r="AR517" s="580">
        <f t="shared" si="808"/>
        <v>289.36702000000002</v>
      </c>
      <c r="AS517" s="580">
        <f t="shared" si="808"/>
        <v>289.36702000000002</v>
      </c>
      <c r="AT517" s="580">
        <f t="shared" si="808"/>
        <v>289.36702000000002</v>
      </c>
      <c r="AU517" s="580">
        <f t="shared" si="808"/>
        <v>289.36702000000002</v>
      </c>
      <c r="AV517" s="580">
        <f t="shared" si="808"/>
        <v>289.36702000000002</v>
      </c>
      <c r="AW517" s="580">
        <f t="shared" si="808"/>
        <v>289.36702000000002</v>
      </c>
      <c r="AX517" s="580">
        <f t="shared" si="808"/>
        <v>289.36702000000002</v>
      </c>
      <c r="AY517" s="580">
        <f t="shared" si="808"/>
        <v>289.36702000000002</v>
      </c>
      <c r="AZ517" s="580">
        <f t="shared" si="808"/>
        <v>289.36702000000002</v>
      </c>
      <c r="BA517" s="580">
        <f t="shared" si="808"/>
        <v>289.36702000000002</v>
      </c>
      <c r="BB517" s="580">
        <f t="shared" si="808"/>
        <v>289.36702000000002</v>
      </c>
      <c r="BC517" s="580">
        <f t="shared" si="808"/>
        <v>289.36702000000002</v>
      </c>
      <c r="BD517" s="580">
        <f t="shared" si="808"/>
        <v>289.36702000000002</v>
      </c>
      <c r="BE517" s="580">
        <f t="shared" si="808"/>
        <v>289.36702000000002</v>
      </c>
      <c r="BF517" s="580">
        <f t="shared" si="808"/>
        <v>289.36702000000002</v>
      </c>
      <c r="BG517" s="580">
        <f t="shared" si="808"/>
        <v>289.36702000000002</v>
      </c>
      <c r="BH517" s="580">
        <f t="shared" si="808"/>
        <v>289.36702000000002</v>
      </c>
      <c r="BI517" s="580">
        <f t="shared" si="808"/>
        <v>289.36702000000002</v>
      </c>
      <c r="BJ517" s="580">
        <f t="shared" si="808"/>
        <v>289.36702000000002</v>
      </c>
      <c r="BK517" s="580">
        <f t="shared" si="808"/>
        <v>289.36702000000002</v>
      </c>
    </row>
    <row r="518" spans="1:63" s="240" customFormat="1">
      <c r="A518" s="209"/>
      <c r="B518" s="220"/>
      <c r="C518" s="253"/>
      <c r="D518" s="209"/>
      <c r="AF518" s="579"/>
      <c r="AG518" s="579"/>
      <c r="AH518" s="579"/>
      <c r="AI518" s="579"/>
      <c r="AJ518" s="579"/>
      <c r="AK518" s="579"/>
      <c r="AL518" s="579"/>
      <c r="AM518" s="579"/>
      <c r="AN518" s="579"/>
      <c r="AO518" s="579"/>
      <c r="AP518" s="579"/>
      <c r="AQ518" s="579"/>
      <c r="AR518" s="579"/>
      <c r="AS518" s="579"/>
      <c r="AT518" s="579"/>
      <c r="AU518" s="579"/>
      <c r="AV518" s="579"/>
      <c r="AW518" s="579"/>
      <c r="AX518" s="579"/>
      <c r="AY518" s="579"/>
      <c r="AZ518" s="579"/>
      <c r="BA518" s="579"/>
      <c r="BB518" s="579"/>
      <c r="BC518" s="579"/>
      <c r="BD518" s="579"/>
      <c r="BE518" s="579"/>
      <c r="BF518" s="579"/>
      <c r="BG518" s="579"/>
      <c r="BH518" s="579"/>
      <c r="BI518" s="579"/>
      <c r="BJ518" s="579"/>
      <c r="BK518" s="579"/>
    </row>
    <row r="519" spans="1:63" s="240" customFormat="1" hidden="1">
      <c r="A519" s="209"/>
      <c r="B519" s="220"/>
      <c r="C519" s="253"/>
      <c r="D519" s="209"/>
      <c r="AF519" s="579"/>
      <c r="AG519" s="579"/>
      <c r="AH519" s="579"/>
      <c r="AI519" s="579"/>
      <c r="AJ519" s="579"/>
      <c r="AK519" s="579"/>
      <c r="AL519" s="579"/>
      <c r="AM519" s="579"/>
      <c r="AN519" s="579"/>
      <c r="AO519" s="579"/>
      <c r="AP519" s="579"/>
      <c r="AQ519" s="579"/>
      <c r="AR519" s="579"/>
      <c r="AS519" s="579"/>
      <c r="AT519" s="579"/>
      <c r="AU519" s="579"/>
      <c r="AV519" s="579"/>
      <c r="AW519" s="579"/>
      <c r="AX519" s="579"/>
      <c r="AY519" s="579"/>
      <c r="AZ519" s="579"/>
      <c r="BA519" s="579"/>
      <c r="BB519" s="579"/>
      <c r="BC519" s="579"/>
      <c r="BD519" s="579"/>
      <c r="BE519" s="579"/>
      <c r="BF519" s="579"/>
      <c r="BG519" s="579"/>
      <c r="BH519" s="579"/>
      <c r="BI519" s="579"/>
      <c r="BJ519" s="579"/>
      <c r="BK519" s="579"/>
    </row>
    <row r="520" spans="1:63" s="240" customFormat="1" hidden="1">
      <c r="A520" s="209"/>
      <c r="B520" s="220"/>
      <c r="C520" s="277" t="s">
        <v>1847</v>
      </c>
      <c r="D520" s="209"/>
      <c r="AF520" s="579"/>
      <c r="AG520" s="579"/>
      <c r="AH520" s="579"/>
      <c r="AI520" s="579"/>
      <c r="AJ520" s="579"/>
      <c r="AK520" s="579"/>
      <c r="AL520" s="579"/>
      <c r="AM520" s="579"/>
      <c r="AN520" s="579"/>
      <c r="AO520" s="579"/>
      <c r="AP520" s="579"/>
      <c r="AQ520" s="579"/>
      <c r="AR520" s="579"/>
      <c r="AS520" s="579"/>
      <c r="AT520" s="579"/>
      <c r="AU520" s="579"/>
      <c r="AV520" s="579"/>
      <c r="AW520" s="579"/>
      <c r="AX520" s="579"/>
      <c r="AY520" s="579"/>
      <c r="AZ520" s="579"/>
      <c r="BA520" s="579"/>
      <c r="BB520" s="579"/>
      <c r="BC520" s="579"/>
      <c r="BD520" s="579"/>
      <c r="BE520" s="579"/>
      <c r="BF520" s="579"/>
      <c r="BG520" s="579"/>
      <c r="BH520" s="579"/>
      <c r="BI520" s="579"/>
      <c r="BJ520" s="579"/>
      <c r="BK520" s="579"/>
    </row>
    <row r="521" spans="1:63" s="240" customFormat="1" hidden="1">
      <c r="A521" s="209"/>
      <c r="B521" s="220" t="s">
        <v>1848</v>
      </c>
      <c r="C521" s="253" t="s">
        <v>1849</v>
      </c>
      <c r="D521" s="209"/>
      <c r="F521" s="251"/>
      <c r="G521" s="251"/>
      <c r="H521" s="251"/>
      <c r="I521" s="251"/>
      <c r="J521" s="251"/>
      <c r="K521" s="251"/>
      <c r="L521" s="251"/>
      <c r="M521" s="251"/>
      <c r="N521" s="251"/>
      <c r="O521" s="251"/>
      <c r="P521" s="251"/>
      <c r="Q521" s="251"/>
      <c r="R521" s="251"/>
      <c r="S521" s="251"/>
      <c r="T521" s="251"/>
      <c r="U521" s="251"/>
      <c r="V521" s="251"/>
      <c r="W521" s="251"/>
      <c r="X521" s="251"/>
      <c r="Y521" s="251"/>
      <c r="Z521" s="251"/>
      <c r="AA521" s="251"/>
      <c r="AB521" s="251"/>
      <c r="AC521" s="251"/>
      <c r="AD521" s="251"/>
      <c r="AE521" s="251"/>
      <c r="AF521" s="579"/>
      <c r="AG521" s="579"/>
      <c r="AH521" s="579"/>
      <c r="AI521" s="579"/>
      <c r="AJ521" s="579"/>
      <c r="AK521" s="579"/>
      <c r="AL521" s="579"/>
      <c r="AM521" s="579"/>
      <c r="AN521" s="579"/>
      <c r="AO521" s="579"/>
      <c r="AP521" s="579"/>
      <c r="AQ521" s="579"/>
      <c r="AR521" s="579"/>
      <c r="AS521" s="579"/>
      <c r="AT521" s="579"/>
      <c r="AU521" s="579"/>
      <c r="AV521" s="579"/>
      <c r="AW521" s="579"/>
      <c r="AX521" s="579"/>
      <c r="AY521" s="579"/>
      <c r="AZ521" s="579"/>
      <c r="BA521" s="579"/>
      <c r="BB521" s="579"/>
      <c r="BC521" s="579"/>
      <c r="BD521" s="579"/>
      <c r="BE521" s="579"/>
      <c r="BF521" s="579"/>
      <c r="BG521" s="579"/>
      <c r="BH521" s="579"/>
      <c r="BI521" s="579"/>
      <c r="BJ521" s="579"/>
      <c r="BK521" s="579"/>
    </row>
    <row r="522" spans="1:63" s="245" customFormat="1" hidden="1">
      <c r="A522" s="243"/>
      <c r="B522" s="243" t="s">
        <v>1850</v>
      </c>
      <c r="C522" s="250" t="s">
        <v>459</v>
      </c>
      <c r="D522" s="243"/>
      <c r="F522" s="245">
        <f t="shared" ref="F522:AD522" si="809">SUM(F523:F526)</f>
        <v>0</v>
      </c>
      <c r="G522" s="245">
        <f t="shared" si="809"/>
        <v>0</v>
      </c>
      <c r="H522" s="245">
        <f t="shared" si="809"/>
        <v>0</v>
      </c>
      <c r="I522" s="245">
        <f t="shared" si="809"/>
        <v>0</v>
      </c>
      <c r="J522" s="245">
        <f t="shared" si="809"/>
        <v>0</v>
      </c>
      <c r="K522" s="245">
        <f t="shared" si="809"/>
        <v>0</v>
      </c>
      <c r="L522" s="245">
        <f t="shared" si="809"/>
        <v>0</v>
      </c>
      <c r="M522" s="245">
        <f t="shared" si="809"/>
        <v>0</v>
      </c>
      <c r="N522" s="245">
        <f t="shared" si="809"/>
        <v>0</v>
      </c>
      <c r="O522" s="245">
        <f t="shared" si="809"/>
        <v>0</v>
      </c>
      <c r="P522" s="245">
        <f t="shared" si="809"/>
        <v>0</v>
      </c>
      <c r="Q522" s="245">
        <f t="shared" si="809"/>
        <v>0</v>
      </c>
      <c r="R522" s="245">
        <f t="shared" si="809"/>
        <v>0</v>
      </c>
      <c r="S522" s="245">
        <f t="shared" si="809"/>
        <v>0</v>
      </c>
      <c r="T522" s="245">
        <f t="shared" si="809"/>
        <v>0</v>
      </c>
      <c r="U522" s="245">
        <f t="shared" si="809"/>
        <v>0</v>
      </c>
      <c r="V522" s="245">
        <f t="shared" si="809"/>
        <v>0</v>
      </c>
      <c r="W522" s="245">
        <f t="shared" si="809"/>
        <v>0</v>
      </c>
      <c r="X522" s="245">
        <f t="shared" si="809"/>
        <v>0</v>
      </c>
      <c r="Y522" s="245">
        <f t="shared" si="809"/>
        <v>0</v>
      </c>
      <c r="Z522" s="245">
        <f t="shared" si="809"/>
        <v>0</v>
      </c>
      <c r="AA522" s="245">
        <f t="shared" si="809"/>
        <v>0</v>
      </c>
      <c r="AB522" s="245">
        <f t="shared" si="809"/>
        <v>0</v>
      </c>
      <c r="AC522" s="245">
        <f t="shared" si="809"/>
        <v>0</v>
      </c>
      <c r="AD522" s="245">
        <f t="shared" si="809"/>
        <v>0</v>
      </c>
      <c r="AF522" s="580">
        <f t="shared" ref="AF522:BK522" si="810">SUM(AF523:AF526)</f>
        <v>0</v>
      </c>
      <c r="AG522" s="580">
        <f t="shared" si="810"/>
        <v>0</v>
      </c>
      <c r="AH522" s="580">
        <f t="shared" si="810"/>
        <v>0</v>
      </c>
      <c r="AI522" s="580">
        <f t="shared" si="810"/>
        <v>0</v>
      </c>
      <c r="AJ522" s="580">
        <f t="shared" si="810"/>
        <v>0</v>
      </c>
      <c r="AK522" s="580">
        <f t="shared" si="810"/>
        <v>0</v>
      </c>
      <c r="AL522" s="580">
        <f t="shared" si="810"/>
        <v>0</v>
      </c>
      <c r="AM522" s="580">
        <f>SUM(AM523:AM526)</f>
        <v>0</v>
      </c>
      <c r="AN522" s="580">
        <f>SUM(AN523:AN526)</f>
        <v>0</v>
      </c>
      <c r="AO522" s="580">
        <f t="shared" si="810"/>
        <v>0</v>
      </c>
      <c r="AP522" s="580">
        <f t="shared" si="810"/>
        <v>0</v>
      </c>
      <c r="AQ522" s="580">
        <f t="shared" si="810"/>
        <v>0</v>
      </c>
      <c r="AR522" s="580">
        <f t="shared" si="810"/>
        <v>0</v>
      </c>
      <c r="AS522" s="580">
        <f t="shared" si="810"/>
        <v>0</v>
      </c>
      <c r="AT522" s="580">
        <f t="shared" si="810"/>
        <v>0</v>
      </c>
      <c r="AU522" s="580">
        <f t="shared" si="810"/>
        <v>0</v>
      </c>
      <c r="AV522" s="580">
        <f t="shared" si="810"/>
        <v>0</v>
      </c>
      <c r="AW522" s="580">
        <f t="shared" si="810"/>
        <v>0</v>
      </c>
      <c r="AX522" s="580">
        <f t="shared" si="810"/>
        <v>0</v>
      </c>
      <c r="AY522" s="580">
        <f t="shared" si="810"/>
        <v>0</v>
      </c>
      <c r="AZ522" s="580">
        <f t="shared" si="810"/>
        <v>0</v>
      </c>
      <c r="BA522" s="580">
        <f t="shared" si="810"/>
        <v>0</v>
      </c>
      <c r="BB522" s="580">
        <f t="shared" si="810"/>
        <v>0</v>
      </c>
      <c r="BC522" s="580">
        <f t="shared" si="810"/>
        <v>0</v>
      </c>
      <c r="BD522" s="580">
        <f t="shared" si="810"/>
        <v>0</v>
      </c>
      <c r="BE522" s="580">
        <f t="shared" si="810"/>
        <v>0</v>
      </c>
      <c r="BF522" s="580">
        <f t="shared" si="810"/>
        <v>0</v>
      </c>
      <c r="BG522" s="580">
        <f t="shared" si="810"/>
        <v>0</v>
      </c>
      <c r="BH522" s="580">
        <f t="shared" si="810"/>
        <v>0</v>
      </c>
      <c r="BI522" s="580">
        <f t="shared" si="810"/>
        <v>0</v>
      </c>
      <c r="BJ522" s="580">
        <f t="shared" si="810"/>
        <v>0</v>
      </c>
      <c r="BK522" s="580">
        <f t="shared" si="810"/>
        <v>0</v>
      </c>
    </row>
    <row r="523" spans="1:63" s="240" customFormat="1" hidden="1">
      <c r="A523" s="209"/>
      <c r="B523" s="209" t="s">
        <v>1851</v>
      </c>
      <c r="C523" s="209" t="s">
        <v>1852</v>
      </c>
      <c r="D523" s="209"/>
      <c r="F523" s="251"/>
      <c r="G523" s="251"/>
      <c r="H523" s="251"/>
      <c r="I523" s="251"/>
      <c r="J523" s="251"/>
      <c r="K523" s="251"/>
      <c r="L523" s="251"/>
      <c r="M523" s="251"/>
      <c r="N523" s="251"/>
      <c r="O523" s="251"/>
      <c r="P523" s="251"/>
      <c r="Q523" s="251"/>
      <c r="R523" s="251"/>
      <c r="S523" s="251"/>
      <c r="T523" s="251"/>
      <c r="U523" s="251"/>
      <c r="V523" s="251"/>
      <c r="W523" s="251"/>
      <c r="X523" s="251"/>
      <c r="Y523" s="251"/>
      <c r="Z523" s="251"/>
      <c r="AA523" s="251"/>
      <c r="AB523" s="251"/>
      <c r="AC523" s="251"/>
      <c r="AD523" s="251"/>
      <c r="AE523" s="251"/>
      <c r="AF523" s="579"/>
      <c r="AG523" s="579"/>
      <c r="AH523" s="579"/>
      <c r="AI523" s="579"/>
      <c r="AJ523" s="579"/>
      <c r="AK523" s="579"/>
      <c r="AL523" s="579"/>
      <c r="AM523" s="579"/>
      <c r="AN523" s="579"/>
      <c r="AO523" s="579"/>
      <c r="AP523" s="579"/>
      <c r="AQ523" s="579"/>
      <c r="AR523" s="579"/>
      <c r="AS523" s="579"/>
      <c r="AT523" s="579"/>
      <c r="AU523" s="579"/>
      <c r="AV523" s="579"/>
      <c r="AW523" s="579"/>
      <c r="AX523" s="579"/>
      <c r="AY523" s="579"/>
      <c r="AZ523" s="579"/>
      <c r="BA523" s="579"/>
      <c r="BB523" s="579"/>
      <c r="BC523" s="579"/>
      <c r="BD523" s="579"/>
      <c r="BE523" s="579"/>
      <c r="BF523" s="579"/>
      <c r="BG523" s="579"/>
      <c r="BH523" s="579"/>
      <c r="BI523" s="579"/>
      <c r="BJ523" s="579"/>
      <c r="BK523" s="579"/>
    </row>
    <row r="524" spans="1:63" s="240" customFormat="1" hidden="1">
      <c r="A524" s="209"/>
      <c r="B524" s="209" t="s">
        <v>1853</v>
      </c>
      <c r="C524" s="209" t="s">
        <v>1854</v>
      </c>
      <c r="D524" s="209"/>
      <c r="F524" s="251"/>
      <c r="G524" s="251"/>
      <c r="H524" s="251"/>
      <c r="I524" s="251"/>
      <c r="J524" s="251"/>
      <c r="K524" s="251"/>
      <c r="L524" s="251"/>
      <c r="M524" s="251"/>
      <c r="N524" s="251"/>
      <c r="O524" s="251"/>
      <c r="P524" s="251"/>
      <c r="Q524" s="251"/>
      <c r="R524" s="251"/>
      <c r="S524" s="251"/>
      <c r="T524" s="251"/>
      <c r="U524" s="251"/>
      <c r="V524" s="251"/>
      <c r="W524" s="251"/>
      <c r="X524" s="251"/>
      <c r="Y524" s="251"/>
      <c r="Z524" s="251"/>
      <c r="AA524" s="251"/>
      <c r="AB524" s="251"/>
      <c r="AC524" s="251"/>
      <c r="AD524" s="251"/>
      <c r="AE524" s="251"/>
      <c r="AF524" s="579"/>
      <c r="AG524" s="579"/>
      <c r="AH524" s="579"/>
      <c r="AI524" s="579"/>
      <c r="AJ524" s="579"/>
      <c r="AK524" s="579"/>
      <c r="AL524" s="579"/>
      <c r="AM524" s="579"/>
      <c r="AN524" s="579"/>
      <c r="AO524" s="579"/>
      <c r="AP524" s="579"/>
      <c r="AQ524" s="579"/>
      <c r="AR524" s="579"/>
      <c r="AS524" s="579"/>
      <c r="AT524" s="579"/>
      <c r="AU524" s="579"/>
      <c r="AV524" s="579"/>
      <c r="AW524" s="579"/>
      <c r="AX524" s="579"/>
      <c r="AY524" s="579"/>
      <c r="AZ524" s="579"/>
      <c r="BA524" s="579"/>
      <c r="BB524" s="579"/>
      <c r="BC524" s="579"/>
      <c r="BD524" s="579"/>
      <c r="BE524" s="579"/>
      <c r="BF524" s="579"/>
      <c r="BG524" s="579"/>
      <c r="BH524" s="579"/>
      <c r="BI524" s="579"/>
      <c r="BJ524" s="579"/>
      <c r="BK524" s="579"/>
    </row>
    <row r="525" spans="1:63" s="240" customFormat="1" hidden="1">
      <c r="A525" s="209"/>
      <c r="B525" s="209" t="s">
        <v>1855</v>
      </c>
      <c r="C525" s="209" t="s">
        <v>1856</v>
      </c>
      <c r="D525" s="209"/>
      <c r="F525" s="251"/>
      <c r="G525" s="251"/>
      <c r="H525" s="251"/>
      <c r="I525" s="251"/>
      <c r="J525" s="251"/>
      <c r="K525" s="251"/>
      <c r="L525" s="251"/>
      <c r="M525" s="251"/>
      <c r="N525" s="251"/>
      <c r="O525" s="251"/>
      <c r="P525" s="251"/>
      <c r="Q525" s="251"/>
      <c r="R525" s="251"/>
      <c r="S525" s="251"/>
      <c r="T525" s="251"/>
      <c r="U525" s="251"/>
      <c r="V525" s="251"/>
      <c r="W525" s="251"/>
      <c r="X525" s="251"/>
      <c r="Y525" s="251"/>
      <c r="Z525" s="251"/>
      <c r="AA525" s="251"/>
      <c r="AB525" s="251"/>
      <c r="AC525" s="251"/>
      <c r="AD525" s="251"/>
      <c r="AE525" s="251"/>
      <c r="AF525" s="579"/>
      <c r="AG525" s="579"/>
      <c r="AH525" s="579"/>
      <c r="AI525" s="579"/>
      <c r="AJ525" s="579"/>
      <c r="AK525" s="579"/>
      <c r="AL525" s="579"/>
      <c r="AM525" s="579"/>
      <c r="AN525" s="579"/>
      <c r="AO525" s="579"/>
      <c r="AP525" s="579"/>
      <c r="AQ525" s="579"/>
      <c r="AR525" s="579"/>
      <c r="AS525" s="579"/>
      <c r="AT525" s="579"/>
      <c r="AU525" s="579"/>
      <c r="AV525" s="579"/>
      <c r="AW525" s="579"/>
      <c r="AX525" s="579"/>
      <c r="AY525" s="579"/>
      <c r="AZ525" s="579"/>
      <c r="BA525" s="579"/>
      <c r="BB525" s="579"/>
      <c r="BC525" s="579"/>
      <c r="BD525" s="579"/>
      <c r="BE525" s="579"/>
      <c r="BF525" s="579"/>
      <c r="BG525" s="579"/>
      <c r="BH525" s="579"/>
      <c r="BI525" s="579"/>
      <c r="BJ525" s="579"/>
      <c r="BK525" s="579"/>
    </row>
    <row r="526" spans="1:63" s="240" customFormat="1" hidden="1">
      <c r="A526" s="209"/>
      <c r="B526" s="209" t="s">
        <v>1860</v>
      </c>
      <c r="C526" s="209" t="s">
        <v>106</v>
      </c>
      <c r="D526" s="209"/>
      <c r="F526" s="251"/>
      <c r="G526" s="251"/>
      <c r="H526" s="251"/>
      <c r="I526" s="251"/>
      <c r="J526" s="251"/>
      <c r="K526" s="251"/>
      <c r="L526" s="251"/>
      <c r="M526" s="251"/>
      <c r="N526" s="251"/>
      <c r="O526" s="251"/>
      <c r="P526" s="251"/>
      <c r="Q526" s="251"/>
      <c r="R526" s="251"/>
      <c r="S526" s="251"/>
      <c r="T526" s="251"/>
      <c r="U526" s="251"/>
      <c r="V526" s="251"/>
      <c r="W526" s="251"/>
      <c r="X526" s="251"/>
      <c r="Y526" s="251"/>
      <c r="Z526" s="251"/>
      <c r="AA526" s="251"/>
      <c r="AB526" s="251"/>
      <c r="AC526" s="251"/>
      <c r="AD526" s="251"/>
      <c r="AE526" s="251"/>
      <c r="AF526" s="579"/>
      <c r="AG526" s="579"/>
      <c r="AH526" s="579"/>
      <c r="AI526" s="579"/>
      <c r="AJ526" s="579"/>
      <c r="AK526" s="579"/>
      <c r="AL526" s="579"/>
      <c r="AM526" s="579"/>
      <c r="AN526" s="579"/>
      <c r="AO526" s="579"/>
      <c r="AP526" s="579"/>
      <c r="AQ526" s="579"/>
      <c r="AR526" s="579"/>
      <c r="AS526" s="579"/>
      <c r="AT526" s="579"/>
      <c r="AU526" s="579"/>
      <c r="AV526" s="579"/>
      <c r="AW526" s="579"/>
      <c r="AX526" s="579"/>
      <c r="AY526" s="579"/>
      <c r="AZ526" s="579"/>
      <c r="BA526" s="579"/>
      <c r="BB526" s="579"/>
      <c r="BC526" s="579"/>
      <c r="BD526" s="579"/>
      <c r="BE526" s="579"/>
      <c r="BF526" s="579"/>
      <c r="BG526" s="579"/>
      <c r="BH526" s="579"/>
      <c r="BI526" s="579"/>
      <c r="BJ526" s="579"/>
      <c r="BK526" s="579"/>
    </row>
    <row r="527" spans="1:63" s="245" customFormat="1" hidden="1">
      <c r="A527" s="243"/>
      <c r="B527" s="243" t="s">
        <v>1861</v>
      </c>
      <c r="C527" s="250" t="s">
        <v>1862</v>
      </c>
      <c r="D527" s="243"/>
      <c r="F527" s="245">
        <f t="shared" ref="F527:AD527" si="811">F521+F522</f>
        <v>0</v>
      </c>
      <c r="G527" s="245">
        <f t="shared" si="811"/>
        <v>0</v>
      </c>
      <c r="H527" s="245">
        <f t="shared" si="811"/>
        <v>0</v>
      </c>
      <c r="I527" s="245">
        <f t="shared" si="811"/>
        <v>0</v>
      </c>
      <c r="J527" s="245">
        <f t="shared" si="811"/>
        <v>0</v>
      </c>
      <c r="K527" s="245">
        <f t="shared" si="811"/>
        <v>0</v>
      </c>
      <c r="L527" s="245">
        <f t="shared" si="811"/>
        <v>0</v>
      </c>
      <c r="M527" s="245">
        <f t="shared" si="811"/>
        <v>0</v>
      </c>
      <c r="N527" s="245">
        <f t="shared" si="811"/>
        <v>0</v>
      </c>
      <c r="O527" s="245">
        <f t="shared" si="811"/>
        <v>0</v>
      </c>
      <c r="P527" s="245">
        <f t="shared" si="811"/>
        <v>0</v>
      </c>
      <c r="Q527" s="245">
        <f t="shared" si="811"/>
        <v>0</v>
      </c>
      <c r="R527" s="245">
        <f t="shared" si="811"/>
        <v>0</v>
      </c>
      <c r="S527" s="245">
        <f t="shared" si="811"/>
        <v>0</v>
      </c>
      <c r="T527" s="245">
        <f t="shared" si="811"/>
        <v>0</v>
      </c>
      <c r="U527" s="245">
        <f t="shared" si="811"/>
        <v>0</v>
      </c>
      <c r="V527" s="245">
        <f t="shared" si="811"/>
        <v>0</v>
      </c>
      <c r="W527" s="245">
        <f t="shared" si="811"/>
        <v>0</v>
      </c>
      <c r="X527" s="245">
        <f t="shared" si="811"/>
        <v>0</v>
      </c>
      <c r="Y527" s="245">
        <f t="shared" si="811"/>
        <v>0</v>
      </c>
      <c r="Z527" s="245">
        <f t="shared" si="811"/>
        <v>0</v>
      </c>
      <c r="AA527" s="245">
        <f t="shared" si="811"/>
        <v>0</v>
      </c>
      <c r="AB527" s="245">
        <f t="shared" si="811"/>
        <v>0</v>
      </c>
      <c r="AC527" s="245">
        <f t="shared" si="811"/>
        <v>0</v>
      </c>
      <c r="AD527" s="245">
        <f t="shared" si="811"/>
        <v>0</v>
      </c>
      <c r="AF527" s="580">
        <f t="shared" ref="AF527:BK527" si="812">AF521+AF522</f>
        <v>0</v>
      </c>
      <c r="AG527" s="580">
        <f t="shared" si="812"/>
        <v>0</v>
      </c>
      <c r="AH527" s="580">
        <f t="shared" si="812"/>
        <v>0</v>
      </c>
      <c r="AI527" s="580">
        <f t="shared" si="812"/>
        <v>0</v>
      </c>
      <c r="AJ527" s="580">
        <f t="shared" si="812"/>
        <v>0</v>
      </c>
      <c r="AK527" s="580">
        <f t="shared" si="812"/>
        <v>0</v>
      </c>
      <c r="AL527" s="580">
        <f t="shared" si="812"/>
        <v>0</v>
      </c>
      <c r="AM527" s="580">
        <f>AM521+AM522</f>
        <v>0</v>
      </c>
      <c r="AN527" s="580">
        <f>AN521+AN522</f>
        <v>0</v>
      </c>
      <c r="AO527" s="580">
        <f t="shared" si="812"/>
        <v>0</v>
      </c>
      <c r="AP527" s="580">
        <f t="shared" si="812"/>
        <v>0</v>
      </c>
      <c r="AQ527" s="580">
        <f t="shared" si="812"/>
        <v>0</v>
      </c>
      <c r="AR527" s="580">
        <f t="shared" si="812"/>
        <v>0</v>
      </c>
      <c r="AS527" s="580">
        <f t="shared" si="812"/>
        <v>0</v>
      </c>
      <c r="AT527" s="580">
        <f t="shared" si="812"/>
        <v>0</v>
      </c>
      <c r="AU527" s="580">
        <f t="shared" si="812"/>
        <v>0</v>
      </c>
      <c r="AV527" s="580">
        <f t="shared" si="812"/>
        <v>0</v>
      </c>
      <c r="AW527" s="580">
        <f t="shared" si="812"/>
        <v>0</v>
      </c>
      <c r="AX527" s="580">
        <f t="shared" si="812"/>
        <v>0</v>
      </c>
      <c r="AY527" s="580">
        <f t="shared" si="812"/>
        <v>0</v>
      </c>
      <c r="AZ527" s="580">
        <f t="shared" si="812"/>
        <v>0</v>
      </c>
      <c r="BA527" s="580">
        <f t="shared" si="812"/>
        <v>0</v>
      </c>
      <c r="BB527" s="580">
        <f t="shared" si="812"/>
        <v>0</v>
      </c>
      <c r="BC527" s="580">
        <f t="shared" si="812"/>
        <v>0</v>
      </c>
      <c r="BD527" s="580">
        <f t="shared" si="812"/>
        <v>0</v>
      </c>
      <c r="BE527" s="580">
        <f t="shared" si="812"/>
        <v>0</v>
      </c>
      <c r="BF527" s="580">
        <f t="shared" si="812"/>
        <v>0</v>
      </c>
      <c r="BG527" s="580">
        <f t="shared" si="812"/>
        <v>0</v>
      </c>
      <c r="BH527" s="580">
        <f t="shared" si="812"/>
        <v>0</v>
      </c>
      <c r="BI527" s="580">
        <f t="shared" si="812"/>
        <v>0</v>
      </c>
      <c r="BJ527" s="580">
        <f t="shared" si="812"/>
        <v>0</v>
      </c>
      <c r="BK527" s="580">
        <f t="shared" si="812"/>
        <v>0</v>
      </c>
    </row>
    <row r="528" spans="1:63" s="245" customFormat="1" hidden="1">
      <c r="A528" s="243"/>
      <c r="B528" s="243" t="s">
        <v>1863</v>
      </c>
      <c r="C528" s="243" t="s">
        <v>1864</v>
      </c>
      <c r="D528" s="243"/>
      <c r="F528" s="245">
        <f t="shared" ref="F528:AD528" si="813">F527-F525-F581</f>
        <v>0</v>
      </c>
      <c r="G528" s="245">
        <f t="shared" si="813"/>
        <v>0</v>
      </c>
      <c r="H528" s="245">
        <f t="shared" si="813"/>
        <v>0</v>
      </c>
      <c r="I528" s="245">
        <f t="shared" si="813"/>
        <v>0</v>
      </c>
      <c r="J528" s="245">
        <f t="shared" si="813"/>
        <v>0</v>
      </c>
      <c r="K528" s="245">
        <f t="shared" si="813"/>
        <v>0</v>
      </c>
      <c r="L528" s="245">
        <f t="shared" si="813"/>
        <v>0</v>
      </c>
      <c r="M528" s="245">
        <f t="shared" si="813"/>
        <v>0</v>
      </c>
      <c r="N528" s="245">
        <f t="shared" si="813"/>
        <v>0</v>
      </c>
      <c r="O528" s="245">
        <f t="shared" si="813"/>
        <v>0</v>
      </c>
      <c r="P528" s="245">
        <f t="shared" si="813"/>
        <v>0</v>
      </c>
      <c r="Q528" s="245">
        <f t="shared" si="813"/>
        <v>0</v>
      </c>
      <c r="R528" s="245">
        <f t="shared" si="813"/>
        <v>0</v>
      </c>
      <c r="S528" s="245">
        <f t="shared" si="813"/>
        <v>0</v>
      </c>
      <c r="T528" s="245">
        <f t="shared" si="813"/>
        <v>0</v>
      </c>
      <c r="U528" s="245">
        <f t="shared" si="813"/>
        <v>0</v>
      </c>
      <c r="V528" s="245">
        <f t="shared" si="813"/>
        <v>0</v>
      </c>
      <c r="W528" s="245">
        <f t="shared" si="813"/>
        <v>0</v>
      </c>
      <c r="X528" s="245">
        <f t="shared" si="813"/>
        <v>0</v>
      </c>
      <c r="Y528" s="245">
        <f t="shared" si="813"/>
        <v>0</v>
      </c>
      <c r="Z528" s="245">
        <f t="shared" si="813"/>
        <v>0</v>
      </c>
      <c r="AA528" s="245">
        <f t="shared" si="813"/>
        <v>0</v>
      </c>
      <c r="AB528" s="245">
        <f t="shared" si="813"/>
        <v>0</v>
      </c>
      <c r="AC528" s="245">
        <f t="shared" si="813"/>
        <v>0</v>
      </c>
      <c r="AD528" s="245">
        <f t="shared" si="813"/>
        <v>0</v>
      </c>
      <c r="AF528" s="580">
        <f t="shared" ref="AF528:BK528" si="814">AF527-AF525-AF581</f>
        <v>0</v>
      </c>
      <c r="AG528" s="580">
        <f t="shared" si="814"/>
        <v>0</v>
      </c>
      <c r="AH528" s="580">
        <f t="shared" si="814"/>
        <v>0</v>
      </c>
      <c r="AI528" s="580">
        <f t="shared" si="814"/>
        <v>0</v>
      </c>
      <c r="AJ528" s="580">
        <f t="shared" si="814"/>
        <v>0</v>
      </c>
      <c r="AK528" s="580">
        <f t="shared" si="814"/>
        <v>0</v>
      </c>
      <c r="AL528" s="580">
        <f t="shared" si="814"/>
        <v>0</v>
      </c>
      <c r="AM528" s="580">
        <f t="shared" si="814"/>
        <v>0</v>
      </c>
      <c r="AN528" s="580">
        <f>AN527-AN525-AN581</f>
        <v>0</v>
      </c>
      <c r="AO528" s="580">
        <f t="shared" si="814"/>
        <v>0</v>
      </c>
      <c r="AP528" s="580">
        <f t="shared" si="814"/>
        <v>0</v>
      </c>
      <c r="AQ528" s="580">
        <f t="shared" si="814"/>
        <v>0</v>
      </c>
      <c r="AR528" s="580">
        <f t="shared" si="814"/>
        <v>0</v>
      </c>
      <c r="AS528" s="580">
        <f t="shared" si="814"/>
        <v>0</v>
      </c>
      <c r="AT528" s="580">
        <f t="shared" si="814"/>
        <v>0</v>
      </c>
      <c r="AU528" s="580">
        <f t="shared" si="814"/>
        <v>0</v>
      </c>
      <c r="AV528" s="580">
        <f t="shared" si="814"/>
        <v>0</v>
      </c>
      <c r="AW528" s="580">
        <f t="shared" si="814"/>
        <v>0</v>
      </c>
      <c r="AX528" s="580">
        <f t="shared" si="814"/>
        <v>0</v>
      </c>
      <c r="AY528" s="580">
        <f t="shared" si="814"/>
        <v>0</v>
      </c>
      <c r="AZ528" s="580">
        <f t="shared" si="814"/>
        <v>0</v>
      </c>
      <c r="BA528" s="580">
        <f t="shared" si="814"/>
        <v>0</v>
      </c>
      <c r="BB528" s="580">
        <f t="shared" si="814"/>
        <v>0</v>
      </c>
      <c r="BC528" s="580">
        <f t="shared" si="814"/>
        <v>0</v>
      </c>
      <c r="BD528" s="580">
        <f t="shared" si="814"/>
        <v>0</v>
      </c>
      <c r="BE528" s="580">
        <f t="shared" si="814"/>
        <v>0</v>
      </c>
      <c r="BF528" s="580">
        <f t="shared" si="814"/>
        <v>0</v>
      </c>
      <c r="BG528" s="580">
        <f t="shared" si="814"/>
        <v>0</v>
      </c>
      <c r="BH528" s="580">
        <f t="shared" si="814"/>
        <v>0</v>
      </c>
      <c r="BI528" s="580">
        <f t="shared" si="814"/>
        <v>0</v>
      </c>
      <c r="BJ528" s="580">
        <f t="shared" si="814"/>
        <v>0</v>
      </c>
      <c r="BK528" s="580">
        <f t="shared" si="814"/>
        <v>0</v>
      </c>
    </row>
    <row r="529" spans="1:63" s="240" customFormat="1" hidden="1">
      <c r="A529" s="209"/>
      <c r="B529" s="209" t="s">
        <v>1865</v>
      </c>
      <c r="C529" s="209" t="s">
        <v>1819</v>
      </c>
      <c r="D529" s="209"/>
      <c r="F529" s="251"/>
      <c r="G529" s="251"/>
      <c r="H529" s="251"/>
      <c r="I529" s="251"/>
      <c r="J529" s="251"/>
      <c r="K529" s="251"/>
      <c r="L529" s="251"/>
      <c r="M529" s="251"/>
      <c r="N529" s="251"/>
      <c r="O529" s="251"/>
      <c r="P529" s="251"/>
      <c r="Q529" s="251"/>
      <c r="R529" s="251"/>
      <c r="S529" s="251"/>
      <c r="T529" s="251"/>
      <c r="U529" s="251"/>
      <c r="V529" s="251"/>
      <c r="W529" s="251"/>
      <c r="X529" s="251"/>
      <c r="Y529" s="251"/>
      <c r="Z529" s="251"/>
      <c r="AA529" s="251"/>
      <c r="AB529" s="251"/>
      <c r="AC529" s="251"/>
      <c r="AD529" s="251"/>
      <c r="AE529" s="251"/>
      <c r="AF529" s="579"/>
      <c r="AG529" s="579"/>
      <c r="AH529" s="579"/>
      <c r="AI529" s="579"/>
      <c r="AJ529" s="579"/>
      <c r="AK529" s="579"/>
      <c r="AL529" s="579"/>
      <c r="AM529" s="579"/>
      <c r="AN529" s="579"/>
      <c r="AO529" s="579"/>
      <c r="AP529" s="579"/>
      <c r="AQ529" s="579"/>
      <c r="AR529" s="579"/>
      <c r="AS529" s="579"/>
      <c r="AT529" s="579"/>
      <c r="AU529" s="579"/>
      <c r="AV529" s="579"/>
      <c r="AW529" s="579"/>
      <c r="AX529" s="579"/>
      <c r="AY529" s="579"/>
      <c r="AZ529" s="579"/>
      <c r="BA529" s="579"/>
      <c r="BB529" s="579"/>
      <c r="BC529" s="579"/>
      <c r="BD529" s="579"/>
      <c r="BE529" s="579"/>
      <c r="BF529" s="579"/>
      <c r="BG529" s="579"/>
      <c r="BH529" s="579"/>
      <c r="BI529" s="579"/>
      <c r="BJ529" s="579"/>
      <c r="BK529" s="579"/>
    </row>
    <row r="530" spans="1:63" s="245" customFormat="1" hidden="1">
      <c r="A530" s="243"/>
      <c r="B530" s="243" t="s">
        <v>1866</v>
      </c>
      <c r="C530" s="250" t="s">
        <v>1499</v>
      </c>
      <c r="D530" s="243"/>
      <c r="F530" s="245">
        <f t="shared" ref="F530:AD530" si="815">SUM(F531:F537)</f>
        <v>0</v>
      </c>
      <c r="G530" s="245">
        <f t="shared" si="815"/>
        <v>0</v>
      </c>
      <c r="H530" s="245">
        <f t="shared" si="815"/>
        <v>0</v>
      </c>
      <c r="I530" s="245">
        <f t="shared" si="815"/>
        <v>0</v>
      </c>
      <c r="J530" s="245">
        <f t="shared" si="815"/>
        <v>0</v>
      </c>
      <c r="K530" s="245">
        <f t="shared" si="815"/>
        <v>0</v>
      </c>
      <c r="L530" s="245">
        <f t="shared" si="815"/>
        <v>0</v>
      </c>
      <c r="M530" s="245">
        <f t="shared" si="815"/>
        <v>0</v>
      </c>
      <c r="N530" s="245">
        <f t="shared" si="815"/>
        <v>0</v>
      </c>
      <c r="O530" s="245">
        <f t="shared" si="815"/>
        <v>0</v>
      </c>
      <c r="P530" s="245">
        <f t="shared" si="815"/>
        <v>0</v>
      </c>
      <c r="Q530" s="245">
        <f t="shared" si="815"/>
        <v>0</v>
      </c>
      <c r="R530" s="245">
        <f t="shared" si="815"/>
        <v>0</v>
      </c>
      <c r="S530" s="245">
        <f t="shared" si="815"/>
        <v>0</v>
      </c>
      <c r="T530" s="245">
        <f t="shared" si="815"/>
        <v>0</v>
      </c>
      <c r="U530" s="245">
        <f t="shared" si="815"/>
        <v>0</v>
      </c>
      <c r="V530" s="245">
        <f t="shared" si="815"/>
        <v>0</v>
      </c>
      <c r="W530" s="245">
        <f t="shared" si="815"/>
        <v>0</v>
      </c>
      <c r="X530" s="245">
        <f t="shared" si="815"/>
        <v>0</v>
      </c>
      <c r="Y530" s="245">
        <f t="shared" si="815"/>
        <v>0</v>
      </c>
      <c r="Z530" s="245">
        <f t="shared" si="815"/>
        <v>0</v>
      </c>
      <c r="AA530" s="245">
        <f t="shared" si="815"/>
        <v>0</v>
      </c>
      <c r="AB530" s="245">
        <f t="shared" si="815"/>
        <v>0</v>
      </c>
      <c r="AC530" s="245">
        <f t="shared" si="815"/>
        <v>0</v>
      </c>
      <c r="AD530" s="245">
        <f t="shared" si="815"/>
        <v>0</v>
      </c>
      <c r="AF530" s="580">
        <f t="shared" ref="AF530:BK530" si="816">SUM(AF531:AF537)</f>
        <v>0</v>
      </c>
      <c r="AG530" s="580">
        <f t="shared" si="816"/>
        <v>0</v>
      </c>
      <c r="AH530" s="580">
        <f t="shared" si="816"/>
        <v>0</v>
      </c>
      <c r="AI530" s="580">
        <f t="shared" si="816"/>
        <v>0</v>
      </c>
      <c r="AJ530" s="580">
        <f t="shared" si="816"/>
        <v>0</v>
      </c>
      <c r="AK530" s="580">
        <f t="shared" si="816"/>
        <v>0</v>
      </c>
      <c r="AL530" s="580">
        <f t="shared" si="816"/>
        <v>0</v>
      </c>
      <c r="AM530" s="580">
        <f>SUM(AM531:AM537)</f>
        <v>0</v>
      </c>
      <c r="AN530" s="580">
        <f>SUM(AN531:AN537)</f>
        <v>0</v>
      </c>
      <c r="AO530" s="580">
        <f t="shared" si="816"/>
        <v>0</v>
      </c>
      <c r="AP530" s="580">
        <f t="shared" si="816"/>
        <v>0</v>
      </c>
      <c r="AQ530" s="580">
        <f t="shared" si="816"/>
        <v>0</v>
      </c>
      <c r="AR530" s="580">
        <f t="shared" si="816"/>
        <v>0</v>
      </c>
      <c r="AS530" s="580">
        <f t="shared" si="816"/>
        <v>0</v>
      </c>
      <c r="AT530" s="580">
        <f t="shared" si="816"/>
        <v>0</v>
      </c>
      <c r="AU530" s="580">
        <f t="shared" si="816"/>
        <v>0</v>
      </c>
      <c r="AV530" s="580">
        <f t="shared" si="816"/>
        <v>0</v>
      </c>
      <c r="AW530" s="580">
        <f t="shared" si="816"/>
        <v>0</v>
      </c>
      <c r="AX530" s="580">
        <f t="shared" si="816"/>
        <v>0</v>
      </c>
      <c r="AY530" s="580">
        <f t="shared" si="816"/>
        <v>0</v>
      </c>
      <c r="AZ530" s="580">
        <f t="shared" si="816"/>
        <v>0</v>
      </c>
      <c r="BA530" s="580">
        <f t="shared" si="816"/>
        <v>0</v>
      </c>
      <c r="BB530" s="580">
        <f t="shared" si="816"/>
        <v>0</v>
      </c>
      <c r="BC530" s="580">
        <f t="shared" si="816"/>
        <v>0</v>
      </c>
      <c r="BD530" s="580">
        <f t="shared" si="816"/>
        <v>0</v>
      </c>
      <c r="BE530" s="580">
        <f t="shared" si="816"/>
        <v>0</v>
      </c>
      <c r="BF530" s="580">
        <f t="shared" si="816"/>
        <v>0</v>
      </c>
      <c r="BG530" s="580">
        <f t="shared" si="816"/>
        <v>0</v>
      </c>
      <c r="BH530" s="580">
        <f t="shared" si="816"/>
        <v>0</v>
      </c>
      <c r="BI530" s="580">
        <f t="shared" si="816"/>
        <v>0</v>
      </c>
      <c r="BJ530" s="580">
        <f t="shared" si="816"/>
        <v>0</v>
      </c>
      <c r="BK530" s="580">
        <f t="shared" si="816"/>
        <v>0</v>
      </c>
    </row>
    <row r="531" spans="1:63" s="240" customFormat="1" hidden="1">
      <c r="A531" s="209"/>
      <c r="B531" s="209" t="s">
        <v>1867</v>
      </c>
      <c r="C531" s="209" t="s">
        <v>84</v>
      </c>
      <c r="D531" s="209"/>
      <c r="F531" s="251"/>
      <c r="G531" s="251"/>
      <c r="H531" s="251"/>
      <c r="I531" s="251"/>
      <c r="J531" s="251"/>
      <c r="K531" s="251"/>
      <c r="L531" s="251"/>
      <c r="M531" s="251"/>
      <c r="N531" s="251"/>
      <c r="O531" s="251"/>
      <c r="P531" s="251"/>
      <c r="Q531" s="251"/>
      <c r="R531" s="251"/>
      <c r="S531" s="251"/>
      <c r="T531" s="251"/>
      <c r="U531" s="251"/>
      <c r="V531" s="251"/>
      <c r="W531" s="251"/>
      <c r="X531" s="251"/>
      <c r="Y531" s="251"/>
      <c r="Z531" s="251"/>
      <c r="AA531" s="251"/>
      <c r="AB531" s="251"/>
      <c r="AC531" s="251"/>
      <c r="AD531" s="251"/>
      <c r="AE531" s="251"/>
      <c r="AF531" s="579"/>
      <c r="AG531" s="579"/>
      <c r="AH531" s="579"/>
      <c r="AI531" s="579"/>
      <c r="AJ531" s="579"/>
      <c r="AK531" s="579"/>
      <c r="AL531" s="579"/>
      <c r="AM531" s="579"/>
      <c r="AN531" s="579"/>
      <c r="AO531" s="579"/>
      <c r="AP531" s="579"/>
      <c r="AQ531" s="579"/>
      <c r="AR531" s="579"/>
      <c r="AS531" s="579"/>
      <c r="AT531" s="579"/>
      <c r="AU531" s="579"/>
      <c r="AV531" s="579"/>
      <c r="AW531" s="579"/>
      <c r="AX531" s="579"/>
      <c r="AY531" s="579"/>
      <c r="AZ531" s="579"/>
      <c r="BA531" s="579"/>
      <c r="BB531" s="579"/>
      <c r="BC531" s="579"/>
      <c r="BD531" s="579"/>
      <c r="BE531" s="579"/>
      <c r="BF531" s="579"/>
      <c r="BG531" s="579"/>
      <c r="BH531" s="579"/>
      <c r="BI531" s="579"/>
      <c r="BJ531" s="579"/>
      <c r="BK531" s="579"/>
    </row>
    <row r="532" spans="1:63" s="240" customFormat="1" hidden="1">
      <c r="A532" s="209"/>
      <c r="B532" s="209" t="s">
        <v>1868</v>
      </c>
      <c r="C532" s="209" t="s">
        <v>1869</v>
      </c>
      <c r="D532" s="209"/>
      <c r="F532" s="251"/>
      <c r="G532" s="251"/>
      <c r="H532" s="251"/>
      <c r="I532" s="251"/>
      <c r="J532" s="251"/>
      <c r="K532" s="251"/>
      <c r="L532" s="251"/>
      <c r="M532" s="251"/>
      <c r="N532" s="251"/>
      <c r="O532" s="251"/>
      <c r="P532" s="251"/>
      <c r="Q532" s="251"/>
      <c r="R532" s="251"/>
      <c r="S532" s="251"/>
      <c r="T532" s="251"/>
      <c r="U532" s="251"/>
      <c r="V532" s="251"/>
      <c r="W532" s="251"/>
      <c r="X532" s="251"/>
      <c r="Y532" s="251"/>
      <c r="Z532" s="251"/>
      <c r="AA532" s="251"/>
      <c r="AB532" s="251"/>
      <c r="AC532" s="251"/>
      <c r="AD532" s="251"/>
      <c r="AE532" s="251"/>
      <c r="AF532" s="579"/>
      <c r="AG532" s="579"/>
      <c r="AH532" s="579"/>
      <c r="AI532" s="579"/>
      <c r="AJ532" s="579"/>
      <c r="AK532" s="579"/>
      <c r="AL532" s="579"/>
      <c r="AM532" s="579"/>
      <c r="AN532" s="579"/>
      <c r="AO532" s="579"/>
      <c r="AP532" s="579"/>
      <c r="AQ532" s="579"/>
      <c r="AR532" s="579"/>
      <c r="AS532" s="579"/>
      <c r="AT532" s="579"/>
      <c r="AU532" s="579"/>
      <c r="AV532" s="579"/>
      <c r="AW532" s="579"/>
      <c r="AX532" s="579"/>
      <c r="AY532" s="579"/>
      <c r="AZ532" s="579"/>
      <c r="BA532" s="579"/>
      <c r="BB532" s="579"/>
      <c r="BC532" s="579"/>
      <c r="BD532" s="579"/>
      <c r="BE532" s="579"/>
      <c r="BF532" s="579"/>
      <c r="BG532" s="579"/>
      <c r="BH532" s="579"/>
      <c r="BI532" s="579"/>
      <c r="BJ532" s="579"/>
      <c r="BK532" s="579"/>
    </row>
    <row r="533" spans="1:63" s="240" customFormat="1" hidden="1">
      <c r="A533" s="209"/>
      <c r="B533" s="209" t="s">
        <v>1870</v>
      </c>
      <c r="C533" s="209" t="s">
        <v>1089</v>
      </c>
      <c r="D533" s="209"/>
      <c r="F533" s="251"/>
      <c r="G533" s="251"/>
      <c r="H533" s="251"/>
      <c r="I533" s="251"/>
      <c r="J533" s="251"/>
      <c r="K533" s="251"/>
      <c r="L533" s="251"/>
      <c r="M533" s="251"/>
      <c r="N533" s="251"/>
      <c r="O533" s="251"/>
      <c r="P533" s="251"/>
      <c r="Q533" s="251"/>
      <c r="R533" s="251"/>
      <c r="S533" s="251"/>
      <c r="T533" s="251"/>
      <c r="U533" s="251"/>
      <c r="V533" s="251"/>
      <c r="W533" s="251"/>
      <c r="X533" s="251"/>
      <c r="Y533" s="251"/>
      <c r="Z533" s="251"/>
      <c r="AA533" s="251"/>
      <c r="AB533" s="251"/>
      <c r="AC533" s="251"/>
      <c r="AD533" s="251"/>
      <c r="AE533" s="251"/>
      <c r="AF533" s="579"/>
      <c r="AG533" s="579"/>
      <c r="AH533" s="579"/>
      <c r="AI533" s="579"/>
      <c r="AJ533" s="579"/>
      <c r="AK533" s="579"/>
      <c r="AL533" s="579"/>
      <c r="AM533" s="579"/>
      <c r="AN533" s="579"/>
      <c r="AO533" s="579"/>
      <c r="AP533" s="579"/>
      <c r="AQ533" s="579"/>
      <c r="AR533" s="579"/>
      <c r="AS533" s="579"/>
      <c r="AT533" s="579"/>
      <c r="AU533" s="579"/>
      <c r="AV533" s="579"/>
      <c r="AW533" s="579"/>
      <c r="AX533" s="579"/>
      <c r="AY533" s="579"/>
      <c r="AZ533" s="579"/>
      <c r="BA533" s="579"/>
      <c r="BB533" s="579"/>
      <c r="BC533" s="579"/>
      <c r="BD533" s="579"/>
      <c r="BE533" s="579"/>
      <c r="BF533" s="579"/>
      <c r="BG533" s="579"/>
      <c r="BH533" s="579"/>
      <c r="BI533" s="579"/>
      <c r="BJ533" s="579"/>
      <c r="BK533" s="579"/>
    </row>
    <row r="534" spans="1:63" s="240" customFormat="1" hidden="1">
      <c r="A534" s="209"/>
      <c r="B534" s="209" t="s">
        <v>1871</v>
      </c>
      <c r="C534" s="209" t="s">
        <v>1091</v>
      </c>
      <c r="D534" s="209"/>
      <c r="F534" s="251"/>
      <c r="G534" s="251"/>
      <c r="H534" s="251"/>
      <c r="I534" s="251"/>
      <c r="J534" s="251"/>
      <c r="K534" s="251"/>
      <c r="L534" s="251"/>
      <c r="M534" s="251"/>
      <c r="N534" s="251"/>
      <c r="O534" s="251"/>
      <c r="P534" s="251"/>
      <c r="Q534" s="251"/>
      <c r="R534" s="251"/>
      <c r="S534" s="251"/>
      <c r="T534" s="251"/>
      <c r="U534" s="251"/>
      <c r="V534" s="251"/>
      <c r="W534" s="251"/>
      <c r="X534" s="251"/>
      <c r="Y534" s="251"/>
      <c r="Z534" s="251"/>
      <c r="AA534" s="251"/>
      <c r="AB534" s="251"/>
      <c r="AC534" s="251"/>
      <c r="AD534" s="251"/>
      <c r="AE534" s="251"/>
      <c r="AF534" s="579"/>
      <c r="AG534" s="579"/>
      <c r="AH534" s="579"/>
      <c r="AI534" s="579"/>
      <c r="AJ534" s="579"/>
      <c r="AK534" s="579"/>
      <c r="AL534" s="579"/>
      <c r="AM534" s="579"/>
      <c r="AN534" s="579"/>
      <c r="AO534" s="579"/>
      <c r="AP534" s="579"/>
      <c r="AQ534" s="579"/>
      <c r="AR534" s="579"/>
      <c r="AS534" s="579"/>
      <c r="AT534" s="579"/>
      <c r="AU534" s="579"/>
      <c r="AV534" s="579"/>
      <c r="AW534" s="579"/>
      <c r="AX534" s="579"/>
      <c r="AY534" s="579"/>
      <c r="AZ534" s="579"/>
      <c r="BA534" s="579"/>
      <c r="BB534" s="579"/>
      <c r="BC534" s="579"/>
      <c r="BD534" s="579"/>
      <c r="BE534" s="579"/>
      <c r="BF534" s="579"/>
      <c r="BG534" s="579"/>
      <c r="BH534" s="579"/>
      <c r="BI534" s="579"/>
      <c r="BJ534" s="579"/>
      <c r="BK534" s="579"/>
    </row>
    <row r="535" spans="1:63" s="240" customFormat="1" hidden="1">
      <c r="A535" s="209"/>
      <c r="B535" s="209" t="s">
        <v>1872</v>
      </c>
      <c r="C535" s="209" t="s">
        <v>1873</v>
      </c>
      <c r="D535" s="209"/>
      <c r="F535" s="251"/>
      <c r="G535" s="251"/>
      <c r="H535" s="251"/>
      <c r="I535" s="251"/>
      <c r="J535" s="251"/>
      <c r="K535" s="251"/>
      <c r="L535" s="251"/>
      <c r="M535" s="251"/>
      <c r="N535" s="251"/>
      <c r="O535" s="251"/>
      <c r="P535" s="251"/>
      <c r="Q535" s="251"/>
      <c r="R535" s="251"/>
      <c r="S535" s="251"/>
      <c r="T535" s="251"/>
      <c r="U535" s="251"/>
      <c r="V535" s="251"/>
      <c r="W535" s="251"/>
      <c r="X535" s="251"/>
      <c r="Y535" s="251"/>
      <c r="Z535" s="251"/>
      <c r="AA535" s="251"/>
      <c r="AB535" s="251"/>
      <c r="AC535" s="251"/>
      <c r="AD535" s="251"/>
      <c r="AE535" s="251"/>
      <c r="AF535" s="579"/>
      <c r="AG535" s="579"/>
      <c r="AH535" s="579"/>
      <c r="AI535" s="579"/>
      <c r="AJ535" s="579"/>
      <c r="AK535" s="579"/>
      <c r="AL535" s="579"/>
      <c r="AM535" s="579"/>
      <c r="AN535" s="579"/>
      <c r="AO535" s="579"/>
      <c r="AP535" s="579"/>
      <c r="AQ535" s="579"/>
      <c r="AR535" s="579"/>
      <c r="AS535" s="579"/>
      <c r="AT535" s="579"/>
      <c r="AU535" s="579"/>
      <c r="AV535" s="579"/>
      <c r="AW535" s="579"/>
      <c r="AX535" s="579"/>
      <c r="AY535" s="579"/>
      <c r="AZ535" s="579"/>
      <c r="BA535" s="579"/>
      <c r="BB535" s="579"/>
      <c r="BC535" s="579"/>
      <c r="BD535" s="579"/>
      <c r="BE535" s="579"/>
      <c r="BF535" s="579"/>
      <c r="BG535" s="579"/>
      <c r="BH535" s="579"/>
      <c r="BI535" s="579"/>
      <c r="BJ535" s="579"/>
      <c r="BK535" s="579"/>
    </row>
    <row r="536" spans="1:63" s="240" customFormat="1" hidden="1">
      <c r="A536" s="209"/>
      <c r="B536" s="209" t="s">
        <v>1874</v>
      </c>
      <c r="C536" s="209" t="s">
        <v>1095</v>
      </c>
      <c r="D536" s="209"/>
      <c r="F536" s="251"/>
      <c r="G536" s="251"/>
      <c r="H536" s="251"/>
      <c r="I536" s="251"/>
      <c r="J536" s="251"/>
      <c r="K536" s="251"/>
      <c r="L536" s="251"/>
      <c r="M536" s="251"/>
      <c r="N536" s="251"/>
      <c r="O536" s="251"/>
      <c r="P536" s="251"/>
      <c r="Q536" s="251"/>
      <c r="R536" s="251"/>
      <c r="S536" s="251"/>
      <c r="T536" s="251"/>
      <c r="U536" s="251"/>
      <c r="V536" s="251"/>
      <c r="W536" s="251"/>
      <c r="X536" s="251"/>
      <c r="Y536" s="251"/>
      <c r="Z536" s="251"/>
      <c r="AA536" s="251"/>
      <c r="AB536" s="251"/>
      <c r="AC536" s="251"/>
      <c r="AD536" s="251"/>
      <c r="AE536" s="251"/>
      <c r="AF536" s="579"/>
      <c r="AG536" s="579"/>
      <c r="AH536" s="579"/>
      <c r="AI536" s="579"/>
      <c r="AJ536" s="579"/>
      <c r="AK536" s="579"/>
      <c r="AL536" s="579"/>
      <c r="AM536" s="579"/>
      <c r="AN536" s="579"/>
      <c r="AO536" s="579"/>
      <c r="AP536" s="579"/>
      <c r="AQ536" s="579"/>
      <c r="AR536" s="579"/>
      <c r="AS536" s="579"/>
      <c r="AT536" s="579"/>
      <c r="AU536" s="579"/>
      <c r="AV536" s="579"/>
      <c r="AW536" s="579"/>
      <c r="AX536" s="579"/>
      <c r="AY536" s="579"/>
      <c r="AZ536" s="579"/>
      <c r="BA536" s="579"/>
      <c r="BB536" s="579"/>
      <c r="BC536" s="579"/>
      <c r="BD536" s="579"/>
      <c r="BE536" s="579"/>
      <c r="BF536" s="579"/>
      <c r="BG536" s="579"/>
      <c r="BH536" s="579"/>
      <c r="BI536" s="579"/>
      <c r="BJ536" s="579"/>
      <c r="BK536" s="579"/>
    </row>
    <row r="537" spans="1:63" s="240" customFormat="1" hidden="1">
      <c r="A537" s="209"/>
      <c r="B537" s="209" t="s">
        <v>1875</v>
      </c>
      <c r="C537" s="209" t="s">
        <v>741</v>
      </c>
      <c r="D537" s="209"/>
      <c r="F537" s="251"/>
      <c r="G537" s="251"/>
      <c r="H537" s="251"/>
      <c r="I537" s="251"/>
      <c r="J537" s="251"/>
      <c r="K537" s="251"/>
      <c r="L537" s="251"/>
      <c r="M537" s="251"/>
      <c r="N537" s="251"/>
      <c r="O537" s="251"/>
      <c r="P537" s="251"/>
      <c r="Q537" s="251"/>
      <c r="R537" s="251"/>
      <c r="S537" s="251"/>
      <c r="T537" s="251"/>
      <c r="U537" s="251"/>
      <c r="V537" s="251"/>
      <c r="W537" s="251"/>
      <c r="X537" s="251"/>
      <c r="Y537" s="251"/>
      <c r="Z537" s="251"/>
      <c r="AA537" s="251"/>
      <c r="AB537" s="251"/>
      <c r="AC537" s="251"/>
      <c r="AD537" s="251"/>
      <c r="AE537" s="251"/>
      <c r="AF537" s="579"/>
      <c r="AG537" s="579"/>
      <c r="AH537" s="579"/>
      <c r="AI537" s="579"/>
      <c r="AJ537" s="579"/>
      <c r="AK537" s="579"/>
      <c r="AL537" s="579"/>
      <c r="AM537" s="579"/>
      <c r="AN537" s="579"/>
      <c r="AO537" s="579"/>
      <c r="AP537" s="579"/>
      <c r="AQ537" s="579"/>
      <c r="AR537" s="579"/>
      <c r="AS537" s="579"/>
      <c r="AT537" s="579"/>
      <c r="AU537" s="579"/>
      <c r="AV537" s="579"/>
      <c r="AW537" s="579"/>
      <c r="AX537" s="579"/>
      <c r="AY537" s="579"/>
      <c r="AZ537" s="579"/>
      <c r="BA537" s="579"/>
      <c r="BB537" s="579"/>
      <c r="BC537" s="579"/>
      <c r="BD537" s="579"/>
      <c r="BE537" s="579"/>
      <c r="BF537" s="579"/>
      <c r="BG537" s="579"/>
      <c r="BH537" s="579"/>
      <c r="BI537" s="579"/>
      <c r="BJ537" s="579"/>
      <c r="BK537" s="579"/>
    </row>
    <row r="538" spans="1:63" s="245" customFormat="1" hidden="1">
      <c r="A538" s="243"/>
      <c r="B538" s="243" t="s">
        <v>1876</v>
      </c>
      <c r="C538" s="250" t="s">
        <v>1877</v>
      </c>
      <c r="D538" s="243"/>
      <c r="F538" s="245">
        <f t="shared" ref="F538:AD538" si="817">SUM(F539:F544)</f>
        <v>0</v>
      </c>
      <c r="G538" s="245">
        <f t="shared" si="817"/>
        <v>0</v>
      </c>
      <c r="H538" s="245">
        <f t="shared" si="817"/>
        <v>0</v>
      </c>
      <c r="I538" s="245">
        <f t="shared" si="817"/>
        <v>0</v>
      </c>
      <c r="J538" s="245">
        <f t="shared" si="817"/>
        <v>0</v>
      </c>
      <c r="K538" s="245">
        <f t="shared" si="817"/>
        <v>0</v>
      </c>
      <c r="L538" s="245">
        <f t="shared" si="817"/>
        <v>0</v>
      </c>
      <c r="M538" s="245">
        <f t="shared" si="817"/>
        <v>0</v>
      </c>
      <c r="N538" s="245">
        <f t="shared" si="817"/>
        <v>0</v>
      </c>
      <c r="O538" s="245">
        <f t="shared" si="817"/>
        <v>0</v>
      </c>
      <c r="P538" s="245">
        <f t="shared" si="817"/>
        <v>0</v>
      </c>
      <c r="Q538" s="245">
        <f t="shared" si="817"/>
        <v>0</v>
      </c>
      <c r="R538" s="245">
        <f t="shared" si="817"/>
        <v>0</v>
      </c>
      <c r="S538" s="245">
        <f t="shared" si="817"/>
        <v>0</v>
      </c>
      <c r="T538" s="245">
        <f t="shared" si="817"/>
        <v>0</v>
      </c>
      <c r="U538" s="245">
        <f t="shared" si="817"/>
        <v>0</v>
      </c>
      <c r="V538" s="245">
        <f t="shared" si="817"/>
        <v>0</v>
      </c>
      <c r="W538" s="245">
        <f t="shared" si="817"/>
        <v>0</v>
      </c>
      <c r="X538" s="245">
        <f t="shared" si="817"/>
        <v>0</v>
      </c>
      <c r="Y538" s="245">
        <f t="shared" si="817"/>
        <v>0</v>
      </c>
      <c r="Z538" s="245">
        <f t="shared" si="817"/>
        <v>0</v>
      </c>
      <c r="AA538" s="245">
        <f t="shared" si="817"/>
        <v>0</v>
      </c>
      <c r="AB538" s="245">
        <f t="shared" si="817"/>
        <v>0</v>
      </c>
      <c r="AC538" s="245">
        <f t="shared" si="817"/>
        <v>0</v>
      </c>
      <c r="AD538" s="245">
        <f t="shared" si="817"/>
        <v>0</v>
      </c>
      <c r="AF538" s="580">
        <f t="shared" ref="AF538:BK538" si="818">SUM(AF539:AF544)</f>
        <v>0</v>
      </c>
      <c r="AG538" s="580">
        <f t="shared" si="818"/>
        <v>0</v>
      </c>
      <c r="AH538" s="580">
        <f t="shared" si="818"/>
        <v>0</v>
      </c>
      <c r="AI538" s="580">
        <f t="shared" si="818"/>
        <v>0</v>
      </c>
      <c r="AJ538" s="580">
        <f t="shared" si="818"/>
        <v>0</v>
      </c>
      <c r="AK538" s="580">
        <f t="shared" si="818"/>
        <v>0</v>
      </c>
      <c r="AL538" s="580">
        <f t="shared" si="818"/>
        <v>0</v>
      </c>
      <c r="AM538" s="580">
        <f>SUM(AM539:AM544)</f>
        <v>0</v>
      </c>
      <c r="AN538" s="580">
        <f>SUM(AN539:AN544)</f>
        <v>0</v>
      </c>
      <c r="AO538" s="580">
        <f t="shared" si="818"/>
        <v>0</v>
      </c>
      <c r="AP538" s="580">
        <f t="shared" si="818"/>
        <v>0</v>
      </c>
      <c r="AQ538" s="580">
        <f t="shared" si="818"/>
        <v>0</v>
      </c>
      <c r="AR538" s="580">
        <f t="shared" si="818"/>
        <v>0</v>
      </c>
      <c r="AS538" s="580">
        <f t="shared" si="818"/>
        <v>0</v>
      </c>
      <c r="AT538" s="580">
        <f t="shared" si="818"/>
        <v>0</v>
      </c>
      <c r="AU538" s="580">
        <f t="shared" si="818"/>
        <v>0</v>
      </c>
      <c r="AV538" s="580">
        <f t="shared" si="818"/>
        <v>0</v>
      </c>
      <c r="AW538" s="580">
        <f t="shared" si="818"/>
        <v>0</v>
      </c>
      <c r="AX538" s="580">
        <f t="shared" si="818"/>
        <v>0</v>
      </c>
      <c r="AY538" s="580">
        <f t="shared" si="818"/>
        <v>0</v>
      </c>
      <c r="AZ538" s="580">
        <f t="shared" si="818"/>
        <v>0</v>
      </c>
      <c r="BA538" s="580">
        <f t="shared" si="818"/>
        <v>0</v>
      </c>
      <c r="BB538" s="580">
        <f t="shared" si="818"/>
        <v>0</v>
      </c>
      <c r="BC538" s="580">
        <f t="shared" si="818"/>
        <v>0</v>
      </c>
      <c r="BD538" s="580">
        <f t="shared" si="818"/>
        <v>0</v>
      </c>
      <c r="BE538" s="580">
        <f t="shared" si="818"/>
        <v>0</v>
      </c>
      <c r="BF538" s="580">
        <f t="shared" si="818"/>
        <v>0</v>
      </c>
      <c r="BG538" s="580">
        <f t="shared" si="818"/>
        <v>0</v>
      </c>
      <c r="BH538" s="580">
        <f t="shared" si="818"/>
        <v>0</v>
      </c>
      <c r="BI538" s="580">
        <f t="shared" si="818"/>
        <v>0</v>
      </c>
      <c r="BJ538" s="580">
        <f t="shared" si="818"/>
        <v>0</v>
      </c>
      <c r="BK538" s="580">
        <f t="shared" si="818"/>
        <v>0</v>
      </c>
    </row>
    <row r="539" spans="1:63" s="240" customFormat="1" hidden="1">
      <c r="A539" s="209"/>
      <c r="B539" s="209" t="s">
        <v>1878</v>
      </c>
      <c r="C539" s="209" t="s">
        <v>84</v>
      </c>
      <c r="D539" s="209"/>
      <c r="F539" s="251"/>
      <c r="G539" s="251"/>
      <c r="H539" s="251"/>
      <c r="I539" s="251"/>
      <c r="J539" s="251"/>
      <c r="K539" s="251"/>
      <c r="L539" s="251"/>
      <c r="M539" s="251"/>
      <c r="N539" s="251"/>
      <c r="O539" s="251"/>
      <c r="P539" s="251"/>
      <c r="Q539" s="251"/>
      <c r="R539" s="251"/>
      <c r="S539" s="251"/>
      <c r="T539" s="251"/>
      <c r="U539" s="251"/>
      <c r="V539" s="251"/>
      <c r="W539" s="251"/>
      <c r="X539" s="251"/>
      <c r="Y539" s="251"/>
      <c r="Z539" s="251"/>
      <c r="AA539" s="251"/>
      <c r="AB539" s="251"/>
      <c r="AC539" s="251"/>
      <c r="AD539" s="251"/>
      <c r="AE539" s="251"/>
      <c r="AF539" s="579"/>
      <c r="AG539" s="579"/>
      <c r="AH539" s="579"/>
      <c r="AI539" s="579"/>
      <c r="AJ539" s="579"/>
      <c r="AK539" s="579"/>
      <c r="AL539" s="579"/>
      <c r="AM539" s="579"/>
      <c r="AN539" s="579"/>
      <c r="AO539" s="579"/>
      <c r="AP539" s="579"/>
      <c r="AQ539" s="579"/>
      <c r="AR539" s="579"/>
      <c r="AS539" s="579"/>
      <c r="AT539" s="579"/>
      <c r="AU539" s="579"/>
      <c r="AV539" s="579"/>
      <c r="AW539" s="579"/>
      <c r="AX539" s="579"/>
      <c r="AY539" s="579"/>
      <c r="AZ539" s="579"/>
      <c r="BA539" s="579"/>
      <c r="BB539" s="579"/>
      <c r="BC539" s="579"/>
      <c r="BD539" s="579"/>
      <c r="BE539" s="579"/>
      <c r="BF539" s="579"/>
      <c r="BG539" s="579"/>
      <c r="BH539" s="579"/>
      <c r="BI539" s="579"/>
      <c r="BJ539" s="579"/>
      <c r="BK539" s="579"/>
    </row>
    <row r="540" spans="1:63" s="240" customFormat="1" hidden="1">
      <c r="A540" s="209"/>
      <c r="B540" s="209" t="s">
        <v>1879</v>
      </c>
      <c r="C540" s="209" t="s">
        <v>1869</v>
      </c>
      <c r="D540" s="209"/>
      <c r="F540" s="251"/>
      <c r="G540" s="251"/>
      <c r="H540" s="251"/>
      <c r="I540" s="251"/>
      <c r="J540" s="251"/>
      <c r="K540" s="251"/>
      <c r="L540" s="251"/>
      <c r="M540" s="251"/>
      <c r="N540" s="251"/>
      <c r="O540" s="251"/>
      <c r="P540" s="251"/>
      <c r="Q540" s="251"/>
      <c r="R540" s="251"/>
      <c r="S540" s="251"/>
      <c r="T540" s="251"/>
      <c r="U540" s="251"/>
      <c r="V540" s="251"/>
      <c r="W540" s="251"/>
      <c r="X540" s="251"/>
      <c r="Y540" s="251"/>
      <c r="Z540" s="251"/>
      <c r="AA540" s="251"/>
      <c r="AB540" s="251"/>
      <c r="AC540" s="251"/>
      <c r="AD540" s="251"/>
      <c r="AE540" s="251"/>
      <c r="AF540" s="579"/>
      <c r="AG540" s="579"/>
      <c r="AH540" s="579"/>
      <c r="AI540" s="579"/>
      <c r="AJ540" s="579"/>
      <c r="AK540" s="579"/>
      <c r="AL540" s="579"/>
      <c r="AM540" s="579"/>
      <c r="AN540" s="579"/>
      <c r="AO540" s="579"/>
      <c r="AP540" s="579"/>
      <c r="AQ540" s="579"/>
      <c r="AR540" s="579"/>
      <c r="AS540" s="579"/>
      <c r="AT540" s="579"/>
      <c r="AU540" s="579"/>
      <c r="AV540" s="579"/>
      <c r="AW540" s="579"/>
      <c r="AX540" s="579"/>
      <c r="AY540" s="579"/>
      <c r="AZ540" s="579"/>
      <c r="BA540" s="579"/>
      <c r="BB540" s="579"/>
      <c r="BC540" s="579"/>
      <c r="BD540" s="579"/>
      <c r="BE540" s="579"/>
      <c r="BF540" s="579"/>
      <c r="BG540" s="579"/>
      <c r="BH540" s="579"/>
      <c r="BI540" s="579"/>
      <c r="BJ540" s="579"/>
      <c r="BK540" s="579"/>
    </row>
    <row r="541" spans="1:63" s="240" customFormat="1" hidden="1">
      <c r="A541" s="209"/>
      <c r="B541" s="209" t="s">
        <v>1880</v>
      </c>
      <c r="C541" s="209" t="s">
        <v>1089</v>
      </c>
      <c r="D541" s="209"/>
      <c r="F541" s="251"/>
      <c r="G541" s="251"/>
      <c r="H541" s="251"/>
      <c r="I541" s="251"/>
      <c r="J541" s="251"/>
      <c r="K541" s="251"/>
      <c r="L541" s="251"/>
      <c r="M541" s="251"/>
      <c r="N541" s="251"/>
      <c r="O541" s="251"/>
      <c r="P541" s="251"/>
      <c r="Q541" s="251"/>
      <c r="R541" s="251"/>
      <c r="S541" s="251"/>
      <c r="T541" s="251"/>
      <c r="U541" s="251"/>
      <c r="V541" s="251"/>
      <c r="W541" s="251"/>
      <c r="X541" s="251"/>
      <c r="Y541" s="251"/>
      <c r="Z541" s="251"/>
      <c r="AA541" s="251"/>
      <c r="AB541" s="251"/>
      <c r="AC541" s="251"/>
      <c r="AD541" s="251"/>
      <c r="AE541" s="251"/>
      <c r="AF541" s="579"/>
      <c r="AG541" s="579"/>
      <c r="AH541" s="579"/>
      <c r="AI541" s="579"/>
      <c r="AJ541" s="579"/>
      <c r="AK541" s="579"/>
      <c r="AL541" s="579"/>
      <c r="AM541" s="579"/>
      <c r="AN541" s="579"/>
      <c r="AO541" s="579"/>
      <c r="AP541" s="579"/>
      <c r="AQ541" s="579"/>
      <c r="AR541" s="579"/>
      <c r="AS541" s="579"/>
      <c r="AT541" s="579"/>
      <c r="AU541" s="579"/>
      <c r="AV541" s="579"/>
      <c r="AW541" s="579"/>
      <c r="AX541" s="579"/>
      <c r="AY541" s="579"/>
      <c r="AZ541" s="579"/>
      <c r="BA541" s="579"/>
      <c r="BB541" s="579"/>
      <c r="BC541" s="579"/>
      <c r="BD541" s="579"/>
      <c r="BE541" s="579"/>
      <c r="BF541" s="579"/>
      <c r="BG541" s="579"/>
      <c r="BH541" s="579"/>
      <c r="BI541" s="579"/>
      <c r="BJ541" s="579"/>
      <c r="BK541" s="579"/>
    </row>
    <row r="542" spans="1:63" s="240" customFormat="1" hidden="1">
      <c r="A542" s="209"/>
      <c r="B542" s="209" t="s">
        <v>1881</v>
      </c>
      <c r="C542" s="209" t="s">
        <v>1091</v>
      </c>
      <c r="D542" s="209"/>
      <c r="F542" s="251"/>
      <c r="G542" s="251"/>
      <c r="H542" s="251"/>
      <c r="I542" s="251"/>
      <c r="J542" s="251"/>
      <c r="K542" s="251"/>
      <c r="L542" s="251"/>
      <c r="M542" s="251"/>
      <c r="N542" s="251"/>
      <c r="O542" s="251"/>
      <c r="P542" s="251"/>
      <c r="Q542" s="251"/>
      <c r="R542" s="251"/>
      <c r="S542" s="251"/>
      <c r="T542" s="251"/>
      <c r="U542" s="251"/>
      <c r="V542" s="251"/>
      <c r="W542" s="251"/>
      <c r="X542" s="251"/>
      <c r="Y542" s="251"/>
      <c r="Z542" s="251"/>
      <c r="AA542" s="251"/>
      <c r="AB542" s="251"/>
      <c r="AC542" s="251"/>
      <c r="AD542" s="251"/>
      <c r="AE542" s="251"/>
      <c r="AF542" s="579"/>
      <c r="AG542" s="579"/>
      <c r="AH542" s="579"/>
      <c r="AI542" s="579"/>
      <c r="AJ542" s="579"/>
      <c r="AK542" s="579"/>
      <c r="AL542" s="579"/>
      <c r="AM542" s="579"/>
      <c r="AN542" s="579"/>
      <c r="AO542" s="579"/>
      <c r="AP542" s="579"/>
      <c r="AQ542" s="579"/>
      <c r="AR542" s="579"/>
      <c r="AS542" s="579"/>
      <c r="AT542" s="579"/>
      <c r="AU542" s="579"/>
      <c r="AV542" s="579"/>
      <c r="AW542" s="579"/>
      <c r="AX542" s="579"/>
      <c r="AY542" s="579"/>
      <c r="AZ542" s="579"/>
      <c r="BA542" s="579"/>
      <c r="BB542" s="579"/>
      <c r="BC542" s="579"/>
      <c r="BD542" s="579"/>
      <c r="BE542" s="579"/>
      <c r="BF542" s="579"/>
      <c r="BG542" s="579"/>
      <c r="BH542" s="579"/>
      <c r="BI542" s="579"/>
      <c r="BJ542" s="579"/>
      <c r="BK542" s="579"/>
    </row>
    <row r="543" spans="1:63" s="240" customFormat="1" hidden="1">
      <c r="A543" s="209"/>
      <c r="B543" s="209" t="s">
        <v>1882</v>
      </c>
      <c r="C543" s="209" t="s">
        <v>1095</v>
      </c>
      <c r="D543" s="209"/>
      <c r="F543" s="251"/>
      <c r="G543" s="251"/>
      <c r="H543" s="251"/>
      <c r="I543" s="251"/>
      <c r="J543" s="251"/>
      <c r="K543" s="251"/>
      <c r="L543" s="251"/>
      <c r="M543" s="251"/>
      <c r="N543" s="251"/>
      <c r="O543" s="251"/>
      <c r="P543" s="251"/>
      <c r="Q543" s="251"/>
      <c r="R543" s="251"/>
      <c r="S543" s="251"/>
      <c r="T543" s="251"/>
      <c r="U543" s="251"/>
      <c r="V543" s="251"/>
      <c r="W543" s="251"/>
      <c r="X543" s="251"/>
      <c r="Y543" s="251"/>
      <c r="Z543" s="251"/>
      <c r="AA543" s="251"/>
      <c r="AB543" s="251"/>
      <c r="AC543" s="251"/>
      <c r="AD543" s="251"/>
      <c r="AE543" s="251"/>
      <c r="AF543" s="579"/>
      <c r="AG543" s="579"/>
      <c r="AH543" s="579"/>
      <c r="AI543" s="579"/>
      <c r="AJ543" s="579"/>
      <c r="AK543" s="579"/>
      <c r="AL543" s="579"/>
      <c r="AM543" s="579"/>
      <c r="AN543" s="579"/>
      <c r="AO543" s="579"/>
      <c r="AP543" s="579"/>
      <c r="AQ543" s="579"/>
      <c r="AR543" s="579"/>
      <c r="AS543" s="579"/>
      <c r="AT543" s="579"/>
      <c r="AU543" s="579"/>
      <c r="AV543" s="579"/>
      <c r="AW543" s="579"/>
      <c r="AX543" s="579"/>
      <c r="AY543" s="579"/>
      <c r="AZ543" s="579"/>
      <c r="BA543" s="579"/>
      <c r="BB543" s="579"/>
      <c r="BC543" s="579"/>
      <c r="BD543" s="579"/>
      <c r="BE543" s="579"/>
      <c r="BF543" s="579"/>
      <c r="BG543" s="579"/>
      <c r="BH543" s="579"/>
      <c r="BI543" s="579"/>
      <c r="BJ543" s="579"/>
      <c r="BK543" s="579"/>
    </row>
    <row r="544" spans="1:63" s="240" customFormat="1" hidden="1">
      <c r="A544" s="209"/>
      <c r="B544" s="209" t="s">
        <v>1883</v>
      </c>
      <c r="C544" s="209" t="s">
        <v>741</v>
      </c>
      <c r="D544" s="209"/>
      <c r="F544" s="251"/>
      <c r="G544" s="251"/>
      <c r="H544" s="251"/>
      <c r="I544" s="251"/>
      <c r="J544" s="251"/>
      <c r="K544" s="251"/>
      <c r="L544" s="251"/>
      <c r="M544" s="251"/>
      <c r="N544" s="251"/>
      <c r="O544" s="251"/>
      <c r="P544" s="251"/>
      <c r="Q544" s="251"/>
      <c r="R544" s="251"/>
      <c r="S544" s="251"/>
      <c r="T544" s="251"/>
      <c r="U544" s="251"/>
      <c r="V544" s="251"/>
      <c r="W544" s="251"/>
      <c r="X544" s="251"/>
      <c r="Y544" s="251"/>
      <c r="Z544" s="251"/>
      <c r="AA544" s="251"/>
      <c r="AB544" s="251"/>
      <c r="AC544" s="251"/>
      <c r="AD544" s="251"/>
      <c r="AE544" s="251"/>
      <c r="AF544" s="579"/>
      <c r="AG544" s="579"/>
      <c r="AH544" s="579"/>
      <c r="AI544" s="579"/>
      <c r="AJ544" s="579"/>
      <c r="AK544" s="579"/>
      <c r="AL544" s="579"/>
      <c r="AM544" s="579"/>
      <c r="AN544" s="579"/>
      <c r="AO544" s="579"/>
      <c r="AP544" s="579"/>
      <c r="AQ544" s="579"/>
      <c r="AR544" s="579"/>
      <c r="AS544" s="579"/>
      <c r="AT544" s="579"/>
      <c r="AU544" s="579"/>
      <c r="AV544" s="579"/>
      <c r="AW544" s="579"/>
      <c r="AX544" s="579"/>
      <c r="AY544" s="579"/>
      <c r="AZ544" s="579"/>
      <c r="BA544" s="579"/>
      <c r="BB544" s="579"/>
      <c r="BC544" s="579"/>
      <c r="BD544" s="579"/>
      <c r="BE544" s="579"/>
      <c r="BF544" s="579"/>
      <c r="BG544" s="579"/>
      <c r="BH544" s="579"/>
      <c r="BI544" s="579"/>
      <c r="BJ544" s="579"/>
      <c r="BK544" s="579"/>
    </row>
    <row r="545" spans="1:63" s="245" customFormat="1" hidden="1">
      <c r="A545" s="243"/>
      <c r="B545" s="243" t="s">
        <v>1884</v>
      </c>
      <c r="C545" s="250" t="s">
        <v>1885</v>
      </c>
      <c r="D545" s="243"/>
      <c r="F545" s="245">
        <f t="shared" ref="F545:AD545" si="819">F538+F530</f>
        <v>0</v>
      </c>
      <c r="G545" s="245">
        <f t="shared" si="819"/>
        <v>0</v>
      </c>
      <c r="H545" s="245">
        <f t="shared" si="819"/>
        <v>0</v>
      </c>
      <c r="I545" s="245">
        <f t="shared" si="819"/>
        <v>0</v>
      </c>
      <c r="J545" s="245">
        <f t="shared" si="819"/>
        <v>0</v>
      </c>
      <c r="K545" s="245">
        <f t="shared" si="819"/>
        <v>0</v>
      </c>
      <c r="L545" s="245">
        <f t="shared" si="819"/>
        <v>0</v>
      </c>
      <c r="M545" s="245">
        <f t="shared" si="819"/>
        <v>0</v>
      </c>
      <c r="N545" s="245">
        <f t="shared" si="819"/>
        <v>0</v>
      </c>
      <c r="O545" s="245">
        <f t="shared" si="819"/>
        <v>0</v>
      </c>
      <c r="P545" s="245">
        <f t="shared" si="819"/>
        <v>0</v>
      </c>
      <c r="Q545" s="245">
        <f t="shared" si="819"/>
        <v>0</v>
      </c>
      <c r="R545" s="245">
        <f t="shared" si="819"/>
        <v>0</v>
      </c>
      <c r="S545" s="245">
        <f t="shared" si="819"/>
        <v>0</v>
      </c>
      <c r="T545" s="245">
        <f t="shared" si="819"/>
        <v>0</v>
      </c>
      <c r="U545" s="245">
        <f t="shared" si="819"/>
        <v>0</v>
      </c>
      <c r="V545" s="245">
        <f t="shared" si="819"/>
        <v>0</v>
      </c>
      <c r="W545" s="245">
        <f t="shared" si="819"/>
        <v>0</v>
      </c>
      <c r="X545" s="245">
        <f t="shared" si="819"/>
        <v>0</v>
      </c>
      <c r="Y545" s="245">
        <f t="shared" si="819"/>
        <v>0</v>
      </c>
      <c r="Z545" s="245">
        <f t="shared" si="819"/>
        <v>0</v>
      </c>
      <c r="AA545" s="245">
        <f t="shared" si="819"/>
        <v>0</v>
      </c>
      <c r="AB545" s="245">
        <f t="shared" si="819"/>
        <v>0</v>
      </c>
      <c r="AC545" s="245">
        <f t="shared" si="819"/>
        <v>0</v>
      </c>
      <c r="AD545" s="245">
        <f t="shared" si="819"/>
        <v>0</v>
      </c>
      <c r="AF545" s="580">
        <f t="shared" ref="AF545:BK545" si="820">AF538+AF530</f>
        <v>0</v>
      </c>
      <c r="AG545" s="580">
        <f t="shared" si="820"/>
        <v>0</v>
      </c>
      <c r="AH545" s="580">
        <f t="shared" si="820"/>
        <v>0</v>
      </c>
      <c r="AI545" s="580">
        <f t="shared" si="820"/>
        <v>0</v>
      </c>
      <c r="AJ545" s="580">
        <f t="shared" si="820"/>
        <v>0</v>
      </c>
      <c r="AK545" s="580">
        <f t="shared" si="820"/>
        <v>0</v>
      </c>
      <c r="AL545" s="580">
        <f t="shared" si="820"/>
        <v>0</v>
      </c>
      <c r="AM545" s="580">
        <f>AM538+AM530</f>
        <v>0</v>
      </c>
      <c r="AN545" s="580">
        <f>AN538+AN530</f>
        <v>0</v>
      </c>
      <c r="AO545" s="580">
        <f t="shared" si="820"/>
        <v>0</v>
      </c>
      <c r="AP545" s="580">
        <f t="shared" si="820"/>
        <v>0</v>
      </c>
      <c r="AQ545" s="580">
        <f t="shared" si="820"/>
        <v>0</v>
      </c>
      <c r="AR545" s="580">
        <f t="shared" si="820"/>
        <v>0</v>
      </c>
      <c r="AS545" s="580">
        <f t="shared" si="820"/>
        <v>0</v>
      </c>
      <c r="AT545" s="580">
        <f t="shared" si="820"/>
        <v>0</v>
      </c>
      <c r="AU545" s="580">
        <f t="shared" si="820"/>
        <v>0</v>
      </c>
      <c r="AV545" s="580">
        <f t="shared" si="820"/>
        <v>0</v>
      </c>
      <c r="AW545" s="580">
        <f t="shared" si="820"/>
        <v>0</v>
      </c>
      <c r="AX545" s="580">
        <f t="shared" si="820"/>
        <v>0</v>
      </c>
      <c r="AY545" s="580">
        <f t="shared" si="820"/>
        <v>0</v>
      </c>
      <c r="AZ545" s="580">
        <f t="shared" si="820"/>
        <v>0</v>
      </c>
      <c r="BA545" s="580">
        <f t="shared" si="820"/>
        <v>0</v>
      </c>
      <c r="BB545" s="580">
        <f t="shared" si="820"/>
        <v>0</v>
      </c>
      <c r="BC545" s="580">
        <f t="shared" si="820"/>
        <v>0</v>
      </c>
      <c r="BD545" s="580">
        <f t="shared" si="820"/>
        <v>0</v>
      </c>
      <c r="BE545" s="580">
        <f t="shared" si="820"/>
        <v>0</v>
      </c>
      <c r="BF545" s="580">
        <f t="shared" si="820"/>
        <v>0</v>
      </c>
      <c r="BG545" s="580">
        <f t="shared" si="820"/>
        <v>0</v>
      </c>
      <c r="BH545" s="580">
        <f t="shared" si="820"/>
        <v>0</v>
      </c>
      <c r="BI545" s="580">
        <f t="shared" si="820"/>
        <v>0</v>
      </c>
      <c r="BJ545" s="580">
        <f t="shared" si="820"/>
        <v>0</v>
      </c>
      <c r="BK545" s="580">
        <f t="shared" si="820"/>
        <v>0</v>
      </c>
    </row>
    <row r="546" spans="1:63" s="245" customFormat="1" hidden="1">
      <c r="A546" s="243"/>
      <c r="B546" s="243" t="s">
        <v>1886</v>
      </c>
      <c r="C546" s="250" t="s">
        <v>1887</v>
      </c>
      <c r="D546" s="243"/>
      <c r="F546" s="245">
        <f t="shared" ref="F546:AD546" si="821">F547+F548</f>
        <v>0</v>
      </c>
      <c r="G546" s="245">
        <f t="shared" si="821"/>
        <v>0</v>
      </c>
      <c r="H546" s="245">
        <f t="shared" si="821"/>
        <v>0</v>
      </c>
      <c r="I546" s="245">
        <f t="shared" si="821"/>
        <v>0</v>
      </c>
      <c r="J546" s="245">
        <f t="shared" si="821"/>
        <v>0</v>
      </c>
      <c r="K546" s="245">
        <f t="shared" si="821"/>
        <v>0</v>
      </c>
      <c r="L546" s="245">
        <f t="shared" si="821"/>
        <v>0</v>
      </c>
      <c r="M546" s="245">
        <f t="shared" si="821"/>
        <v>0</v>
      </c>
      <c r="N546" s="245">
        <f t="shared" si="821"/>
        <v>0</v>
      </c>
      <c r="O546" s="245">
        <f t="shared" si="821"/>
        <v>0</v>
      </c>
      <c r="P546" s="245">
        <f t="shared" si="821"/>
        <v>0</v>
      </c>
      <c r="Q546" s="245">
        <f t="shared" si="821"/>
        <v>0</v>
      </c>
      <c r="R546" s="245">
        <f t="shared" si="821"/>
        <v>0</v>
      </c>
      <c r="S546" s="245">
        <f t="shared" si="821"/>
        <v>0</v>
      </c>
      <c r="T546" s="245">
        <f t="shared" si="821"/>
        <v>0</v>
      </c>
      <c r="U546" s="245">
        <f t="shared" si="821"/>
        <v>0</v>
      </c>
      <c r="V546" s="245">
        <f t="shared" si="821"/>
        <v>0</v>
      </c>
      <c r="W546" s="245">
        <f t="shared" si="821"/>
        <v>0</v>
      </c>
      <c r="X546" s="245">
        <f t="shared" si="821"/>
        <v>0</v>
      </c>
      <c r="Y546" s="245">
        <f t="shared" si="821"/>
        <v>0</v>
      </c>
      <c r="Z546" s="245">
        <f t="shared" si="821"/>
        <v>0</v>
      </c>
      <c r="AA546" s="245">
        <f t="shared" si="821"/>
        <v>0</v>
      </c>
      <c r="AB546" s="245">
        <f t="shared" si="821"/>
        <v>0</v>
      </c>
      <c r="AC546" s="245">
        <f t="shared" si="821"/>
        <v>0</v>
      </c>
      <c r="AD546" s="245">
        <f t="shared" si="821"/>
        <v>0</v>
      </c>
      <c r="AF546" s="580">
        <f t="shared" ref="AF546:BK546" si="822">AF547+AF548</f>
        <v>0</v>
      </c>
      <c r="AG546" s="580">
        <f t="shared" si="822"/>
        <v>0</v>
      </c>
      <c r="AH546" s="580">
        <f t="shared" si="822"/>
        <v>0</v>
      </c>
      <c r="AI546" s="580">
        <f t="shared" si="822"/>
        <v>0</v>
      </c>
      <c r="AJ546" s="580">
        <f t="shared" si="822"/>
        <v>0</v>
      </c>
      <c r="AK546" s="580">
        <f t="shared" si="822"/>
        <v>0</v>
      </c>
      <c r="AL546" s="580">
        <f t="shared" si="822"/>
        <v>0</v>
      </c>
      <c r="AM546" s="580">
        <f>AM547+AM548</f>
        <v>0</v>
      </c>
      <c r="AN546" s="580">
        <f>AN547+AN548</f>
        <v>0</v>
      </c>
      <c r="AO546" s="580">
        <f t="shared" si="822"/>
        <v>0</v>
      </c>
      <c r="AP546" s="580">
        <f t="shared" si="822"/>
        <v>0</v>
      </c>
      <c r="AQ546" s="580">
        <f t="shared" si="822"/>
        <v>0</v>
      </c>
      <c r="AR546" s="580">
        <f t="shared" si="822"/>
        <v>0</v>
      </c>
      <c r="AS546" s="580">
        <f t="shared" si="822"/>
        <v>0</v>
      </c>
      <c r="AT546" s="580">
        <f t="shared" si="822"/>
        <v>0</v>
      </c>
      <c r="AU546" s="580">
        <f t="shared" si="822"/>
        <v>0</v>
      </c>
      <c r="AV546" s="580">
        <f t="shared" si="822"/>
        <v>0</v>
      </c>
      <c r="AW546" s="580">
        <f t="shared" si="822"/>
        <v>0</v>
      </c>
      <c r="AX546" s="580">
        <f t="shared" si="822"/>
        <v>0</v>
      </c>
      <c r="AY546" s="580">
        <f t="shared" si="822"/>
        <v>0</v>
      </c>
      <c r="AZ546" s="580">
        <f t="shared" si="822"/>
        <v>0</v>
      </c>
      <c r="BA546" s="580">
        <f t="shared" si="822"/>
        <v>0</v>
      </c>
      <c r="BB546" s="580">
        <f t="shared" si="822"/>
        <v>0</v>
      </c>
      <c r="BC546" s="580">
        <f t="shared" si="822"/>
        <v>0</v>
      </c>
      <c r="BD546" s="580">
        <f t="shared" si="822"/>
        <v>0</v>
      </c>
      <c r="BE546" s="580">
        <f t="shared" si="822"/>
        <v>0</v>
      </c>
      <c r="BF546" s="580">
        <f t="shared" si="822"/>
        <v>0</v>
      </c>
      <c r="BG546" s="580">
        <f t="shared" si="822"/>
        <v>0</v>
      </c>
      <c r="BH546" s="580">
        <f t="shared" si="822"/>
        <v>0</v>
      </c>
      <c r="BI546" s="580">
        <f t="shared" si="822"/>
        <v>0</v>
      </c>
      <c r="BJ546" s="580">
        <f t="shared" si="822"/>
        <v>0</v>
      </c>
      <c r="BK546" s="580">
        <f t="shared" si="822"/>
        <v>0</v>
      </c>
    </row>
    <row r="547" spans="1:63" s="240" customFormat="1" hidden="1">
      <c r="A547" s="209"/>
      <c r="B547" s="209" t="s">
        <v>1888</v>
      </c>
      <c r="C547" s="209" t="s">
        <v>1889</v>
      </c>
      <c r="D547" s="209"/>
      <c r="F547" s="251"/>
      <c r="G547" s="251"/>
      <c r="H547" s="251"/>
      <c r="I547" s="251"/>
      <c r="J547" s="251"/>
      <c r="K547" s="251"/>
      <c r="L547" s="251"/>
      <c r="M547" s="251"/>
      <c r="N547" s="251"/>
      <c r="O547" s="251"/>
      <c r="P547" s="251"/>
      <c r="Q547" s="251"/>
      <c r="R547" s="251"/>
      <c r="S547" s="251"/>
      <c r="T547" s="251"/>
      <c r="U547" s="251"/>
      <c r="V547" s="251"/>
      <c r="W547" s="251"/>
      <c r="X547" s="251"/>
      <c r="Y547" s="251"/>
      <c r="Z547" s="251"/>
      <c r="AA547" s="251"/>
      <c r="AB547" s="251"/>
      <c r="AC547" s="251"/>
      <c r="AD547" s="251"/>
      <c r="AE547" s="251"/>
      <c r="AF547" s="579"/>
      <c r="AG547" s="579"/>
      <c r="AH547" s="579"/>
      <c r="AI547" s="579"/>
      <c r="AJ547" s="579"/>
      <c r="AK547" s="579"/>
      <c r="AL547" s="579"/>
      <c r="AM547" s="579"/>
      <c r="AN547" s="579"/>
      <c r="AO547" s="579"/>
      <c r="AP547" s="579"/>
      <c r="AQ547" s="579"/>
      <c r="AR547" s="579"/>
      <c r="AS547" s="579"/>
      <c r="AT547" s="579"/>
      <c r="AU547" s="579"/>
      <c r="AV547" s="579"/>
      <c r="AW547" s="579"/>
      <c r="AX547" s="579"/>
      <c r="AY547" s="579"/>
      <c r="AZ547" s="579"/>
      <c r="BA547" s="579"/>
      <c r="BB547" s="579"/>
      <c r="BC547" s="579"/>
      <c r="BD547" s="579"/>
      <c r="BE547" s="579"/>
      <c r="BF547" s="579"/>
      <c r="BG547" s="579"/>
      <c r="BH547" s="579"/>
      <c r="BI547" s="579"/>
      <c r="BJ547" s="579"/>
      <c r="BK547" s="579"/>
    </row>
    <row r="548" spans="1:63" s="240" customFormat="1" hidden="1">
      <c r="A548" s="209"/>
      <c r="B548" s="209" t="s">
        <v>1890</v>
      </c>
      <c r="C548" s="209" t="s">
        <v>1891</v>
      </c>
      <c r="D548" s="209"/>
      <c r="F548" s="251"/>
      <c r="G548" s="251"/>
      <c r="H548" s="251"/>
      <c r="I548" s="251"/>
      <c r="J548" s="251"/>
      <c r="K548" s="251"/>
      <c r="L548" s="251"/>
      <c r="M548" s="251"/>
      <c r="N548" s="251"/>
      <c r="O548" s="251"/>
      <c r="P548" s="251"/>
      <c r="Q548" s="251"/>
      <c r="R548" s="251"/>
      <c r="S548" s="251"/>
      <c r="T548" s="251"/>
      <c r="U548" s="251"/>
      <c r="V548" s="251"/>
      <c r="W548" s="251"/>
      <c r="X548" s="251"/>
      <c r="Y548" s="251"/>
      <c r="Z548" s="251"/>
      <c r="AA548" s="251"/>
      <c r="AB548" s="251"/>
      <c r="AC548" s="251"/>
      <c r="AD548" s="251"/>
      <c r="AE548" s="251"/>
      <c r="AF548" s="579"/>
      <c r="AG548" s="579"/>
      <c r="AH548" s="579"/>
      <c r="AI548" s="579"/>
      <c r="AJ548" s="579"/>
      <c r="AK548" s="579"/>
      <c r="AL548" s="579"/>
      <c r="AM548" s="579"/>
      <c r="AN548" s="579"/>
      <c r="AO548" s="579"/>
      <c r="AP548" s="579"/>
      <c r="AQ548" s="579"/>
      <c r="AR548" s="579"/>
      <c r="AS548" s="579"/>
      <c r="AT548" s="579"/>
      <c r="AU548" s="579"/>
      <c r="AV548" s="579"/>
      <c r="AW548" s="579"/>
      <c r="AX548" s="579"/>
      <c r="AY548" s="579"/>
      <c r="AZ548" s="579"/>
      <c r="BA548" s="579"/>
      <c r="BB548" s="579"/>
      <c r="BC548" s="579"/>
      <c r="BD548" s="579"/>
      <c r="BE548" s="579"/>
      <c r="BF548" s="579"/>
      <c r="BG548" s="579"/>
      <c r="BH548" s="579"/>
      <c r="BI548" s="579"/>
      <c r="BJ548" s="579"/>
      <c r="BK548" s="579"/>
    </row>
    <row r="549" spans="1:63" s="245" customFormat="1" hidden="1">
      <c r="A549" s="243"/>
      <c r="B549" s="243" t="s">
        <v>1892</v>
      </c>
      <c r="C549" s="250" t="s">
        <v>1122</v>
      </c>
      <c r="D549" s="243"/>
      <c r="F549" s="245">
        <f t="shared" ref="F549:AD549" si="823">F527+F529+F545+F546</f>
        <v>0</v>
      </c>
      <c r="G549" s="245">
        <f t="shared" si="823"/>
        <v>0</v>
      </c>
      <c r="H549" s="245">
        <f t="shared" si="823"/>
        <v>0</v>
      </c>
      <c r="I549" s="245">
        <f t="shared" si="823"/>
        <v>0</v>
      </c>
      <c r="J549" s="245">
        <f t="shared" si="823"/>
        <v>0</v>
      </c>
      <c r="K549" s="245">
        <f t="shared" si="823"/>
        <v>0</v>
      </c>
      <c r="L549" s="245">
        <f t="shared" si="823"/>
        <v>0</v>
      </c>
      <c r="M549" s="245">
        <f t="shared" si="823"/>
        <v>0</v>
      </c>
      <c r="N549" s="245">
        <f t="shared" si="823"/>
        <v>0</v>
      </c>
      <c r="O549" s="245">
        <f t="shared" si="823"/>
        <v>0</v>
      </c>
      <c r="P549" s="245">
        <f t="shared" si="823"/>
        <v>0</v>
      </c>
      <c r="Q549" s="245">
        <f t="shared" si="823"/>
        <v>0</v>
      </c>
      <c r="R549" s="245">
        <f t="shared" si="823"/>
        <v>0</v>
      </c>
      <c r="S549" s="245">
        <f t="shared" si="823"/>
        <v>0</v>
      </c>
      <c r="T549" s="245">
        <f t="shared" si="823"/>
        <v>0</v>
      </c>
      <c r="U549" s="245">
        <f t="shared" si="823"/>
        <v>0</v>
      </c>
      <c r="V549" s="245">
        <f t="shared" si="823"/>
        <v>0</v>
      </c>
      <c r="W549" s="245">
        <f t="shared" si="823"/>
        <v>0</v>
      </c>
      <c r="X549" s="245">
        <f t="shared" si="823"/>
        <v>0</v>
      </c>
      <c r="Y549" s="245">
        <f t="shared" si="823"/>
        <v>0</v>
      </c>
      <c r="Z549" s="245">
        <f t="shared" si="823"/>
        <v>0</v>
      </c>
      <c r="AA549" s="245">
        <f t="shared" si="823"/>
        <v>0</v>
      </c>
      <c r="AB549" s="245">
        <f t="shared" si="823"/>
        <v>0</v>
      </c>
      <c r="AC549" s="245">
        <f t="shared" si="823"/>
        <v>0</v>
      </c>
      <c r="AD549" s="245">
        <f t="shared" si="823"/>
        <v>0</v>
      </c>
      <c r="AF549" s="580">
        <f t="shared" ref="AF549:BK549" si="824">AF527+AF529+AF545+AF546</f>
        <v>0</v>
      </c>
      <c r="AG549" s="580">
        <f t="shared" si="824"/>
        <v>0</v>
      </c>
      <c r="AH549" s="580">
        <f t="shared" si="824"/>
        <v>0</v>
      </c>
      <c r="AI549" s="580">
        <f t="shared" si="824"/>
        <v>0</v>
      </c>
      <c r="AJ549" s="580">
        <f t="shared" si="824"/>
        <v>0</v>
      </c>
      <c r="AK549" s="580">
        <f t="shared" si="824"/>
        <v>0</v>
      </c>
      <c r="AL549" s="580">
        <f t="shared" si="824"/>
        <v>0</v>
      </c>
      <c r="AM549" s="580">
        <f>AM527+AM529+AM545+AM546</f>
        <v>0</v>
      </c>
      <c r="AN549" s="580">
        <f>AN527+AN529+AN545+AN546</f>
        <v>0</v>
      </c>
      <c r="AO549" s="580">
        <f t="shared" si="824"/>
        <v>0</v>
      </c>
      <c r="AP549" s="580">
        <f t="shared" si="824"/>
        <v>0</v>
      </c>
      <c r="AQ549" s="580">
        <f t="shared" si="824"/>
        <v>0</v>
      </c>
      <c r="AR549" s="580">
        <f t="shared" si="824"/>
        <v>0</v>
      </c>
      <c r="AS549" s="580">
        <f t="shared" si="824"/>
        <v>0</v>
      </c>
      <c r="AT549" s="580">
        <f t="shared" si="824"/>
        <v>0</v>
      </c>
      <c r="AU549" s="580">
        <f t="shared" si="824"/>
        <v>0</v>
      </c>
      <c r="AV549" s="580">
        <f t="shared" si="824"/>
        <v>0</v>
      </c>
      <c r="AW549" s="580">
        <f t="shared" si="824"/>
        <v>0</v>
      </c>
      <c r="AX549" s="580">
        <f t="shared" si="824"/>
        <v>0</v>
      </c>
      <c r="AY549" s="580">
        <f t="shared" si="824"/>
        <v>0</v>
      </c>
      <c r="AZ549" s="580">
        <f t="shared" si="824"/>
        <v>0</v>
      </c>
      <c r="BA549" s="580">
        <f t="shared" si="824"/>
        <v>0</v>
      </c>
      <c r="BB549" s="580">
        <f t="shared" si="824"/>
        <v>0</v>
      </c>
      <c r="BC549" s="580">
        <f t="shared" si="824"/>
        <v>0</v>
      </c>
      <c r="BD549" s="580">
        <f t="shared" si="824"/>
        <v>0</v>
      </c>
      <c r="BE549" s="580">
        <f t="shared" si="824"/>
        <v>0</v>
      </c>
      <c r="BF549" s="580">
        <f t="shared" si="824"/>
        <v>0</v>
      </c>
      <c r="BG549" s="580">
        <f t="shared" si="824"/>
        <v>0</v>
      </c>
      <c r="BH549" s="580">
        <f t="shared" si="824"/>
        <v>0</v>
      </c>
      <c r="BI549" s="580">
        <f t="shared" si="824"/>
        <v>0</v>
      </c>
      <c r="BJ549" s="580">
        <f t="shared" si="824"/>
        <v>0</v>
      </c>
      <c r="BK549" s="580">
        <f t="shared" si="824"/>
        <v>0</v>
      </c>
    </row>
    <row r="550" spans="1:63" s="245" customFormat="1" hidden="1">
      <c r="A550" s="243"/>
      <c r="B550" s="243" t="s">
        <v>1893</v>
      </c>
      <c r="C550" s="243" t="s">
        <v>1124</v>
      </c>
      <c r="D550" s="243"/>
      <c r="F550" s="245">
        <f t="shared" ref="F550:AD550" si="825">F554+F558</f>
        <v>0</v>
      </c>
      <c r="G550" s="245">
        <f t="shared" si="825"/>
        <v>0</v>
      </c>
      <c r="H550" s="245">
        <f t="shared" si="825"/>
        <v>0</v>
      </c>
      <c r="I550" s="245">
        <f t="shared" si="825"/>
        <v>0</v>
      </c>
      <c r="J550" s="245">
        <f t="shared" si="825"/>
        <v>0</v>
      </c>
      <c r="K550" s="245">
        <f t="shared" si="825"/>
        <v>0</v>
      </c>
      <c r="L550" s="245">
        <f t="shared" si="825"/>
        <v>0</v>
      </c>
      <c r="M550" s="245">
        <f t="shared" si="825"/>
        <v>0</v>
      </c>
      <c r="N550" s="245">
        <f t="shared" si="825"/>
        <v>0</v>
      </c>
      <c r="O550" s="245">
        <f t="shared" si="825"/>
        <v>0</v>
      </c>
      <c r="P550" s="245">
        <f t="shared" si="825"/>
        <v>0</v>
      </c>
      <c r="Q550" s="245">
        <f t="shared" si="825"/>
        <v>0</v>
      </c>
      <c r="R550" s="245">
        <f t="shared" si="825"/>
        <v>0</v>
      </c>
      <c r="S550" s="245">
        <f t="shared" si="825"/>
        <v>0</v>
      </c>
      <c r="T550" s="245">
        <f t="shared" si="825"/>
        <v>0</v>
      </c>
      <c r="U550" s="245">
        <f t="shared" si="825"/>
        <v>0</v>
      </c>
      <c r="V550" s="245">
        <f t="shared" si="825"/>
        <v>0</v>
      </c>
      <c r="W550" s="245">
        <f t="shared" si="825"/>
        <v>0</v>
      </c>
      <c r="X550" s="245">
        <f t="shared" si="825"/>
        <v>0</v>
      </c>
      <c r="Y550" s="245">
        <f t="shared" si="825"/>
        <v>0</v>
      </c>
      <c r="Z550" s="245">
        <f t="shared" si="825"/>
        <v>0</v>
      </c>
      <c r="AA550" s="245">
        <f t="shared" si="825"/>
        <v>0</v>
      </c>
      <c r="AB550" s="245">
        <f t="shared" si="825"/>
        <v>0</v>
      </c>
      <c r="AC550" s="245">
        <f t="shared" si="825"/>
        <v>0</v>
      </c>
      <c r="AD550" s="245">
        <f t="shared" si="825"/>
        <v>0</v>
      </c>
      <c r="AF550" s="580">
        <f t="shared" ref="AF550:BK550" si="826">AF554+AF558</f>
        <v>0</v>
      </c>
      <c r="AG550" s="580">
        <f t="shared" si="826"/>
        <v>0</v>
      </c>
      <c r="AH550" s="580">
        <f t="shared" si="826"/>
        <v>0</v>
      </c>
      <c r="AI550" s="580">
        <f t="shared" si="826"/>
        <v>0</v>
      </c>
      <c r="AJ550" s="580">
        <f t="shared" si="826"/>
        <v>0</v>
      </c>
      <c r="AK550" s="580">
        <f t="shared" si="826"/>
        <v>0</v>
      </c>
      <c r="AL550" s="580">
        <f t="shared" si="826"/>
        <v>0</v>
      </c>
      <c r="AM550" s="580">
        <f>AM554+AM558</f>
        <v>0</v>
      </c>
      <c r="AN550" s="580">
        <f>AN554+AN558</f>
        <v>0</v>
      </c>
      <c r="AO550" s="580">
        <f t="shared" si="826"/>
        <v>0</v>
      </c>
      <c r="AP550" s="580">
        <f t="shared" si="826"/>
        <v>0</v>
      </c>
      <c r="AQ550" s="580">
        <f t="shared" si="826"/>
        <v>0</v>
      </c>
      <c r="AR550" s="580">
        <f t="shared" si="826"/>
        <v>0</v>
      </c>
      <c r="AS550" s="580">
        <f t="shared" si="826"/>
        <v>0</v>
      </c>
      <c r="AT550" s="580">
        <f t="shared" si="826"/>
        <v>0</v>
      </c>
      <c r="AU550" s="580">
        <f t="shared" si="826"/>
        <v>0</v>
      </c>
      <c r="AV550" s="580">
        <f t="shared" si="826"/>
        <v>0</v>
      </c>
      <c r="AW550" s="580">
        <f t="shared" si="826"/>
        <v>0</v>
      </c>
      <c r="AX550" s="580">
        <f t="shared" si="826"/>
        <v>0</v>
      </c>
      <c r="AY550" s="580">
        <f t="shared" si="826"/>
        <v>0</v>
      </c>
      <c r="AZ550" s="580">
        <f t="shared" si="826"/>
        <v>0</v>
      </c>
      <c r="BA550" s="580">
        <f t="shared" si="826"/>
        <v>0</v>
      </c>
      <c r="BB550" s="580">
        <f t="shared" si="826"/>
        <v>0</v>
      </c>
      <c r="BC550" s="580">
        <f t="shared" si="826"/>
        <v>0</v>
      </c>
      <c r="BD550" s="580">
        <f t="shared" si="826"/>
        <v>0</v>
      </c>
      <c r="BE550" s="580">
        <f t="shared" si="826"/>
        <v>0</v>
      </c>
      <c r="BF550" s="580">
        <f t="shared" si="826"/>
        <v>0</v>
      </c>
      <c r="BG550" s="580">
        <f t="shared" si="826"/>
        <v>0</v>
      </c>
      <c r="BH550" s="580">
        <f t="shared" si="826"/>
        <v>0</v>
      </c>
      <c r="BI550" s="580">
        <f t="shared" si="826"/>
        <v>0</v>
      </c>
      <c r="BJ550" s="580">
        <f t="shared" si="826"/>
        <v>0</v>
      </c>
      <c r="BK550" s="580">
        <f t="shared" si="826"/>
        <v>0</v>
      </c>
    </row>
    <row r="551" spans="1:63" s="240" customFormat="1" hidden="1">
      <c r="A551" s="209"/>
      <c r="B551" s="209" t="s">
        <v>1894</v>
      </c>
      <c r="C551" s="209" t="s">
        <v>1895</v>
      </c>
      <c r="D551" s="209"/>
      <c r="F551" s="251"/>
      <c r="G551" s="251"/>
      <c r="H551" s="251"/>
      <c r="I551" s="251"/>
      <c r="J551" s="251"/>
      <c r="K551" s="251"/>
      <c r="L551" s="251"/>
      <c r="M551" s="251"/>
      <c r="N551" s="251"/>
      <c r="O551" s="251"/>
      <c r="P551" s="251"/>
      <c r="Q551" s="251"/>
      <c r="R551" s="251"/>
      <c r="S551" s="251"/>
      <c r="T551" s="251"/>
      <c r="U551" s="251"/>
      <c r="V551" s="251"/>
      <c r="W551" s="251"/>
      <c r="X551" s="251"/>
      <c r="Y551" s="251"/>
      <c r="Z551" s="251"/>
      <c r="AA551" s="251"/>
      <c r="AB551" s="251"/>
      <c r="AC551" s="251"/>
      <c r="AD551" s="251"/>
      <c r="AE551" s="251"/>
      <c r="AF551" s="579"/>
      <c r="AG551" s="579"/>
      <c r="AH551" s="579"/>
      <c r="AI551" s="579"/>
      <c r="AJ551" s="579"/>
      <c r="AK551" s="579"/>
      <c r="AL551" s="579"/>
      <c r="AM551" s="579"/>
      <c r="AN551" s="579"/>
      <c r="AO551" s="579"/>
      <c r="AP551" s="579"/>
      <c r="AQ551" s="579"/>
      <c r="AR551" s="579"/>
      <c r="AS551" s="579"/>
      <c r="AT551" s="579"/>
      <c r="AU551" s="579"/>
      <c r="AV551" s="579"/>
      <c r="AW551" s="579"/>
      <c r="AX551" s="579"/>
      <c r="AY551" s="579"/>
      <c r="AZ551" s="579"/>
      <c r="BA551" s="579"/>
      <c r="BB551" s="579"/>
      <c r="BC551" s="579"/>
      <c r="BD551" s="579"/>
      <c r="BE551" s="579"/>
      <c r="BF551" s="579"/>
      <c r="BG551" s="579"/>
      <c r="BH551" s="579"/>
      <c r="BI551" s="579"/>
      <c r="BJ551" s="579"/>
      <c r="BK551" s="579"/>
    </row>
    <row r="552" spans="1:63" s="240" customFormat="1" hidden="1">
      <c r="A552" s="209"/>
      <c r="B552" s="209" t="s">
        <v>1896</v>
      </c>
      <c r="C552" s="209" t="s">
        <v>1897</v>
      </c>
      <c r="D552" s="209"/>
      <c r="F552" s="251"/>
      <c r="G552" s="251"/>
      <c r="H552" s="251"/>
      <c r="I552" s="251"/>
      <c r="J552" s="251"/>
      <c r="K552" s="251"/>
      <c r="L552" s="251"/>
      <c r="M552" s="251"/>
      <c r="N552" s="251"/>
      <c r="O552" s="251"/>
      <c r="P552" s="251"/>
      <c r="Q552" s="251"/>
      <c r="R552" s="251"/>
      <c r="S552" s="251"/>
      <c r="T552" s="251"/>
      <c r="U552" s="251"/>
      <c r="V552" s="251"/>
      <c r="W552" s="251"/>
      <c r="X552" s="251"/>
      <c r="Y552" s="251"/>
      <c r="Z552" s="251"/>
      <c r="AA552" s="251"/>
      <c r="AB552" s="251"/>
      <c r="AC552" s="251"/>
      <c r="AD552" s="251"/>
      <c r="AE552" s="251"/>
      <c r="AF552" s="579"/>
      <c r="AG552" s="579"/>
      <c r="AH552" s="579"/>
      <c r="AI552" s="579"/>
      <c r="AJ552" s="579"/>
      <c r="AK552" s="579"/>
      <c r="AL552" s="579"/>
      <c r="AM552" s="579"/>
      <c r="AN552" s="579"/>
      <c r="AO552" s="579"/>
      <c r="AP552" s="579"/>
      <c r="AQ552" s="579"/>
      <c r="AR552" s="579"/>
      <c r="AS552" s="579"/>
      <c r="AT552" s="579"/>
      <c r="AU552" s="579"/>
      <c r="AV552" s="579"/>
      <c r="AW552" s="579"/>
      <c r="AX552" s="579"/>
      <c r="AY552" s="579"/>
      <c r="AZ552" s="579"/>
      <c r="BA552" s="579"/>
      <c r="BB552" s="579"/>
      <c r="BC552" s="579"/>
      <c r="BD552" s="579"/>
      <c r="BE552" s="579"/>
      <c r="BF552" s="579"/>
      <c r="BG552" s="579"/>
      <c r="BH552" s="579"/>
      <c r="BI552" s="579"/>
      <c r="BJ552" s="579"/>
      <c r="BK552" s="579"/>
    </row>
    <row r="553" spans="1:63" s="240" customFormat="1" hidden="1">
      <c r="A553" s="209"/>
      <c r="B553" s="209" t="s">
        <v>1898</v>
      </c>
      <c r="C553" s="209" t="s">
        <v>1899</v>
      </c>
      <c r="D553" s="209"/>
      <c r="F553" s="251"/>
      <c r="G553" s="251"/>
      <c r="H553" s="251"/>
      <c r="I553" s="251"/>
      <c r="J553" s="251"/>
      <c r="K553" s="251"/>
      <c r="L553" s="251"/>
      <c r="M553" s="251"/>
      <c r="N553" s="251"/>
      <c r="O553" s="251"/>
      <c r="P553" s="251"/>
      <c r="Q553" s="251"/>
      <c r="R553" s="251"/>
      <c r="S553" s="251"/>
      <c r="T553" s="251"/>
      <c r="U553" s="251"/>
      <c r="V553" s="251"/>
      <c r="W553" s="251"/>
      <c r="X553" s="251"/>
      <c r="Y553" s="251"/>
      <c r="Z553" s="251"/>
      <c r="AA553" s="251"/>
      <c r="AB553" s="251"/>
      <c r="AC553" s="251"/>
      <c r="AD553" s="251"/>
      <c r="AE553" s="251"/>
      <c r="AF553" s="579"/>
      <c r="AG553" s="579"/>
      <c r="AH553" s="579"/>
      <c r="AI553" s="579"/>
      <c r="AJ553" s="579"/>
      <c r="AK553" s="579"/>
      <c r="AL553" s="579"/>
      <c r="AM553" s="579"/>
      <c r="AN553" s="579"/>
      <c r="AO553" s="579"/>
      <c r="AP553" s="579"/>
      <c r="AQ553" s="579"/>
      <c r="AR553" s="579"/>
      <c r="AS553" s="579"/>
      <c r="AT553" s="579"/>
      <c r="AU553" s="579"/>
      <c r="AV553" s="579"/>
      <c r="AW553" s="579"/>
      <c r="AX553" s="579"/>
      <c r="AY553" s="579"/>
      <c r="AZ553" s="579"/>
      <c r="BA553" s="579"/>
      <c r="BB553" s="579"/>
      <c r="BC553" s="579"/>
      <c r="BD553" s="579"/>
      <c r="BE553" s="579"/>
      <c r="BF553" s="579"/>
      <c r="BG553" s="579"/>
      <c r="BH553" s="579"/>
      <c r="BI553" s="579"/>
      <c r="BJ553" s="579"/>
      <c r="BK553" s="579"/>
    </row>
    <row r="554" spans="1:63" s="245" customFormat="1" hidden="1">
      <c r="A554" s="243"/>
      <c r="B554" s="243" t="s">
        <v>1900</v>
      </c>
      <c r="C554" s="250" t="s">
        <v>1940</v>
      </c>
      <c r="D554" s="243"/>
      <c r="F554" s="245">
        <f t="shared" ref="F554:AD554" si="827">F551+F552+F553</f>
        <v>0</v>
      </c>
      <c r="G554" s="245">
        <f t="shared" si="827"/>
        <v>0</v>
      </c>
      <c r="H554" s="245">
        <f t="shared" si="827"/>
        <v>0</v>
      </c>
      <c r="I554" s="245">
        <f t="shared" si="827"/>
        <v>0</v>
      </c>
      <c r="J554" s="245">
        <f t="shared" si="827"/>
        <v>0</v>
      </c>
      <c r="K554" s="245">
        <f t="shared" si="827"/>
        <v>0</v>
      </c>
      <c r="L554" s="245">
        <f t="shared" si="827"/>
        <v>0</v>
      </c>
      <c r="M554" s="245">
        <f t="shared" si="827"/>
        <v>0</v>
      </c>
      <c r="N554" s="245">
        <f t="shared" si="827"/>
        <v>0</v>
      </c>
      <c r="O554" s="245">
        <f t="shared" si="827"/>
        <v>0</v>
      </c>
      <c r="P554" s="245">
        <f t="shared" si="827"/>
        <v>0</v>
      </c>
      <c r="Q554" s="245">
        <f t="shared" si="827"/>
        <v>0</v>
      </c>
      <c r="R554" s="245">
        <f t="shared" si="827"/>
        <v>0</v>
      </c>
      <c r="S554" s="245">
        <f t="shared" si="827"/>
        <v>0</v>
      </c>
      <c r="T554" s="245">
        <f t="shared" si="827"/>
        <v>0</v>
      </c>
      <c r="U554" s="245">
        <f t="shared" si="827"/>
        <v>0</v>
      </c>
      <c r="V554" s="245">
        <f t="shared" si="827"/>
        <v>0</v>
      </c>
      <c r="W554" s="245">
        <f t="shared" si="827"/>
        <v>0</v>
      </c>
      <c r="X554" s="245">
        <f t="shared" si="827"/>
        <v>0</v>
      </c>
      <c r="Y554" s="245">
        <f t="shared" si="827"/>
        <v>0</v>
      </c>
      <c r="Z554" s="245">
        <f t="shared" si="827"/>
        <v>0</v>
      </c>
      <c r="AA554" s="245">
        <f t="shared" si="827"/>
        <v>0</v>
      </c>
      <c r="AB554" s="245">
        <f t="shared" si="827"/>
        <v>0</v>
      </c>
      <c r="AC554" s="245">
        <f t="shared" si="827"/>
        <v>0</v>
      </c>
      <c r="AD554" s="245">
        <f t="shared" si="827"/>
        <v>0</v>
      </c>
      <c r="AF554" s="580">
        <f t="shared" ref="AF554:BK554" si="828">AF551+AF552+AF553</f>
        <v>0</v>
      </c>
      <c r="AG554" s="580">
        <f t="shared" si="828"/>
        <v>0</v>
      </c>
      <c r="AH554" s="580">
        <f t="shared" si="828"/>
        <v>0</v>
      </c>
      <c r="AI554" s="580">
        <f t="shared" si="828"/>
        <v>0</v>
      </c>
      <c r="AJ554" s="580">
        <f t="shared" si="828"/>
        <v>0</v>
      </c>
      <c r="AK554" s="580">
        <f t="shared" si="828"/>
        <v>0</v>
      </c>
      <c r="AL554" s="580">
        <f t="shared" si="828"/>
        <v>0</v>
      </c>
      <c r="AM554" s="580">
        <f t="shared" si="828"/>
        <v>0</v>
      </c>
      <c r="AN554" s="580">
        <f>AN551+AN552+AN553</f>
        <v>0</v>
      </c>
      <c r="AO554" s="580">
        <f t="shared" si="828"/>
        <v>0</v>
      </c>
      <c r="AP554" s="580">
        <f t="shared" si="828"/>
        <v>0</v>
      </c>
      <c r="AQ554" s="580">
        <f t="shared" si="828"/>
        <v>0</v>
      </c>
      <c r="AR554" s="580">
        <f t="shared" si="828"/>
        <v>0</v>
      </c>
      <c r="AS554" s="580">
        <f t="shared" si="828"/>
        <v>0</v>
      </c>
      <c r="AT554" s="580">
        <f t="shared" si="828"/>
        <v>0</v>
      </c>
      <c r="AU554" s="580">
        <f t="shared" si="828"/>
        <v>0</v>
      </c>
      <c r="AV554" s="580">
        <f t="shared" si="828"/>
        <v>0</v>
      </c>
      <c r="AW554" s="580">
        <f t="shared" si="828"/>
        <v>0</v>
      </c>
      <c r="AX554" s="580">
        <f t="shared" si="828"/>
        <v>0</v>
      </c>
      <c r="AY554" s="580">
        <f t="shared" si="828"/>
        <v>0</v>
      </c>
      <c r="AZ554" s="580">
        <f t="shared" si="828"/>
        <v>0</v>
      </c>
      <c r="BA554" s="580">
        <f t="shared" si="828"/>
        <v>0</v>
      </c>
      <c r="BB554" s="580">
        <f t="shared" si="828"/>
        <v>0</v>
      </c>
      <c r="BC554" s="580">
        <f t="shared" si="828"/>
        <v>0</v>
      </c>
      <c r="BD554" s="580">
        <f t="shared" si="828"/>
        <v>0</v>
      </c>
      <c r="BE554" s="580">
        <f t="shared" si="828"/>
        <v>0</v>
      </c>
      <c r="BF554" s="580">
        <f t="shared" si="828"/>
        <v>0</v>
      </c>
      <c r="BG554" s="580">
        <f t="shared" si="828"/>
        <v>0</v>
      </c>
      <c r="BH554" s="580">
        <f t="shared" si="828"/>
        <v>0</v>
      </c>
      <c r="BI554" s="580">
        <f t="shared" si="828"/>
        <v>0</v>
      </c>
      <c r="BJ554" s="580">
        <f t="shared" si="828"/>
        <v>0</v>
      </c>
      <c r="BK554" s="580">
        <f t="shared" si="828"/>
        <v>0</v>
      </c>
    </row>
    <row r="555" spans="1:63" s="240" customFormat="1" hidden="1">
      <c r="A555" s="209"/>
      <c r="B555" s="209" t="s">
        <v>1941</v>
      </c>
      <c r="C555" s="209" t="s">
        <v>55</v>
      </c>
      <c r="D555" s="209"/>
      <c r="F555" s="251"/>
      <c r="G555" s="251"/>
      <c r="H555" s="251"/>
      <c r="I555" s="251"/>
      <c r="J555" s="251"/>
      <c r="K555" s="251"/>
      <c r="L555" s="251"/>
      <c r="M555" s="251"/>
      <c r="N555" s="251"/>
      <c r="O555" s="251"/>
      <c r="P555" s="251"/>
      <c r="Q555" s="251"/>
      <c r="R555" s="251"/>
      <c r="S555" s="251"/>
      <c r="T555" s="251"/>
      <c r="U555" s="251"/>
      <c r="V555" s="251"/>
      <c r="W555" s="251"/>
      <c r="X555" s="251"/>
      <c r="Y555" s="251"/>
      <c r="Z555" s="251"/>
      <c r="AA555" s="251"/>
      <c r="AB555" s="251"/>
      <c r="AC555" s="251"/>
      <c r="AD555" s="251"/>
      <c r="AE555" s="251"/>
      <c r="AF555" s="579"/>
      <c r="AG555" s="579"/>
      <c r="AH555" s="579"/>
      <c r="AI555" s="579"/>
      <c r="AJ555" s="579"/>
      <c r="AK555" s="579"/>
      <c r="AL555" s="579"/>
      <c r="AM555" s="579"/>
      <c r="AN555" s="579"/>
      <c r="AO555" s="579"/>
      <c r="AP555" s="579"/>
      <c r="AQ555" s="579"/>
      <c r="AR555" s="579"/>
      <c r="AS555" s="579"/>
      <c r="AT555" s="579"/>
      <c r="AU555" s="579"/>
      <c r="AV555" s="579"/>
      <c r="AW555" s="579"/>
      <c r="AX555" s="579"/>
      <c r="AY555" s="579"/>
      <c r="AZ555" s="579"/>
      <c r="BA555" s="579"/>
      <c r="BB555" s="579"/>
      <c r="BC555" s="579"/>
      <c r="BD555" s="579"/>
      <c r="BE555" s="579"/>
      <c r="BF555" s="579"/>
      <c r="BG555" s="579"/>
      <c r="BH555" s="579"/>
      <c r="BI555" s="579"/>
      <c r="BJ555" s="579"/>
      <c r="BK555" s="579"/>
    </row>
    <row r="556" spans="1:63" s="240" customFormat="1" hidden="1">
      <c r="A556" s="209"/>
      <c r="B556" s="209" t="s">
        <v>1942</v>
      </c>
      <c r="C556" s="209" t="s">
        <v>1136</v>
      </c>
      <c r="D556" s="209"/>
      <c r="F556" s="251"/>
      <c r="G556" s="251"/>
      <c r="H556" s="251"/>
      <c r="I556" s="251"/>
      <c r="J556" s="251"/>
      <c r="K556" s="251"/>
      <c r="L556" s="251"/>
      <c r="M556" s="251"/>
      <c r="N556" s="251"/>
      <c r="O556" s="251"/>
      <c r="P556" s="251"/>
      <c r="Q556" s="251"/>
      <c r="R556" s="251"/>
      <c r="S556" s="251"/>
      <c r="T556" s="251"/>
      <c r="U556" s="251"/>
      <c r="V556" s="251"/>
      <c r="W556" s="251"/>
      <c r="X556" s="251"/>
      <c r="Y556" s="251"/>
      <c r="Z556" s="251"/>
      <c r="AA556" s="251"/>
      <c r="AB556" s="251"/>
      <c r="AC556" s="251"/>
      <c r="AD556" s="251"/>
      <c r="AE556" s="251"/>
      <c r="AF556" s="579"/>
      <c r="AG556" s="579"/>
      <c r="AH556" s="579"/>
      <c r="AI556" s="579"/>
      <c r="AJ556" s="579"/>
      <c r="AK556" s="579"/>
      <c r="AL556" s="579"/>
      <c r="AM556" s="579"/>
      <c r="AN556" s="579"/>
      <c r="AO556" s="579"/>
      <c r="AP556" s="579"/>
      <c r="AQ556" s="579"/>
      <c r="AR556" s="579"/>
      <c r="AS556" s="579"/>
      <c r="AT556" s="579"/>
      <c r="AU556" s="579"/>
      <c r="AV556" s="579"/>
      <c r="AW556" s="579"/>
      <c r="AX556" s="579"/>
      <c r="AY556" s="579"/>
      <c r="AZ556" s="579"/>
      <c r="BA556" s="579"/>
      <c r="BB556" s="579"/>
      <c r="BC556" s="579"/>
      <c r="BD556" s="579"/>
      <c r="BE556" s="579"/>
      <c r="BF556" s="579"/>
      <c r="BG556" s="579"/>
      <c r="BH556" s="579"/>
      <c r="BI556" s="579"/>
      <c r="BJ556" s="579"/>
      <c r="BK556" s="579"/>
    </row>
    <row r="557" spans="1:63" s="240" customFormat="1" hidden="1">
      <c r="A557" s="209"/>
      <c r="B557" s="209" t="s">
        <v>1943</v>
      </c>
      <c r="C557" s="209" t="s">
        <v>1944</v>
      </c>
      <c r="D557" s="209"/>
      <c r="F557" s="251"/>
      <c r="G557" s="251"/>
      <c r="H557" s="251"/>
      <c r="I557" s="251"/>
      <c r="J557" s="251"/>
      <c r="K557" s="251"/>
      <c r="L557" s="251"/>
      <c r="M557" s="251"/>
      <c r="N557" s="251"/>
      <c r="O557" s="251"/>
      <c r="P557" s="251"/>
      <c r="Q557" s="251"/>
      <c r="R557" s="251"/>
      <c r="S557" s="251"/>
      <c r="T557" s="251"/>
      <c r="U557" s="251"/>
      <c r="V557" s="251"/>
      <c r="W557" s="251"/>
      <c r="X557" s="251"/>
      <c r="Y557" s="251"/>
      <c r="Z557" s="251"/>
      <c r="AA557" s="251"/>
      <c r="AB557" s="251"/>
      <c r="AC557" s="251"/>
      <c r="AD557" s="251"/>
      <c r="AE557" s="251"/>
      <c r="AF557" s="579"/>
      <c r="AG557" s="579"/>
      <c r="AH557" s="579"/>
      <c r="AI557" s="579"/>
      <c r="AJ557" s="579"/>
      <c r="AK557" s="579"/>
      <c r="AL557" s="579"/>
      <c r="AM557" s="579"/>
      <c r="AN557" s="579"/>
      <c r="AO557" s="579"/>
      <c r="AP557" s="579"/>
      <c r="AQ557" s="579"/>
      <c r="AR557" s="579"/>
      <c r="AS557" s="579"/>
      <c r="AT557" s="579"/>
      <c r="AU557" s="579"/>
      <c r="AV557" s="579"/>
      <c r="AW557" s="579"/>
      <c r="AX557" s="579"/>
      <c r="AY557" s="579"/>
      <c r="AZ557" s="579"/>
      <c r="BA557" s="579"/>
      <c r="BB557" s="579"/>
      <c r="BC557" s="579"/>
      <c r="BD557" s="579"/>
      <c r="BE557" s="579"/>
      <c r="BF557" s="579"/>
      <c r="BG557" s="579"/>
      <c r="BH557" s="579"/>
      <c r="BI557" s="579"/>
      <c r="BJ557" s="579"/>
      <c r="BK557" s="579"/>
    </row>
    <row r="558" spans="1:63" s="245" customFormat="1" hidden="1">
      <c r="A558" s="243"/>
      <c r="B558" s="243" t="s">
        <v>1945</v>
      </c>
      <c r="C558" s="250" t="s">
        <v>1946</v>
      </c>
      <c r="D558" s="243"/>
      <c r="F558" s="245">
        <f t="shared" ref="F558:AD558" si="829">F555+F556+F557</f>
        <v>0</v>
      </c>
      <c r="G558" s="245">
        <f t="shared" si="829"/>
        <v>0</v>
      </c>
      <c r="H558" s="245">
        <f t="shared" si="829"/>
        <v>0</v>
      </c>
      <c r="I558" s="245">
        <f t="shared" si="829"/>
        <v>0</v>
      </c>
      <c r="J558" s="245">
        <f t="shared" si="829"/>
        <v>0</v>
      </c>
      <c r="K558" s="245">
        <f t="shared" si="829"/>
        <v>0</v>
      </c>
      <c r="L558" s="245">
        <f t="shared" si="829"/>
        <v>0</v>
      </c>
      <c r="M558" s="245">
        <f t="shared" si="829"/>
        <v>0</v>
      </c>
      <c r="N558" s="245">
        <f t="shared" si="829"/>
        <v>0</v>
      </c>
      <c r="O558" s="245">
        <f t="shared" si="829"/>
        <v>0</v>
      </c>
      <c r="P558" s="245">
        <f t="shared" si="829"/>
        <v>0</v>
      </c>
      <c r="Q558" s="245">
        <f t="shared" si="829"/>
        <v>0</v>
      </c>
      <c r="R558" s="245">
        <f t="shared" si="829"/>
        <v>0</v>
      </c>
      <c r="S558" s="245">
        <f t="shared" si="829"/>
        <v>0</v>
      </c>
      <c r="T558" s="245">
        <f t="shared" si="829"/>
        <v>0</v>
      </c>
      <c r="U558" s="245">
        <f t="shared" si="829"/>
        <v>0</v>
      </c>
      <c r="V558" s="245">
        <f t="shared" si="829"/>
        <v>0</v>
      </c>
      <c r="W558" s="245">
        <f t="shared" si="829"/>
        <v>0</v>
      </c>
      <c r="X558" s="245">
        <f t="shared" si="829"/>
        <v>0</v>
      </c>
      <c r="Y558" s="245">
        <f t="shared" si="829"/>
        <v>0</v>
      </c>
      <c r="Z558" s="245">
        <f t="shared" si="829"/>
        <v>0</v>
      </c>
      <c r="AA558" s="245">
        <f t="shared" si="829"/>
        <v>0</v>
      </c>
      <c r="AB558" s="245">
        <f t="shared" si="829"/>
        <v>0</v>
      </c>
      <c r="AC558" s="245">
        <f t="shared" si="829"/>
        <v>0</v>
      </c>
      <c r="AD558" s="245">
        <f t="shared" si="829"/>
        <v>0</v>
      </c>
      <c r="AF558" s="580">
        <f t="shared" ref="AF558:BK558" si="830">AF555+AF556+AF557</f>
        <v>0</v>
      </c>
      <c r="AG558" s="580">
        <f t="shared" si="830"/>
        <v>0</v>
      </c>
      <c r="AH558" s="580">
        <f t="shared" si="830"/>
        <v>0</v>
      </c>
      <c r="AI558" s="580">
        <f t="shared" si="830"/>
        <v>0</v>
      </c>
      <c r="AJ558" s="580">
        <f t="shared" si="830"/>
        <v>0</v>
      </c>
      <c r="AK558" s="580">
        <f t="shared" si="830"/>
        <v>0</v>
      </c>
      <c r="AL558" s="580">
        <f t="shared" si="830"/>
        <v>0</v>
      </c>
      <c r="AM558" s="580">
        <f t="shared" si="830"/>
        <v>0</v>
      </c>
      <c r="AN558" s="580">
        <f>AN555+AN556+AN557</f>
        <v>0</v>
      </c>
      <c r="AO558" s="580">
        <f t="shared" si="830"/>
        <v>0</v>
      </c>
      <c r="AP558" s="580">
        <f t="shared" si="830"/>
        <v>0</v>
      </c>
      <c r="AQ558" s="580">
        <f t="shared" si="830"/>
        <v>0</v>
      </c>
      <c r="AR558" s="580">
        <f t="shared" si="830"/>
        <v>0</v>
      </c>
      <c r="AS558" s="580">
        <f t="shared" si="830"/>
        <v>0</v>
      </c>
      <c r="AT558" s="580">
        <f t="shared" si="830"/>
        <v>0</v>
      </c>
      <c r="AU558" s="580">
        <f t="shared" si="830"/>
        <v>0</v>
      </c>
      <c r="AV558" s="580">
        <f t="shared" si="830"/>
        <v>0</v>
      </c>
      <c r="AW558" s="580">
        <f t="shared" si="830"/>
        <v>0</v>
      </c>
      <c r="AX558" s="580">
        <f t="shared" si="830"/>
        <v>0</v>
      </c>
      <c r="AY558" s="580">
        <f t="shared" si="830"/>
        <v>0</v>
      </c>
      <c r="AZ558" s="580">
        <f t="shared" si="830"/>
        <v>0</v>
      </c>
      <c r="BA558" s="580">
        <f t="shared" si="830"/>
        <v>0</v>
      </c>
      <c r="BB558" s="580">
        <f t="shared" si="830"/>
        <v>0</v>
      </c>
      <c r="BC558" s="580">
        <f t="shared" si="830"/>
        <v>0</v>
      </c>
      <c r="BD558" s="580">
        <f t="shared" si="830"/>
        <v>0</v>
      </c>
      <c r="BE558" s="580">
        <f t="shared" si="830"/>
        <v>0</v>
      </c>
      <c r="BF558" s="580">
        <f t="shared" si="830"/>
        <v>0</v>
      </c>
      <c r="BG558" s="580">
        <f t="shared" si="830"/>
        <v>0</v>
      </c>
      <c r="BH558" s="580">
        <f t="shared" si="830"/>
        <v>0</v>
      </c>
      <c r="BI558" s="580">
        <f t="shared" si="830"/>
        <v>0</v>
      </c>
      <c r="BJ558" s="580">
        <f t="shared" si="830"/>
        <v>0</v>
      </c>
      <c r="BK558" s="580">
        <f t="shared" si="830"/>
        <v>0</v>
      </c>
    </row>
    <row r="559" spans="1:63" s="240" customFormat="1" hidden="1">
      <c r="A559" s="209"/>
      <c r="B559" s="209" t="s">
        <v>1947</v>
      </c>
      <c r="C559" s="209" t="s">
        <v>1948</v>
      </c>
      <c r="D559" s="209"/>
      <c r="F559" s="251"/>
      <c r="G559" s="251"/>
      <c r="H559" s="251"/>
      <c r="I559" s="251"/>
      <c r="J559" s="251"/>
      <c r="K559" s="251"/>
      <c r="L559" s="251"/>
      <c r="M559" s="251"/>
      <c r="N559" s="251"/>
      <c r="O559" s="251"/>
      <c r="P559" s="251"/>
      <c r="Q559" s="251"/>
      <c r="R559" s="251"/>
      <c r="S559" s="251"/>
      <c r="T559" s="251"/>
      <c r="U559" s="251"/>
      <c r="V559" s="251"/>
      <c r="W559" s="251"/>
      <c r="X559" s="251"/>
      <c r="Y559" s="251"/>
      <c r="Z559" s="251"/>
      <c r="AA559" s="251"/>
      <c r="AB559" s="251"/>
      <c r="AC559" s="251"/>
      <c r="AD559" s="251"/>
      <c r="AE559" s="251"/>
      <c r="AF559" s="579"/>
      <c r="AG559" s="579"/>
      <c r="AH559" s="579"/>
      <c r="AI559" s="579"/>
      <c r="AJ559" s="579"/>
      <c r="AK559" s="579"/>
      <c r="AL559" s="579"/>
      <c r="AM559" s="579"/>
      <c r="AN559" s="579"/>
      <c r="AO559" s="579"/>
      <c r="AP559" s="579"/>
      <c r="AQ559" s="579"/>
      <c r="AR559" s="579"/>
      <c r="AS559" s="579"/>
      <c r="AT559" s="579"/>
      <c r="AU559" s="579"/>
      <c r="AV559" s="579"/>
      <c r="AW559" s="579"/>
      <c r="AX559" s="579"/>
      <c r="AY559" s="579"/>
      <c r="AZ559" s="579"/>
      <c r="BA559" s="579"/>
      <c r="BB559" s="579"/>
      <c r="BC559" s="579"/>
      <c r="BD559" s="579"/>
      <c r="BE559" s="579"/>
      <c r="BF559" s="579"/>
      <c r="BG559" s="579"/>
      <c r="BH559" s="579"/>
      <c r="BI559" s="579"/>
      <c r="BJ559" s="579"/>
      <c r="BK559" s="579"/>
    </row>
    <row r="560" spans="1:63" s="245" customFormat="1" hidden="1">
      <c r="A560" s="243"/>
      <c r="B560" s="243" t="s">
        <v>1949</v>
      </c>
      <c r="C560" s="250" t="s">
        <v>727</v>
      </c>
      <c r="D560" s="243"/>
      <c r="F560" s="245">
        <f t="shared" ref="F560:AD560" si="831">F550-F559</f>
        <v>0</v>
      </c>
      <c r="G560" s="245">
        <f t="shared" si="831"/>
        <v>0</v>
      </c>
      <c r="H560" s="245">
        <f t="shared" si="831"/>
        <v>0</v>
      </c>
      <c r="I560" s="245">
        <f t="shared" si="831"/>
        <v>0</v>
      </c>
      <c r="J560" s="245">
        <f t="shared" si="831"/>
        <v>0</v>
      </c>
      <c r="K560" s="245">
        <f t="shared" si="831"/>
        <v>0</v>
      </c>
      <c r="L560" s="245">
        <f t="shared" si="831"/>
        <v>0</v>
      </c>
      <c r="M560" s="245">
        <f t="shared" si="831"/>
        <v>0</v>
      </c>
      <c r="N560" s="245">
        <f t="shared" si="831"/>
        <v>0</v>
      </c>
      <c r="O560" s="245">
        <f t="shared" si="831"/>
        <v>0</v>
      </c>
      <c r="P560" s="245">
        <f t="shared" si="831"/>
        <v>0</v>
      </c>
      <c r="Q560" s="245">
        <f t="shared" si="831"/>
        <v>0</v>
      </c>
      <c r="R560" s="245">
        <f t="shared" si="831"/>
        <v>0</v>
      </c>
      <c r="S560" s="245">
        <f t="shared" si="831"/>
        <v>0</v>
      </c>
      <c r="T560" s="245">
        <f t="shared" si="831"/>
        <v>0</v>
      </c>
      <c r="U560" s="245">
        <f t="shared" si="831"/>
        <v>0</v>
      </c>
      <c r="V560" s="245">
        <f t="shared" si="831"/>
        <v>0</v>
      </c>
      <c r="W560" s="245">
        <f t="shared" si="831"/>
        <v>0</v>
      </c>
      <c r="X560" s="245">
        <f t="shared" si="831"/>
        <v>0</v>
      </c>
      <c r="Y560" s="245">
        <f t="shared" si="831"/>
        <v>0</v>
      </c>
      <c r="Z560" s="245">
        <f t="shared" si="831"/>
        <v>0</v>
      </c>
      <c r="AA560" s="245">
        <f t="shared" si="831"/>
        <v>0</v>
      </c>
      <c r="AB560" s="245">
        <f t="shared" si="831"/>
        <v>0</v>
      </c>
      <c r="AC560" s="245">
        <f t="shared" si="831"/>
        <v>0</v>
      </c>
      <c r="AD560" s="245">
        <f t="shared" si="831"/>
        <v>0</v>
      </c>
      <c r="AF560" s="580">
        <f t="shared" ref="AF560:BK560" si="832">AF550-AF559</f>
        <v>0</v>
      </c>
      <c r="AG560" s="580">
        <f t="shared" si="832"/>
        <v>0</v>
      </c>
      <c r="AH560" s="580">
        <f t="shared" si="832"/>
        <v>0</v>
      </c>
      <c r="AI560" s="580">
        <f t="shared" si="832"/>
        <v>0</v>
      </c>
      <c r="AJ560" s="580">
        <f t="shared" si="832"/>
        <v>0</v>
      </c>
      <c r="AK560" s="580">
        <f t="shared" si="832"/>
        <v>0</v>
      </c>
      <c r="AL560" s="580">
        <f t="shared" si="832"/>
        <v>0</v>
      </c>
      <c r="AM560" s="580">
        <f t="shared" si="832"/>
        <v>0</v>
      </c>
      <c r="AN560" s="580">
        <f>AN550-AN559</f>
        <v>0</v>
      </c>
      <c r="AO560" s="580">
        <f t="shared" si="832"/>
        <v>0</v>
      </c>
      <c r="AP560" s="580">
        <f t="shared" si="832"/>
        <v>0</v>
      </c>
      <c r="AQ560" s="580">
        <f t="shared" si="832"/>
        <v>0</v>
      </c>
      <c r="AR560" s="580">
        <f t="shared" si="832"/>
        <v>0</v>
      </c>
      <c r="AS560" s="580">
        <f t="shared" si="832"/>
        <v>0</v>
      </c>
      <c r="AT560" s="580">
        <f t="shared" si="832"/>
        <v>0</v>
      </c>
      <c r="AU560" s="580">
        <f t="shared" si="832"/>
        <v>0</v>
      </c>
      <c r="AV560" s="580">
        <f t="shared" si="832"/>
        <v>0</v>
      </c>
      <c r="AW560" s="580">
        <f t="shared" si="832"/>
        <v>0</v>
      </c>
      <c r="AX560" s="580">
        <f t="shared" si="832"/>
        <v>0</v>
      </c>
      <c r="AY560" s="580">
        <f t="shared" si="832"/>
        <v>0</v>
      </c>
      <c r="AZ560" s="580">
        <f t="shared" si="832"/>
        <v>0</v>
      </c>
      <c r="BA560" s="580">
        <f t="shared" si="832"/>
        <v>0</v>
      </c>
      <c r="BB560" s="580">
        <f t="shared" si="832"/>
        <v>0</v>
      </c>
      <c r="BC560" s="580">
        <f t="shared" si="832"/>
        <v>0</v>
      </c>
      <c r="BD560" s="580">
        <f t="shared" si="832"/>
        <v>0</v>
      </c>
      <c r="BE560" s="580">
        <f t="shared" si="832"/>
        <v>0</v>
      </c>
      <c r="BF560" s="580">
        <f t="shared" si="832"/>
        <v>0</v>
      </c>
      <c r="BG560" s="580">
        <f t="shared" si="832"/>
        <v>0</v>
      </c>
      <c r="BH560" s="580">
        <f t="shared" si="832"/>
        <v>0</v>
      </c>
      <c r="BI560" s="580">
        <f t="shared" si="832"/>
        <v>0</v>
      </c>
      <c r="BJ560" s="580">
        <f t="shared" si="832"/>
        <v>0</v>
      </c>
      <c r="BK560" s="580">
        <f t="shared" si="832"/>
        <v>0</v>
      </c>
    </row>
    <row r="561" spans="1:63" s="240" customFormat="1" hidden="1">
      <c r="A561" s="209"/>
      <c r="B561" s="209" t="s">
        <v>1950</v>
      </c>
      <c r="C561" s="209" t="s">
        <v>1144</v>
      </c>
      <c r="D561" s="209"/>
      <c r="F561" s="251"/>
      <c r="G561" s="251"/>
      <c r="H561" s="251"/>
      <c r="I561" s="251"/>
      <c r="J561" s="251"/>
      <c r="K561" s="251"/>
      <c r="L561" s="251"/>
      <c r="M561" s="251"/>
      <c r="N561" s="251"/>
      <c r="O561" s="251"/>
      <c r="P561" s="251"/>
      <c r="Q561" s="251"/>
      <c r="R561" s="251"/>
      <c r="S561" s="251"/>
      <c r="T561" s="251"/>
      <c r="U561" s="251"/>
      <c r="V561" s="251"/>
      <c r="W561" s="251"/>
      <c r="X561" s="251"/>
      <c r="Y561" s="251"/>
      <c r="Z561" s="251"/>
      <c r="AA561" s="251"/>
      <c r="AB561" s="251"/>
      <c r="AC561" s="251"/>
      <c r="AD561" s="251"/>
      <c r="AE561" s="251"/>
      <c r="AF561" s="579"/>
      <c r="AG561" s="579"/>
      <c r="AH561" s="579"/>
      <c r="AI561" s="579"/>
      <c r="AJ561" s="579"/>
      <c r="AK561" s="579"/>
      <c r="AL561" s="579"/>
      <c r="AM561" s="579"/>
      <c r="AN561" s="579"/>
      <c r="AO561" s="579"/>
      <c r="AP561" s="579"/>
      <c r="AQ561" s="579"/>
      <c r="AR561" s="579"/>
      <c r="AS561" s="579"/>
      <c r="AT561" s="579"/>
      <c r="AU561" s="579"/>
      <c r="AV561" s="579"/>
      <c r="AW561" s="579"/>
      <c r="AX561" s="579"/>
      <c r="AY561" s="579"/>
      <c r="AZ561" s="579"/>
      <c r="BA561" s="579"/>
      <c r="BB561" s="579"/>
      <c r="BC561" s="579"/>
      <c r="BD561" s="579"/>
      <c r="BE561" s="579"/>
      <c r="BF561" s="579"/>
      <c r="BG561" s="579"/>
      <c r="BH561" s="579"/>
      <c r="BI561" s="579"/>
      <c r="BJ561" s="579"/>
      <c r="BK561" s="579"/>
    </row>
    <row r="562" spans="1:63" s="245" customFormat="1" hidden="1">
      <c r="A562" s="243"/>
      <c r="B562" s="243" t="s">
        <v>1951</v>
      </c>
      <c r="C562" s="243" t="s">
        <v>1952</v>
      </c>
      <c r="D562" s="243"/>
      <c r="F562" s="245">
        <f t="shared" ref="F562:AD562" si="833">F563+F564</f>
        <v>0</v>
      </c>
      <c r="G562" s="245">
        <f t="shared" si="833"/>
        <v>0</v>
      </c>
      <c r="H562" s="245">
        <f t="shared" si="833"/>
        <v>0</v>
      </c>
      <c r="I562" s="245">
        <f t="shared" si="833"/>
        <v>0</v>
      </c>
      <c r="J562" s="245">
        <f t="shared" si="833"/>
        <v>0</v>
      </c>
      <c r="K562" s="245">
        <f t="shared" si="833"/>
        <v>0</v>
      </c>
      <c r="L562" s="245">
        <f t="shared" si="833"/>
        <v>0</v>
      </c>
      <c r="M562" s="245">
        <f t="shared" si="833"/>
        <v>0</v>
      </c>
      <c r="N562" s="245">
        <f t="shared" si="833"/>
        <v>0</v>
      </c>
      <c r="O562" s="245">
        <f t="shared" si="833"/>
        <v>0</v>
      </c>
      <c r="P562" s="245">
        <f t="shared" si="833"/>
        <v>0</v>
      </c>
      <c r="Q562" s="245">
        <f t="shared" si="833"/>
        <v>0</v>
      </c>
      <c r="R562" s="245">
        <f t="shared" si="833"/>
        <v>0</v>
      </c>
      <c r="S562" s="245">
        <f t="shared" si="833"/>
        <v>0</v>
      </c>
      <c r="T562" s="245">
        <f t="shared" si="833"/>
        <v>0</v>
      </c>
      <c r="U562" s="245">
        <f t="shared" si="833"/>
        <v>0</v>
      </c>
      <c r="V562" s="245">
        <f t="shared" si="833"/>
        <v>0</v>
      </c>
      <c r="W562" s="245">
        <f t="shared" si="833"/>
        <v>0</v>
      </c>
      <c r="X562" s="245">
        <f t="shared" si="833"/>
        <v>0</v>
      </c>
      <c r="Y562" s="245">
        <f t="shared" si="833"/>
        <v>0</v>
      </c>
      <c r="Z562" s="245">
        <f t="shared" si="833"/>
        <v>0</v>
      </c>
      <c r="AA562" s="245">
        <f t="shared" si="833"/>
        <v>0</v>
      </c>
      <c r="AB562" s="245">
        <f t="shared" si="833"/>
        <v>0</v>
      </c>
      <c r="AC562" s="245">
        <f t="shared" si="833"/>
        <v>0</v>
      </c>
      <c r="AD562" s="245">
        <f t="shared" si="833"/>
        <v>0</v>
      </c>
      <c r="AF562" s="580">
        <f t="shared" ref="AF562:BK562" si="834">AF563+AF564</f>
        <v>0</v>
      </c>
      <c r="AG562" s="580">
        <f t="shared" si="834"/>
        <v>0</v>
      </c>
      <c r="AH562" s="580">
        <f t="shared" si="834"/>
        <v>0</v>
      </c>
      <c r="AI562" s="580">
        <f t="shared" si="834"/>
        <v>0</v>
      </c>
      <c r="AJ562" s="580">
        <f t="shared" si="834"/>
        <v>0</v>
      </c>
      <c r="AK562" s="580">
        <f t="shared" si="834"/>
        <v>0</v>
      </c>
      <c r="AL562" s="580">
        <f t="shared" si="834"/>
        <v>0</v>
      </c>
      <c r="AM562" s="580">
        <f>AM563+AM564</f>
        <v>0</v>
      </c>
      <c r="AN562" s="580">
        <f>AN563+AN564</f>
        <v>0</v>
      </c>
      <c r="AO562" s="580">
        <f t="shared" si="834"/>
        <v>0</v>
      </c>
      <c r="AP562" s="580">
        <f t="shared" si="834"/>
        <v>0</v>
      </c>
      <c r="AQ562" s="580">
        <f t="shared" si="834"/>
        <v>0</v>
      </c>
      <c r="AR562" s="580">
        <f t="shared" si="834"/>
        <v>0</v>
      </c>
      <c r="AS562" s="580">
        <f t="shared" si="834"/>
        <v>0</v>
      </c>
      <c r="AT562" s="580">
        <f t="shared" si="834"/>
        <v>0</v>
      </c>
      <c r="AU562" s="580">
        <f t="shared" si="834"/>
        <v>0</v>
      </c>
      <c r="AV562" s="580">
        <f t="shared" si="834"/>
        <v>0</v>
      </c>
      <c r="AW562" s="580">
        <f t="shared" si="834"/>
        <v>0</v>
      </c>
      <c r="AX562" s="580">
        <f t="shared" si="834"/>
        <v>0</v>
      </c>
      <c r="AY562" s="580">
        <f t="shared" si="834"/>
        <v>0</v>
      </c>
      <c r="AZ562" s="580">
        <f t="shared" si="834"/>
        <v>0</v>
      </c>
      <c r="BA562" s="580">
        <f t="shared" si="834"/>
        <v>0</v>
      </c>
      <c r="BB562" s="580">
        <f t="shared" si="834"/>
        <v>0</v>
      </c>
      <c r="BC562" s="580">
        <f t="shared" si="834"/>
        <v>0</v>
      </c>
      <c r="BD562" s="580">
        <f t="shared" si="834"/>
        <v>0</v>
      </c>
      <c r="BE562" s="580">
        <f t="shared" si="834"/>
        <v>0</v>
      </c>
      <c r="BF562" s="580">
        <f t="shared" si="834"/>
        <v>0</v>
      </c>
      <c r="BG562" s="580">
        <f t="shared" si="834"/>
        <v>0</v>
      </c>
      <c r="BH562" s="580">
        <f t="shared" si="834"/>
        <v>0</v>
      </c>
      <c r="BI562" s="580">
        <f t="shared" si="834"/>
        <v>0</v>
      </c>
      <c r="BJ562" s="580">
        <f t="shared" si="834"/>
        <v>0</v>
      </c>
      <c r="BK562" s="580">
        <f t="shared" si="834"/>
        <v>0</v>
      </c>
    </row>
    <row r="563" spans="1:63" s="240" customFormat="1" hidden="1">
      <c r="A563" s="209"/>
      <c r="B563" s="209" t="s">
        <v>1953</v>
      </c>
      <c r="C563" s="209" t="s">
        <v>1954</v>
      </c>
      <c r="D563" s="209"/>
      <c r="F563" s="251"/>
      <c r="G563" s="251"/>
      <c r="H563" s="251"/>
      <c r="I563" s="251"/>
      <c r="J563" s="251"/>
      <c r="K563" s="251"/>
      <c r="L563" s="251"/>
      <c r="M563" s="251"/>
      <c r="N563" s="251"/>
      <c r="O563" s="251"/>
      <c r="P563" s="251"/>
      <c r="Q563" s="251"/>
      <c r="R563" s="251"/>
      <c r="S563" s="251"/>
      <c r="T563" s="251"/>
      <c r="U563" s="251"/>
      <c r="V563" s="251"/>
      <c r="W563" s="251"/>
      <c r="X563" s="251"/>
      <c r="Y563" s="251"/>
      <c r="Z563" s="251"/>
      <c r="AA563" s="251"/>
      <c r="AB563" s="251"/>
      <c r="AC563" s="251"/>
      <c r="AD563" s="251"/>
      <c r="AE563" s="251"/>
      <c r="AF563" s="579"/>
      <c r="AG563" s="579"/>
      <c r="AH563" s="579"/>
      <c r="AI563" s="579"/>
      <c r="AJ563" s="579"/>
      <c r="AK563" s="579"/>
      <c r="AL563" s="579"/>
      <c r="AM563" s="579"/>
      <c r="AN563" s="579"/>
      <c r="AO563" s="579"/>
      <c r="AP563" s="579"/>
      <c r="AQ563" s="579"/>
      <c r="AR563" s="579"/>
      <c r="AS563" s="579"/>
      <c r="AT563" s="579"/>
      <c r="AU563" s="579"/>
      <c r="AV563" s="579"/>
      <c r="AW563" s="579"/>
      <c r="AX563" s="579"/>
      <c r="AY563" s="579"/>
      <c r="AZ563" s="579"/>
      <c r="BA563" s="579"/>
      <c r="BB563" s="579"/>
      <c r="BC563" s="579"/>
      <c r="BD563" s="579"/>
      <c r="BE563" s="579"/>
      <c r="BF563" s="579"/>
      <c r="BG563" s="579"/>
      <c r="BH563" s="579"/>
      <c r="BI563" s="579"/>
      <c r="BJ563" s="579"/>
      <c r="BK563" s="579"/>
    </row>
    <row r="564" spans="1:63" s="240" customFormat="1" hidden="1">
      <c r="A564" s="209"/>
      <c r="B564" s="209" t="s">
        <v>1955</v>
      </c>
      <c r="C564" s="209" t="s">
        <v>1149</v>
      </c>
      <c r="D564" s="209"/>
      <c r="F564" s="251"/>
      <c r="G564" s="251"/>
      <c r="H564" s="251"/>
      <c r="I564" s="251"/>
      <c r="J564" s="251"/>
      <c r="K564" s="251"/>
      <c r="L564" s="251"/>
      <c r="M564" s="251"/>
      <c r="N564" s="251"/>
      <c r="O564" s="251"/>
      <c r="P564" s="251"/>
      <c r="Q564" s="251"/>
      <c r="R564" s="251"/>
      <c r="S564" s="251"/>
      <c r="T564" s="251"/>
      <c r="U564" s="251"/>
      <c r="V564" s="251"/>
      <c r="W564" s="251"/>
      <c r="X564" s="251"/>
      <c r="Y564" s="251"/>
      <c r="Z564" s="251"/>
      <c r="AA564" s="251"/>
      <c r="AB564" s="251"/>
      <c r="AC564" s="251"/>
      <c r="AD564" s="251"/>
      <c r="AE564" s="251"/>
      <c r="AF564" s="579"/>
      <c r="AG564" s="579"/>
      <c r="AH564" s="579"/>
      <c r="AI564" s="579"/>
      <c r="AJ564" s="579"/>
      <c r="AK564" s="579"/>
      <c r="AL564" s="579"/>
      <c r="AM564" s="579"/>
      <c r="AN564" s="579"/>
      <c r="AO564" s="579"/>
      <c r="AP564" s="579"/>
      <c r="AQ564" s="579"/>
      <c r="AR564" s="579"/>
      <c r="AS564" s="579"/>
      <c r="AT564" s="579"/>
      <c r="AU564" s="579"/>
      <c r="AV564" s="579"/>
      <c r="AW564" s="579"/>
      <c r="AX564" s="579"/>
      <c r="AY564" s="579"/>
      <c r="AZ564" s="579"/>
      <c r="BA564" s="579"/>
      <c r="BB564" s="579"/>
      <c r="BC564" s="579"/>
      <c r="BD564" s="579"/>
      <c r="BE564" s="579"/>
      <c r="BF564" s="579"/>
      <c r="BG564" s="579"/>
      <c r="BH564" s="579"/>
      <c r="BI564" s="579"/>
      <c r="BJ564" s="579"/>
      <c r="BK564" s="579"/>
    </row>
    <row r="565" spans="1:63" s="245" customFormat="1" hidden="1">
      <c r="A565" s="243"/>
      <c r="B565" s="243" t="s">
        <v>1956</v>
      </c>
      <c r="C565" s="243" t="s">
        <v>1957</v>
      </c>
      <c r="D565" s="243"/>
      <c r="F565" s="245">
        <f t="shared" ref="F565:AD565" si="835">F566+F567+F568+F569+F572</f>
        <v>0</v>
      </c>
      <c r="G565" s="245">
        <f t="shared" si="835"/>
        <v>0</v>
      </c>
      <c r="H565" s="245">
        <f t="shared" si="835"/>
        <v>0</v>
      </c>
      <c r="I565" s="245">
        <f t="shared" si="835"/>
        <v>0</v>
      </c>
      <c r="J565" s="245">
        <f t="shared" si="835"/>
        <v>0</v>
      </c>
      <c r="K565" s="245">
        <f t="shared" si="835"/>
        <v>0</v>
      </c>
      <c r="L565" s="245">
        <f t="shared" si="835"/>
        <v>0</v>
      </c>
      <c r="M565" s="245">
        <f t="shared" si="835"/>
        <v>0</v>
      </c>
      <c r="N565" s="245">
        <f t="shared" si="835"/>
        <v>0</v>
      </c>
      <c r="O565" s="245">
        <f t="shared" si="835"/>
        <v>0</v>
      </c>
      <c r="P565" s="245">
        <f t="shared" si="835"/>
        <v>0</v>
      </c>
      <c r="Q565" s="245">
        <f t="shared" si="835"/>
        <v>0</v>
      </c>
      <c r="R565" s="245">
        <f t="shared" si="835"/>
        <v>0</v>
      </c>
      <c r="S565" s="245">
        <f t="shared" si="835"/>
        <v>0</v>
      </c>
      <c r="T565" s="245">
        <f t="shared" si="835"/>
        <v>0</v>
      </c>
      <c r="U565" s="245">
        <f t="shared" si="835"/>
        <v>0</v>
      </c>
      <c r="V565" s="245">
        <f t="shared" si="835"/>
        <v>0</v>
      </c>
      <c r="W565" s="245">
        <f t="shared" si="835"/>
        <v>0</v>
      </c>
      <c r="X565" s="245">
        <f t="shared" si="835"/>
        <v>0</v>
      </c>
      <c r="Y565" s="245">
        <f t="shared" si="835"/>
        <v>0</v>
      </c>
      <c r="Z565" s="245">
        <f t="shared" si="835"/>
        <v>0</v>
      </c>
      <c r="AA565" s="245">
        <f t="shared" si="835"/>
        <v>0</v>
      </c>
      <c r="AB565" s="245">
        <f t="shared" si="835"/>
        <v>0</v>
      </c>
      <c r="AC565" s="245">
        <f t="shared" si="835"/>
        <v>0</v>
      </c>
      <c r="AD565" s="245">
        <f t="shared" si="835"/>
        <v>0</v>
      </c>
      <c r="AF565" s="580">
        <f t="shared" ref="AF565:BK565" si="836">AF566+AF567+AF568+AF569+AF572</f>
        <v>0</v>
      </c>
      <c r="AG565" s="580">
        <f t="shared" si="836"/>
        <v>0</v>
      </c>
      <c r="AH565" s="580">
        <f t="shared" si="836"/>
        <v>0</v>
      </c>
      <c r="AI565" s="580">
        <f t="shared" si="836"/>
        <v>0</v>
      </c>
      <c r="AJ565" s="580">
        <f t="shared" si="836"/>
        <v>0</v>
      </c>
      <c r="AK565" s="580">
        <f t="shared" si="836"/>
        <v>0</v>
      </c>
      <c r="AL565" s="580">
        <f t="shared" si="836"/>
        <v>0</v>
      </c>
      <c r="AM565" s="580">
        <f>AM566+AM567+AM568+AM569+AM572</f>
        <v>0</v>
      </c>
      <c r="AN565" s="580">
        <f>AN566+AN567+AN568+AN569+AN572</f>
        <v>0</v>
      </c>
      <c r="AO565" s="580">
        <f t="shared" si="836"/>
        <v>0</v>
      </c>
      <c r="AP565" s="580">
        <f t="shared" si="836"/>
        <v>0</v>
      </c>
      <c r="AQ565" s="580">
        <f t="shared" si="836"/>
        <v>0</v>
      </c>
      <c r="AR565" s="580">
        <f t="shared" si="836"/>
        <v>0</v>
      </c>
      <c r="AS565" s="580">
        <f t="shared" si="836"/>
        <v>0</v>
      </c>
      <c r="AT565" s="580">
        <f t="shared" si="836"/>
        <v>0</v>
      </c>
      <c r="AU565" s="580">
        <f t="shared" si="836"/>
        <v>0</v>
      </c>
      <c r="AV565" s="580">
        <f t="shared" si="836"/>
        <v>0</v>
      </c>
      <c r="AW565" s="580">
        <f t="shared" si="836"/>
        <v>0</v>
      </c>
      <c r="AX565" s="580">
        <f t="shared" si="836"/>
        <v>0</v>
      </c>
      <c r="AY565" s="580">
        <f t="shared" si="836"/>
        <v>0</v>
      </c>
      <c r="AZ565" s="580">
        <f t="shared" si="836"/>
        <v>0</v>
      </c>
      <c r="BA565" s="580">
        <f t="shared" si="836"/>
        <v>0</v>
      </c>
      <c r="BB565" s="580">
        <f t="shared" si="836"/>
        <v>0</v>
      </c>
      <c r="BC565" s="580">
        <f t="shared" si="836"/>
        <v>0</v>
      </c>
      <c r="BD565" s="580">
        <f t="shared" si="836"/>
        <v>0</v>
      </c>
      <c r="BE565" s="580">
        <f t="shared" si="836"/>
        <v>0</v>
      </c>
      <c r="BF565" s="580">
        <f t="shared" si="836"/>
        <v>0</v>
      </c>
      <c r="BG565" s="580">
        <f t="shared" si="836"/>
        <v>0</v>
      </c>
      <c r="BH565" s="580">
        <f t="shared" si="836"/>
        <v>0</v>
      </c>
      <c r="BI565" s="580">
        <f t="shared" si="836"/>
        <v>0</v>
      </c>
      <c r="BJ565" s="580">
        <f t="shared" si="836"/>
        <v>0</v>
      </c>
      <c r="BK565" s="580">
        <f t="shared" si="836"/>
        <v>0</v>
      </c>
    </row>
    <row r="566" spans="1:63" s="240" customFormat="1" hidden="1">
      <c r="A566" s="209"/>
      <c r="B566" s="209" t="s">
        <v>1958</v>
      </c>
      <c r="C566" s="209" t="s">
        <v>695</v>
      </c>
      <c r="D566" s="209"/>
      <c r="F566" s="251"/>
      <c r="G566" s="251"/>
      <c r="H566" s="251"/>
      <c r="I566" s="251"/>
      <c r="J566" s="251"/>
      <c r="K566" s="251"/>
      <c r="L566" s="251"/>
      <c r="M566" s="251"/>
      <c r="N566" s="251"/>
      <c r="O566" s="251"/>
      <c r="P566" s="251"/>
      <c r="Q566" s="251"/>
      <c r="R566" s="251"/>
      <c r="S566" s="251"/>
      <c r="T566" s="251"/>
      <c r="U566" s="251"/>
      <c r="V566" s="251"/>
      <c r="W566" s="251"/>
      <c r="X566" s="251"/>
      <c r="Y566" s="251"/>
      <c r="Z566" s="251"/>
      <c r="AA566" s="251"/>
      <c r="AB566" s="251"/>
      <c r="AC566" s="251"/>
      <c r="AD566" s="251"/>
      <c r="AE566" s="251"/>
      <c r="AF566" s="579"/>
      <c r="AG566" s="579"/>
      <c r="AH566" s="579"/>
      <c r="AI566" s="579"/>
      <c r="AJ566" s="579"/>
      <c r="AK566" s="579"/>
      <c r="AL566" s="579"/>
      <c r="AM566" s="579"/>
      <c r="AN566" s="579"/>
      <c r="AO566" s="579"/>
      <c r="AP566" s="579"/>
      <c r="AQ566" s="579"/>
      <c r="AR566" s="579"/>
      <c r="AS566" s="579"/>
      <c r="AT566" s="579"/>
      <c r="AU566" s="579"/>
      <c r="AV566" s="579"/>
      <c r="AW566" s="579"/>
      <c r="AX566" s="579"/>
      <c r="AY566" s="579"/>
      <c r="AZ566" s="579"/>
      <c r="BA566" s="579"/>
      <c r="BB566" s="579"/>
      <c r="BC566" s="579"/>
      <c r="BD566" s="579"/>
      <c r="BE566" s="579"/>
      <c r="BF566" s="579"/>
      <c r="BG566" s="579"/>
      <c r="BH566" s="579"/>
      <c r="BI566" s="579"/>
      <c r="BJ566" s="579"/>
      <c r="BK566" s="579"/>
    </row>
    <row r="567" spans="1:63" s="240" customFormat="1" hidden="1">
      <c r="A567" s="209"/>
      <c r="B567" s="209" t="s">
        <v>1959</v>
      </c>
      <c r="C567" s="209" t="s">
        <v>704</v>
      </c>
      <c r="D567" s="209"/>
      <c r="F567" s="251"/>
      <c r="G567" s="251"/>
      <c r="H567" s="251"/>
      <c r="I567" s="251"/>
      <c r="J567" s="251"/>
      <c r="K567" s="251"/>
      <c r="L567" s="251"/>
      <c r="M567" s="251"/>
      <c r="N567" s="251"/>
      <c r="O567" s="251"/>
      <c r="P567" s="251"/>
      <c r="Q567" s="251"/>
      <c r="R567" s="251"/>
      <c r="S567" s="251"/>
      <c r="T567" s="251"/>
      <c r="U567" s="251"/>
      <c r="V567" s="251"/>
      <c r="W567" s="251"/>
      <c r="X567" s="251"/>
      <c r="Y567" s="251"/>
      <c r="Z567" s="251"/>
      <c r="AA567" s="251"/>
      <c r="AB567" s="251"/>
      <c r="AC567" s="251"/>
      <c r="AD567" s="251"/>
      <c r="AE567" s="251"/>
      <c r="AF567" s="579"/>
      <c r="AG567" s="579"/>
      <c r="AH567" s="579"/>
      <c r="AI567" s="579"/>
      <c r="AJ567" s="579"/>
      <c r="AK567" s="579"/>
      <c r="AL567" s="579"/>
      <c r="AM567" s="579"/>
      <c r="AN567" s="579"/>
      <c r="AO567" s="579"/>
      <c r="AP567" s="579"/>
      <c r="AQ567" s="579"/>
      <c r="AR567" s="579"/>
      <c r="AS567" s="579"/>
      <c r="AT567" s="579"/>
      <c r="AU567" s="579"/>
      <c r="AV567" s="579"/>
      <c r="AW567" s="579"/>
      <c r="AX567" s="579"/>
      <c r="AY567" s="579"/>
      <c r="AZ567" s="579"/>
      <c r="BA567" s="579"/>
      <c r="BB567" s="579"/>
      <c r="BC567" s="579"/>
      <c r="BD567" s="579"/>
      <c r="BE567" s="579"/>
      <c r="BF567" s="579"/>
      <c r="BG567" s="579"/>
      <c r="BH567" s="579"/>
      <c r="BI567" s="579"/>
      <c r="BJ567" s="579"/>
      <c r="BK567" s="579"/>
    </row>
    <row r="568" spans="1:63" s="240" customFormat="1" hidden="1">
      <c r="A568" s="209"/>
      <c r="B568" s="209" t="s">
        <v>1960</v>
      </c>
      <c r="C568" s="209" t="s">
        <v>1154</v>
      </c>
      <c r="D568" s="209"/>
      <c r="F568" s="251"/>
      <c r="G568" s="251"/>
      <c r="H568" s="251"/>
      <c r="I568" s="251"/>
      <c r="J568" s="251"/>
      <c r="K568" s="251"/>
      <c r="L568" s="251"/>
      <c r="M568" s="251"/>
      <c r="N568" s="251"/>
      <c r="O568" s="251"/>
      <c r="P568" s="251"/>
      <c r="Q568" s="251"/>
      <c r="R568" s="251"/>
      <c r="S568" s="251"/>
      <c r="T568" s="251"/>
      <c r="U568" s="251"/>
      <c r="V568" s="251"/>
      <c r="W568" s="251"/>
      <c r="X568" s="251"/>
      <c r="Y568" s="251"/>
      <c r="Z568" s="251"/>
      <c r="AA568" s="251"/>
      <c r="AB568" s="251"/>
      <c r="AC568" s="251"/>
      <c r="AD568" s="251"/>
      <c r="AE568" s="251"/>
      <c r="AF568" s="579"/>
      <c r="AG568" s="579"/>
      <c r="AH568" s="579"/>
      <c r="AI568" s="579"/>
      <c r="AJ568" s="579"/>
      <c r="AK568" s="579"/>
      <c r="AL568" s="579"/>
      <c r="AM568" s="579"/>
      <c r="AN568" s="579"/>
      <c r="AO568" s="579"/>
      <c r="AP568" s="579"/>
      <c r="AQ568" s="579"/>
      <c r="AR568" s="579"/>
      <c r="AS568" s="579"/>
      <c r="AT568" s="579"/>
      <c r="AU568" s="579"/>
      <c r="AV568" s="579"/>
      <c r="AW568" s="579"/>
      <c r="AX568" s="579"/>
      <c r="AY568" s="579"/>
      <c r="AZ568" s="579"/>
      <c r="BA568" s="579"/>
      <c r="BB568" s="579"/>
      <c r="BC568" s="579"/>
      <c r="BD568" s="579"/>
      <c r="BE568" s="579"/>
      <c r="BF568" s="579"/>
      <c r="BG568" s="579"/>
      <c r="BH568" s="579"/>
      <c r="BI568" s="579"/>
      <c r="BJ568" s="579"/>
      <c r="BK568" s="579"/>
    </row>
    <row r="569" spans="1:63" s="245" customFormat="1" hidden="1">
      <c r="A569" s="243"/>
      <c r="B569" s="243" t="s">
        <v>1961</v>
      </c>
      <c r="C569" s="243" t="s">
        <v>708</v>
      </c>
      <c r="D569" s="243"/>
      <c r="F569" s="245">
        <f t="shared" ref="F569:AD569" si="837">F570+F571</f>
        <v>0</v>
      </c>
      <c r="G569" s="245">
        <f t="shared" si="837"/>
        <v>0</v>
      </c>
      <c r="H569" s="245">
        <f t="shared" si="837"/>
        <v>0</v>
      </c>
      <c r="I569" s="245">
        <f t="shared" si="837"/>
        <v>0</v>
      </c>
      <c r="J569" s="245">
        <f t="shared" si="837"/>
        <v>0</v>
      </c>
      <c r="K569" s="245">
        <f t="shared" si="837"/>
        <v>0</v>
      </c>
      <c r="L569" s="245">
        <f t="shared" si="837"/>
        <v>0</v>
      </c>
      <c r="M569" s="245">
        <f t="shared" si="837"/>
        <v>0</v>
      </c>
      <c r="N569" s="245">
        <f t="shared" si="837"/>
        <v>0</v>
      </c>
      <c r="O569" s="245">
        <f t="shared" si="837"/>
        <v>0</v>
      </c>
      <c r="P569" s="245">
        <f t="shared" si="837"/>
        <v>0</v>
      </c>
      <c r="Q569" s="245">
        <f t="shared" si="837"/>
        <v>0</v>
      </c>
      <c r="R569" s="245">
        <f t="shared" si="837"/>
        <v>0</v>
      </c>
      <c r="S569" s="245">
        <f t="shared" si="837"/>
        <v>0</v>
      </c>
      <c r="T569" s="245">
        <f t="shared" si="837"/>
        <v>0</v>
      </c>
      <c r="U569" s="245">
        <f t="shared" si="837"/>
        <v>0</v>
      </c>
      <c r="V569" s="245">
        <f t="shared" si="837"/>
        <v>0</v>
      </c>
      <c r="W569" s="245">
        <f t="shared" si="837"/>
        <v>0</v>
      </c>
      <c r="X569" s="245">
        <f t="shared" si="837"/>
        <v>0</v>
      </c>
      <c r="Y569" s="245">
        <f t="shared" si="837"/>
        <v>0</v>
      </c>
      <c r="Z569" s="245">
        <f t="shared" si="837"/>
        <v>0</v>
      </c>
      <c r="AA569" s="245">
        <f t="shared" si="837"/>
        <v>0</v>
      </c>
      <c r="AB569" s="245">
        <f t="shared" si="837"/>
        <v>0</v>
      </c>
      <c r="AC569" s="245">
        <f t="shared" si="837"/>
        <v>0</v>
      </c>
      <c r="AD569" s="245">
        <f t="shared" si="837"/>
        <v>0</v>
      </c>
      <c r="AF569" s="580">
        <f t="shared" ref="AF569:BK569" si="838">AF570+AF571</f>
        <v>0</v>
      </c>
      <c r="AG569" s="580">
        <f t="shared" si="838"/>
        <v>0</v>
      </c>
      <c r="AH569" s="580">
        <f t="shared" si="838"/>
        <v>0</v>
      </c>
      <c r="AI569" s="580">
        <f t="shared" si="838"/>
        <v>0</v>
      </c>
      <c r="AJ569" s="580">
        <f t="shared" si="838"/>
        <v>0</v>
      </c>
      <c r="AK569" s="580">
        <f t="shared" si="838"/>
        <v>0</v>
      </c>
      <c r="AL569" s="580">
        <f t="shared" si="838"/>
        <v>0</v>
      </c>
      <c r="AM569" s="580">
        <f>AM570+AM571</f>
        <v>0</v>
      </c>
      <c r="AN569" s="580">
        <f>AN570+AN571</f>
        <v>0</v>
      </c>
      <c r="AO569" s="580">
        <f t="shared" si="838"/>
        <v>0</v>
      </c>
      <c r="AP569" s="580">
        <f t="shared" si="838"/>
        <v>0</v>
      </c>
      <c r="AQ569" s="580">
        <f t="shared" si="838"/>
        <v>0</v>
      </c>
      <c r="AR569" s="580">
        <f t="shared" si="838"/>
        <v>0</v>
      </c>
      <c r="AS569" s="580">
        <f t="shared" si="838"/>
        <v>0</v>
      </c>
      <c r="AT569" s="580">
        <f t="shared" si="838"/>
        <v>0</v>
      </c>
      <c r="AU569" s="580">
        <f t="shared" si="838"/>
        <v>0</v>
      </c>
      <c r="AV569" s="580">
        <f t="shared" si="838"/>
        <v>0</v>
      </c>
      <c r="AW569" s="580">
        <f t="shared" si="838"/>
        <v>0</v>
      </c>
      <c r="AX569" s="580">
        <f t="shared" si="838"/>
        <v>0</v>
      </c>
      <c r="AY569" s="580">
        <f t="shared" si="838"/>
        <v>0</v>
      </c>
      <c r="AZ569" s="580">
        <f t="shared" si="838"/>
        <v>0</v>
      </c>
      <c r="BA569" s="580">
        <f t="shared" si="838"/>
        <v>0</v>
      </c>
      <c r="BB569" s="580">
        <f t="shared" si="838"/>
        <v>0</v>
      </c>
      <c r="BC569" s="580">
        <f t="shared" si="838"/>
        <v>0</v>
      </c>
      <c r="BD569" s="580">
        <f t="shared" si="838"/>
        <v>0</v>
      </c>
      <c r="BE569" s="580">
        <f t="shared" si="838"/>
        <v>0</v>
      </c>
      <c r="BF569" s="580">
        <f t="shared" si="838"/>
        <v>0</v>
      </c>
      <c r="BG569" s="580">
        <f t="shared" si="838"/>
        <v>0</v>
      </c>
      <c r="BH569" s="580">
        <f t="shared" si="838"/>
        <v>0</v>
      </c>
      <c r="BI569" s="580">
        <f t="shared" si="838"/>
        <v>0</v>
      </c>
      <c r="BJ569" s="580">
        <f t="shared" si="838"/>
        <v>0</v>
      </c>
      <c r="BK569" s="580">
        <f t="shared" si="838"/>
        <v>0</v>
      </c>
    </row>
    <row r="570" spans="1:63" s="240" customFormat="1" hidden="1">
      <c r="A570" s="209"/>
      <c r="B570" s="209" t="s">
        <v>1962</v>
      </c>
      <c r="C570" s="209" t="s">
        <v>1963</v>
      </c>
      <c r="D570" s="209"/>
      <c r="F570" s="251"/>
      <c r="G570" s="251"/>
      <c r="H570" s="251"/>
      <c r="I570" s="251"/>
      <c r="J570" s="251"/>
      <c r="K570" s="251"/>
      <c r="L570" s="251"/>
      <c r="M570" s="251"/>
      <c r="N570" s="251"/>
      <c r="O570" s="251"/>
      <c r="P570" s="251"/>
      <c r="Q570" s="251"/>
      <c r="R570" s="251"/>
      <c r="S570" s="251"/>
      <c r="T570" s="251"/>
      <c r="U570" s="251"/>
      <c r="V570" s="251"/>
      <c r="W570" s="251"/>
      <c r="X570" s="251"/>
      <c r="Y570" s="251"/>
      <c r="Z570" s="251"/>
      <c r="AA570" s="251"/>
      <c r="AB570" s="251"/>
      <c r="AC570" s="251"/>
      <c r="AD570" s="251"/>
      <c r="AE570" s="251"/>
      <c r="AF570" s="579"/>
      <c r="AG570" s="579"/>
      <c r="AH570" s="579"/>
      <c r="AI570" s="579"/>
      <c r="AJ570" s="579"/>
      <c r="AK570" s="579"/>
      <c r="AL570" s="579"/>
      <c r="AM570" s="579"/>
      <c r="AN570" s="579"/>
      <c r="AO570" s="579"/>
      <c r="AP570" s="579"/>
      <c r="AQ570" s="579"/>
      <c r="AR570" s="579"/>
      <c r="AS570" s="579"/>
      <c r="AT570" s="579"/>
      <c r="AU570" s="579"/>
      <c r="AV570" s="579"/>
      <c r="AW570" s="579"/>
      <c r="AX570" s="579"/>
      <c r="AY570" s="579"/>
      <c r="AZ570" s="579"/>
      <c r="BA570" s="579"/>
      <c r="BB570" s="579"/>
      <c r="BC570" s="579"/>
      <c r="BD570" s="579"/>
      <c r="BE570" s="579"/>
      <c r="BF570" s="579"/>
      <c r="BG570" s="579"/>
      <c r="BH570" s="579"/>
      <c r="BI570" s="579"/>
      <c r="BJ570" s="579"/>
      <c r="BK570" s="579"/>
    </row>
    <row r="571" spans="1:63" s="240" customFormat="1" hidden="1">
      <c r="A571" s="209"/>
      <c r="B571" s="209" t="s">
        <v>1964</v>
      </c>
      <c r="C571" s="209" t="s">
        <v>1965</v>
      </c>
      <c r="D571" s="209"/>
      <c r="F571" s="251"/>
      <c r="G571" s="251"/>
      <c r="H571" s="251"/>
      <c r="I571" s="251"/>
      <c r="J571" s="251"/>
      <c r="K571" s="251"/>
      <c r="L571" s="251"/>
      <c r="M571" s="251"/>
      <c r="N571" s="251"/>
      <c r="O571" s="251"/>
      <c r="P571" s="251"/>
      <c r="Q571" s="251"/>
      <c r="R571" s="251"/>
      <c r="S571" s="251"/>
      <c r="T571" s="251"/>
      <c r="U571" s="251"/>
      <c r="V571" s="251"/>
      <c r="W571" s="251"/>
      <c r="X571" s="251"/>
      <c r="Y571" s="251"/>
      <c r="Z571" s="251"/>
      <c r="AA571" s="251"/>
      <c r="AB571" s="251"/>
      <c r="AC571" s="251"/>
      <c r="AD571" s="251"/>
      <c r="AE571" s="251"/>
      <c r="AF571" s="579"/>
      <c r="AG571" s="579"/>
      <c r="AH571" s="579"/>
      <c r="AI571" s="579"/>
      <c r="AJ571" s="579"/>
      <c r="AK571" s="579"/>
      <c r="AL571" s="579"/>
      <c r="AM571" s="579"/>
      <c r="AN571" s="579"/>
      <c r="AO571" s="579"/>
      <c r="AP571" s="579"/>
      <c r="AQ571" s="579"/>
      <c r="AR571" s="579"/>
      <c r="AS571" s="579"/>
      <c r="AT571" s="579"/>
      <c r="AU571" s="579"/>
      <c r="AV571" s="579"/>
      <c r="AW571" s="579"/>
      <c r="AX571" s="579"/>
      <c r="AY571" s="579"/>
      <c r="AZ571" s="579"/>
      <c r="BA571" s="579"/>
      <c r="BB571" s="579"/>
      <c r="BC571" s="579"/>
      <c r="BD571" s="579"/>
      <c r="BE571" s="579"/>
      <c r="BF571" s="579"/>
      <c r="BG571" s="579"/>
      <c r="BH571" s="579"/>
      <c r="BI571" s="579"/>
      <c r="BJ571" s="579"/>
      <c r="BK571" s="579"/>
    </row>
    <row r="572" spans="1:63" s="240" customFormat="1" hidden="1">
      <c r="A572" s="209"/>
      <c r="B572" s="209" t="s">
        <v>1966</v>
      </c>
      <c r="C572" s="209" t="s">
        <v>698</v>
      </c>
      <c r="D572" s="209"/>
      <c r="F572" s="251"/>
      <c r="G572" s="251"/>
      <c r="H572" s="251"/>
      <c r="I572" s="251"/>
      <c r="J572" s="251"/>
      <c r="K572" s="251"/>
      <c r="L572" s="251"/>
      <c r="M572" s="251"/>
      <c r="N572" s="251"/>
      <c r="O572" s="251"/>
      <c r="P572" s="251"/>
      <c r="Q572" s="251"/>
      <c r="R572" s="251"/>
      <c r="S572" s="251"/>
      <c r="T572" s="251"/>
      <c r="U572" s="251"/>
      <c r="V572" s="251"/>
      <c r="W572" s="251"/>
      <c r="X572" s="251"/>
      <c r="Y572" s="251"/>
      <c r="Z572" s="251"/>
      <c r="AA572" s="251"/>
      <c r="AB572" s="251"/>
      <c r="AC572" s="251"/>
      <c r="AD572" s="251"/>
      <c r="AE572" s="251"/>
      <c r="AF572" s="579"/>
      <c r="AG572" s="579"/>
      <c r="AH572" s="579"/>
      <c r="AI572" s="579"/>
      <c r="AJ572" s="579"/>
      <c r="AK572" s="579"/>
      <c r="AL572" s="579"/>
      <c r="AM572" s="579"/>
      <c r="AN572" s="579"/>
      <c r="AO572" s="579"/>
      <c r="AP572" s="579"/>
      <c r="AQ572" s="579"/>
      <c r="AR572" s="579"/>
      <c r="AS572" s="579"/>
      <c r="AT572" s="579"/>
      <c r="AU572" s="579"/>
      <c r="AV572" s="579"/>
      <c r="AW572" s="579"/>
      <c r="AX572" s="579"/>
      <c r="AY572" s="579"/>
      <c r="AZ572" s="579"/>
      <c r="BA572" s="579"/>
      <c r="BB572" s="579"/>
      <c r="BC572" s="579"/>
      <c r="BD572" s="579"/>
      <c r="BE572" s="579"/>
      <c r="BF572" s="579"/>
      <c r="BG572" s="579"/>
      <c r="BH572" s="579"/>
      <c r="BI572" s="579"/>
      <c r="BJ572" s="579"/>
      <c r="BK572" s="579"/>
    </row>
    <row r="573" spans="1:63" s="245" customFormat="1" hidden="1">
      <c r="A573" s="243"/>
      <c r="B573" s="243" t="s">
        <v>1967</v>
      </c>
      <c r="C573" s="243" t="s">
        <v>1968</v>
      </c>
      <c r="D573" s="243"/>
      <c r="F573" s="245">
        <f t="shared" ref="F573:AD573" si="839">F574+F577</f>
        <v>0</v>
      </c>
      <c r="G573" s="245">
        <f t="shared" si="839"/>
        <v>0</v>
      </c>
      <c r="H573" s="245">
        <f t="shared" si="839"/>
        <v>0</v>
      </c>
      <c r="I573" s="245">
        <f t="shared" si="839"/>
        <v>0</v>
      </c>
      <c r="J573" s="245">
        <f t="shared" si="839"/>
        <v>0</v>
      </c>
      <c r="K573" s="245">
        <f t="shared" si="839"/>
        <v>0</v>
      </c>
      <c r="L573" s="245">
        <f t="shared" si="839"/>
        <v>0</v>
      </c>
      <c r="M573" s="245">
        <f t="shared" si="839"/>
        <v>0</v>
      </c>
      <c r="N573" s="245">
        <f t="shared" si="839"/>
        <v>0</v>
      </c>
      <c r="O573" s="245">
        <f t="shared" si="839"/>
        <v>0</v>
      </c>
      <c r="P573" s="245">
        <f t="shared" si="839"/>
        <v>0</v>
      </c>
      <c r="Q573" s="245">
        <f t="shared" si="839"/>
        <v>0</v>
      </c>
      <c r="R573" s="245">
        <f t="shared" si="839"/>
        <v>0</v>
      </c>
      <c r="S573" s="245">
        <f t="shared" si="839"/>
        <v>0</v>
      </c>
      <c r="T573" s="245">
        <f t="shared" si="839"/>
        <v>0</v>
      </c>
      <c r="U573" s="245">
        <f t="shared" si="839"/>
        <v>0</v>
      </c>
      <c r="V573" s="245">
        <f t="shared" si="839"/>
        <v>0</v>
      </c>
      <c r="W573" s="245">
        <f t="shared" si="839"/>
        <v>0</v>
      </c>
      <c r="X573" s="245">
        <f t="shared" si="839"/>
        <v>0</v>
      </c>
      <c r="Y573" s="245">
        <f t="shared" si="839"/>
        <v>0</v>
      </c>
      <c r="Z573" s="245">
        <f t="shared" si="839"/>
        <v>0</v>
      </c>
      <c r="AA573" s="245">
        <f t="shared" si="839"/>
        <v>0</v>
      </c>
      <c r="AB573" s="245">
        <f t="shared" si="839"/>
        <v>0</v>
      </c>
      <c r="AC573" s="245">
        <f t="shared" si="839"/>
        <v>0</v>
      </c>
      <c r="AD573" s="245">
        <f t="shared" si="839"/>
        <v>0</v>
      </c>
      <c r="AF573" s="580">
        <f t="shared" ref="AF573:BK573" si="840">AF574+AF577</f>
        <v>0</v>
      </c>
      <c r="AG573" s="580">
        <f t="shared" si="840"/>
        <v>0</v>
      </c>
      <c r="AH573" s="580">
        <f t="shared" si="840"/>
        <v>0</v>
      </c>
      <c r="AI573" s="580">
        <f t="shared" si="840"/>
        <v>0</v>
      </c>
      <c r="AJ573" s="580">
        <f t="shared" si="840"/>
        <v>0</v>
      </c>
      <c r="AK573" s="580">
        <f t="shared" si="840"/>
        <v>0</v>
      </c>
      <c r="AL573" s="580">
        <f t="shared" si="840"/>
        <v>0</v>
      </c>
      <c r="AM573" s="580">
        <f>AM574+AM577</f>
        <v>0</v>
      </c>
      <c r="AN573" s="580">
        <f>AN574+AN577</f>
        <v>0</v>
      </c>
      <c r="AO573" s="580">
        <f t="shared" si="840"/>
        <v>0</v>
      </c>
      <c r="AP573" s="580">
        <f t="shared" si="840"/>
        <v>0</v>
      </c>
      <c r="AQ573" s="580">
        <f t="shared" si="840"/>
        <v>0</v>
      </c>
      <c r="AR573" s="580">
        <f t="shared" si="840"/>
        <v>0</v>
      </c>
      <c r="AS573" s="580">
        <f t="shared" si="840"/>
        <v>0</v>
      </c>
      <c r="AT573" s="580">
        <f t="shared" si="840"/>
        <v>0</v>
      </c>
      <c r="AU573" s="580">
        <f t="shared" si="840"/>
        <v>0</v>
      </c>
      <c r="AV573" s="580">
        <f t="shared" si="840"/>
        <v>0</v>
      </c>
      <c r="AW573" s="580">
        <f t="shared" si="840"/>
        <v>0</v>
      </c>
      <c r="AX573" s="580">
        <f t="shared" si="840"/>
        <v>0</v>
      </c>
      <c r="AY573" s="580">
        <f t="shared" si="840"/>
        <v>0</v>
      </c>
      <c r="AZ573" s="580">
        <f t="shared" si="840"/>
        <v>0</v>
      </c>
      <c r="BA573" s="580">
        <f t="shared" si="840"/>
        <v>0</v>
      </c>
      <c r="BB573" s="580">
        <f t="shared" si="840"/>
        <v>0</v>
      </c>
      <c r="BC573" s="580">
        <f t="shared" si="840"/>
        <v>0</v>
      </c>
      <c r="BD573" s="580">
        <f t="shared" si="840"/>
        <v>0</v>
      </c>
      <c r="BE573" s="580">
        <f t="shared" si="840"/>
        <v>0</v>
      </c>
      <c r="BF573" s="580">
        <f t="shared" si="840"/>
        <v>0</v>
      </c>
      <c r="BG573" s="580">
        <f t="shared" si="840"/>
        <v>0</v>
      </c>
      <c r="BH573" s="580">
        <f t="shared" si="840"/>
        <v>0</v>
      </c>
      <c r="BI573" s="580">
        <f t="shared" si="840"/>
        <v>0</v>
      </c>
      <c r="BJ573" s="580">
        <f t="shared" si="840"/>
        <v>0</v>
      </c>
      <c r="BK573" s="580">
        <f t="shared" si="840"/>
        <v>0</v>
      </c>
    </row>
    <row r="574" spans="1:63" s="245" customFormat="1" hidden="1">
      <c r="A574" s="243"/>
      <c r="B574" s="243" t="s">
        <v>1969</v>
      </c>
      <c r="C574" s="243" t="s">
        <v>69</v>
      </c>
      <c r="D574" s="243"/>
      <c r="F574" s="245">
        <f t="shared" ref="F574:AD574" si="841">F575+F576</f>
        <v>0</v>
      </c>
      <c r="G574" s="245">
        <f t="shared" si="841"/>
        <v>0</v>
      </c>
      <c r="H574" s="245">
        <f t="shared" si="841"/>
        <v>0</v>
      </c>
      <c r="I574" s="245">
        <f t="shared" si="841"/>
        <v>0</v>
      </c>
      <c r="J574" s="245">
        <f t="shared" si="841"/>
        <v>0</v>
      </c>
      <c r="K574" s="245">
        <f t="shared" si="841"/>
        <v>0</v>
      </c>
      <c r="L574" s="245">
        <f t="shared" si="841"/>
        <v>0</v>
      </c>
      <c r="M574" s="245">
        <f t="shared" si="841"/>
        <v>0</v>
      </c>
      <c r="N574" s="245">
        <f t="shared" si="841"/>
        <v>0</v>
      </c>
      <c r="O574" s="245">
        <f t="shared" si="841"/>
        <v>0</v>
      </c>
      <c r="P574" s="245">
        <f t="shared" si="841"/>
        <v>0</v>
      </c>
      <c r="Q574" s="245">
        <f t="shared" si="841"/>
        <v>0</v>
      </c>
      <c r="R574" s="245">
        <f t="shared" si="841"/>
        <v>0</v>
      </c>
      <c r="S574" s="245">
        <f t="shared" si="841"/>
        <v>0</v>
      </c>
      <c r="T574" s="245">
        <f t="shared" si="841"/>
        <v>0</v>
      </c>
      <c r="U574" s="245">
        <f t="shared" si="841"/>
        <v>0</v>
      </c>
      <c r="V574" s="245">
        <f t="shared" si="841"/>
        <v>0</v>
      </c>
      <c r="W574" s="245">
        <f t="shared" si="841"/>
        <v>0</v>
      </c>
      <c r="X574" s="245">
        <f t="shared" si="841"/>
        <v>0</v>
      </c>
      <c r="Y574" s="245">
        <f t="shared" si="841"/>
        <v>0</v>
      </c>
      <c r="Z574" s="245">
        <f t="shared" si="841"/>
        <v>0</v>
      </c>
      <c r="AA574" s="245">
        <f t="shared" si="841"/>
        <v>0</v>
      </c>
      <c r="AB574" s="245">
        <f t="shared" si="841"/>
        <v>0</v>
      </c>
      <c r="AC574" s="245">
        <f t="shared" si="841"/>
        <v>0</v>
      </c>
      <c r="AD574" s="245">
        <f t="shared" si="841"/>
        <v>0</v>
      </c>
      <c r="AF574" s="580">
        <f t="shared" ref="AF574:BK574" si="842">AF575+AF576</f>
        <v>0</v>
      </c>
      <c r="AG574" s="580">
        <f t="shared" si="842"/>
        <v>0</v>
      </c>
      <c r="AH574" s="580">
        <f t="shared" si="842"/>
        <v>0</v>
      </c>
      <c r="AI574" s="580">
        <f t="shared" si="842"/>
        <v>0</v>
      </c>
      <c r="AJ574" s="580">
        <f t="shared" si="842"/>
        <v>0</v>
      </c>
      <c r="AK574" s="580">
        <f t="shared" si="842"/>
        <v>0</v>
      </c>
      <c r="AL574" s="580">
        <f t="shared" si="842"/>
        <v>0</v>
      </c>
      <c r="AM574" s="580">
        <f>AM575+AM576</f>
        <v>0</v>
      </c>
      <c r="AN574" s="580">
        <f>AN575+AN576</f>
        <v>0</v>
      </c>
      <c r="AO574" s="580">
        <f t="shared" si="842"/>
        <v>0</v>
      </c>
      <c r="AP574" s="580">
        <f t="shared" si="842"/>
        <v>0</v>
      </c>
      <c r="AQ574" s="580">
        <f t="shared" si="842"/>
        <v>0</v>
      </c>
      <c r="AR574" s="580">
        <f t="shared" si="842"/>
        <v>0</v>
      </c>
      <c r="AS574" s="580">
        <f t="shared" si="842"/>
        <v>0</v>
      </c>
      <c r="AT574" s="580">
        <f t="shared" si="842"/>
        <v>0</v>
      </c>
      <c r="AU574" s="580">
        <f t="shared" si="842"/>
        <v>0</v>
      </c>
      <c r="AV574" s="580">
        <f t="shared" si="842"/>
        <v>0</v>
      </c>
      <c r="AW574" s="580">
        <f t="shared" si="842"/>
        <v>0</v>
      </c>
      <c r="AX574" s="580">
        <f t="shared" si="842"/>
        <v>0</v>
      </c>
      <c r="AY574" s="580">
        <f t="shared" si="842"/>
        <v>0</v>
      </c>
      <c r="AZ574" s="580">
        <f t="shared" si="842"/>
        <v>0</v>
      </c>
      <c r="BA574" s="580">
        <f t="shared" si="842"/>
        <v>0</v>
      </c>
      <c r="BB574" s="580">
        <f t="shared" si="842"/>
        <v>0</v>
      </c>
      <c r="BC574" s="580">
        <f t="shared" si="842"/>
        <v>0</v>
      </c>
      <c r="BD574" s="580">
        <f t="shared" si="842"/>
        <v>0</v>
      </c>
      <c r="BE574" s="580">
        <f t="shared" si="842"/>
        <v>0</v>
      </c>
      <c r="BF574" s="580">
        <f t="shared" si="842"/>
        <v>0</v>
      </c>
      <c r="BG574" s="580">
        <f t="shared" si="842"/>
        <v>0</v>
      </c>
      <c r="BH574" s="580">
        <f t="shared" si="842"/>
        <v>0</v>
      </c>
      <c r="BI574" s="580">
        <f t="shared" si="842"/>
        <v>0</v>
      </c>
      <c r="BJ574" s="580">
        <f t="shared" si="842"/>
        <v>0</v>
      </c>
      <c r="BK574" s="580">
        <f t="shared" si="842"/>
        <v>0</v>
      </c>
    </row>
    <row r="575" spans="1:63" s="240" customFormat="1" hidden="1">
      <c r="A575" s="209"/>
      <c r="B575" s="209" t="s">
        <v>1970</v>
      </c>
      <c r="C575" s="209" t="s">
        <v>557</v>
      </c>
      <c r="D575" s="209"/>
      <c r="F575" s="251"/>
      <c r="G575" s="251"/>
      <c r="H575" s="251"/>
      <c r="I575" s="251"/>
      <c r="J575" s="251"/>
      <c r="K575" s="251"/>
      <c r="L575" s="251"/>
      <c r="M575" s="251"/>
      <c r="N575" s="251"/>
      <c r="O575" s="251"/>
      <c r="P575" s="251"/>
      <c r="Q575" s="251"/>
      <c r="R575" s="251"/>
      <c r="S575" s="251"/>
      <c r="T575" s="251"/>
      <c r="U575" s="251"/>
      <c r="V575" s="251"/>
      <c r="W575" s="251"/>
      <c r="X575" s="251"/>
      <c r="Y575" s="251"/>
      <c r="Z575" s="251"/>
      <c r="AA575" s="251"/>
      <c r="AB575" s="251"/>
      <c r="AC575" s="251"/>
      <c r="AD575" s="251"/>
      <c r="AE575" s="251"/>
      <c r="AF575" s="579"/>
      <c r="AG575" s="579"/>
      <c r="AH575" s="579"/>
      <c r="AI575" s="579"/>
      <c r="AJ575" s="579"/>
      <c r="AK575" s="579"/>
      <c r="AL575" s="579"/>
      <c r="AM575" s="579"/>
      <c r="AN575" s="579"/>
      <c r="AO575" s="579"/>
      <c r="AP575" s="579"/>
      <c r="AQ575" s="579"/>
      <c r="AR575" s="579"/>
      <c r="AS575" s="579"/>
      <c r="AT575" s="579"/>
      <c r="AU575" s="579"/>
      <c r="AV575" s="579"/>
      <c r="AW575" s="579"/>
      <c r="AX575" s="579"/>
      <c r="AY575" s="579"/>
      <c r="AZ575" s="579"/>
      <c r="BA575" s="579"/>
      <c r="BB575" s="579"/>
      <c r="BC575" s="579"/>
      <c r="BD575" s="579"/>
      <c r="BE575" s="579"/>
      <c r="BF575" s="579"/>
      <c r="BG575" s="579"/>
      <c r="BH575" s="579"/>
      <c r="BI575" s="579"/>
      <c r="BJ575" s="579"/>
      <c r="BK575" s="579"/>
    </row>
    <row r="576" spans="1:63" s="240" customFormat="1" hidden="1">
      <c r="A576" s="209"/>
      <c r="B576" s="209" t="s">
        <v>1971</v>
      </c>
      <c r="C576" s="209" t="s">
        <v>1983</v>
      </c>
      <c r="D576" s="209"/>
      <c r="F576" s="251"/>
      <c r="G576" s="251"/>
      <c r="H576" s="251"/>
      <c r="I576" s="251"/>
      <c r="J576" s="251"/>
      <c r="K576" s="251"/>
      <c r="L576" s="251"/>
      <c r="M576" s="251"/>
      <c r="N576" s="251"/>
      <c r="O576" s="251"/>
      <c r="P576" s="251"/>
      <c r="Q576" s="251"/>
      <c r="R576" s="251"/>
      <c r="S576" s="251"/>
      <c r="T576" s="251"/>
      <c r="U576" s="251"/>
      <c r="V576" s="251"/>
      <c r="W576" s="251"/>
      <c r="X576" s="251"/>
      <c r="Y576" s="251"/>
      <c r="Z576" s="251"/>
      <c r="AA576" s="251"/>
      <c r="AB576" s="251"/>
      <c r="AC576" s="251"/>
      <c r="AD576" s="251"/>
      <c r="AE576" s="251"/>
      <c r="AF576" s="579"/>
      <c r="AG576" s="579"/>
      <c r="AH576" s="579"/>
      <c r="AI576" s="579"/>
      <c r="AJ576" s="579"/>
      <c r="AK576" s="579"/>
      <c r="AL576" s="579"/>
      <c r="AM576" s="579"/>
      <c r="AN576" s="579"/>
      <c r="AO576" s="579"/>
      <c r="AP576" s="579"/>
      <c r="AQ576" s="579"/>
      <c r="AR576" s="579"/>
      <c r="AS576" s="579"/>
      <c r="AT576" s="579"/>
      <c r="AU576" s="579"/>
      <c r="AV576" s="579"/>
      <c r="AW576" s="579"/>
      <c r="AX576" s="579"/>
      <c r="AY576" s="579"/>
      <c r="AZ576" s="579"/>
      <c r="BA576" s="579"/>
      <c r="BB576" s="579"/>
      <c r="BC576" s="579"/>
      <c r="BD576" s="579"/>
      <c r="BE576" s="579"/>
      <c r="BF576" s="579"/>
      <c r="BG576" s="579"/>
      <c r="BH576" s="579"/>
      <c r="BI576" s="579"/>
      <c r="BJ576" s="579"/>
      <c r="BK576" s="579"/>
    </row>
    <row r="577" spans="1:63" s="245" customFormat="1" hidden="1">
      <c r="A577" s="243"/>
      <c r="B577" s="243" t="s">
        <v>1984</v>
      </c>
      <c r="C577" s="243" t="s">
        <v>70</v>
      </c>
      <c r="D577" s="243"/>
      <c r="F577" s="245">
        <f t="shared" ref="F577:AD577" si="843">F578+F579</f>
        <v>0</v>
      </c>
      <c r="G577" s="245">
        <f t="shared" si="843"/>
        <v>0</v>
      </c>
      <c r="H577" s="245">
        <f t="shared" si="843"/>
        <v>0</v>
      </c>
      <c r="I577" s="245">
        <f t="shared" si="843"/>
        <v>0</v>
      </c>
      <c r="J577" s="245">
        <f t="shared" si="843"/>
        <v>0</v>
      </c>
      <c r="K577" s="245">
        <f t="shared" si="843"/>
        <v>0</v>
      </c>
      <c r="L577" s="245">
        <f t="shared" si="843"/>
        <v>0</v>
      </c>
      <c r="M577" s="245">
        <f t="shared" si="843"/>
        <v>0</v>
      </c>
      <c r="N577" s="245">
        <f t="shared" si="843"/>
        <v>0</v>
      </c>
      <c r="O577" s="245">
        <f t="shared" si="843"/>
        <v>0</v>
      </c>
      <c r="P577" s="245">
        <f t="shared" si="843"/>
        <v>0</v>
      </c>
      <c r="Q577" s="245">
        <f t="shared" si="843"/>
        <v>0</v>
      </c>
      <c r="R577" s="245">
        <f t="shared" si="843"/>
        <v>0</v>
      </c>
      <c r="S577" s="245">
        <f t="shared" si="843"/>
        <v>0</v>
      </c>
      <c r="T577" s="245">
        <f t="shared" si="843"/>
        <v>0</v>
      </c>
      <c r="U577" s="245">
        <f t="shared" si="843"/>
        <v>0</v>
      </c>
      <c r="V577" s="245">
        <f t="shared" si="843"/>
        <v>0</v>
      </c>
      <c r="W577" s="245">
        <f t="shared" si="843"/>
        <v>0</v>
      </c>
      <c r="X577" s="245">
        <f t="shared" si="843"/>
        <v>0</v>
      </c>
      <c r="Y577" s="245">
        <f t="shared" si="843"/>
        <v>0</v>
      </c>
      <c r="Z577" s="245">
        <f t="shared" si="843"/>
        <v>0</v>
      </c>
      <c r="AA577" s="245">
        <f t="shared" si="843"/>
        <v>0</v>
      </c>
      <c r="AB577" s="245">
        <f t="shared" si="843"/>
        <v>0</v>
      </c>
      <c r="AC577" s="245">
        <f t="shared" si="843"/>
        <v>0</v>
      </c>
      <c r="AD577" s="245">
        <f t="shared" si="843"/>
        <v>0</v>
      </c>
      <c r="AF577" s="580">
        <f t="shared" ref="AF577:BK577" si="844">AF578+AF579</f>
        <v>0</v>
      </c>
      <c r="AG577" s="580">
        <f t="shared" si="844"/>
        <v>0</v>
      </c>
      <c r="AH577" s="580">
        <f t="shared" si="844"/>
        <v>0</v>
      </c>
      <c r="AI577" s="580">
        <f t="shared" si="844"/>
        <v>0</v>
      </c>
      <c r="AJ577" s="580">
        <f t="shared" si="844"/>
        <v>0</v>
      </c>
      <c r="AK577" s="580">
        <f t="shared" si="844"/>
        <v>0</v>
      </c>
      <c r="AL577" s="580">
        <f t="shared" si="844"/>
        <v>0</v>
      </c>
      <c r="AM577" s="580">
        <f>AM578+AM579</f>
        <v>0</v>
      </c>
      <c r="AN577" s="580">
        <f>AN578+AN579</f>
        <v>0</v>
      </c>
      <c r="AO577" s="580">
        <f t="shared" si="844"/>
        <v>0</v>
      </c>
      <c r="AP577" s="580">
        <f t="shared" si="844"/>
        <v>0</v>
      </c>
      <c r="AQ577" s="580">
        <f t="shared" si="844"/>
        <v>0</v>
      </c>
      <c r="AR577" s="580">
        <f t="shared" si="844"/>
        <v>0</v>
      </c>
      <c r="AS577" s="580">
        <f t="shared" si="844"/>
        <v>0</v>
      </c>
      <c r="AT577" s="580">
        <f t="shared" si="844"/>
        <v>0</v>
      </c>
      <c r="AU577" s="580">
        <f t="shared" si="844"/>
        <v>0</v>
      </c>
      <c r="AV577" s="580">
        <f t="shared" si="844"/>
        <v>0</v>
      </c>
      <c r="AW577" s="580">
        <f t="shared" si="844"/>
        <v>0</v>
      </c>
      <c r="AX577" s="580">
        <f t="shared" si="844"/>
        <v>0</v>
      </c>
      <c r="AY577" s="580">
        <f t="shared" si="844"/>
        <v>0</v>
      </c>
      <c r="AZ577" s="580">
        <f t="shared" si="844"/>
        <v>0</v>
      </c>
      <c r="BA577" s="580">
        <f t="shared" si="844"/>
        <v>0</v>
      </c>
      <c r="BB577" s="580">
        <f t="shared" si="844"/>
        <v>0</v>
      </c>
      <c r="BC577" s="580">
        <f t="shared" si="844"/>
        <v>0</v>
      </c>
      <c r="BD577" s="580">
        <f t="shared" si="844"/>
        <v>0</v>
      </c>
      <c r="BE577" s="580">
        <f t="shared" si="844"/>
        <v>0</v>
      </c>
      <c r="BF577" s="580">
        <f t="shared" si="844"/>
        <v>0</v>
      </c>
      <c r="BG577" s="580">
        <f t="shared" si="844"/>
        <v>0</v>
      </c>
      <c r="BH577" s="580">
        <f t="shared" si="844"/>
        <v>0</v>
      </c>
      <c r="BI577" s="580">
        <f t="shared" si="844"/>
        <v>0</v>
      </c>
      <c r="BJ577" s="580">
        <f t="shared" si="844"/>
        <v>0</v>
      </c>
      <c r="BK577" s="580">
        <f t="shared" si="844"/>
        <v>0</v>
      </c>
    </row>
    <row r="578" spans="1:63" s="240" customFormat="1" hidden="1">
      <c r="A578" s="209"/>
      <c r="B578" s="209" t="s">
        <v>1985</v>
      </c>
      <c r="C578" s="209" t="s">
        <v>2000</v>
      </c>
      <c r="D578" s="209"/>
      <c r="F578" s="251"/>
      <c r="G578" s="251"/>
      <c r="H578" s="251"/>
      <c r="I578" s="251"/>
      <c r="J578" s="251"/>
      <c r="K578" s="251"/>
      <c r="L578" s="251"/>
      <c r="M578" s="251"/>
      <c r="N578" s="251"/>
      <c r="O578" s="251"/>
      <c r="P578" s="251"/>
      <c r="Q578" s="251"/>
      <c r="R578" s="251"/>
      <c r="S578" s="251"/>
      <c r="T578" s="251"/>
      <c r="U578" s="251"/>
      <c r="V578" s="251"/>
      <c r="W578" s="251"/>
      <c r="X578" s="251"/>
      <c r="Y578" s="251"/>
      <c r="Z578" s="251"/>
      <c r="AA578" s="251"/>
      <c r="AB578" s="251"/>
      <c r="AC578" s="251"/>
      <c r="AD578" s="251"/>
      <c r="AE578" s="251"/>
      <c r="AF578" s="579"/>
      <c r="AG578" s="579"/>
      <c r="AH578" s="579"/>
      <c r="AI578" s="579"/>
      <c r="AJ578" s="579"/>
      <c r="AK578" s="579"/>
      <c r="AL578" s="579"/>
      <c r="AM578" s="579"/>
      <c r="AN578" s="579"/>
      <c r="AO578" s="579"/>
      <c r="AP578" s="579"/>
      <c r="AQ578" s="579"/>
      <c r="AR578" s="579"/>
      <c r="AS578" s="579"/>
      <c r="AT578" s="579"/>
      <c r="AU578" s="579"/>
      <c r="AV578" s="579"/>
      <c r="AW578" s="579"/>
      <c r="AX578" s="579"/>
      <c r="AY578" s="579"/>
      <c r="AZ578" s="579"/>
      <c r="BA578" s="579"/>
      <c r="BB578" s="579"/>
      <c r="BC578" s="579"/>
      <c r="BD578" s="579"/>
      <c r="BE578" s="579"/>
      <c r="BF578" s="579"/>
      <c r="BG578" s="579"/>
      <c r="BH578" s="579"/>
      <c r="BI578" s="579"/>
      <c r="BJ578" s="579"/>
      <c r="BK578" s="579"/>
    </row>
    <row r="579" spans="1:63" s="240" customFormat="1" hidden="1">
      <c r="A579" s="209"/>
      <c r="B579" s="209" t="s">
        <v>2001</v>
      </c>
      <c r="C579" s="209" t="s">
        <v>2002</v>
      </c>
      <c r="D579" s="209"/>
      <c r="F579" s="251"/>
      <c r="G579" s="251"/>
      <c r="H579" s="251"/>
      <c r="I579" s="251"/>
      <c r="J579" s="251"/>
      <c r="K579" s="251"/>
      <c r="L579" s="251"/>
      <c r="M579" s="251"/>
      <c r="N579" s="251"/>
      <c r="O579" s="251"/>
      <c r="P579" s="251"/>
      <c r="Q579" s="251"/>
      <c r="R579" s="251"/>
      <c r="S579" s="251"/>
      <c r="T579" s="251"/>
      <c r="U579" s="251"/>
      <c r="V579" s="251"/>
      <c r="W579" s="251"/>
      <c r="X579" s="251"/>
      <c r="Y579" s="251"/>
      <c r="Z579" s="251"/>
      <c r="AA579" s="251"/>
      <c r="AB579" s="251"/>
      <c r="AC579" s="251"/>
      <c r="AD579" s="251"/>
      <c r="AE579" s="251"/>
      <c r="AF579" s="579"/>
      <c r="AG579" s="579"/>
      <c r="AH579" s="579"/>
      <c r="AI579" s="579"/>
      <c r="AJ579" s="579"/>
      <c r="AK579" s="579"/>
      <c r="AL579" s="579"/>
      <c r="AM579" s="579"/>
      <c r="AN579" s="579"/>
      <c r="AO579" s="579"/>
      <c r="AP579" s="579"/>
      <c r="AQ579" s="579"/>
      <c r="AR579" s="579"/>
      <c r="AS579" s="579"/>
      <c r="AT579" s="579"/>
      <c r="AU579" s="579"/>
      <c r="AV579" s="579"/>
      <c r="AW579" s="579"/>
      <c r="AX579" s="579"/>
      <c r="AY579" s="579"/>
      <c r="AZ579" s="579"/>
      <c r="BA579" s="579"/>
      <c r="BB579" s="579"/>
      <c r="BC579" s="579"/>
      <c r="BD579" s="579"/>
      <c r="BE579" s="579"/>
      <c r="BF579" s="579"/>
      <c r="BG579" s="579"/>
      <c r="BH579" s="579"/>
      <c r="BI579" s="579"/>
      <c r="BJ579" s="579"/>
      <c r="BK579" s="579"/>
    </row>
    <row r="580" spans="1:63" s="245" customFormat="1" hidden="1">
      <c r="A580" s="243"/>
      <c r="B580" s="243" t="s">
        <v>2003</v>
      </c>
      <c r="C580" s="243" t="s">
        <v>2004</v>
      </c>
      <c r="D580" s="243"/>
      <c r="F580" s="245">
        <f t="shared" ref="F580:AD580" si="845">F565-F573</f>
        <v>0</v>
      </c>
      <c r="G580" s="245">
        <f t="shared" si="845"/>
        <v>0</v>
      </c>
      <c r="H580" s="245">
        <f t="shared" si="845"/>
        <v>0</v>
      </c>
      <c r="I580" s="245">
        <f t="shared" si="845"/>
        <v>0</v>
      </c>
      <c r="J580" s="245">
        <f t="shared" si="845"/>
        <v>0</v>
      </c>
      <c r="K580" s="245">
        <f t="shared" si="845"/>
        <v>0</v>
      </c>
      <c r="L580" s="245">
        <f t="shared" si="845"/>
        <v>0</v>
      </c>
      <c r="M580" s="245">
        <f t="shared" si="845"/>
        <v>0</v>
      </c>
      <c r="N580" s="245">
        <f t="shared" si="845"/>
        <v>0</v>
      </c>
      <c r="O580" s="245">
        <f t="shared" si="845"/>
        <v>0</v>
      </c>
      <c r="P580" s="245">
        <f t="shared" si="845"/>
        <v>0</v>
      </c>
      <c r="Q580" s="245">
        <f t="shared" si="845"/>
        <v>0</v>
      </c>
      <c r="R580" s="245">
        <f t="shared" si="845"/>
        <v>0</v>
      </c>
      <c r="S580" s="245">
        <f t="shared" si="845"/>
        <v>0</v>
      </c>
      <c r="T580" s="245">
        <f t="shared" si="845"/>
        <v>0</v>
      </c>
      <c r="U580" s="245">
        <f t="shared" si="845"/>
        <v>0</v>
      </c>
      <c r="V580" s="245">
        <f t="shared" si="845"/>
        <v>0</v>
      </c>
      <c r="W580" s="245">
        <f t="shared" si="845"/>
        <v>0</v>
      </c>
      <c r="X580" s="245">
        <f t="shared" si="845"/>
        <v>0</v>
      </c>
      <c r="Y580" s="245">
        <f t="shared" si="845"/>
        <v>0</v>
      </c>
      <c r="Z580" s="245">
        <f t="shared" si="845"/>
        <v>0</v>
      </c>
      <c r="AA580" s="245">
        <f t="shared" si="845"/>
        <v>0</v>
      </c>
      <c r="AB580" s="245">
        <f t="shared" si="845"/>
        <v>0</v>
      </c>
      <c r="AC580" s="245">
        <f t="shared" si="845"/>
        <v>0</v>
      </c>
      <c r="AD580" s="245">
        <f t="shared" si="845"/>
        <v>0</v>
      </c>
      <c r="AF580" s="580">
        <f t="shared" ref="AF580:BK580" si="846">AF565-AF573</f>
        <v>0</v>
      </c>
      <c r="AG580" s="580">
        <f t="shared" si="846"/>
        <v>0</v>
      </c>
      <c r="AH580" s="580">
        <f t="shared" si="846"/>
        <v>0</v>
      </c>
      <c r="AI580" s="580">
        <f t="shared" si="846"/>
        <v>0</v>
      </c>
      <c r="AJ580" s="580">
        <f t="shared" si="846"/>
        <v>0</v>
      </c>
      <c r="AK580" s="580">
        <f t="shared" si="846"/>
        <v>0</v>
      </c>
      <c r="AL580" s="580">
        <f t="shared" si="846"/>
        <v>0</v>
      </c>
      <c r="AM580" s="580">
        <f>AM565-AM573</f>
        <v>0</v>
      </c>
      <c r="AN580" s="580">
        <f>AN565-AN573</f>
        <v>0</v>
      </c>
      <c r="AO580" s="580">
        <f t="shared" si="846"/>
        <v>0</v>
      </c>
      <c r="AP580" s="580">
        <f t="shared" si="846"/>
        <v>0</v>
      </c>
      <c r="AQ580" s="580">
        <f t="shared" si="846"/>
        <v>0</v>
      </c>
      <c r="AR580" s="580">
        <f t="shared" si="846"/>
        <v>0</v>
      </c>
      <c r="AS580" s="580">
        <f t="shared" si="846"/>
        <v>0</v>
      </c>
      <c r="AT580" s="580">
        <f t="shared" si="846"/>
        <v>0</v>
      </c>
      <c r="AU580" s="580">
        <f t="shared" si="846"/>
        <v>0</v>
      </c>
      <c r="AV580" s="580">
        <f t="shared" si="846"/>
        <v>0</v>
      </c>
      <c r="AW580" s="580">
        <f t="shared" si="846"/>
        <v>0</v>
      </c>
      <c r="AX580" s="580">
        <f t="shared" si="846"/>
        <v>0</v>
      </c>
      <c r="AY580" s="580">
        <f t="shared" si="846"/>
        <v>0</v>
      </c>
      <c r="AZ580" s="580">
        <f t="shared" si="846"/>
        <v>0</v>
      </c>
      <c r="BA580" s="580">
        <f t="shared" si="846"/>
        <v>0</v>
      </c>
      <c r="BB580" s="580">
        <f t="shared" si="846"/>
        <v>0</v>
      </c>
      <c r="BC580" s="580">
        <f t="shared" si="846"/>
        <v>0</v>
      </c>
      <c r="BD580" s="580">
        <f t="shared" si="846"/>
        <v>0</v>
      </c>
      <c r="BE580" s="580">
        <f t="shared" si="846"/>
        <v>0</v>
      </c>
      <c r="BF580" s="580">
        <f t="shared" si="846"/>
        <v>0</v>
      </c>
      <c r="BG580" s="580">
        <f t="shared" si="846"/>
        <v>0</v>
      </c>
      <c r="BH580" s="580">
        <f t="shared" si="846"/>
        <v>0</v>
      </c>
      <c r="BI580" s="580">
        <f t="shared" si="846"/>
        <v>0</v>
      </c>
      <c r="BJ580" s="580">
        <f t="shared" si="846"/>
        <v>0</v>
      </c>
      <c r="BK580" s="580">
        <f t="shared" si="846"/>
        <v>0</v>
      </c>
    </row>
    <row r="581" spans="1:63" s="240" customFormat="1" hidden="1">
      <c r="A581" s="209"/>
      <c r="B581" s="209" t="s">
        <v>2005</v>
      </c>
      <c r="C581" s="209" t="s">
        <v>2006</v>
      </c>
      <c r="D581" s="209"/>
      <c r="F581" s="251"/>
      <c r="G581" s="251"/>
      <c r="H581" s="251"/>
      <c r="I581" s="251"/>
      <c r="J581" s="251"/>
      <c r="K581" s="251"/>
      <c r="L581" s="251"/>
      <c r="M581" s="251"/>
      <c r="N581" s="251"/>
      <c r="O581" s="251"/>
      <c r="P581" s="251"/>
      <c r="Q581" s="251"/>
      <c r="R581" s="251"/>
      <c r="S581" s="251"/>
      <c r="T581" s="251"/>
      <c r="U581" s="251"/>
      <c r="V581" s="251"/>
      <c r="W581" s="251"/>
      <c r="X581" s="251"/>
      <c r="Y581" s="251"/>
      <c r="Z581" s="251"/>
      <c r="AA581" s="251"/>
      <c r="AB581" s="251"/>
      <c r="AC581" s="251"/>
      <c r="AD581" s="251"/>
      <c r="AE581" s="251"/>
      <c r="AF581" s="579"/>
      <c r="AG581" s="579"/>
      <c r="AH581" s="579"/>
      <c r="AI581" s="579"/>
      <c r="AJ581" s="579"/>
      <c r="AK581" s="579"/>
      <c r="AL581" s="579"/>
      <c r="AM581" s="579"/>
      <c r="AN581" s="579"/>
      <c r="AO581" s="579"/>
      <c r="AP581" s="579"/>
      <c r="AQ581" s="579"/>
      <c r="AR581" s="579"/>
      <c r="AS581" s="579"/>
      <c r="AT581" s="579"/>
      <c r="AU581" s="579"/>
      <c r="AV581" s="579"/>
      <c r="AW581" s="579"/>
      <c r="AX581" s="579"/>
      <c r="AY581" s="579"/>
      <c r="AZ581" s="579"/>
      <c r="BA581" s="579"/>
      <c r="BB581" s="579"/>
      <c r="BC581" s="579"/>
      <c r="BD581" s="579"/>
      <c r="BE581" s="579"/>
      <c r="BF581" s="579"/>
      <c r="BG581" s="579"/>
      <c r="BH581" s="579"/>
      <c r="BI581" s="579"/>
      <c r="BJ581" s="579"/>
      <c r="BK581" s="579"/>
    </row>
    <row r="582" spans="1:63" s="245" customFormat="1" hidden="1">
      <c r="A582" s="243"/>
      <c r="B582" s="243" t="s">
        <v>2007</v>
      </c>
      <c r="C582" s="250" t="s">
        <v>1177</v>
      </c>
      <c r="D582" s="243"/>
      <c r="F582" s="245">
        <f t="shared" ref="F582:AD582" si="847">F560+F561+F562+F580+F581</f>
        <v>0</v>
      </c>
      <c r="G582" s="245">
        <f t="shared" si="847"/>
        <v>0</v>
      </c>
      <c r="H582" s="245">
        <f t="shared" si="847"/>
        <v>0</v>
      </c>
      <c r="I582" s="245">
        <f t="shared" si="847"/>
        <v>0</v>
      </c>
      <c r="J582" s="245">
        <f t="shared" si="847"/>
        <v>0</v>
      </c>
      <c r="K582" s="245">
        <f t="shared" si="847"/>
        <v>0</v>
      </c>
      <c r="L582" s="245">
        <f t="shared" si="847"/>
        <v>0</v>
      </c>
      <c r="M582" s="245">
        <f t="shared" si="847"/>
        <v>0</v>
      </c>
      <c r="N582" s="245">
        <f t="shared" si="847"/>
        <v>0</v>
      </c>
      <c r="O582" s="245">
        <f t="shared" si="847"/>
        <v>0</v>
      </c>
      <c r="P582" s="245">
        <f t="shared" si="847"/>
        <v>0</v>
      </c>
      <c r="Q582" s="245">
        <f t="shared" si="847"/>
        <v>0</v>
      </c>
      <c r="R582" s="245">
        <f t="shared" si="847"/>
        <v>0</v>
      </c>
      <c r="S582" s="245">
        <f t="shared" si="847"/>
        <v>0</v>
      </c>
      <c r="T582" s="245">
        <f t="shared" si="847"/>
        <v>0</v>
      </c>
      <c r="U582" s="245">
        <f t="shared" si="847"/>
        <v>0</v>
      </c>
      <c r="V582" s="245">
        <f t="shared" si="847"/>
        <v>0</v>
      </c>
      <c r="W582" s="245">
        <f t="shared" si="847"/>
        <v>0</v>
      </c>
      <c r="X582" s="245">
        <f t="shared" si="847"/>
        <v>0</v>
      </c>
      <c r="Y582" s="245">
        <f t="shared" si="847"/>
        <v>0</v>
      </c>
      <c r="Z582" s="245">
        <f t="shared" si="847"/>
        <v>0</v>
      </c>
      <c r="AA582" s="245">
        <f t="shared" si="847"/>
        <v>0</v>
      </c>
      <c r="AB582" s="245">
        <f t="shared" si="847"/>
        <v>0</v>
      </c>
      <c r="AC582" s="245">
        <f t="shared" si="847"/>
        <v>0</v>
      </c>
      <c r="AD582" s="245">
        <f t="shared" si="847"/>
        <v>0</v>
      </c>
      <c r="AF582" s="580">
        <f t="shared" ref="AF582:BK582" si="848">AF560+AF561+AF562+AF580+AF581</f>
        <v>0</v>
      </c>
      <c r="AG582" s="580">
        <f t="shared" si="848"/>
        <v>0</v>
      </c>
      <c r="AH582" s="580">
        <f t="shared" si="848"/>
        <v>0</v>
      </c>
      <c r="AI582" s="580">
        <f t="shared" si="848"/>
        <v>0</v>
      </c>
      <c r="AJ582" s="580">
        <f t="shared" si="848"/>
        <v>0</v>
      </c>
      <c r="AK582" s="580">
        <f t="shared" si="848"/>
        <v>0</v>
      </c>
      <c r="AL582" s="580">
        <f t="shared" si="848"/>
        <v>0</v>
      </c>
      <c r="AM582" s="580">
        <f t="shared" si="848"/>
        <v>0</v>
      </c>
      <c r="AN582" s="580">
        <f>AN560+AN561+AN562+AN580+AN581</f>
        <v>0</v>
      </c>
      <c r="AO582" s="580">
        <f t="shared" si="848"/>
        <v>0</v>
      </c>
      <c r="AP582" s="580">
        <f t="shared" si="848"/>
        <v>0</v>
      </c>
      <c r="AQ582" s="580">
        <f t="shared" si="848"/>
        <v>0</v>
      </c>
      <c r="AR582" s="580">
        <f t="shared" si="848"/>
        <v>0</v>
      </c>
      <c r="AS582" s="580">
        <f t="shared" si="848"/>
        <v>0</v>
      </c>
      <c r="AT582" s="580">
        <f t="shared" si="848"/>
        <v>0</v>
      </c>
      <c r="AU582" s="580">
        <f t="shared" si="848"/>
        <v>0</v>
      </c>
      <c r="AV582" s="580">
        <f t="shared" si="848"/>
        <v>0</v>
      </c>
      <c r="AW582" s="580">
        <f t="shared" si="848"/>
        <v>0</v>
      </c>
      <c r="AX582" s="580">
        <f t="shared" si="848"/>
        <v>0</v>
      </c>
      <c r="AY582" s="580">
        <f t="shared" si="848"/>
        <v>0</v>
      </c>
      <c r="AZ582" s="580">
        <f t="shared" si="848"/>
        <v>0</v>
      </c>
      <c r="BA582" s="580">
        <f t="shared" si="848"/>
        <v>0</v>
      </c>
      <c r="BB582" s="580">
        <f t="shared" si="848"/>
        <v>0</v>
      </c>
      <c r="BC582" s="580">
        <f t="shared" si="848"/>
        <v>0</v>
      </c>
      <c r="BD582" s="580">
        <f t="shared" si="848"/>
        <v>0</v>
      </c>
      <c r="BE582" s="580">
        <f t="shared" si="848"/>
        <v>0</v>
      </c>
      <c r="BF582" s="580">
        <f t="shared" si="848"/>
        <v>0</v>
      </c>
      <c r="BG582" s="580">
        <f t="shared" si="848"/>
        <v>0</v>
      </c>
      <c r="BH582" s="580">
        <f t="shared" si="848"/>
        <v>0</v>
      </c>
      <c r="BI582" s="580">
        <f t="shared" si="848"/>
        <v>0</v>
      </c>
      <c r="BJ582" s="580">
        <f t="shared" si="848"/>
        <v>0</v>
      </c>
      <c r="BK582" s="580">
        <f t="shared" si="848"/>
        <v>0</v>
      </c>
    </row>
    <row r="583" spans="1:63" s="240" customFormat="1" hidden="1">
      <c r="A583" s="209"/>
      <c r="B583" s="209"/>
      <c r="C583" s="209"/>
      <c r="D583" s="209"/>
      <c r="AF583" s="579"/>
      <c r="AG583" s="579"/>
      <c r="AH583" s="579"/>
      <c r="AI583" s="579"/>
      <c r="AJ583" s="579"/>
      <c r="AK583" s="579"/>
      <c r="AL583" s="579"/>
      <c r="AM583" s="579"/>
      <c r="AN583" s="579"/>
      <c r="AO583" s="579"/>
      <c r="AP583" s="579"/>
      <c r="AQ583" s="579"/>
      <c r="AR583" s="579"/>
      <c r="AS583" s="579"/>
      <c r="AT583" s="579"/>
      <c r="AU583" s="579"/>
      <c r="AV583" s="579"/>
      <c r="AW583" s="579"/>
      <c r="AX583" s="579"/>
      <c r="AY583" s="579"/>
      <c r="AZ583" s="579"/>
      <c r="BA583" s="579"/>
      <c r="BB583" s="579"/>
      <c r="BC583" s="579"/>
      <c r="BD583" s="579"/>
      <c r="BE583" s="579"/>
      <c r="BF583" s="579"/>
      <c r="BG583" s="579"/>
      <c r="BH583" s="579"/>
      <c r="BI583" s="579"/>
      <c r="BJ583" s="579"/>
      <c r="BK583" s="579"/>
    </row>
    <row r="584" spans="1:63" s="240" customFormat="1" hidden="1">
      <c r="A584" s="209"/>
      <c r="B584" s="209"/>
      <c r="C584" s="209"/>
      <c r="D584" s="209"/>
      <c r="AF584" s="579"/>
      <c r="AG584" s="579"/>
      <c r="AH584" s="579"/>
      <c r="AI584" s="579"/>
      <c r="AJ584" s="579"/>
      <c r="AK584" s="579"/>
      <c r="AL584" s="579"/>
      <c r="AM584" s="579"/>
      <c r="AN584" s="579"/>
      <c r="AO584" s="579"/>
      <c r="AP584" s="579"/>
      <c r="AQ584" s="579"/>
      <c r="AR584" s="579"/>
      <c r="AS584" s="579"/>
      <c r="AT584" s="579"/>
      <c r="AU584" s="579"/>
      <c r="AV584" s="579"/>
      <c r="AW584" s="579"/>
      <c r="AX584" s="579"/>
      <c r="AY584" s="579"/>
      <c r="AZ584" s="579"/>
      <c r="BA584" s="579"/>
      <c r="BB584" s="579"/>
      <c r="BC584" s="579"/>
      <c r="BD584" s="579"/>
      <c r="BE584" s="579"/>
      <c r="BF584" s="579"/>
      <c r="BG584" s="579"/>
      <c r="BH584" s="579"/>
      <c r="BI584" s="579"/>
      <c r="BJ584" s="579"/>
      <c r="BK584" s="579"/>
    </row>
    <row r="585" spans="1:63" s="240" customFormat="1">
      <c r="A585" s="209"/>
      <c r="B585" s="209"/>
      <c r="C585" s="275" t="s">
        <v>2008</v>
      </c>
      <c r="D585" s="209"/>
      <c r="AF585" s="579"/>
      <c r="AG585" s="579"/>
      <c r="AH585" s="579"/>
      <c r="AI585" s="579"/>
      <c r="AJ585" s="579"/>
      <c r="AK585" s="579"/>
      <c r="AL585" s="579"/>
      <c r="AM585" s="579"/>
      <c r="AN585" s="579"/>
      <c r="AO585" s="579"/>
      <c r="AP585" s="579"/>
      <c r="AQ585" s="579"/>
      <c r="AR585" s="579"/>
      <c r="AS585" s="579"/>
      <c r="AT585" s="579"/>
      <c r="AU585" s="579"/>
      <c r="AV585" s="579"/>
      <c r="AW585" s="579"/>
      <c r="AX585" s="579"/>
      <c r="AY585" s="579"/>
      <c r="AZ585" s="579"/>
      <c r="BA585" s="579"/>
      <c r="BB585" s="579"/>
      <c r="BC585" s="579"/>
      <c r="BD585" s="579"/>
      <c r="BE585" s="579"/>
      <c r="BF585" s="579"/>
      <c r="BG585" s="579"/>
      <c r="BH585" s="579"/>
      <c r="BI585" s="579"/>
      <c r="BJ585" s="579"/>
      <c r="BK585" s="579"/>
    </row>
    <row r="586" spans="1:63" s="245" customFormat="1">
      <c r="A586" s="243"/>
      <c r="B586" s="243" t="s">
        <v>2009</v>
      </c>
      <c r="C586" s="243" t="s">
        <v>2010</v>
      </c>
      <c r="D586" s="243"/>
      <c r="F586" s="245" t="e">
        <f t="shared" ref="F586:AC586" si="849">F505/F517</f>
        <v>#DIV/0!</v>
      </c>
      <c r="G586" s="245" t="e">
        <f t="shared" si="849"/>
        <v>#DIV/0!</v>
      </c>
      <c r="H586" s="245" t="e">
        <f t="shared" si="849"/>
        <v>#DIV/0!</v>
      </c>
      <c r="I586" s="245" t="e">
        <f t="shared" si="849"/>
        <v>#DIV/0!</v>
      </c>
      <c r="J586" s="245" t="e">
        <f t="shared" si="849"/>
        <v>#DIV/0!</v>
      </c>
      <c r="K586" s="245" t="e">
        <f t="shared" si="849"/>
        <v>#DIV/0!</v>
      </c>
      <c r="L586" s="245">
        <f t="shared" si="849"/>
        <v>11.877649360317564</v>
      </c>
      <c r="M586" s="245">
        <f t="shared" si="849"/>
        <v>7.3843937018116241</v>
      </c>
      <c r="N586" s="245">
        <f t="shared" si="849"/>
        <v>4.1701365967690469</v>
      </c>
      <c r="O586" s="245">
        <f t="shared" si="849"/>
        <v>6.0518299562956468</v>
      </c>
      <c r="P586" s="245">
        <f t="shared" si="849"/>
        <v>6.3887722934009563</v>
      </c>
      <c r="Q586" s="245">
        <f t="shared" si="849"/>
        <v>5.74391649746401</v>
      </c>
      <c r="R586" s="245">
        <f t="shared" si="849"/>
        <v>4.5012040418427821</v>
      </c>
      <c r="S586" s="245">
        <f t="shared" si="849"/>
        <v>10.142482719696241</v>
      </c>
      <c r="T586" s="245">
        <f t="shared" si="849"/>
        <v>13.921075041654706</v>
      </c>
      <c r="U586" s="245">
        <f t="shared" si="849"/>
        <v>16.420599693772989</v>
      </c>
      <c r="V586" s="245">
        <f t="shared" si="849"/>
        <v>18.390831132034325</v>
      </c>
      <c r="W586" s="245">
        <f t="shared" si="849"/>
        <v>20.394514896687244</v>
      </c>
      <c r="X586" s="245">
        <f t="shared" si="849"/>
        <v>23.57144915823509</v>
      </c>
      <c r="Y586" s="245">
        <f t="shared" si="849"/>
        <v>23.054113077571881</v>
      </c>
      <c r="Z586" s="245">
        <f t="shared" si="849"/>
        <v>48.398051719923018</v>
      </c>
      <c r="AA586" s="245">
        <f t="shared" si="849"/>
        <v>24.572945458677388</v>
      </c>
      <c r="AB586" s="245">
        <f t="shared" si="849"/>
        <v>25.082333156003731</v>
      </c>
      <c r="AC586" s="245">
        <f t="shared" si="849"/>
        <v>27.480325850540929</v>
      </c>
      <c r="AD586" s="245">
        <f t="shared" ref="AD586:BK586" si="850">AD505/AD517</f>
        <v>26.680303788593434</v>
      </c>
      <c r="AE586" s="245">
        <f t="shared" si="850"/>
        <v>24.826256979803688</v>
      </c>
      <c r="AF586" s="245">
        <f t="shared" si="850"/>
        <v>25.596213417824874</v>
      </c>
      <c r="AG586" s="245">
        <f t="shared" si="850"/>
        <v>28.294171187856836</v>
      </c>
      <c r="AH586" s="245">
        <f t="shared" si="850"/>
        <v>26.463623947193437</v>
      </c>
      <c r="AI586" s="245">
        <f t="shared" si="850"/>
        <v>25.492884434445937</v>
      </c>
      <c r="AJ586" s="245">
        <f t="shared" si="850"/>
        <v>28.930733018572731</v>
      </c>
      <c r="AK586" s="245">
        <f t="shared" si="850"/>
        <v>31.259609336267822</v>
      </c>
      <c r="AL586" s="245">
        <f t="shared" si="850"/>
        <v>26.400036880498678</v>
      </c>
      <c r="AM586" s="245">
        <f>AM505/AM517</f>
        <v>25.57236826781434</v>
      </c>
      <c r="AN586" s="245">
        <f>AN505/AN517</f>
        <v>21.485516905140038</v>
      </c>
      <c r="AO586" s="245">
        <f t="shared" si="850"/>
        <v>0</v>
      </c>
      <c r="AP586" s="245">
        <f t="shared" si="850"/>
        <v>0</v>
      </c>
      <c r="AQ586" s="245">
        <f t="shared" si="850"/>
        <v>0</v>
      </c>
      <c r="AR586" s="245">
        <f t="shared" si="850"/>
        <v>0</v>
      </c>
      <c r="AS586" s="245">
        <f t="shared" si="850"/>
        <v>0</v>
      </c>
      <c r="AT586" s="245">
        <f t="shared" si="850"/>
        <v>0</v>
      </c>
      <c r="AU586" s="245">
        <f t="shared" si="850"/>
        <v>0</v>
      </c>
      <c r="AV586" s="245">
        <f t="shared" si="850"/>
        <v>0</v>
      </c>
      <c r="AW586" s="245">
        <f t="shared" si="850"/>
        <v>0</v>
      </c>
      <c r="AX586" s="245">
        <f t="shared" si="850"/>
        <v>0</v>
      </c>
      <c r="AY586" s="245">
        <f t="shared" si="850"/>
        <v>0</v>
      </c>
      <c r="AZ586" s="245">
        <f t="shared" si="850"/>
        <v>0</v>
      </c>
      <c r="BA586" s="245">
        <f t="shared" si="850"/>
        <v>0</v>
      </c>
      <c r="BB586" s="245">
        <f t="shared" si="850"/>
        <v>0</v>
      </c>
      <c r="BC586" s="245">
        <f t="shared" si="850"/>
        <v>0</v>
      </c>
      <c r="BD586" s="245">
        <f t="shared" si="850"/>
        <v>0</v>
      </c>
      <c r="BE586" s="245">
        <f t="shared" si="850"/>
        <v>0</v>
      </c>
      <c r="BF586" s="245">
        <f t="shared" si="850"/>
        <v>0</v>
      </c>
      <c r="BG586" s="245">
        <f t="shared" si="850"/>
        <v>0</v>
      </c>
      <c r="BH586" s="245">
        <f t="shared" si="850"/>
        <v>0</v>
      </c>
      <c r="BI586" s="245">
        <f t="shared" si="850"/>
        <v>0</v>
      </c>
      <c r="BJ586" s="245">
        <f t="shared" si="850"/>
        <v>0</v>
      </c>
      <c r="BK586" s="245">
        <f t="shared" si="850"/>
        <v>0</v>
      </c>
    </row>
    <row r="587" spans="1:63" s="245" customFormat="1">
      <c r="A587" s="243"/>
      <c r="B587" s="243" t="s">
        <v>2011</v>
      </c>
      <c r="C587" s="243" t="s">
        <v>2012</v>
      </c>
      <c r="D587" s="243"/>
      <c r="F587" s="245" t="e">
        <f>F496/F517</f>
        <v>#DIV/0!</v>
      </c>
      <c r="G587" s="245" t="e">
        <f t="shared" ref="G587:AC587" si="851">G499/G517</f>
        <v>#DIV/0!</v>
      </c>
      <c r="H587" s="245" t="e">
        <f t="shared" si="851"/>
        <v>#DIV/0!</v>
      </c>
      <c r="I587" s="245" t="e">
        <f t="shared" si="851"/>
        <v>#DIV/0!</v>
      </c>
      <c r="J587" s="245" t="e">
        <f t="shared" si="851"/>
        <v>#DIV/0!</v>
      </c>
      <c r="K587" s="245" t="e">
        <f t="shared" si="851"/>
        <v>#DIV/0!</v>
      </c>
      <c r="L587" s="245">
        <f t="shared" si="851"/>
        <v>11.877649360317564</v>
      </c>
      <c r="M587" s="245">
        <f t="shared" si="851"/>
        <v>8.6224753601844419</v>
      </c>
      <c r="N587" s="245">
        <f t="shared" si="851"/>
        <v>5.4082182551418638</v>
      </c>
      <c r="O587" s="245">
        <f t="shared" si="851"/>
        <v>6.0518299562956468</v>
      </c>
      <c r="P587" s="245">
        <f t="shared" si="851"/>
        <v>7.8668260121695983</v>
      </c>
      <c r="Q587" s="245">
        <f t="shared" si="851"/>
        <v>7.221970216232652</v>
      </c>
      <c r="R587" s="245">
        <f t="shared" si="851"/>
        <v>6.9178581581273537</v>
      </c>
      <c r="S587" s="245">
        <f t="shared" si="851"/>
        <v>10.723544099807906</v>
      </c>
      <c r="T587" s="245">
        <f t="shared" si="851"/>
        <v>15.029736284390662</v>
      </c>
      <c r="U587" s="245">
        <f t="shared" si="851"/>
        <v>17.529019029189996</v>
      </c>
      <c r="V587" s="245">
        <f t="shared" si="851"/>
        <v>19.499492374770281</v>
      </c>
      <c r="W587" s="245">
        <f t="shared" si="851"/>
        <v>20.394514896687244</v>
      </c>
      <c r="X587" s="245">
        <f t="shared" si="851"/>
        <v>23.57144915823509</v>
      </c>
      <c r="Y587" s="245">
        <f t="shared" si="851"/>
        <v>23.054113077571881</v>
      </c>
      <c r="Z587" s="245">
        <f t="shared" si="851"/>
        <v>30.870656925588818</v>
      </c>
      <c r="AA587" s="245">
        <f t="shared" si="851"/>
        <v>24.572945458677388</v>
      </c>
      <c r="AB587" s="245">
        <f t="shared" si="851"/>
        <v>27.390370886080916</v>
      </c>
      <c r="AC587" s="245">
        <f t="shared" si="851"/>
        <v>28.904192329865353</v>
      </c>
      <c r="AD587" s="245">
        <f t="shared" ref="AD587:BK587" si="852">AD499/AD517</f>
        <v>26.528627899613412</v>
      </c>
      <c r="AE587" s="245">
        <f t="shared" si="852"/>
        <v>24.826256979803688</v>
      </c>
      <c r="AF587" s="245">
        <f t="shared" si="852"/>
        <v>25.596213417824874</v>
      </c>
      <c r="AG587" s="245">
        <f t="shared" si="852"/>
        <v>28.294171187856836</v>
      </c>
      <c r="AH587" s="245">
        <f t="shared" si="852"/>
        <v>26.463623947193437</v>
      </c>
      <c r="AI587" s="245">
        <f t="shared" si="852"/>
        <v>28.810470522867483</v>
      </c>
      <c r="AJ587" s="245">
        <f t="shared" si="852"/>
        <v>30.290943314825569</v>
      </c>
      <c r="AK587" s="245">
        <f t="shared" si="852"/>
        <v>27.958611178288383</v>
      </c>
      <c r="AL587" s="245">
        <f t="shared" si="852"/>
        <v>27.630308388288334</v>
      </c>
      <c r="AM587" s="245">
        <f>AM499/AM517</f>
        <v>27.895715275362058</v>
      </c>
      <c r="AN587" s="245">
        <f>AN499/AN517</f>
        <v>21.297865942013694</v>
      </c>
      <c r="AO587" s="245">
        <f t="shared" si="852"/>
        <v>0</v>
      </c>
      <c r="AP587" s="245">
        <f t="shared" si="852"/>
        <v>0</v>
      </c>
      <c r="AQ587" s="245">
        <f t="shared" si="852"/>
        <v>0</v>
      </c>
      <c r="AR587" s="245">
        <f t="shared" si="852"/>
        <v>0</v>
      </c>
      <c r="AS587" s="245">
        <f t="shared" si="852"/>
        <v>0</v>
      </c>
      <c r="AT587" s="245">
        <f t="shared" si="852"/>
        <v>0</v>
      </c>
      <c r="AU587" s="245">
        <f t="shared" si="852"/>
        <v>0</v>
      </c>
      <c r="AV587" s="245">
        <f t="shared" si="852"/>
        <v>0</v>
      </c>
      <c r="AW587" s="245">
        <f t="shared" si="852"/>
        <v>0</v>
      </c>
      <c r="AX587" s="245">
        <f t="shared" si="852"/>
        <v>0</v>
      </c>
      <c r="AY587" s="245">
        <f t="shared" si="852"/>
        <v>0</v>
      </c>
      <c r="AZ587" s="245">
        <f t="shared" si="852"/>
        <v>0</v>
      </c>
      <c r="BA587" s="245">
        <f t="shared" si="852"/>
        <v>0</v>
      </c>
      <c r="BB587" s="245">
        <f t="shared" si="852"/>
        <v>0</v>
      </c>
      <c r="BC587" s="245">
        <f t="shared" si="852"/>
        <v>0</v>
      </c>
      <c r="BD587" s="245">
        <f t="shared" si="852"/>
        <v>0</v>
      </c>
      <c r="BE587" s="245">
        <f t="shared" si="852"/>
        <v>0</v>
      </c>
      <c r="BF587" s="245">
        <f t="shared" si="852"/>
        <v>0</v>
      </c>
      <c r="BG587" s="245">
        <f t="shared" si="852"/>
        <v>0</v>
      </c>
      <c r="BH587" s="245">
        <f t="shared" si="852"/>
        <v>0</v>
      </c>
      <c r="BI587" s="245">
        <f t="shared" si="852"/>
        <v>0</v>
      </c>
      <c r="BJ587" s="245">
        <f t="shared" si="852"/>
        <v>0</v>
      </c>
      <c r="BK587" s="245">
        <f t="shared" si="852"/>
        <v>0</v>
      </c>
    </row>
    <row r="588" spans="1:63" s="248" customFormat="1">
      <c r="A588" s="247"/>
      <c r="B588" s="247" t="s">
        <v>2013</v>
      </c>
      <c r="C588" s="270" t="s">
        <v>2014</v>
      </c>
      <c r="D588" s="247"/>
      <c r="F588" s="249"/>
      <c r="G588" s="285"/>
      <c r="H588" s="249"/>
      <c r="I588" s="249"/>
      <c r="J588" s="249"/>
      <c r="K588" s="249"/>
      <c r="L588" s="249"/>
      <c r="M588" s="249"/>
      <c r="N588" s="249"/>
      <c r="O588" s="249"/>
      <c r="P588" s="249"/>
      <c r="Q588" s="249"/>
      <c r="R588" s="249"/>
      <c r="S588" s="249"/>
      <c r="T588" s="249"/>
      <c r="U588" s="249"/>
      <c r="V588" s="249"/>
      <c r="W588" s="249"/>
      <c r="X588" s="249"/>
      <c r="Y588" s="249"/>
      <c r="Z588" s="249"/>
      <c r="AA588" s="249"/>
      <c r="AB588" s="249"/>
      <c r="AC588" s="249"/>
      <c r="AD588" s="249"/>
      <c r="AE588" s="249"/>
      <c r="AF588" s="581"/>
      <c r="AG588" s="581"/>
      <c r="AH588" s="581"/>
      <c r="AI588" s="581"/>
      <c r="AJ588" s="581"/>
      <c r="AK588" s="581"/>
      <c r="AL588" s="581"/>
      <c r="AM588" s="581"/>
      <c r="AN588" s="581"/>
      <c r="AO588" s="581"/>
      <c r="AP588" s="581"/>
      <c r="AQ588" s="581"/>
      <c r="AR588" s="581"/>
      <c r="AS588" s="581"/>
      <c r="AT588" s="581"/>
      <c r="AU588" s="581"/>
      <c r="AV588" s="581"/>
      <c r="AW588" s="581"/>
      <c r="AX588" s="581"/>
      <c r="AY588" s="581"/>
      <c r="AZ588" s="581"/>
      <c r="BA588" s="581"/>
      <c r="BB588" s="581"/>
      <c r="BC588" s="581"/>
      <c r="BD588" s="581"/>
      <c r="BE588" s="581"/>
      <c r="BF588" s="581"/>
      <c r="BG588" s="581"/>
      <c r="BH588" s="581"/>
      <c r="BI588" s="581"/>
      <c r="BJ588" s="581"/>
      <c r="BK588" s="581"/>
    </row>
    <row r="589" spans="1:63" s="248" customFormat="1">
      <c r="A589" s="247"/>
      <c r="B589" s="247" t="s">
        <v>2015</v>
      </c>
      <c r="C589" s="270" t="s">
        <v>2016</v>
      </c>
      <c r="D589" s="247"/>
      <c r="F589" s="249"/>
      <c r="G589" s="285"/>
      <c r="H589" s="249"/>
      <c r="I589" s="249"/>
      <c r="J589" s="249"/>
      <c r="K589" s="249"/>
      <c r="L589" s="249"/>
      <c r="M589" s="249"/>
      <c r="N589" s="249"/>
      <c r="O589" s="249"/>
      <c r="P589" s="249"/>
      <c r="Q589" s="249"/>
      <c r="R589" s="249"/>
      <c r="S589" s="249"/>
      <c r="T589" s="249"/>
      <c r="U589" s="249"/>
      <c r="V589" s="249"/>
      <c r="W589" s="249"/>
      <c r="X589" s="249"/>
      <c r="Y589" s="249"/>
      <c r="Z589" s="249"/>
      <c r="AA589" s="249"/>
      <c r="AB589" s="249"/>
      <c r="AC589" s="249"/>
      <c r="AD589" s="249"/>
      <c r="AE589" s="249"/>
      <c r="AF589" s="581"/>
      <c r="AG589" s="581"/>
      <c r="AH589" s="581"/>
      <c r="AI589" s="581"/>
      <c r="AJ589" s="581"/>
      <c r="AK589" s="581"/>
      <c r="AL589" s="581"/>
      <c r="AM589" s="581"/>
      <c r="AN589" s="581"/>
      <c r="AO589" s="581"/>
      <c r="AP589" s="581"/>
      <c r="AQ589" s="581"/>
      <c r="AR589" s="581"/>
      <c r="AS589" s="581"/>
      <c r="AT589" s="581"/>
      <c r="AU589" s="581"/>
      <c r="AV589" s="581"/>
      <c r="AW589" s="581"/>
      <c r="AX589" s="581"/>
      <c r="AY589" s="581"/>
      <c r="AZ589" s="581"/>
      <c r="BA589" s="581"/>
      <c r="BB589" s="581"/>
      <c r="BC589" s="581"/>
      <c r="BD589" s="581"/>
      <c r="BE589" s="581"/>
      <c r="BF589" s="581"/>
      <c r="BG589" s="581"/>
      <c r="BH589" s="581"/>
      <c r="BI589" s="581"/>
      <c r="BJ589" s="581"/>
      <c r="BK589" s="581"/>
    </row>
    <row r="590" spans="1:63" s="245" customFormat="1">
      <c r="A590" s="243"/>
      <c r="B590" s="243" t="s">
        <v>2017</v>
      </c>
      <c r="C590" s="243" t="s">
        <v>2018</v>
      </c>
      <c r="D590" s="243"/>
      <c r="G590" s="279" t="e">
        <f t="shared" ref="G590:BK590" si="853">G492/G491*100</f>
        <v>#DIV/0!</v>
      </c>
      <c r="H590" s="279" t="e">
        <f t="shared" si="853"/>
        <v>#DIV/0!</v>
      </c>
      <c r="I590" s="279" t="e">
        <f t="shared" si="853"/>
        <v>#DIV/0!</v>
      </c>
      <c r="J590" s="279" t="e">
        <f t="shared" si="853"/>
        <v>#DIV/0!</v>
      </c>
      <c r="K590" s="279">
        <f t="shared" si="853"/>
        <v>31.201485495114301</v>
      </c>
      <c r="L590" s="279">
        <f t="shared" si="853"/>
        <v>27.67255892255892</v>
      </c>
      <c r="M590" s="279">
        <f t="shared" si="853"/>
        <v>31.860611191523073</v>
      </c>
      <c r="N590" s="279">
        <f t="shared" si="853"/>
        <v>34.46840584565134</v>
      </c>
      <c r="O590" s="279">
        <f t="shared" si="853"/>
        <v>32.935049019607817</v>
      </c>
      <c r="P590" s="279">
        <f t="shared" si="853"/>
        <v>30.37893384714193</v>
      </c>
      <c r="Q590" s="279">
        <f t="shared" si="853"/>
        <v>30.986427132525364</v>
      </c>
      <c r="R590" s="279">
        <f t="shared" si="853"/>
        <v>30.795823826315409</v>
      </c>
      <c r="S590" s="279">
        <f t="shared" si="853"/>
        <v>29.397738390480328</v>
      </c>
      <c r="T590" s="279">
        <f t="shared" si="853"/>
        <v>30.376364742419881</v>
      </c>
      <c r="U590" s="279">
        <f t="shared" si="853"/>
        <v>29.841295309124195</v>
      </c>
      <c r="V590" s="279">
        <f t="shared" si="853"/>
        <v>28.166645448758747</v>
      </c>
      <c r="W590" s="279">
        <f t="shared" si="853"/>
        <v>28.566240997397578</v>
      </c>
      <c r="X590" s="279">
        <f t="shared" si="853"/>
        <v>28.223260512691006</v>
      </c>
      <c r="Y590" s="279">
        <f t="shared" si="853"/>
        <v>27.282537606278606</v>
      </c>
      <c r="Z590" s="279">
        <f t="shared" si="853"/>
        <v>3.8909689497127378</v>
      </c>
      <c r="AA590" s="279">
        <f t="shared" si="853"/>
        <v>25.391895578452541</v>
      </c>
      <c r="AB590" s="279">
        <f t="shared" si="853"/>
        <v>26.079126290558762</v>
      </c>
      <c r="AC590" s="279">
        <f t="shared" si="853"/>
        <v>25.32547654122585</v>
      </c>
      <c r="AD590" s="279">
        <f t="shared" si="853"/>
        <v>25.390372148626206</v>
      </c>
      <c r="AE590" s="279">
        <f t="shared" si="853"/>
        <v>29.458262551674718</v>
      </c>
      <c r="AF590" s="580">
        <f t="shared" si="853"/>
        <v>28.827582230678317</v>
      </c>
      <c r="AG590" s="580">
        <f t="shared" si="853"/>
        <v>30.246387677208304</v>
      </c>
      <c r="AH590" s="580">
        <f t="shared" si="853"/>
        <v>25.898723643084544</v>
      </c>
      <c r="AI590" s="580">
        <f t="shared" si="853"/>
        <v>26.47222246721288</v>
      </c>
      <c r="AJ590" s="580">
        <f t="shared" si="853"/>
        <v>29.942852575630425</v>
      </c>
      <c r="AK590" s="580">
        <f t="shared" si="853"/>
        <v>33.432892311743032</v>
      </c>
      <c r="AL590" s="580">
        <f t="shared" si="853"/>
        <v>27.874102406812689</v>
      </c>
      <c r="AM590" s="580">
        <f>AM492/AM491*100</f>
        <v>29.335912879053154</v>
      </c>
      <c r="AN590" s="580">
        <f>AN492/AN491*100</f>
        <v>32.769341536850391</v>
      </c>
      <c r="AO590" s="580" t="e">
        <f t="shared" si="853"/>
        <v>#DIV/0!</v>
      </c>
      <c r="AP590" s="580" t="e">
        <f t="shared" si="853"/>
        <v>#DIV/0!</v>
      </c>
      <c r="AQ590" s="580" t="e">
        <f t="shared" si="853"/>
        <v>#DIV/0!</v>
      </c>
      <c r="AR590" s="580" t="e">
        <f t="shared" si="853"/>
        <v>#DIV/0!</v>
      </c>
      <c r="AS590" s="580" t="e">
        <f t="shared" si="853"/>
        <v>#DIV/0!</v>
      </c>
      <c r="AT590" s="580" t="e">
        <f t="shared" si="853"/>
        <v>#DIV/0!</v>
      </c>
      <c r="AU590" s="580" t="e">
        <f t="shared" si="853"/>
        <v>#DIV/0!</v>
      </c>
      <c r="AV590" s="580" t="e">
        <f t="shared" si="853"/>
        <v>#DIV/0!</v>
      </c>
      <c r="AW590" s="580" t="e">
        <f t="shared" si="853"/>
        <v>#DIV/0!</v>
      </c>
      <c r="AX590" s="580" t="e">
        <f t="shared" si="853"/>
        <v>#DIV/0!</v>
      </c>
      <c r="AY590" s="580" t="e">
        <f t="shared" si="853"/>
        <v>#DIV/0!</v>
      </c>
      <c r="AZ590" s="580" t="e">
        <f t="shared" si="853"/>
        <v>#DIV/0!</v>
      </c>
      <c r="BA590" s="580" t="e">
        <f t="shared" si="853"/>
        <v>#DIV/0!</v>
      </c>
      <c r="BB590" s="580" t="e">
        <f t="shared" si="853"/>
        <v>#DIV/0!</v>
      </c>
      <c r="BC590" s="580" t="e">
        <f t="shared" si="853"/>
        <v>#DIV/0!</v>
      </c>
      <c r="BD590" s="580" t="e">
        <f t="shared" si="853"/>
        <v>#DIV/0!</v>
      </c>
      <c r="BE590" s="580" t="e">
        <f t="shared" si="853"/>
        <v>#DIV/0!</v>
      </c>
      <c r="BF590" s="580" t="e">
        <f t="shared" si="853"/>
        <v>#DIV/0!</v>
      </c>
      <c r="BG590" s="580" t="e">
        <f t="shared" si="853"/>
        <v>#DIV/0!</v>
      </c>
      <c r="BH590" s="580" t="e">
        <f t="shared" si="853"/>
        <v>#DIV/0!</v>
      </c>
      <c r="BI590" s="580" t="e">
        <f t="shared" si="853"/>
        <v>#DIV/0!</v>
      </c>
      <c r="BJ590" s="580" t="e">
        <f t="shared" si="853"/>
        <v>#DIV/0!</v>
      </c>
      <c r="BK590" s="580" t="e">
        <f t="shared" si="853"/>
        <v>#DIV/0!</v>
      </c>
    </row>
    <row r="591" spans="1:63" s="240" customFormat="1">
      <c r="A591" s="209"/>
      <c r="B591" s="209"/>
      <c r="C591" s="209"/>
      <c r="D591" s="209"/>
      <c r="AF591" s="579"/>
      <c r="AG591" s="579"/>
      <c r="AH591" s="579"/>
      <c r="AI591" s="579"/>
      <c r="AJ591" s="579"/>
      <c r="AK591" s="579"/>
      <c r="AL591" s="579"/>
      <c r="AM591" s="579"/>
      <c r="AN591" s="579"/>
      <c r="AO591" s="579"/>
      <c r="AP591" s="579"/>
      <c r="AQ591" s="579"/>
      <c r="AR591" s="579"/>
      <c r="AS591" s="579"/>
      <c r="AT591" s="579"/>
      <c r="AU591" s="579"/>
      <c r="AV591" s="579"/>
      <c r="AW591" s="579"/>
      <c r="AX591" s="579"/>
      <c r="AY591" s="579"/>
      <c r="AZ591" s="579"/>
      <c r="BA591" s="579"/>
      <c r="BB591" s="579"/>
      <c r="BC591" s="579"/>
      <c r="BD591" s="579"/>
      <c r="BE591" s="579"/>
      <c r="BF591" s="579"/>
      <c r="BG591" s="579"/>
      <c r="BH591" s="579"/>
      <c r="BI591" s="579"/>
      <c r="BJ591" s="579"/>
      <c r="BK591" s="579"/>
    </row>
    <row r="592" spans="1:63" s="240" customFormat="1">
      <c r="A592" s="209"/>
      <c r="B592" s="209"/>
      <c r="C592" s="275" t="s">
        <v>2019</v>
      </c>
      <c r="D592" s="209"/>
      <c r="AF592" s="579"/>
      <c r="AG592" s="579"/>
      <c r="AH592" s="579"/>
      <c r="AI592" s="579"/>
      <c r="AJ592" s="579"/>
      <c r="AK592" s="579"/>
      <c r="AL592" s="579"/>
      <c r="AM592" s="579"/>
      <c r="AN592" s="579"/>
      <c r="AO592" s="579"/>
      <c r="AP592" s="579"/>
      <c r="AQ592" s="579"/>
      <c r="AR592" s="579"/>
      <c r="AS592" s="579"/>
      <c r="AT592" s="579"/>
      <c r="AU592" s="579"/>
      <c r="AV592" s="579"/>
      <c r="AW592" s="579"/>
      <c r="AX592" s="579"/>
      <c r="AY592" s="579"/>
      <c r="AZ592" s="579"/>
      <c r="BA592" s="579"/>
      <c r="BB592" s="579"/>
      <c r="BC592" s="579"/>
      <c r="BD592" s="579"/>
      <c r="BE592" s="579"/>
      <c r="BF592" s="579"/>
      <c r="BG592" s="579"/>
      <c r="BH592" s="579"/>
      <c r="BI592" s="579"/>
      <c r="BJ592" s="579"/>
      <c r="BK592" s="579"/>
    </row>
    <row r="593" spans="1:71" s="245" customFormat="1">
      <c r="A593" s="243"/>
      <c r="B593" s="243" t="s">
        <v>2020</v>
      </c>
      <c r="C593" s="243" t="s">
        <v>2021</v>
      </c>
      <c r="D593" s="243"/>
      <c r="G593" s="245" t="e">
        <f t="shared" ref="G593:AE593" si="854">(G444/C444-1)*100</f>
        <v>#VALUE!</v>
      </c>
      <c r="H593" s="245" t="e">
        <f t="shared" si="854"/>
        <v>#DIV/0!</v>
      </c>
      <c r="I593" s="245" t="e">
        <f t="shared" si="854"/>
        <v>#DIV/0!</v>
      </c>
      <c r="J593" s="245" t="e">
        <f t="shared" si="854"/>
        <v>#DIV/0!</v>
      </c>
      <c r="K593" s="245" t="e">
        <f t="shared" si="854"/>
        <v>#DIV/0!</v>
      </c>
      <c r="L593" s="245" t="e">
        <f t="shared" si="854"/>
        <v>#DIV/0!</v>
      </c>
      <c r="M593" s="245" t="e">
        <f t="shared" si="854"/>
        <v>#DIV/0!</v>
      </c>
      <c r="N593" s="245" t="e">
        <f t="shared" si="854"/>
        <v>#DIV/0!</v>
      </c>
      <c r="O593" s="245">
        <f t="shared" si="854"/>
        <v>9.5852796813126862</v>
      </c>
      <c r="P593" s="245">
        <f t="shared" si="854"/>
        <v>7.9011101608081891</v>
      </c>
      <c r="Q593" s="245">
        <f t="shared" si="854"/>
        <v>-15.91804097951024</v>
      </c>
      <c r="R593" s="245">
        <f t="shared" si="854"/>
        <v>-9.2091879775362031</v>
      </c>
      <c r="S593" s="245">
        <f t="shared" si="854"/>
        <v>1.1987346209272109</v>
      </c>
      <c r="T593" s="245">
        <f t="shared" si="854"/>
        <v>13.305446882982853</v>
      </c>
      <c r="U593" s="245">
        <f t="shared" si="854"/>
        <v>56.699633873805347</v>
      </c>
      <c r="V593" s="245">
        <f t="shared" si="854"/>
        <v>80.494422350948525</v>
      </c>
      <c r="W593" s="245">
        <f t="shared" si="854"/>
        <v>66.350648073312897</v>
      </c>
      <c r="X593" s="245">
        <f t="shared" si="854"/>
        <v>50.365539859602215</v>
      </c>
      <c r="Y593" s="245">
        <f t="shared" si="854"/>
        <v>26.749101060521021</v>
      </c>
      <c r="Z593" s="245">
        <f t="shared" si="854"/>
        <v>21.925311447440031</v>
      </c>
      <c r="AA593" s="245">
        <f t="shared" si="854"/>
        <v>20.982452712811629</v>
      </c>
      <c r="AB593" s="245">
        <f t="shared" si="854"/>
        <v>21.314563938624829</v>
      </c>
      <c r="AC593" s="245">
        <f t="shared" si="854"/>
        <v>19.363047870761395</v>
      </c>
      <c r="AD593" s="245">
        <f t="shared" si="854"/>
        <v>12.223779733110728</v>
      </c>
      <c r="AE593" s="245">
        <f t="shared" si="854"/>
        <v>3.3863191601027465</v>
      </c>
      <c r="AF593" s="580"/>
      <c r="AG593" s="580"/>
      <c r="AH593" s="580"/>
      <c r="AI593" s="580"/>
      <c r="AJ593" s="580">
        <f t="shared" ref="AJ593:BK593" si="855">(AJ37/AF37-1)*100</f>
        <v>-7.5617662281060145</v>
      </c>
      <c r="AK593" s="580">
        <f t="shared" si="855"/>
        <v>-7.8753022409964064</v>
      </c>
      <c r="AL593" s="580">
        <f t="shared" si="855"/>
        <v>-6.6049380312510948</v>
      </c>
      <c r="AM593" s="580">
        <f t="shared" si="855"/>
        <v>-14.224460245077919</v>
      </c>
      <c r="AN593" s="580">
        <f t="shared" si="855"/>
        <v>8.713717400913513</v>
      </c>
      <c r="AO593" s="580">
        <f t="shared" si="855"/>
        <v>9.2062402801976759</v>
      </c>
      <c r="AP593" s="580">
        <f t="shared" si="855"/>
        <v>-16.419994997081634</v>
      </c>
      <c r="AQ593" s="580">
        <f t="shared" si="855"/>
        <v>-9.9231025064753009</v>
      </c>
      <c r="AR593" s="580">
        <f t="shared" si="855"/>
        <v>2.054194224583461</v>
      </c>
      <c r="AS593" s="580">
        <f t="shared" si="855"/>
        <v>13.975019688011315</v>
      </c>
      <c r="AT593" s="580">
        <f t="shared" si="855"/>
        <v>57.916947250280579</v>
      </c>
      <c r="AU593" s="580">
        <f t="shared" si="855"/>
        <v>84.076999675531724</v>
      </c>
      <c r="AV593" s="580">
        <f t="shared" si="855"/>
        <v>65.44075006972146</v>
      </c>
      <c r="AW593" s="580">
        <f t="shared" si="855"/>
        <v>49.680655301050415</v>
      </c>
      <c r="AX593" s="580">
        <f t="shared" si="855"/>
        <v>27.238900260278488</v>
      </c>
      <c r="AY593" s="580">
        <f t="shared" si="855"/>
        <v>22.483550882098193</v>
      </c>
      <c r="AZ593" s="580">
        <f t="shared" si="855"/>
        <v>21.354778462468804</v>
      </c>
      <c r="BA593" s="580">
        <f t="shared" si="855"/>
        <v>20.702909175275241</v>
      </c>
      <c r="BB593" s="580">
        <f t="shared" si="855"/>
        <v>20.152277207076132</v>
      </c>
      <c r="BC593" s="580">
        <f t="shared" si="855"/>
        <v>12.041158634926784</v>
      </c>
      <c r="BD593" s="580">
        <f t="shared" si="855"/>
        <v>3.9304314081730629</v>
      </c>
      <c r="BE593" s="580">
        <f t="shared" si="855"/>
        <v>-4.545940933086035</v>
      </c>
      <c r="BF593" s="580">
        <f t="shared" si="855"/>
        <v>9.6540253515015717</v>
      </c>
      <c r="BG593" s="580">
        <f t="shared" si="855"/>
        <v>3.0007418808340125</v>
      </c>
      <c r="BH593" s="580">
        <f t="shared" si="855"/>
        <v>2.0173369200872315</v>
      </c>
      <c r="BI593" s="580">
        <f t="shared" si="855"/>
        <v>5.0740387829116163</v>
      </c>
      <c r="BJ593" s="580">
        <f t="shared" si="855"/>
        <v>-5.3218269520651234</v>
      </c>
      <c r="BK593" s="580">
        <f t="shared" si="855"/>
        <v>3.6897044753335217</v>
      </c>
      <c r="BL593" s="580">
        <f t="shared" ref="BL593:BS593" si="856">(BL37/BH37-1)*100</f>
        <v>6.7510548523206593</v>
      </c>
      <c r="BM593" s="580">
        <f t="shared" si="856"/>
        <v>15.121239002744247</v>
      </c>
      <c r="BN593" s="580">
        <f t="shared" si="856"/>
        <v>9.8561921365398533</v>
      </c>
      <c r="BO593" s="580">
        <f t="shared" si="856"/>
        <v>-4.1255240883661726</v>
      </c>
      <c r="BP593" s="580">
        <f t="shared" si="856"/>
        <v>6.9638463621363833</v>
      </c>
      <c r="BQ593" s="580">
        <f t="shared" si="856"/>
        <v>2.3329929550271578</v>
      </c>
      <c r="BR593" s="580">
        <f t="shared" si="856"/>
        <v>-1.3384033724576527</v>
      </c>
      <c r="BS593" s="580">
        <f t="shared" si="856"/>
        <v>13.587819278932445</v>
      </c>
    </row>
    <row r="594" spans="1:71" s="245" customFormat="1">
      <c r="A594" s="243"/>
      <c r="B594" s="243" t="s">
        <v>2022</v>
      </c>
      <c r="C594" s="243" t="s">
        <v>1351</v>
      </c>
      <c r="D594" s="243"/>
      <c r="G594" s="245" t="e">
        <f t="shared" ref="G594:AE594" si="857">(G446/C446-1)*100</f>
        <v>#VALUE!</v>
      </c>
      <c r="H594" s="245" t="e">
        <f t="shared" si="857"/>
        <v>#DIV/0!</v>
      </c>
      <c r="I594" s="245" t="e">
        <f t="shared" si="857"/>
        <v>#DIV/0!</v>
      </c>
      <c r="J594" s="245" t="e">
        <f t="shared" si="857"/>
        <v>#DIV/0!</v>
      </c>
      <c r="K594" s="245" t="e">
        <f t="shared" si="857"/>
        <v>#DIV/0!</v>
      </c>
      <c r="L594" s="245" t="e">
        <f t="shared" si="857"/>
        <v>#DIV/0!</v>
      </c>
      <c r="M594" s="245" t="e">
        <f t="shared" si="857"/>
        <v>#DIV/0!</v>
      </c>
      <c r="N594" s="245" t="e">
        <f t="shared" si="857"/>
        <v>#DIV/0!</v>
      </c>
      <c r="O594" s="245">
        <f t="shared" si="857"/>
        <v>9.5852796813126862</v>
      </c>
      <c r="P594" s="245">
        <f t="shared" si="857"/>
        <v>7.9011101608081891</v>
      </c>
      <c r="Q594" s="245">
        <f t="shared" si="857"/>
        <v>-15.91804097951024</v>
      </c>
      <c r="R594" s="245">
        <f t="shared" si="857"/>
        <v>-9.2091879775362031</v>
      </c>
      <c r="S594" s="245">
        <f t="shared" si="857"/>
        <v>1.1987346209272109</v>
      </c>
      <c r="T594" s="245">
        <f t="shared" si="857"/>
        <v>13.305446882982853</v>
      </c>
      <c r="U594" s="245">
        <f t="shared" si="857"/>
        <v>56.699633873805347</v>
      </c>
      <c r="V594" s="245">
        <f t="shared" si="857"/>
        <v>80.494422350948525</v>
      </c>
      <c r="W594" s="245">
        <f t="shared" si="857"/>
        <v>66.350648073312897</v>
      </c>
      <c r="X594" s="245">
        <f t="shared" si="857"/>
        <v>50.365539859602215</v>
      </c>
      <c r="Y594" s="245">
        <f t="shared" si="857"/>
        <v>26.749101060521021</v>
      </c>
      <c r="Z594" s="245">
        <f t="shared" si="857"/>
        <v>21.925311447440031</v>
      </c>
      <c r="AA594" s="245">
        <f t="shared" si="857"/>
        <v>20.982452712811629</v>
      </c>
      <c r="AB594" s="245">
        <f t="shared" si="857"/>
        <v>21.314563938624829</v>
      </c>
      <c r="AC594" s="245">
        <f t="shared" si="857"/>
        <v>19.363047870761395</v>
      </c>
      <c r="AD594" s="245">
        <f t="shared" si="857"/>
        <v>12.223779733110728</v>
      </c>
      <c r="AE594" s="245">
        <f t="shared" si="857"/>
        <v>3.3863191601027465</v>
      </c>
      <c r="AF594" s="580"/>
      <c r="AG594" s="580"/>
      <c r="AH594" s="580"/>
      <c r="AI594" s="580"/>
      <c r="AJ594" s="580">
        <f t="shared" ref="AJ594:BK594" si="858">(AJ40/AF40-1)*100</f>
        <v>-4.2680213923165571</v>
      </c>
      <c r="AK594" s="580">
        <f t="shared" si="858"/>
        <v>-3.0439619535544415</v>
      </c>
      <c r="AL594" s="580">
        <f t="shared" si="858"/>
        <v>-2.6080218672003608</v>
      </c>
      <c r="AM594" s="580">
        <f t="shared" si="858"/>
        <v>-10.334766916643257</v>
      </c>
      <c r="AN594" s="580">
        <f t="shared" si="858"/>
        <v>9.5852796813126862</v>
      </c>
      <c r="AO594" s="580">
        <f t="shared" si="858"/>
        <v>7.9011101608081891</v>
      </c>
      <c r="AP594" s="580">
        <f t="shared" si="858"/>
        <v>-15.91804097951024</v>
      </c>
      <c r="AQ594" s="580">
        <f t="shared" si="858"/>
        <v>-9.2091879775362031</v>
      </c>
      <c r="AR594" s="580">
        <f t="shared" si="858"/>
        <v>1.1987346209272109</v>
      </c>
      <c r="AS594" s="580">
        <f t="shared" si="858"/>
        <v>13.305446882982853</v>
      </c>
      <c r="AT594" s="580">
        <f t="shared" si="858"/>
        <v>56.699633873805347</v>
      </c>
      <c r="AU594" s="580">
        <f t="shared" si="858"/>
        <v>80.494422350948525</v>
      </c>
      <c r="AV594" s="580">
        <f t="shared" si="858"/>
        <v>66.350648073312897</v>
      </c>
      <c r="AW594" s="580">
        <f t="shared" si="858"/>
        <v>50.365539859602215</v>
      </c>
      <c r="AX594" s="580">
        <f t="shared" si="858"/>
        <v>26.749101060521021</v>
      </c>
      <c r="AY594" s="580">
        <f t="shared" si="858"/>
        <v>21.925311447440031</v>
      </c>
      <c r="AZ594" s="580">
        <f t="shared" si="858"/>
        <v>20.982452712811629</v>
      </c>
      <c r="BA594" s="580">
        <f t="shared" si="858"/>
        <v>21.314563938624829</v>
      </c>
      <c r="BB594" s="580">
        <f t="shared" si="858"/>
        <v>19.363047870761395</v>
      </c>
      <c r="BC594" s="580">
        <f t="shared" si="858"/>
        <v>12.223779733110728</v>
      </c>
      <c r="BD594" s="580">
        <f t="shared" si="858"/>
        <v>3.3863191601027465</v>
      </c>
      <c r="BE594" s="580">
        <f t="shared" si="858"/>
        <v>-5.5979769367754724</v>
      </c>
      <c r="BF594" s="580">
        <f t="shared" si="858"/>
        <v>8.5605578943779292</v>
      </c>
      <c r="BG594" s="580">
        <f t="shared" si="858"/>
        <v>2.0432382230019197</v>
      </c>
      <c r="BH594" s="580">
        <f t="shared" si="858"/>
        <v>0.93368628305308121</v>
      </c>
      <c r="BI594" s="580">
        <f t="shared" si="858"/>
        <v>4.0722789799694237</v>
      </c>
      <c r="BJ594" s="580">
        <f t="shared" si="858"/>
        <v>-5.2001677533065616</v>
      </c>
      <c r="BK594" s="580">
        <f t="shared" si="858"/>
        <v>3.9146904653553749</v>
      </c>
      <c r="BL594" s="580">
        <f t="shared" ref="BL594:BS594" si="859">(BL40/BH40-1)*100</f>
        <v>6.9499846266307452</v>
      </c>
      <c r="BM594" s="580">
        <f t="shared" si="859"/>
        <v>15.231241630256864</v>
      </c>
      <c r="BN594" s="580">
        <f t="shared" si="859"/>
        <v>10.249569304885364</v>
      </c>
      <c r="BO594" s="580">
        <f t="shared" si="859"/>
        <v>-3.9119759787036079</v>
      </c>
      <c r="BP594" s="580">
        <f t="shared" si="859"/>
        <v>6.604016061198581</v>
      </c>
      <c r="BQ594" s="580">
        <f t="shared" si="859"/>
        <v>1.9595545262607095</v>
      </c>
      <c r="BR594" s="580">
        <f t="shared" si="859"/>
        <v>-1.9327685043935339</v>
      </c>
      <c r="BS594" s="580">
        <f t="shared" si="859"/>
        <v>13.085155316985064</v>
      </c>
    </row>
    <row r="595" spans="1:71" s="245" customFormat="1">
      <c r="A595" s="243"/>
      <c r="B595" s="243" t="s">
        <v>2026</v>
      </c>
      <c r="C595" s="243" t="s">
        <v>2027</v>
      </c>
      <c r="D595" s="243"/>
      <c r="G595" s="245" t="e">
        <f t="shared" ref="G595:AE595" si="860">(G482/C482-1)*100</f>
        <v>#VALUE!</v>
      </c>
      <c r="H595" s="245" t="e">
        <f t="shared" si="860"/>
        <v>#DIV/0!</v>
      </c>
      <c r="I595" s="245" t="e">
        <f t="shared" si="860"/>
        <v>#DIV/0!</v>
      </c>
      <c r="J595" s="245" t="e">
        <f t="shared" si="860"/>
        <v>#DIV/0!</v>
      </c>
      <c r="K595" s="245" t="e">
        <f t="shared" si="860"/>
        <v>#DIV/0!</v>
      </c>
      <c r="L595" s="245" t="e">
        <f t="shared" si="860"/>
        <v>#DIV/0!</v>
      </c>
      <c r="M595" s="245" t="e">
        <f t="shared" si="860"/>
        <v>#DIV/0!</v>
      </c>
      <c r="N595" s="245" t="e">
        <f t="shared" si="860"/>
        <v>#DIV/0!</v>
      </c>
      <c r="O595" s="245">
        <f t="shared" si="860"/>
        <v>-2.9501636958893629</v>
      </c>
      <c r="P595" s="245">
        <f t="shared" si="860"/>
        <v>-9.0543578891680845</v>
      </c>
      <c r="Q595" s="245">
        <f t="shared" si="860"/>
        <v>-16.660308463676543</v>
      </c>
      <c r="R595" s="245">
        <f t="shared" si="860"/>
        <v>15.777803264900436</v>
      </c>
      <c r="S595" s="245">
        <f t="shared" si="860"/>
        <v>70.703549608305963</v>
      </c>
      <c r="T595" s="245">
        <f t="shared" si="860"/>
        <v>85.128846489442083</v>
      </c>
      <c r="U595" s="245">
        <f t="shared" si="860"/>
        <v>136.57140988752317</v>
      </c>
      <c r="V595" s="245">
        <f t="shared" si="860"/>
        <v>156.60414740456994</v>
      </c>
      <c r="W595" s="245">
        <f t="shared" si="860"/>
        <v>70.596372579157716</v>
      </c>
      <c r="X595" s="245">
        <f t="shared" si="860"/>
        <v>40.951438312045354</v>
      </c>
      <c r="Y595" s="245">
        <f t="shared" si="860"/>
        <v>17.385595621466997</v>
      </c>
      <c r="Z595" s="245">
        <f t="shared" si="860"/>
        <v>3.3856646506240873</v>
      </c>
      <c r="AA595" s="245">
        <f t="shared" si="860"/>
        <v>8.0972545789197667</v>
      </c>
      <c r="AB595" s="245">
        <f t="shared" si="860"/>
        <v>17.856147664322265</v>
      </c>
      <c r="AC595" s="245">
        <f t="shared" si="860"/>
        <v>15.87269815852672</v>
      </c>
      <c r="AD595" s="245">
        <f t="shared" si="860"/>
        <v>14.585330030743894</v>
      </c>
      <c r="AE595" s="245">
        <f t="shared" si="860"/>
        <v>3.7935797294720963</v>
      </c>
      <c r="AF595" s="580"/>
      <c r="AG595" s="580"/>
      <c r="AH595" s="580"/>
      <c r="AI595" s="580"/>
      <c r="AJ595" s="580">
        <f t="shared" ref="AJ595:BK595" si="861">(AJ77/AF77-1)*100</f>
        <v>-23.784967700795654</v>
      </c>
      <c r="AK595" s="580">
        <f t="shared" si="861"/>
        <v>3.5214545852844337</v>
      </c>
      <c r="AL595" s="580">
        <f t="shared" si="861"/>
        <v>0.92404158187113783</v>
      </c>
      <c r="AM595" s="580">
        <f t="shared" si="861"/>
        <v>-19.835116001103238</v>
      </c>
      <c r="AN595" s="580">
        <f t="shared" si="861"/>
        <v>-2.9501636958893629</v>
      </c>
      <c r="AO595" s="580">
        <f t="shared" si="861"/>
        <v>-9.0543578891680845</v>
      </c>
      <c r="AP595" s="580">
        <f t="shared" si="861"/>
        <v>-16.660308463676543</v>
      </c>
      <c r="AQ595" s="580">
        <f t="shared" si="861"/>
        <v>15.777803264900436</v>
      </c>
      <c r="AR595" s="580">
        <f t="shared" si="861"/>
        <v>70.703549608305963</v>
      </c>
      <c r="AS595" s="580">
        <f t="shared" si="861"/>
        <v>85.128846489442083</v>
      </c>
      <c r="AT595" s="580">
        <f t="shared" si="861"/>
        <v>136.57140988752317</v>
      </c>
      <c r="AU595" s="580">
        <f t="shared" si="861"/>
        <v>156.60414740456994</v>
      </c>
      <c r="AV595" s="580">
        <f t="shared" si="861"/>
        <v>70.596372579157716</v>
      </c>
      <c r="AW595" s="580">
        <f t="shared" si="861"/>
        <v>40.951438312045354</v>
      </c>
      <c r="AX595" s="580">
        <f t="shared" si="861"/>
        <v>17.385595621466997</v>
      </c>
      <c r="AY595" s="580">
        <f t="shared" si="861"/>
        <v>3.3856646506240873</v>
      </c>
      <c r="AZ595" s="580">
        <f t="shared" si="861"/>
        <v>8.0972545789197667</v>
      </c>
      <c r="BA595" s="580">
        <f t="shared" si="861"/>
        <v>17.856147664322265</v>
      </c>
      <c r="BB595" s="580">
        <f t="shared" si="861"/>
        <v>15.87269815852672</v>
      </c>
      <c r="BC595" s="580">
        <f t="shared" si="861"/>
        <v>14.585330030743894</v>
      </c>
      <c r="BD595" s="580">
        <f t="shared" si="861"/>
        <v>3.7935797294720963</v>
      </c>
      <c r="BE595" s="580">
        <f t="shared" si="861"/>
        <v>-13.44467877847867</v>
      </c>
      <c r="BF595" s="580">
        <f t="shared" si="861"/>
        <v>2.8065397864103003</v>
      </c>
      <c r="BG595" s="580">
        <f t="shared" si="861"/>
        <v>-9.1245831477638646</v>
      </c>
      <c r="BH595" s="580">
        <f t="shared" si="861"/>
        <v>15.029253183434822</v>
      </c>
      <c r="BI595" s="580">
        <f t="shared" si="861"/>
        <v>27.983741436391639</v>
      </c>
      <c r="BJ595" s="580">
        <f t="shared" si="861"/>
        <v>2.7585866073635446</v>
      </c>
      <c r="BK595" s="580">
        <f t="shared" si="861"/>
        <v>15.750845695023807</v>
      </c>
      <c r="BL595" s="580">
        <f t="shared" ref="BL595:BS595" si="862">(BL77/BH77-1)*100</f>
        <v>-1.0322027306001402</v>
      </c>
      <c r="BM595" s="580">
        <f t="shared" si="862"/>
        <v>1.952498036403405</v>
      </c>
      <c r="BN595" s="580">
        <f t="shared" si="862"/>
        <v>10.405324817728822</v>
      </c>
      <c r="BO595" s="580">
        <f t="shared" si="862"/>
        <v>-14.04229831880709</v>
      </c>
      <c r="BP595" s="580">
        <f t="shared" si="862"/>
        <v>14.901850135031601</v>
      </c>
      <c r="BQ595" s="580">
        <f t="shared" si="862"/>
        <v>10.261348696606021</v>
      </c>
      <c r="BR595" s="580">
        <f t="shared" si="862"/>
        <v>2.0725885140786993</v>
      </c>
      <c r="BS595" s="580">
        <f t="shared" si="862"/>
        <v>38.561714601504171</v>
      </c>
    </row>
    <row r="596" spans="1:71" s="245" customFormat="1">
      <c r="A596" s="243"/>
      <c r="B596" s="243" t="s">
        <v>2028</v>
      </c>
      <c r="C596" s="243" t="s">
        <v>2029</v>
      </c>
      <c r="D596" s="243"/>
      <c r="G596" s="245" t="e">
        <f t="shared" ref="G596:AE596" si="863">(G485/C485-1)*100</f>
        <v>#VALUE!</v>
      </c>
      <c r="H596" s="245" t="e">
        <f t="shared" si="863"/>
        <v>#DIV/0!</v>
      </c>
      <c r="I596" s="245" t="e">
        <f t="shared" si="863"/>
        <v>#DIV/0!</v>
      </c>
      <c r="J596" s="245" t="e">
        <f t="shared" si="863"/>
        <v>#DIV/0!</v>
      </c>
      <c r="K596" s="245" t="e">
        <f t="shared" si="863"/>
        <v>#DIV/0!</v>
      </c>
      <c r="L596" s="245" t="e">
        <f t="shared" si="863"/>
        <v>#DIV/0!</v>
      </c>
      <c r="M596" s="245" t="e">
        <f t="shared" si="863"/>
        <v>#DIV/0!</v>
      </c>
      <c r="N596" s="245" t="e">
        <f t="shared" si="863"/>
        <v>#DIV/0!</v>
      </c>
      <c r="O596" s="245">
        <f t="shared" si="863"/>
        <v>3.267221533557696</v>
      </c>
      <c r="P596" s="245">
        <f t="shared" si="863"/>
        <v>-5.6447939756475112</v>
      </c>
      <c r="Q596" s="245">
        <f t="shared" si="863"/>
        <v>-15.746578502229791</v>
      </c>
      <c r="R596" s="245">
        <f t="shared" si="863"/>
        <v>23.330911072758688</v>
      </c>
      <c r="S596" s="245">
        <f t="shared" si="863"/>
        <v>81.059761639372141</v>
      </c>
      <c r="T596" s="245">
        <f t="shared" si="863"/>
        <v>94.03037909506331</v>
      </c>
      <c r="U596" s="245">
        <f t="shared" si="863"/>
        <v>151.08596459207914</v>
      </c>
      <c r="V596" s="245">
        <f t="shared" si="863"/>
        <v>173.61075308414641</v>
      </c>
      <c r="W596" s="245">
        <f t="shared" si="863"/>
        <v>76.424207984088682</v>
      </c>
      <c r="X596" s="245">
        <f t="shared" si="863"/>
        <v>43.834275952432279</v>
      </c>
      <c r="Y596" s="245">
        <f t="shared" si="863"/>
        <v>18.964890601148522</v>
      </c>
      <c r="Z596" s="245">
        <f t="shared" si="863"/>
        <v>4.0875381902851782</v>
      </c>
      <c r="AA596" s="245">
        <f t="shared" si="863"/>
        <v>8.6014145562401936</v>
      </c>
      <c r="AB596" s="245">
        <f t="shared" si="863"/>
        <v>17.380826087959235</v>
      </c>
      <c r="AC596" s="245">
        <f t="shared" si="863"/>
        <v>16.337529023585361</v>
      </c>
      <c r="AD596" s="245">
        <f t="shared" si="863"/>
        <v>15.233526430123035</v>
      </c>
      <c r="AE596" s="245">
        <f t="shared" si="863"/>
        <v>3.3687592684130463</v>
      </c>
      <c r="AF596" s="580"/>
      <c r="AG596" s="580"/>
      <c r="AH596" s="580"/>
      <c r="AI596" s="580"/>
      <c r="AJ596" s="580">
        <f t="shared" ref="AJ596:BK596" si="864">(AJ81/AF81-1)*100</f>
        <v>-27.734587452410608</v>
      </c>
      <c r="AK596" s="580">
        <f t="shared" si="864"/>
        <v>4.2117587494463038</v>
      </c>
      <c r="AL596" s="580">
        <f t="shared" si="864"/>
        <v>2.7622388672923881</v>
      </c>
      <c r="AM596" s="580">
        <f t="shared" si="864"/>
        <v>-21.512850675506989</v>
      </c>
      <c r="AN596" s="580">
        <f t="shared" si="864"/>
        <v>3.267221533557696</v>
      </c>
      <c r="AO596" s="580">
        <f t="shared" si="864"/>
        <v>-5.6447939756475112</v>
      </c>
      <c r="AP596" s="580">
        <f t="shared" si="864"/>
        <v>-15.746578502229791</v>
      </c>
      <c r="AQ596" s="580">
        <f t="shared" si="864"/>
        <v>23.330911072758688</v>
      </c>
      <c r="AR596" s="580">
        <f t="shared" si="864"/>
        <v>81.059761639372141</v>
      </c>
      <c r="AS596" s="580">
        <f t="shared" si="864"/>
        <v>94.03037909506331</v>
      </c>
      <c r="AT596" s="580">
        <f t="shared" si="864"/>
        <v>151.08596459207914</v>
      </c>
      <c r="AU596" s="580">
        <f t="shared" si="864"/>
        <v>173.61075308414641</v>
      </c>
      <c r="AV596" s="580">
        <f t="shared" si="864"/>
        <v>76.424207984088682</v>
      </c>
      <c r="AW596" s="580">
        <f t="shared" si="864"/>
        <v>43.834275952432279</v>
      </c>
      <c r="AX596" s="580">
        <f t="shared" si="864"/>
        <v>18.964890601148522</v>
      </c>
      <c r="AY596" s="580">
        <f t="shared" si="864"/>
        <v>4.0875381902851782</v>
      </c>
      <c r="AZ596" s="580">
        <f t="shared" si="864"/>
        <v>8.6014145562401936</v>
      </c>
      <c r="BA596" s="580">
        <f t="shared" si="864"/>
        <v>17.380826087959235</v>
      </c>
      <c r="BB596" s="580">
        <f t="shared" si="864"/>
        <v>16.337529023585361</v>
      </c>
      <c r="BC596" s="580">
        <f t="shared" si="864"/>
        <v>15.233526430123035</v>
      </c>
      <c r="BD596" s="580">
        <f t="shared" si="864"/>
        <v>3.3687592684130463</v>
      </c>
      <c r="BE596" s="580">
        <f t="shared" si="864"/>
        <v>-14.124465838204214</v>
      </c>
      <c r="BF596" s="580">
        <f t="shared" si="864"/>
        <v>1.962205485351709</v>
      </c>
      <c r="BG596" s="580">
        <f t="shared" si="864"/>
        <v>-11.354735908973524</v>
      </c>
      <c r="BH596" s="580">
        <f t="shared" si="864"/>
        <v>14.56853884226399</v>
      </c>
      <c r="BI596" s="580">
        <f t="shared" si="864"/>
        <v>28.925723829461081</v>
      </c>
      <c r="BJ596" s="580">
        <f t="shared" si="864"/>
        <v>2.3736182224649571</v>
      </c>
      <c r="BK596" s="580">
        <f t="shared" si="864"/>
        <v>16.94979619737207</v>
      </c>
      <c r="BL596" s="580">
        <f t="shared" ref="BL596:BS596" si="865">(BL81/BH81-1)*100</f>
        <v>-3.6689206110694483</v>
      </c>
      <c r="BM596" s="580">
        <f t="shared" si="865"/>
        <v>-0.12954402278552157</v>
      </c>
      <c r="BN596" s="580">
        <f t="shared" si="865"/>
        <v>8.8919302412172172</v>
      </c>
      <c r="BO596" s="580">
        <f t="shared" si="865"/>
        <v>-16.810624756461923</v>
      </c>
      <c r="BP596" s="580">
        <f t="shared" si="865"/>
        <v>15.021231422505267</v>
      </c>
      <c r="BQ596" s="580">
        <f t="shared" si="865"/>
        <v>10.052684417672776</v>
      </c>
      <c r="BR596" s="580">
        <f t="shared" si="865"/>
        <v>1.3788387072926067</v>
      </c>
      <c r="BS596" s="580">
        <f t="shared" si="865"/>
        <v>40.16420104870091</v>
      </c>
    </row>
    <row r="597" spans="1:71" s="245" customFormat="1">
      <c r="A597" s="243"/>
      <c r="B597" s="243" t="s">
        <v>2030</v>
      </c>
      <c r="C597" s="243" t="s">
        <v>2031</v>
      </c>
      <c r="D597" s="243"/>
      <c r="G597" s="245" t="e">
        <f t="shared" ref="G597:AE597" si="866">(G487/C487-1)*100</f>
        <v>#VALUE!</v>
      </c>
      <c r="H597" s="245" t="e">
        <f t="shared" si="866"/>
        <v>#DIV/0!</v>
      </c>
      <c r="I597" s="245" t="e">
        <f t="shared" si="866"/>
        <v>#DIV/0!</v>
      </c>
      <c r="J597" s="245" t="e">
        <f t="shared" si="866"/>
        <v>#DIV/0!</v>
      </c>
      <c r="K597" s="245" t="e">
        <f t="shared" si="866"/>
        <v>#DIV/0!</v>
      </c>
      <c r="L597" s="245" t="e">
        <f t="shared" si="866"/>
        <v>#DIV/0!</v>
      </c>
      <c r="M597" s="245" t="e">
        <f t="shared" si="866"/>
        <v>#DIV/0!</v>
      </c>
      <c r="N597" s="245" t="e">
        <f t="shared" si="866"/>
        <v>#DIV/0!</v>
      </c>
      <c r="O597" s="245">
        <f t="shared" si="866"/>
        <v>-20.248348905864766</v>
      </c>
      <c r="P597" s="245">
        <f t="shared" si="866"/>
        <v>-30.157797549101893</v>
      </c>
      <c r="Q597" s="245">
        <f t="shared" si="866"/>
        <v>-15.286606900298871</v>
      </c>
      <c r="R597" s="245">
        <f t="shared" si="866"/>
        <v>22.375529881140398</v>
      </c>
      <c r="S597" s="245">
        <f t="shared" si="866"/>
        <v>70.004579453518318</v>
      </c>
      <c r="T597" s="245">
        <f t="shared" si="866"/>
        <v>87.675760124984905</v>
      </c>
      <c r="U597" s="245">
        <f t="shared" si="866"/>
        <v>131.85068787480381</v>
      </c>
      <c r="V597" s="245">
        <f t="shared" si="866"/>
        <v>166.75609590436719</v>
      </c>
      <c r="W597" s="245">
        <f t="shared" si="866"/>
        <v>85.593068151207731</v>
      </c>
      <c r="X597" s="245">
        <f t="shared" si="866"/>
        <v>52.231613998014922</v>
      </c>
      <c r="Y597" s="245">
        <f t="shared" si="866"/>
        <v>26.941270851199217</v>
      </c>
      <c r="Z597" s="245">
        <f t="shared" si="866"/>
        <v>18.33505200575436</v>
      </c>
      <c r="AA597" s="245">
        <f t="shared" si="866"/>
        <v>15.301531241684785</v>
      </c>
      <c r="AB597" s="245">
        <f t="shared" si="866"/>
        <v>14.880169938901911</v>
      </c>
      <c r="AC597" s="245">
        <f t="shared" si="866"/>
        <v>22.043889470013834</v>
      </c>
      <c r="AD597" s="245">
        <f t="shared" si="866"/>
        <v>10.882077653817547</v>
      </c>
      <c r="AE597" s="245">
        <f t="shared" si="866"/>
        <v>6.8331777318547893</v>
      </c>
      <c r="AF597" s="580"/>
      <c r="AG597" s="580"/>
      <c r="AH597" s="580"/>
      <c r="AI597" s="580"/>
      <c r="AJ597" s="580">
        <f t="shared" ref="AJ597:BK597" si="867">(AJ83/AF83-1)*100</f>
        <v>-19.296047945373662</v>
      </c>
      <c r="AK597" s="580">
        <f t="shared" si="867"/>
        <v>3.9502672047115661</v>
      </c>
      <c r="AL597" s="580">
        <f t="shared" si="867"/>
        <v>-22.88838612368027</v>
      </c>
      <c r="AM597" s="580">
        <f t="shared" si="867"/>
        <v>-45.092759509846381</v>
      </c>
      <c r="AN597" s="580">
        <f t="shared" si="867"/>
        <v>-20.248348905864766</v>
      </c>
      <c r="AO597" s="580">
        <f t="shared" si="867"/>
        <v>-30.157797549101893</v>
      </c>
      <c r="AP597" s="580">
        <f t="shared" si="867"/>
        <v>-15.286606900298871</v>
      </c>
      <c r="AQ597" s="580">
        <f t="shared" si="867"/>
        <v>22.375529881140398</v>
      </c>
      <c r="AR597" s="580">
        <f t="shared" si="867"/>
        <v>70.004579453518318</v>
      </c>
      <c r="AS597" s="580">
        <f t="shared" si="867"/>
        <v>87.675760124984905</v>
      </c>
      <c r="AT597" s="580">
        <f t="shared" si="867"/>
        <v>131.85068787480381</v>
      </c>
      <c r="AU597" s="580">
        <f t="shared" si="867"/>
        <v>166.75609590436719</v>
      </c>
      <c r="AV597" s="580">
        <f t="shared" si="867"/>
        <v>85.593068151207731</v>
      </c>
      <c r="AW597" s="580">
        <f t="shared" si="867"/>
        <v>52.231613998014922</v>
      </c>
      <c r="AX597" s="580">
        <f t="shared" si="867"/>
        <v>26.941270851199217</v>
      </c>
      <c r="AY597" s="580">
        <f t="shared" si="867"/>
        <v>18.33505200575436</v>
      </c>
      <c r="AZ597" s="580">
        <f t="shared" si="867"/>
        <v>15.301531241684785</v>
      </c>
      <c r="BA597" s="580">
        <f t="shared" si="867"/>
        <v>14.880169938901911</v>
      </c>
      <c r="BB597" s="580">
        <f t="shared" si="867"/>
        <v>22.043889470013834</v>
      </c>
      <c r="BC597" s="580">
        <f t="shared" si="867"/>
        <v>10.882077653817547</v>
      </c>
      <c r="BD597" s="580">
        <f t="shared" si="867"/>
        <v>6.8331777318547893</v>
      </c>
      <c r="BE597" s="580">
        <f t="shared" si="867"/>
        <v>-4.7179224298124041</v>
      </c>
      <c r="BF597" s="580">
        <f t="shared" si="867"/>
        <v>4.8023784227771316</v>
      </c>
      <c r="BG597" s="580">
        <f t="shared" si="867"/>
        <v>0.28428385694612146</v>
      </c>
      <c r="BH597" s="580">
        <f t="shared" si="867"/>
        <v>11.340003731233494</v>
      </c>
      <c r="BI597" s="580">
        <f t="shared" si="867"/>
        <v>20.20386400099914</v>
      </c>
      <c r="BJ597" s="580">
        <f t="shared" si="867"/>
        <v>3.5515308469494355</v>
      </c>
      <c r="BK597" s="580">
        <f t="shared" si="867"/>
        <v>7.2659371704447473</v>
      </c>
      <c r="BL597" s="580">
        <f t="shared" ref="BL597:BS597" si="868">(BL83/BH83-1)*100</f>
        <v>0.75049386200078949</v>
      </c>
      <c r="BM597" s="580">
        <f t="shared" si="868"/>
        <v>-0.95988618834866868</v>
      </c>
      <c r="BN597" s="580">
        <f t="shared" si="868"/>
        <v>-3.1434330138620736</v>
      </c>
      <c r="BO597" s="580">
        <f t="shared" si="868"/>
        <v>-16.763026635037782</v>
      </c>
      <c r="BP597" s="580">
        <f t="shared" si="868"/>
        <v>19.752632546414173</v>
      </c>
      <c r="BQ597" s="580">
        <f t="shared" si="868"/>
        <v>21.58846979454152</v>
      </c>
      <c r="BR597" s="580">
        <f t="shared" si="868"/>
        <v>13.769174579985478</v>
      </c>
      <c r="BS597" s="580">
        <f t="shared" si="868"/>
        <v>44.570022972563009</v>
      </c>
    </row>
    <row r="598" spans="1:71" s="245" customFormat="1">
      <c r="A598" s="243"/>
      <c r="B598" s="243" t="s">
        <v>2032</v>
      </c>
      <c r="C598" s="243" t="s">
        <v>2033</v>
      </c>
      <c r="D598" s="243"/>
      <c r="G598" s="245" t="e">
        <f t="shared" ref="G598:AE598" si="869">(G491/C491-1)*100</f>
        <v>#VALUE!</v>
      </c>
      <c r="H598" s="245" t="e">
        <f t="shared" si="869"/>
        <v>#DIV/0!</v>
      </c>
      <c r="I598" s="245" t="e">
        <f t="shared" si="869"/>
        <v>#DIV/0!</v>
      </c>
      <c r="J598" s="245" t="e">
        <f t="shared" si="869"/>
        <v>#DIV/0!</v>
      </c>
      <c r="K598" s="245" t="e">
        <f t="shared" si="869"/>
        <v>#DIV/0!</v>
      </c>
      <c r="L598" s="245" t="e">
        <f t="shared" si="869"/>
        <v>#DIV/0!</v>
      </c>
      <c r="M598" s="245" t="e">
        <f t="shared" si="869"/>
        <v>#DIV/0!</v>
      </c>
      <c r="N598" s="245" t="e">
        <f t="shared" si="869"/>
        <v>#DIV/0!</v>
      </c>
      <c r="O598" s="245">
        <f t="shared" si="869"/>
        <v>-20.513835195275597</v>
      </c>
      <c r="P598" s="245">
        <f t="shared" si="869"/>
        <v>-31.193181818181802</v>
      </c>
      <c r="Q598" s="245">
        <f t="shared" si="869"/>
        <v>-17.303438293688757</v>
      </c>
      <c r="R598" s="245">
        <f t="shared" si="869"/>
        <v>21.125581005820536</v>
      </c>
      <c r="S598" s="245">
        <f t="shared" si="869"/>
        <v>68.317248774509579</v>
      </c>
      <c r="T598" s="245">
        <f t="shared" si="869"/>
        <v>91.045050004587495</v>
      </c>
      <c r="U598" s="245">
        <f t="shared" si="869"/>
        <v>138.75631584161709</v>
      </c>
      <c r="V598" s="245">
        <f t="shared" si="869"/>
        <v>171.55500241996808</v>
      </c>
      <c r="W598" s="245">
        <f t="shared" si="869"/>
        <v>87.970694637209675</v>
      </c>
      <c r="X598" s="245">
        <f t="shared" si="869"/>
        <v>52.127557391220812</v>
      </c>
      <c r="Y598" s="245">
        <f t="shared" si="869"/>
        <v>26.891827967102742</v>
      </c>
      <c r="Z598" s="245">
        <f t="shared" si="869"/>
        <v>18.32718014003818</v>
      </c>
      <c r="AA598" s="245">
        <f t="shared" si="869"/>
        <v>15.361617139744755</v>
      </c>
      <c r="AB598" s="245">
        <f t="shared" si="869"/>
        <v>12.830955086921737</v>
      </c>
      <c r="AC598" s="245">
        <f t="shared" si="869"/>
        <v>22.089601046435469</v>
      </c>
      <c r="AD598" s="245">
        <f t="shared" si="869"/>
        <v>10.697609364577222</v>
      </c>
      <c r="AE598" s="245">
        <f t="shared" si="869"/>
        <v>6.8547625542986212</v>
      </c>
      <c r="AF598" s="580"/>
      <c r="AG598" s="580"/>
      <c r="AH598" s="580"/>
      <c r="AI598" s="580"/>
      <c r="AJ598" s="580">
        <f t="shared" ref="AJ598:BK598" si="870">(AJ87/AF87-1)*100</f>
        <v>-19.165846456692858</v>
      </c>
      <c r="AK598" s="580">
        <f t="shared" si="870"/>
        <v>4.1077883667433923</v>
      </c>
      <c r="AL598" s="580">
        <f t="shared" si="870"/>
        <v>-23.25732489416108</v>
      </c>
      <c r="AM598" s="580">
        <f t="shared" si="870"/>
        <v>-45.20695668135091</v>
      </c>
      <c r="AN598" s="580">
        <f t="shared" si="870"/>
        <v>-20.513835195275597</v>
      </c>
      <c r="AO598" s="580">
        <f t="shared" si="870"/>
        <v>-31.193181818181802</v>
      </c>
      <c r="AP598" s="580">
        <f t="shared" si="870"/>
        <v>-17.303438293688757</v>
      </c>
      <c r="AQ598" s="580">
        <f t="shared" si="870"/>
        <v>21.125581005820536</v>
      </c>
      <c r="AR598" s="580">
        <f t="shared" si="870"/>
        <v>68.317248774509579</v>
      </c>
      <c r="AS598" s="580">
        <f t="shared" si="870"/>
        <v>91.045050004587495</v>
      </c>
      <c r="AT598" s="580">
        <f t="shared" si="870"/>
        <v>138.75631584161709</v>
      </c>
      <c r="AU598" s="580">
        <f t="shared" si="870"/>
        <v>171.55500241996808</v>
      </c>
      <c r="AV598" s="580">
        <f t="shared" si="870"/>
        <v>87.970694637209675</v>
      </c>
      <c r="AW598" s="580">
        <f t="shared" si="870"/>
        <v>52.127557391220812</v>
      </c>
      <c r="AX598" s="580">
        <f t="shared" si="870"/>
        <v>26.891827967102742</v>
      </c>
      <c r="AY598" s="580">
        <f t="shared" si="870"/>
        <v>18.32718014003818</v>
      </c>
      <c r="AZ598" s="580">
        <f t="shared" si="870"/>
        <v>15.361617139744755</v>
      </c>
      <c r="BA598" s="580">
        <f t="shared" si="870"/>
        <v>12.830955086921737</v>
      </c>
      <c r="BB598" s="580">
        <f t="shared" si="870"/>
        <v>22.089601046435469</v>
      </c>
      <c r="BC598" s="580">
        <f t="shared" si="870"/>
        <v>10.697609364577222</v>
      </c>
      <c r="BD598" s="580">
        <f t="shared" si="870"/>
        <v>6.8547625542986212</v>
      </c>
      <c r="BE598" s="580">
        <f t="shared" si="870"/>
        <v>-2.9415879351992302</v>
      </c>
      <c r="BF598" s="580">
        <f t="shared" si="870"/>
        <v>4.7953216374268859</v>
      </c>
      <c r="BG598" s="580">
        <f t="shared" si="870"/>
        <v>0.43930838087657964</v>
      </c>
      <c r="BH598" s="580">
        <f t="shared" si="870"/>
        <v>11.335539429884545</v>
      </c>
      <c r="BI598" s="580">
        <f t="shared" si="870"/>
        <v>20.225431693043895</v>
      </c>
      <c r="BJ598" s="580">
        <f t="shared" si="870"/>
        <v>3.5441657579062591</v>
      </c>
      <c r="BK598" s="580">
        <f t="shared" si="870"/>
        <v>7.2681704260651347</v>
      </c>
      <c r="BL598" s="580">
        <f t="shared" ref="BL598:BS598" si="871">(BL87/BH87-1)*100</f>
        <v>0.74878950107151176</v>
      </c>
      <c r="BM598" s="580">
        <f t="shared" si="871"/>
        <v>-0.96071614115011972</v>
      </c>
      <c r="BN598" s="580">
        <f t="shared" si="871"/>
        <v>-3.1340508162191028</v>
      </c>
      <c r="BO598" s="580">
        <f t="shared" si="871"/>
        <v>-17.305957492873414</v>
      </c>
      <c r="BP598" s="580">
        <f t="shared" si="871"/>
        <v>19.754534631276655</v>
      </c>
      <c r="BQ598" s="580">
        <f t="shared" si="871"/>
        <v>21.565937391556943</v>
      </c>
      <c r="BR598" s="580">
        <f t="shared" si="871"/>
        <v>13.758101370119103</v>
      </c>
      <c r="BS598" s="580">
        <f t="shared" si="871"/>
        <v>45.498974560370087</v>
      </c>
    </row>
    <row r="599" spans="1:71" s="245" customFormat="1">
      <c r="A599" s="243"/>
      <c r="B599" s="243" t="s">
        <v>2034</v>
      </c>
      <c r="C599" s="243" t="s">
        <v>2035</v>
      </c>
      <c r="D599" s="243"/>
      <c r="G599" s="245" t="e">
        <f t="shared" ref="G599:AE599" si="872">(G496/C496-1)*100</f>
        <v>#VALUE!</v>
      </c>
      <c r="H599" s="245" t="e">
        <f t="shared" si="872"/>
        <v>#DIV/0!</v>
      </c>
      <c r="I599" s="245" t="e">
        <f t="shared" si="872"/>
        <v>#DIV/0!</v>
      </c>
      <c r="J599" s="245" t="e">
        <f t="shared" si="872"/>
        <v>#DIV/0!</v>
      </c>
      <c r="K599" s="245" t="e">
        <f t="shared" si="872"/>
        <v>#DIV/0!</v>
      </c>
      <c r="L599" s="245" t="e">
        <f t="shared" si="872"/>
        <v>#DIV/0!</v>
      </c>
      <c r="M599" s="245" t="e">
        <f t="shared" si="872"/>
        <v>#DIV/0!</v>
      </c>
      <c r="N599" s="245" t="e">
        <f t="shared" si="872"/>
        <v>#DIV/0!</v>
      </c>
      <c r="O599" s="245">
        <f t="shared" si="872"/>
        <v>-22.516702800760967</v>
      </c>
      <c r="P599" s="245">
        <f t="shared" si="872"/>
        <v>-33.767820773930737</v>
      </c>
      <c r="Q599" s="245">
        <f t="shared" si="872"/>
        <v>-16.242495170456838</v>
      </c>
      <c r="R599" s="245">
        <f t="shared" si="872"/>
        <v>27.913812493610067</v>
      </c>
      <c r="S599" s="245">
        <f t="shared" si="872"/>
        <v>77.195066240292022</v>
      </c>
      <c r="T599" s="245">
        <f t="shared" si="872"/>
        <v>91.052099806712249</v>
      </c>
      <c r="U599" s="245">
        <f t="shared" si="872"/>
        <v>142.71796344147796</v>
      </c>
      <c r="V599" s="245">
        <f t="shared" si="872"/>
        <v>181.87181536617027</v>
      </c>
      <c r="W599" s="245">
        <f t="shared" si="872"/>
        <v>90.184464267299248</v>
      </c>
      <c r="X599" s="245">
        <f t="shared" si="872"/>
        <v>56.832087484565783</v>
      </c>
      <c r="Y599" s="245">
        <f t="shared" si="872"/>
        <v>31.51969907261374</v>
      </c>
      <c r="Z599" s="245">
        <f t="shared" si="872"/>
        <v>58.315182427678437</v>
      </c>
      <c r="AA599" s="245">
        <f t="shared" si="872"/>
        <v>20.48801152249451</v>
      </c>
      <c r="AB599" s="245">
        <f t="shared" si="872"/>
        <v>16.201471968097557</v>
      </c>
      <c r="AC599" s="245">
        <f t="shared" si="872"/>
        <v>25.375425342147317</v>
      </c>
      <c r="AD599" s="245">
        <f t="shared" si="872"/>
        <v>-14.065230411006514</v>
      </c>
      <c r="AE599" s="245">
        <f t="shared" si="872"/>
        <v>1.0308553427275324</v>
      </c>
      <c r="AF599" s="580"/>
      <c r="AG599" s="580"/>
      <c r="AH599" s="580"/>
      <c r="AI599" s="580"/>
      <c r="AJ599" s="580">
        <f t="shared" ref="AJ599:BK599" si="873">(AJ89/AF89-1)*100</f>
        <v>-18.230824891461573</v>
      </c>
      <c r="AK599" s="580">
        <f t="shared" si="873"/>
        <v>3.6958817317846338</v>
      </c>
      <c r="AL599" s="580">
        <f t="shared" si="873"/>
        <v>-25.838606708853707</v>
      </c>
      <c r="AM599" s="580">
        <f t="shared" si="873"/>
        <v>-46.42244738893212</v>
      </c>
      <c r="AN599" s="580">
        <f t="shared" si="873"/>
        <v>-22.516702800760967</v>
      </c>
      <c r="AO599" s="580">
        <f t="shared" si="873"/>
        <v>-28.43468140820481</v>
      </c>
      <c r="AP599" s="580">
        <f t="shared" si="873"/>
        <v>-14.177301215736659</v>
      </c>
      <c r="AQ599" s="580">
        <f t="shared" si="873"/>
        <v>33.924934535932508</v>
      </c>
      <c r="AR599" s="580">
        <f t="shared" si="873"/>
        <v>81.309958885335405</v>
      </c>
      <c r="AS599" s="580">
        <f t="shared" si="873"/>
        <v>82.404358255071642</v>
      </c>
      <c r="AT599" s="580">
        <f t="shared" si="873"/>
        <v>129.19273239188806</v>
      </c>
      <c r="AU599" s="580">
        <f t="shared" si="873"/>
        <v>151.14056050401899</v>
      </c>
      <c r="AV599" s="580">
        <f t="shared" si="873"/>
        <v>85.86816163270457</v>
      </c>
      <c r="AW599" s="580">
        <f t="shared" si="873"/>
        <v>52.02603307627156</v>
      </c>
      <c r="AX599" s="580">
        <f t="shared" si="873"/>
        <v>28.04955295617091</v>
      </c>
      <c r="AY599" s="580">
        <f t="shared" si="873"/>
        <v>16.942906574394435</v>
      </c>
      <c r="AZ599" s="580">
        <f t="shared" si="873"/>
        <v>20.48801152249451</v>
      </c>
      <c r="BA599" s="580">
        <f t="shared" si="873"/>
        <v>20.397900539526127</v>
      </c>
      <c r="BB599" s="580">
        <f t="shared" si="873"/>
        <v>28.022365127190252</v>
      </c>
      <c r="BC599" s="580">
        <f t="shared" si="873"/>
        <v>13.291317148225335</v>
      </c>
      <c r="BD599" s="580">
        <f t="shared" si="873"/>
        <v>1.0308553427275324</v>
      </c>
      <c r="BE599" s="580">
        <f t="shared" si="873"/>
        <v>-9.807479207510827</v>
      </c>
      <c r="BF599" s="580">
        <f t="shared" si="873"/>
        <v>-4.1344183595808381</v>
      </c>
      <c r="BG599" s="580">
        <f t="shared" si="873"/>
        <v>1.3322676295501878E-13</v>
      </c>
      <c r="BH599" s="580">
        <f t="shared" si="873"/>
        <v>16.04838597419247</v>
      </c>
      <c r="BI599" s="580">
        <f t="shared" si="873"/>
        <v>18.341501613404066</v>
      </c>
      <c r="BJ599" s="580">
        <f t="shared" si="873"/>
        <v>-1.1859686835869132</v>
      </c>
      <c r="BK599" s="580">
        <f t="shared" si="873"/>
        <v>4.4086344463742044</v>
      </c>
      <c r="BL599" s="580">
        <f t="shared" ref="BL599:BS599" si="874">(BL89/BH89-1)*100</f>
        <v>-3.1750791670665968</v>
      </c>
      <c r="BM599" s="580">
        <f t="shared" si="874"/>
        <v>13.927805412312356</v>
      </c>
      <c r="BN599" s="580">
        <f t="shared" si="874"/>
        <v>-3.3101368305255008</v>
      </c>
      <c r="BO599" s="580">
        <f t="shared" si="874"/>
        <v>-22.918464597951338</v>
      </c>
      <c r="BP599" s="580">
        <f t="shared" si="874"/>
        <v>18.601107518489577</v>
      </c>
      <c r="BQ599" s="580">
        <f t="shared" si="874"/>
        <v>5.3865411576206501</v>
      </c>
      <c r="BR599" s="580">
        <f t="shared" si="874"/>
        <v>24.079258549057325</v>
      </c>
      <c r="BS599" s="580">
        <f t="shared" si="874"/>
        <v>54.039494393873099</v>
      </c>
    </row>
    <row r="600" spans="1:71" s="245" customFormat="1">
      <c r="A600" s="243"/>
      <c r="B600" s="243" t="s">
        <v>2036</v>
      </c>
      <c r="C600" s="243" t="s">
        <v>2037</v>
      </c>
      <c r="D600" s="243"/>
      <c r="G600" s="245" t="e">
        <f t="shared" ref="G600:AE600" si="875">(G499/C499-1)*100</f>
        <v>#VALUE!</v>
      </c>
      <c r="H600" s="245" t="e">
        <f t="shared" si="875"/>
        <v>#DIV/0!</v>
      </c>
      <c r="I600" s="245" t="e">
        <f t="shared" si="875"/>
        <v>#DIV/0!</v>
      </c>
      <c r="J600" s="245" t="e">
        <f t="shared" si="875"/>
        <v>#DIV/0!</v>
      </c>
      <c r="K600" s="245" t="e">
        <f t="shared" si="875"/>
        <v>#DIV/0!</v>
      </c>
      <c r="L600" s="245" t="e">
        <f t="shared" si="875"/>
        <v>#DIV/0!</v>
      </c>
      <c r="M600" s="245" t="e">
        <f t="shared" si="875"/>
        <v>#DIV/0!</v>
      </c>
      <c r="N600" s="245" t="e">
        <f t="shared" si="875"/>
        <v>#DIV/0!</v>
      </c>
      <c r="O600" s="245">
        <f t="shared" si="875"/>
        <v>-22.516702800760967</v>
      </c>
      <c r="P600" s="245">
        <f t="shared" si="875"/>
        <v>-33.767820773930737</v>
      </c>
      <c r="Q600" s="245">
        <f t="shared" si="875"/>
        <v>-16.242495170456838</v>
      </c>
      <c r="R600" s="245">
        <f t="shared" si="875"/>
        <v>27.913812493610067</v>
      </c>
      <c r="S600" s="245">
        <f t="shared" si="875"/>
        <v>77.195066240292022</v>
      </c>
      <c r="T600" s="245">
        <f t="shared" si="875"/>
        <v>91.052099806712249</v>
      </c>
      <c r="U600" s="245">
        <f t="shared" si="875"/>
        <v>142.71796344147796</v>
      </c>
      <c r="V600" s="245">
        <f t="shared" si="875"/>
        <v>181.87181536617027</v>
      </c>
      <c r="W600" s="245">
        <f t="shared" si="875"/>
        <v>90.184464267299248</v>
      </c>
      <c r="X600" s="245">
        <f t="shared" si="875"/>
        <v>56.832087484565783</v>
      </c>
      <c r="Y600" s="245">
        <f t="shared" si="875"/>
        <v>31.51969907261374</v>
      </c>
      <c r="Z600" s="245">
        <f t="shared" si="875"/>
        <v>58.315182427678437</v>
      </c>
      <c r="AA600" s="245">
        <f t="shared" si="875"/>
        <v>20.48801152249451</v>
      </c>
      <c r="AB600" s="245">
        <f t="shared" si="875"/>
        <v>16.201471968097557</v>
      </c>
      <c r="AC600" s="245">
        <f t="shared" si="875"/>
        <v>25.375425342147317</v>
      </c>
      <c r="AD600" s="245">
        <f t="shared" si="875"/>
        <v>-14.065230411006514</v>
      </c>
      <c r="AE600" s="245">
        <f t="shared" si="875"/>
        <v>1.0308553427275324</v>
      </c>
      <c r="AF600" s="580"/>
      <c r="AG600" s="580"/>
      <c r="AH600" s="580"/>
      <c r="AI600" s="580"/>
      <c r="AJ600" s="580">
        <f t="shared" ref="AJ600:BK600" si="876">(AJ92/AF92-1)*100</f>
        <v>-18.230824891461573</v>
      </c>
      <c r="AK600" s="580">
        <f t="shared" si="876"/>
        <v>3.6958817317846338</v>
      </c>
      <c r="AL600" s="580">
        <f t="shared" si="876"/>
        <v>-25.838606708853707</v>
      </c>
      <c r="AM600" s="580">
        <f t="shared" si="876"/>
        <v>-46.42244738893212</v>
      </c>
      <c r="AN600" s="580">
        <f t="shared" si="876"/>
        <v>-22.516702800760967</v>
      </c>
      <c r="AO600" s="580">
        <f t="shared" si="876"/>
        <v>-28.43468140820481</v>
      </c>
      <c r="AP600" s="580">
        <f t="shared" si="876"/>
        <v>-14.177301215736659</v>
      </c>
      <c r="AQ600" s="580">
        <f t="shared" si="876"/>
        <v>33.924934535932508</v>
      </c>
      <c r="AR600" s="580">
        <f t="shared" si="876"/>
        <v>81.309958885335405</v>
      </c>
      <c r="AS600" s="580">
        <f t="shared" si="876"/>
        <v>82.404358255071642</v>
      </c>
      <c r="AT600" s="580">
        <f t="shared" si="876"/>
        <v>129.19273239188806</v>
      </c>
      <c r="AU600" s="580">
        <f t="shared" si="876"/>
        <v>151.14056050401899</v>
      </c>
      <c r="AV600" s="580">
        <f t="shared" si="876"/>
        <v>85.86816163270457</v>
      </c>
      <c r="AW600" s="580">
        <f t="shared" si="876"/>
        <v>52.02603307627156</v>
      </c>
      <c r="AX600" s="580">
        <f t="shared" si="876"/>
        <v>28.04955295617091</v>
      </c>
      <c r="AY600" s="580">
        <f t="shared" si="876"/>
        <v>16.942906574394435</v>
      </c>
      <c r="AZ600" s="580">
        <f t="shared" si="876"/>
        <v>20.48801152249451</v>
      </c>
      <c r="BA600" s="580">
        <f t="shared" si="876"/>
        <v>20.397900539526127</v>
      </c>
      <c r="BB600" s="580">
        <f t="shared" si="876"/>
        <v>28.022365127190252</v>
      </c>
      <c r="BC600" s="580">
        <f t="shared" si="876"/>
        <v>13.291317148225335</v>
      </c>
      <c r="BD600" s="580">
        <f t="shared" si="876"/>
        <v>1.0308553427275324</v>
      </c>
      <c r="BE600" s="580">
        <f t="shared" si="876"/>
        <v>-9.807479207510827</v>
      </c>
      <c r="BF600" s="580">
        <f t="shared" si="876"/>
        <v>-4.1344183595808381</v>
      </c>
      <c r="BG600" s="580">
        <f t="shared" si="876"/>
        <v>1.3322676295501878E-13</v>
      </c>
      <c r="BH600" s="580">
        <f t="shared" si="876"/>
        <v>16.04838597419247</v>
      </c>
      <c r="BI600" s="580">
        <f t="shared" si="876"/>
        <v>18.341501613404066</v>
      </c>
      <c r="BJ600" s="580">
        <f t="shared" si="876"/>
        <v>-1.1859686835869132</v>
      </c>
      <c r="BK600" s="580">
        <f t="shared" si="876"/>
        <v>4.4086344463742044</v>
      </c>
      <c r="BL600" s="580">
        <f t="shared" ref="BL600:BS600" si="877">(BL92/BH92-1)*100</f>
        <v>-3.1750791670665968</v>
      </c>
      <c r="BM600" s="580">
        <f t="shared" si="877"/>
        <v>13.927805412312356</v>
      </c>
      <c r="BN600" s="580">
        <f t="shared" si="877"/>
        <v>-3.3101368305255008</v>
      </c>
      <c r="BO600" s="580">
        <f t="shared" si="877"/>
        <v>-22.918464597951338</v>
      </c>
      <c r="BP600" s="580">
        <f t="shared" si="877"/>
        <v>18.601107518489577</v>
      </c>
      <c r="BQ600" s="580">
        <f t="shared" si="877"/>
        <v>5.3865411576206501</v>
      </c>
      <c r="BR600" s="580">
        <f t="shared" si="877"/>
        <v>24.079258549057325</v>
      </c>
      <c r="BS600" s="580">
        <f t="shared" si="877"/>
        <v>54.039494393873099</v>
      </c>
    </row>
    <row r="601" spans="1:71" s="245" customFormat="1">
      <c r="A601" s="243"/>
      <c r="B601" s="243" t="s">
        <v>2038</v>
      </c>
      <c r="C601" s="243" t="s">
        <v>2039</v>
      </c>
      <c r="D601" s="243"/>
      <c r="G601" s="245" t="e">
        <f t="shared" ref="G601:AE601" si="878">(G505/C505-1)*100</f>
        <v>#VALUE!</v>
      </c>
      <c r="H601" s="245" t="e">
        <f t="shared" si="878"/>
        <v>#DIV/0!</v>
      </c>
      <c r="I601" s="245" t="e">
        <f t="shared" si="878"/>
        <v>#DIV/0!</v>
      </c>
      <c r="J601" s="245" t="e">
        <f t="shared" si="878"/>
        <v>#DIV/0!</v>
      </c>
      <c r="K601" s="245" t="e">
        <f t="shared" si="878"/>
        <v>#DIV/0!</v>
      </c>
      <c r="L601" s="245" t="e">
        <f t="shared" si="878"/>
        <v>#DIV/0!</v>
      </c>
      <c r="M601" s="245" t="e">
        <f t="shared" si="878"/>
        <v>#DIV/0!</v>
      </c>
      <c r="N601" s="245" t="e">
        <f t="shared" si="878"/>
        <v>#DIV/0!</v>
      </c>
      <c r="O601" s="245">
        <f t="shared" si="878"/>
        <v>-22.516702800760967</v>
      </c>
      <c r="P601" s="245">
        <f t="shared" si="878"/>
        <v>-46.211812627291224</v>
      </c>
      <c r="Q601" s="245">
        <f t="shared" si="878"/>
        <v>-22.215462373642847</v>
      </c>
      <c r="R601" s="245">
        <f t="shared" si="878"/>
        <v>7.9390072097456077</v>
      </c>
      <c r="S601" s="245">
        <f t="shared" si="878"/>
        <v>67.593650068524113</v>
      </c>
      <c r="T601" s="245">
        <f t="shared" si="878"/>
        <v>117.89906420728067</v>
      </c>
      <c r="U601" s="245">
        <f t="shared" si="878"/>
        <v>185.87810601046914</v>
      </c>
      <c r="V601" s="245">
        <f t="shared" si="878"/>
        <v>308.57581573896312</v>
      </c>
      <c r="W601" s="245">
        <f t="shared" si="878"/>
        <v>101.08010494395047</v>
      </c>
      <c r="X601" s="245">
        <f t="shared" si="878"/>
        <v>69.322046520864859</v>
      </c>
      <c r="Y601" s="245">
        <f t="shared" si="878"/>
        <v>40.397509880923835</v>
      </c>
      <c r="Z601" s="245">
        <f t="shared" si="878"/>
        <v>163.16402653287483</v>
      </c>
      <c r="AA601" s="245">
        <f t="shared" si="878"/>
        <v>20.48801152249451</v>
      </c>
      <c r="AB601" s="245">
        <f t="shared" si="878"/>
        <v>6.4098053014308931</v>
      </c>
      <c r="AC601" s="245">
        <f t="shared" si="878"/>
        <v>19.199232510380448</v>
      </c>
      <c r="AD601" s="245">
        <f t="shared" si="878"/>
        <v>-44.873186336113378</v>
      </c>
      <c r="AE601" s="245">
        <f t="shared" si="878"/>
        <v>1.0308553427275324</v>
      </c>
      <c r="AF601" s="580"/>
      <c r="AG601" s="580"/>
      <c r="AH601" s="580"/>
      <c r="AI601" s="580"/>
      <c r="AJ601" s="580">
        <f t="shared" ref="AJ601:BK601" si="879">(AJ100/AF100-1)*100</f>
        <v>-15.037028683132124</v>
      </c>
      <c r="AK601" s="580">
        <f t="shared" si="879"/>
        <v>5.3661596361926245</v>
      </c>
      <c r="AL601" s="580">
        <f t="shared" si="879"/>
        <v>-38.031436691607269</v>
      </c>
      <c r="AM601" s="580">
        <f t="shared" si="879"/>
        <v>-60.821900035678311</v>
      </c>
      <c r="AN601" s="580">
        <f t="shared" si="879"/>
        <v>-22.516702800760967</v>
      </c>
      <c r="AO601" s="580">
        <f t="shared" si="879"/>
        <v>-44.972615787593739</v>
      </c>
      <c r="AP601" s="580">
        <f t="shared" si="879"/>
        <v>-23.12336203669043</v>
      </c>
      <c r="AQ601" s="580">
        <f t="shared" si="879"/>
        <v>7.7986588293733172</v>
      </c>
      <c r="AR601" s="580">
        <f t="shared" si="879"/>
        <v>67.593650068524113</v>
      </c>
      <c r="AS601" s="580">
        <f t="shared" si="879"/>
        <v>117.89906420728062</v>
      </c>
      <c r="AT601" s="580">
        <f t="shared" si="879"/>
        <v>189.25427649601318</v>
      </c>
      <c r="AU601" s="580">
        <f t="shared" si="879"/>
        <v>308.70132862299317</v>
      </c>
      <c r="AV601" s="580">
        <f t="shared" si="879"/>
        <v>101.08010494395047</v>
      </c>
      <c r="AW601" s="580">
        <f t="shared" si="879"/>
        <v>69.322046520864887</v>
      </c>
      <c r="AX601" s="580">
        <f t="shared" si="879"/>
        <v>40.397509880923835</v>
      </c>
      <c r="AY601" s="580">
        <f t="shared" si="879"/>
        <v>163.16402653287483</v>
      </c>
      <c r="AZ601" s="580">
        <f t="shared" si="879"/>
        <v>20.48801152249451</v>
      </c>
      <c r="BA601" s="580">
        <f t="shared" si="879"/>
        <v>6.4098053014308709</v>
      </c>
      <c r="BB601" s="580">
        <f t="shared" si="879"/>
        <v>19.199232510380448</v>
      </c>
      <c r="BC601" s="580">
        <f t="shared" si="879"/>
        <v>-44.873186336113378</v>
      </c>
      <c r="BD601" s="580">
        <f t="shared" si="879"/>
        <v>1.0308553427275324</v>
      </c>
      <c r="BE601" s="580">
        <f t="shared" si="879"/>
        <v>2.0487737668779982</v>
      </c>
      <c r="BF601" s="580">
        <f t="shared" si="879"/>
        <v>2.9615563576000703</v>
      </c>
      <c r="BG601" s="580">
        <f t="shared" si="879"/>
        <v>-0.81213408631664041</v>
      </c>
      <c r="BH601" s="580">
        <f t="shared" si="879"/>
        <v>2.6851710073916957</v>
      </c>
      <c r="BI601" s="580">
        <f t="shared" si="879"/>
        <v>13.027394116138069</v>
      </c>
      <c r="BJ601" s="580">
        <f t="shared" si="879"/>
        <v>10.480738696045222</v>
      </c>
      <c r="BK601" s="580">
        <f t="shared" si="879"/>
        <v>-0.24028102432849252</v>
      </c>
      <c r="BL601" s="580">
        <f t="shared" ref="BL601:BS601" si="880">(BL100/BH100-1)*100</f>
        <v>0.31178830929388113</v>
      </c>
      <c r="BM601" s="580">
        <f t="shared" si="880"/>
        <v>-29.41612117158008</v>
      </c>
      <c r="BN601" s="580">
        <f t="shared" si="880"/>
        <v>-4.7880161406224531</v>
      </c>
      <c r="BO601" s="580">
        <f t="shared" si="880"/>
        <v>-18.61557996151484</v>
      </c>
      <c r="BP601" s="580">
        <f t="shared" si="880"/>
        <v>29.376469634314397</v>
      </c>
      <c r="BQ601" s="580">
        <f t="shared" si="880"/>
        <v>78.099509223218774</v>
      </c>
      <c r="BR601" s="580">
        <f t="shared" si="880"/>
        <v>12.699131484835924</v>
      </c>
      <c r="BS601" s="580">
        <f t="shared" si="880"/>
        <v>52.694138840635738</v>
      </c>
    </row>
    <row r="602" spans="1:71" s="245" customFormat="1">
      <c r="A602" s="243"/>
      <c r="B602" s="243" t="s">
        <v>2040</v>
      </c>
      <c r="C602" s="243" t="s">
        <v>2041</v>
      </c>
      <c r="D602" s="243"/>
      <c r="G602" s="245" t="e">
        <f t="shared" ref="G602:BK602" si="881">(G587/C587-1)*100</f>
        <v>#DIV/0!</v>
      </c>
      <c r="H602" s="245" t="e">
        <f t="shared" si="881"/>
        <v>#DIV/0!</v>
      </c>
      <c r="I602" s="245" t="e">
        <f t="shared" si="881"/>
        <v>#DIV/0!</v>
      </c>
      <c r="J602" s="245" t="e">
        <f t="shared" si="881"/>
        <v>#DIV/0!</v>
      </c>
      <c r="K602" s="245" t="e">
        <f t="shared" si="881"/>
        <v>#DIV/0!</v>
      </c>
      <c r="L602" s="245" t="e">
        <f t="shared" si="881"/>
        <v>#DIV/0!</v>
      </c>
      <c r="M602" s="245" t="e">
        <f t="shared" si="881"/>
        <v>#DIV/0!</v>
      </c>
      <c r="N602" s="245" t="e">
        <f t="shared" si="881"/>
        <v>#DIV/0!</v>
      </c>
      <c r="O602" s="245" t="e">
        <f t="shared" si="881"/>
        <v>#DIV/0!</v>
      </c>
      <c r="P602" s="245">
        <f t="shared" si="881"/>
        <v>-33.767820773930737</v>
      </c>
      <c r="Q602" s="245">
        <f t="shared" si="881"/>
        <v>-16.242495170456849</v>
      </c>
      <c r="R602" s="245">
        <f t="shared" si="881"/>
        <v>27.913812493610067</v>
      </c>
      <c r="S602" s="245">
        <f t="shared" si="881"/>
        <v>77.195066240292022</v>
      </c>
      <c r="T602" s="245">
        <f t="shared" si="881"/>
        <v>91.052099806712249</v>
      </c>
      <c r="U602" s="245">
        <f t="shared" si="881"/>
        <v>142.71796344147796</v>
      </c>
      <c r="V602" s="245">
        <f t="shared" si="881"/>
        <v>181.87181536617027</v>
      </c>
      <c r="W602" s="245">
        <f t="shared" si="881"/>
        <v>90.184464267299248</v>
      </c>
      <c r="X602" s="245">
        <f t="shared" si="881"/>
        <v>56.832087484565783</v>
      </c>
      <c r="Y602" s="245">
        <f t="shared" si="881"/>
        <v>31.51969907261374</v>
      </c>
      <c r="Z602" s="245">
        <f t="shared" si="881"/>
        <v>58.315182427678458</v>
      </c>
      <c r="AA602" s="245">
        <f t="shared" si="881"/>
        <v>20.48801152249451</v>
      </c>
      <c r="AB602" s="245">
        <f t="shared" si="881"/>
        <v>16.201471968097557</v>
      </c>
      <c r="AC602" s="245">
        <f t="shared" si="881"/>
        <v>25.375425342147317</v>
      </c>
      <c r="AD602" s="245">
        <f t="shared" si="881"/>
        <v>-14.065230411006514</v>
      </c>
      <c r="AE602" s="245">
        <f t="shared" si="881"/>
        <v>1.0308553427275324</v>
      </c>
      <c r="AF602" s="580"/>
      <c r="AG602" s="580"/>
      <c r="AH602" s="580"/>
      <c r="AI602" s="580"/>
      <c r="AJ602" s="580">
        <f t="shared" si="881"/>
        <v>18.341501613404066</v>
      </c>
      <c r="AK602" s="580">
        <f t="shared" si="881"/>
        <v>-1.1859686835869132</v>
      </c>
      <c r="AL602" s="580">
        <f t="shared" si="881"/>
        <v>4.4086344463741822</v>
      </c>
      <c r="AM602" s="580">
        <f t="shared" si="881"/>
        <v>-3.1750791670665857</v>
      </c>
      <c r="AN602" s="580">
        <f t="shared" si="881"/>
        <v>-29.688997398804386</v>
      </c>
      <c r="AO602" s="580">
        <f t="shared" si="881"/>
        <v>-100</v>
      </c>
      <c r="AP602" s="580">
        <f t="shared" si="881"/>
        <v>-100</v>
      </c>
      <c r="AQ602" s="580">
        <f t="shared" si="881"/>
        <v>-100</v>
      </c>
      <c r="AR602" s="580">
        <f t="shared" si="881"/>
        <v>-100</v>
      </c>
      <c r="AS602" s="580" t="e">
        <f t="shared" si="881"/>
        <v>#DIV/0!</v>
      </c>
      <c r="AT602" s="580" t="e">
        <f t="shared" si="881"/>
        <v>#DIV/0!</v>
      </c>
      <c r="AU602" s="580" t="e">
        <f t="shared" si="881"/>
        <v>#DIV/0!</v>
      </c>
      <c r="AV602" s="580" t="e">
        <f t="shared" si="881"/>
        <v>#DIV/0!</v>
      </c>
      <c r="AW602" s="580" t="e">
        <f t="shared" si="881"/>
        <v>#DIV/0!</v>
      </c>
      <c r="AX602" s="580" t="e">
        <f t="shared" si="881"/>
        <v>#DIV/0!</v>
      </c>
      <c r="AY602" s="580" t="e">
        <f t="shared" si="881"/>
        <v>#DIV/0!</v>
      </c>
      <c r="AZ602" s="580" t="e">
        <f t="shared" si="881"/>
        <v>#DIV/0!</v>
      </c>
      <c r="BA602" s="580" t="e">
        <f t="shared" si="881"/>
        <v>#DIV/0!</v>
      </c>
      <c r="BB602" s="580" t="e">
        <f t="shared" si="881"/>
        <v>#DIV/0!</v>
      </c>
      <c r="BC602" s="580" t="e">
        <f t="shared" si="881"/>
        <v>#DIV/0!</v>
      </c>
      <c r="BD602" s="580" t="e">
        <f t="shared" si="881"/>
        <v>#DIV/0!</v>
      </c>
      <c r="BE602" s="580" t="e">
        <f t="shared" si="881"/>
        <v>#DIV/0!</v>
      </c>
      <c r="BF602" s="580" t="e">
        <f t="shared" si="881"/>
        <v>#DIV/0!</v>
      </c>
      <c r="BG602" s="580" t="e">
        <f t="shared" si="881"/>
        <v>#DIV/0!</v>
      </c>
      <c r="BH602" s="580" t="e">
        <f t="shared" si="881"/>
        <v>#DIV/0!</v>
      </c>
      <c r="BI602" s="580" t="e">
        <f t="shared" si="881"/>
        <v>#DIV/0!</v>
      </c>
      <c r="BJ602" s="580" t="e">
        <f t="shared" si="881"/>
        <v>#DIV/0!</v>
      </c>
      <c r="BK602" s="580" t="e">
        <f t="shared" si="881"/>
        <v>#DIV/0!</v>
      </c>
      <c r="BL602" s="580" t="e">
        <f t="shared" ref="BL602:BS602" si="882">(BL587/BH587-1)*100</f>
        <v>#DIV/0!</v>
      </c>
      <c r="BM602" s="580" t="e">
        <f t="shared" si="882"/>
        <v>#DIV/0!</v>
      </c>
      <c r="BN602" s="580" t="e">
        <f t="shared" si="882"/>
        <v>#DIV/0!</v>
      </c>
      <c r="BO602" s="580" t="e">
        <f t="shared" si="882"/>
        <v>#DIV/0!</v>
      </c>
      <c r="BP602" s="580" t="e">
        <f t="shared" si="882"/>
        <v>#DIV/0!</v>
      </c>
      <c r="BQ602" s="580" t="e">
        <f t="shared" si="882"/>
        <v>#DIV/0!</v>
      </c>
      <c r="BR602" s="580" t="e">
        <f t="shared" si="882"/>
        <v>#DIV/0!</v>
      </c>
      <c r="BS602" s="580" t="e">
        <f t="shared" si="882"/>
        <v>#DIV/0!</v>
      </c>
    </row>
    <row r="603" spans="1:71" s="245" customFormat="1">
      <c r="A603" s="243"/>
      <c r="B603" s="243" t="s">
        <v>2042</v>
      </c>
      <c r="C603" s="243" t="s">
        <v>2043</v>
      </c>
      <c r="D603" s="243"/>
      <c r="G603" s="245" t="e">
        <f t="shared" ref="G603:P609" si="883">(G631-C631)*100</f>
        <v>#DIV/0!</v>
      </c>
      <c r="H603" s="245" t="e">
        <f t="shared" si="883"/>
        <v>#DIV/0!</v>
      </c>
      <c r="I603" s="245" t="e">
        <f t="shared" si="883"/>
        <v>#DIV/0!</v>
      </c>
      <c r="J603" s="245" t="e">
        <f t="shared" si="883"/>
        <v>#DIV/0!</v>
      </c>
      <c r="K603" s="245" t="e">
        <f t="shared" si="883"/>
        <v>#DIV/0!</v>
      </c>
      <c r="L603" s="245" t="e">
        <f t="shared" si="883"/>
        <v>#DIV/0!</v>
      </c>
      <c r="M603" s="245" t="e">
        <f t="shared" si="883"/>
        <v>#DIV/0!</v>
      </c>
      <c r="N603" s="245" t="e">
        <f t="shared" si="883"/>
        <v>#DIV/0!</v>
      </c>
      <c r="O603" s="245">
        <f t="shared" si="883"/>
        <v>-149.12749362302779</v>
      </c>
      <c r="P603" s="245">
        <f t="shared" si="883"/>
        <v>-251.52798767451029</v>
      </c>
      <c r="Q603" s="245">
        <f t="shared" ref="Q603:Z609" si="884">(Q631-M631)*100</f>
        <v>-12.952181129729823</v>
      </c>
      <c r="R603" s="245">
        <f t="shared" si="884"/>
        <v>347.02201322516896</v>
      </c>
      <c r="S603" s="245">
        <f t="shared" si="884"/>
        <v>792.96247505774215</v>
      </c>
      <c r="T603" s="245">
        <f t="shared" si="884"/>
        <v>855.2116270659775</v>
      </c>
      <c r="U603" s="245">
        <f t="shared" si="884"/>
        <v>741.24149158821581</v>
      </c>
      <c r="V603" s="245">
        <f t="shared" si="884"/>
        <v>678.02347836381534</v>
      </c>
      <c r="W603" s="245">
        <f t="shared" si="884"/>
        <v>49.705861977754751</v>
      </c>
      <c r="X603" s="245">
        <f t="shared" si="884"/>
        <v>-138.01055262621242</v>
      </c>
      <c r="Y603" s="245">
        <f t="shared" si="884"/>
        <v>-162.18930665246455</v>
      </c>
      <c r="Z603" s="245">
        <f t="shared" si="884"/>
        <v>-347.59685112649061</v>
      </c>
      <c r="AA603" s="245">
        <f t="shared" ref="AA603:AE609" si="885">(AA631-W631)*100</f>
        <v>-212.71313468070582</v>
      </c>
      <c r="AB603" s="245">
        <f t="shared" si="885"/>
        <v>-58.907047094998433</v>
      </c>
      <c r="AC603" s="245">
        <f t="shared" si="885"/>
        <v>-59.456261923050135</v>
      </c>
      <c r="AD603" s="245">
        <f t="shared" si="885"/>
        <v>40.789371132842334</v>
      </c>
      <c r="AE603" s="245">
        <f t="shared" si="885"/>
        <v>7.0295441230815214</v>
      </c>
      <c r="AF603" s="580"/>
      <c r="AG603" s="580"/>
      <c r="AH603" s="580"/>
      <c r="AI603" s="580"/>
      <c r="AJ603" s="580">
        <f t="shared" ref="AJ603:BK609" si="886">(AJ631-AF631)*100</f>
        <v>-333.84238086004405</v>
      </c>
      <c r="AK603" s="580">
        <f t="shared" si="886"/>
        <v>101.51596928718369</v>
      </c>
      <c r="AL603" s="580">
        <f t="shared" si="886"/>
        <v>51.347482712698955</v>
      </c>
      <c r="AM603" s="580">
        <f t="shared" si="886"/>
        <v>-149.43088060779706</v>
      </c>
      <c r="AN603" s="580">
        <f t="shared" si="886"/>
        <v>-149.12749362302779</v>
      </c>
      <c r="AO603" s="580">
        <f t="shared" si="886"/>
        <v>-251.52798767451029</v>
      </c>
      <c r="AP603" s="580">
        <f t="shared" si="886"/>
        <v>-12.952181129729823</v>
      </c>
      <c r="AQ603" s="580">
        <f t="shared" si="886"/>
        <v>347.02201322516896</v>
      </c>
      <c r="AR603" s="580">
        <f t="shared" si="886"/>
        <v>792.96247505774215</v>
      </c>
      <c r="AS603" s="580">
        <f t="shared" si="886"/>
        <v>855.2116270659775</v>
      </c>
      <c r="AT603" s="580">
        <f t="shared" si="886"/>
        <v>741.24149158821581</v>
      </c>
      <c r="AU603" s="580">
        <f t="shared" si="886"/>
        <v>678.02347836381534</v>
      </c>
      <c r="AV603" s="580">
        <f t="shared" si="886"/>
        <v>49.705861977754751</v>
      </c>
      <c r="AW603" s="580">
        <f t="shared" si="886"/>
        <v>-138.01055262621242</v>
      </c>
      <c r="AX603" s="580">
        <f t="shared" si="886"/>
        <v>-162.18930665246455</v>
      </c>
      <c r="AY603" s="580">
        <f t="shared" si="886"/>
        <v>-347.59685112649061</v>
      </c>
      <c r="AZ603" s="580">
        <f t="shared" si="886"/>
        <v>-212.71313468070582</v>
      </c>
      <c r="BA603" s="580">
        <f t="shared" si="886"/>
        <v>-58.907047094998433</v>
      </c>
      <c r="BB603" s="580">
        <f t="shared" si="886"/>
        <v>-59.456261923050135</v>
      </c>
      <c r="BC603" s="580">
        <f t="shared" si="886"/>
        <v>40.789371132842334</v>
      </c>
      <c r="BD603" s="580">
        <f t="shared" si="886"/>
        <v>7.0295441230815214</v>
      </c>
      <c r="BE603" s="580">
        <f t="shared" si="886"/>
        <v>-166.85840090020321</v>
      </c>
      <c r="BF603" s="580">
        <f t="shared" si="886"/>
        <v>-104.61860769548288</v>
      </c>
      <c r="BG603" s="580">
        <f t="shared" si="886"/>
        <v>-216.60229634831012</v>
      </c>
      <c r="BH603" s="580">
        <f t="shared" si="886"/>
        <v>250.19100987892244</v>
      </c>
      <c r="BI603" s="580">
        <f t="shared" si="886"/>
        <v>422.88840061802591</v>
      </c>
      <c r="BJ603" s="580">
        <f t="shared" si="886"/>
        <v>156.92639058800566</v>
      </c>
      <c r="BK603" s="580">
        <f t="shared" si="886"/>
        <v>200.75885853403435</v>
      </c>
      <c r="BL603" s="580">
        <f t="shared" ref="BL603:BL609" si="887">(BL631-BH631)*100</f>
        <v>-152.38374546101667</v>
      </c>
      <c r="BM603" s="580">
        <f t="shared" ref="BM603:BS609" si="888">(BM631-BI631)*100</f>
        <v>-260.83218509786764</v>
      </c>
      <c r="BN603" s="580">
        <f t="shared" si="888"/>
        <v>2.8624343352390724</v>
      </c>
      <c r="BO603" s="580">
        <f t="shared" si="888"/>
        <v>-206.98660449055382</v>
      </c>
      <c r="BP603" s="580">
        <f t="shared" si="888"/>
        <v>147.06245484256755</v>
      </c>
      <c r="BQ603" s="580">
        <f t="shared" si="888"/>
        <v>163.05949697340196</v>
      </c>
      <c r="BR603" s="580">
        <f t="shared" si="888"/>
        <v>82.870401581936193</v>
      </c>
      <c r="BS603" s="580">
        <f t="shared" si="888"/>
        <v>395.67530524822348</v>
      </c>
    </row>
    <row r="604" spans="1:71" s="245" customFormat="1">
      <c r="A604" s="243"/>
      <c r="B604" s="243" t="s">
        <v>2044</v>
      </c>
      <c r="C604" s="243" t="s">
        <v>2045</v>
      </c>
      <c r="D604" s="243"/>
      <c r="G604" s="245" t="e">
        <f t="shared" si="883"/>
        <v>#DIV/0!</v>
      </c>
      <c r="H604" s="245" t="e">
        <f t="shared" si="883"/>
        <v>#DIV/0!</v>
      </c>
      <c r="I604" s="245" t="e">
        <f t="shared" si="883"/>
        <v>#DIV/0!</v>
      </c>
      <c r="J604" s="245" t="e">
        <f t="shared" si="883"/>
        <v>#DIV/0!</v>
      </c>
      <c r="K604" s="245" t="e">
        <f t="shared" si="883"/>
        <v>#DIV/0!</v>
      </c>
      <c r="L604" s="245" t="e">
        <f t="shared" si="883"/>
        <v>#DIV/0!</v>
      </c>
      <c r="M604" s="245" t="e">
        <f t="shared" si="883"/>
        <v>#DIV/0!</v>
      </c>
      <c r="N604" s="245" t="e">
        <f t="shared" si="883"/>
        <v>#DIV/0!</v>
      </c>
      <c r="O604" s="245">
        <f t="shared" si="883"/>
        <v>-61.759628799703137</v>
      </c>
      <c r="P604" s="245">
        <f t="shared" si="883"/>
        <v>-175.05180088364014</v>
      </c>
      <c r="Q604" s="245">
        <f t="shared" si="884"/>
        <v>2.6508974603082436</v>
      </c>
      <c r="R604" s="245">
        <f t="shared" si="884"/>
        <v>380.40994838584936</v>
      </c>
      <c r="S604" s="245">
        <f t="shared" si="884"/>
        <v>796.6056080395507</v>
      </c>
      <c r="T604" s="245">
        <f t="shared" si="884"/>
        <v>868.72306712641296</v>
      </c>
      <c r="U604" s="245">
        <f t="shared" si="884"/>
        <v>784.60758599539065</v>
      </c>
      <c r="V604" s="245">
        <f t="shared" si="884"/>
        <v>743.81854742972848</v>
      </c>
      <c r="W604" s="245">
        <f t="shared" si="884"/>
        <v>109.36765223973488</v>
      </c>
      <c r="X604" s="245">
        <f t="shared" si="884"/>
        <v>-90.696872453256461</v>
      </c>
      <c r="Y604" s="245">
        <f t="shared" si="884"/>
        <v>-128.18450124200103</v>
      </c>
      <c r="Z604" s="245">
        <f t="shared" si="884"/>
        <v>-319.75774773470994</v>
      </c>
      <c r="AA604" s="245">
        <f t="shared" si="885"/>
        <v>-196.01927082357733</v>
      </c>
      <c r="AB604" s="245">
        <f t="shared" si="885"/>
        <v>-64.766427684492811</v>
      </c>
      <c r="AC604" s="245">
        <f t="shared" si="885"/>
        <v>-49.655770035924007</v>
      </c>
      <c r="AD604" s="245">
        <f t="shared" si="885"/>
        <v>50.040798238856254</v>
      </c>
      <c r="AE604" s="245">
        <f t="shared" si="885"/>
        <v>-0.29203570235694087</v>
      </c>
      <c r="AF604" s="580"/>
      <c r="AG604" s="580"/>
      <c r="AH604" s="580"/>
      <c r="AI604" s="580"/>
      <c r="AJ604" s="580">
        <f t="shared" si="886"/>
        <v>-347.85026217739289</v>
      </c>
      <c r="AK604" s="580">
        <f t="shared" si="886"/>
        <v>97.084149366263802</v>
      </c>
      <c r="AL604" s="580">
        <f t="shared" si="886"/>
        <v>67.934200859604132</v>
      </c>
      <c r="AM604" s="580">
        <f t="shared" si="886"/>
        <v>-151.16237252640659</v>
      </c>
      <c r="AN604" s="580">
        <f t="shared" si="886"/>
        <v>-61.759628799703137</v>
      </c>
      <c r="AO604" s="580">
        <f t="shared" si="886"/>
        <v>-175.05180088364014</v>
      </c>
      <c r="AP604" s="580">
        <f t="shared" si="886"/>
        <v>2.6508974603082436</v>
      </c>
      <c r="AQ604" s="580">
        <f t="shared" si="886"/>
        <v>380.40994838584936</v>
      </c>
      <c r="AR604" s="580">
        <f t="shared" si="886"/>
        <v>796.6056080395507</v>
      </c>
      <c r="AS604" s="580">
        <f t="shared" si="886"/>
        <v>868.72306712641296</v>
      </c>
      <c r="AT604" s="580">
        <f t="shared" si="886"/>
        <v>784.60758599539065</v>
      </c>
      <c r="AU604" s="580">
        <f t="shared" si="886"/>
        <v>743.81854742972848</v>
      </c>
      <c r="AV604" s="580">
        <f t="shared" si="886"/>
        <v>109.36765223973488</v>
      </c>
      <c r="AW604" s="580">
        <f t="shared" si="886"/>
        <v>-90.696872453256461</v>
      </c>
      <c r="AX604" s="580">
        <f t="shared" si="886"/>
        <v>-128.18450124200103</v>
      </c>
      <c r="AY604" s="580">
        <f t="shared" si="886"/>
        <v>-319.75774773470994</v>
      </c>
      <c r="AZ604" s="580">
        <f t="shared" si="886"/>
        <v>-196.01927082357733</v>
      </c>
      <c r="BA604" s="580">
        <f t="shared" si="886"/>
        <v>-64.766427684492811</v>
      </c>
      <c r="BB604" s="580">
        <f t="shared" si="886"/>
        <v>-49.655770035924007</v>
      </c>
      <c r="BC604" s="580">
        <f t="shared" si="886"/>
        <v>50.040798238856254</v>
      </c>
      <c r="BD604" s="580">
        <f t="shared" si="886"/>
        <v>-0.29203570235694087</v>
      </c>
      <c r="BE604" s="580">
        <f t="shared" si="886"/>
        <v>-174.5543274316102</v>
      </c>
      <c r="BF604" s="580">
        <f t="shared" si="886"/>
        <v>-116.05213488010406</v>
      </c>
      <c r="BG604" s="580">
        <f t="shared" si="886"/>
        <v>-251.55215248336765</v>
      </c>
      <c r="BH604" s="580">
        <f t="shared" si="886"/>
        <v>232.22968366854531</v>
      </c>
      <c r="BI604" s="580">
        <f t="shared" si="886"/>
        <v>419.83763682088158</v>
      </c>
      <c r="BJ604" s="580">
        <f t="shared" si="886"/>
        <v>143.27232468374405</v>
      </c>
      <c r="BK604" s="580">
        <f t="shared" si="886"/>
        <v>208.77671074041757</v>
      </c>
      <c r="BL604" s="580">
        <f t="shared" si="887"/>
        <v>-193.74552381464625</v>
      </c>
      <c r="BM604" s="580">
        <f t="shared" si="888"/>
        <v>-290.32039185302204</v>
      </c>
      <c r="BN604" s="580">
        <f t="shared" si="888"/>
        <v>-23.847604260746991</v>
      </c>
      <c r="BO604" s="580">
        <f t="shared" si="888"/>
        <v>-251.44437058314787</v>
      </c>
      <c r="BP604" s="580">
        <f t="shared" si="888"/>
        <v>138.77563781314493</v>
      </c>
      <c r="BQ604" s="580">
        <f t="shared" si="888"/>
        <v>149.82687677636085</v>
      </c>
      <c r="BR604" s="580">
        <f t="shared" si="888"/>
        <v>64.590854722462865</v>
      </c>
      <c r="BS604" s="580">
        <f t="shared" si="888"/>
        <v>388.3231833257426</v>
      </c>
    </row>
    <row r="605" spans="1:71" s="245" customFormat="1">
      <c r="A605" s="243"/>
      <c r="B605" s="243" t="s">
        <v>2046</v>
      </c>
      <c r="C605" s="243" t="s">
        <v>2047</v>
      </c>
      <c r="D605" s="243"/>
      <c r="G605" s="245" t="e">
        <f t="shared" si="883"/>
        <v>#DIV/0!</v>
      </c>
      <c r="H605" s="245" t="e">
        <f t="shared" si="883"/>
        <v>#DIV/0!</v>
      </c>
      <c r="I605" s="245" t="e">
        <f t="shared" si="883"/>
        <v>#DIV/0!</v>
      </c>
      <c r="J605" s="245" t="e">
        <f t="shared" si="883"/>
        <v>#DIV/0!</v>
      </c>
      <c r="K605" s="245" t="e">
        <f t="shared" si="883"/>
        <v>#DIV/0!</v>
      </c>
      <c r="L605" s="245" t="e">
        <f t="shared" si="883"/>
        <v>#DIV/0!</v>
      </c>
      <c r="M605" s="245" t="e">
        <f t="shared" si="883"/>
        <v>#DIV/0!</v>
      </c>
      <c r="N605" s="245" t="e">
        <f t="shared" si="883"/>
        <v>#DIV/0!</v>
      </c>
      <c r="O605" s="245">
        <f t="shared" si="883"/>
        <v>-424.20644827866454</v>
      </c>
      <c r="P605" s="245">
        <f t="shared" si="883"/>
        <v>-711.7069355734609</v>
      </c>
      <c r="Q605" s="245">
        <f t="shared" si="884"/>
        <v>11.051822764381747</v>
      </c>
      <c r="R605" s="245">
        <f t="shared" si="884"/>
        <v>403.51887327532319</v>
      </c>
      <c r="S605" s="245">
        <f t="shared" si="884"/>
        <v>771.01196850642464</v>
      </c>
      <c r="T605" s="245">
        <f t="shared" si="884"/>
        <v>857.25815874119803</v>
      </c>
      <c r="U605" s="245">
        <f t="shared" si="884"/>
        <v>711.09080939847195</v>
      </c>
      <c r="V605" s="245">
        <f t="shared" si="884"/>
        <v>747.19770535056205</v>
      </c>
      <c r="W605" s="245">
        <f t="shared" si="884"/>
        <v>220.35941081372988</v>
      </c>
      <c r="X605" s="245">
        <f t="shared" si="884"/>
        <v>26.847309913835105</v>
      </c>
      <c r="Y605" s="245">
        <f t="shared" si="884"/>
        <v>3.3261253139638569</v>
      </c>
      <c r="Z605" s="245">
        <f t="shared" si="884"/>
        <v>-68.039946266268814</v>
      </c>
      <c r="AA605" s="245">
        <f t="shared" si="885"/>
        <v>-99.799890229846966</v>
      </c>
      <c r="AB605" s="245">
        <f t="shared" si="885"/>
        <v>-116.16396923934857</v>
      </c>
      <c r="AC605" s="245">
        <f t="shared" si="885"/>
        <v>49.346639940510428</v>
      </c>
      <c r="AD605" s="245">
        <f t="shared" si="885"/>
        <v>-26.81160027268561</v>
      </c>
      <c r="AE605" s="245">
        <f t="shared" si="885"/>
        <v>67.531553948806433</v>
      </c>
      <c r="AF605" s="580"/>
      <c r="AG605" s="580"/>
      <c r="AH605" s="580"/>
      <c r="AI605" s="580"/>
      <c r="AJ605" s="580">
        <f t="shared" si="886"/>
        <v>-290.15533400735728</v>
      </c>
      <c r="AK605" s="580">
        <f t="shared" si="886"/>
        <v>135.76412925655035</v>
      </c>
      <c r="AL605" s="580">
        <f t="shared" si="886"/>
        <v>-387.04786332726633</v>
      </c>
      <c r="AM605" s="580">
        <f t="shared" si="886"/>
        <v>-734.26667763115029</v>
      </c>
      <c r="AN605" s="580">
        <f t="shared" si="886"/>
        <v>-424.20644827866454</v>
      </c>
      <c r="AO605" s="580">
        <f t="shared" si="886"/>
        <v>-711.7069355734609</v>
      </c>
      <c r="AP605" s="580">
        <f t="shared" si="886"/>
        <v>11.051822764381747</v>
      </c>
      <c r="AQ605" s="580">
        <f t="shared" si="886"/>
        <v>403.51887327532319</v>
      </c>
      <c r="AR605" s="580">
        <f t="shared" si="886"/>
        <v>771.01196850642464</v>
      </c>
      <c r="AS605" s="580">
        <f t="shared" si="886"/>
        <v>857.25815874119803</v>
      </c>
      <c r="AT605" s="580">
        <f t="shared" si="886"/>
        <v>711.09080939847195</v>
      </c>
      <c r="AU605" s="580">
        <f t="shared" si="886"/>
        <v>747.19770535056205</v>
      </c>
      <c r="AV605" s="580">
        <f t="shared" si="886"/>
        <v>220.35941081372988</v>
      </c>
      <c r="AW605" s="580">
        <f t="shared" si="886"/>
        <v>26.847309913835105</v>
      </c>
      <c r="AX605" s="580">
        <f t="shared" si="886"/>
        <v>3.3261253139638569</v>
      </c>
      <c r="AY605" s="580">
        <f t="shared" si="886"/>
        <v>-68.039946266268814</v>
      </c>
      <c r="AZ605" s="580">
        <f t="shared" si="886"/>
        <v>-99.799890229846966</v>
      </c>
      <c r="BA605" s="580">
        <f t="shared" si="886"/>
        <v>-116.16396923934857</v>
      </c>
      <c r="BB605" s="580">
        <f t="shared" si="886"/>
        <v>49.346639940510428</v>
      </c>
      <c r="BC605" s="580">
        <f t="shared" si="886"/>
        <v>-26.81160027268561</v>
      </c>
      <c r="BD605" s="580">
        <f t="shared" si="886"/>
        <v>67.531553948806433</v>
      </c>
      <c r="BE605" s="580">
        <f t="shared" si="886"/>
        <v>19.334686369593612</v>
      </c>
      <c r="BF605" s="580">
        <f t="shared" si="886"/>
        <v>-77.769252015273338</v>
      </c>
      <c r="BG605" s="580">
        <f t="shared" si="886"/>
        <v>-38.194280960186688</v>
      </c>
      <c r="BH605" s="580">
        <f t="shared" si="886"/>
        <v>215.79946363740811</v>
      </c>
      <c r="BI605" s="580">
        <f t="shared" si="886"/>
        <v>324.47463680463926</v>
      </c>
      <c r="BJ605" s="580">
        <f t="shared" si="886"/>
        <v>200.21025948691749</v>
      </c>
      <c r="BK605" s="580">
        <f t="shared" si="886"/>
        <v>70.227320005784932</v>
      </c>
      <c r="BL605" s="580">
        <f t="shared" si="887"/>
        <v>-133.83811560463101</v>
      </c>
      <c r="BM605" s="580">
        <f t="shared" si="888"/>
        <v>-339.72616907276392</v>
      </c>
      <c r="BN605" s="580">
        <f t="shared" si="888"/>
        <v>-287.77399244769805</v>
      </c>
      <c r="BO605" s="580">
        <f t="shared" si="888"/>
        <v>-300.62901906533705</v>
      </c>
      <c r="BP605" s="580">
        <f t="shared" si="888"/>
        <v>268.27331248312021</v>
      </c>
      <c r="BQ605" s="580">
        <f t="shared" si="888"/>
        <v>400.06577732918771</v>
      </c>
      <c r="BR605" s="580">
        <f t="shared" si="888"/>
        <v>333.22083897600976</v>
      </c>
      <c r="BS605" s="580">
        <f t="shared" si="888"/>
        <v>542.1317190119496</v>
      </c>
    </row>
    <row r="606" spans="1:71" s="245" customFormat="1">
      <c r="A606" s="243"/>
      <c r="B606" s="243" t="s">
        <v>2048</v>
      </c>
      <c r="C606" s="243" t="s">
        <v>2049</v>
      </c>
      <c r="D606" s="243"/>
      <c r="G606" s="245" t="e">
        <f t="shared" si="883"/>
        <v>#DIV/0!</v>
      </c>
      <c r="H606" s="245" t="e">
        <f t="shared" si="883"/>
        <v>#DIV/0!</v>
      </c>
      <c r="I606" s="245" t="e">
        <f t="shared" si="883"/>
        <v>#DIV/0!</v>
      </c>
      <c r="J606" s="245" t="e">
        <f t="shared" si="883"/>
        <v>#DIV/0!</v>
      </c>
      <c r="K606" s="245" t="e">
        <f t="shared" si="883"/>
        <v>#DIV/0!</v>
      </c>
      <c r="L606" s="245" t="e">
        <f t="shared" si="883"/>
        <v>#DIV/0!</v>
      </c>
      <c r="M606" s="245" t="e">
        <f t="shared" si="883"/>
        <v>#DIV/0!</v>
      </c>
      <c r="N606" s="245" t="e">
        <f t="shared" si="883"/>
        <v>#DIV/0!</v>
      </c>
      <c r="O606" s="245">
        <f t="shared" si="883"/>
        <v>-427.90326289972677</v>
      </c>
      <c r="P606" s="245">
        <f t="shared" si="883"/>
        <v>-728.98245384083714</v>
      </c>
      <c r="Q606" s="245">
        <f t="shared" si="884"/>
        <v>-24.121103824485068</v>
      </c>
      <c r="R606" s="245">
        <f t="shared" si="884"/>
        <v>384.63458200367546</v>
      </c>
      <c r="S606" s="245">
        <f t="shared" si="884"/>
        <v>749.46381248352304</v>
      </c>
      <c r="T606" s="245">
        <f t="shared" si="884"/>
        <v>880.29194817233792</v>
      </c>
      <c r="U606" s="245">
        <f t="shared" si="884"/>
        <v>753.97380912664221</v>
      </c>
      <c r="V606" s="245">
        <f t="shared" si="884"/>
        <v>774.83661741648223</v>
      </c>
      <c r="W606" s="245">
        <f t="shared" si="884"/>
        <v>244.26941140492067</v>
      </c>
      <c r="X606" s="245">
        <f t="shared" si="884"/>
        <v>25.35024186403092</v>
      </c>
      <c r="Y606" s="245">
        <f t="shared" si="884"/>
        <v>2.4703480294046898</v>
      </c>
      <c r="Z606" s="245">
        <f t="shared" si="884"/>
        <v>-68.189996162993793</v>
      </c>
      <c r="AA606" s="245">
        <f t="shared" si="885"/>
        <v>-98.669085600105078</v>
      </c>
      <c r="AB606" s="245">
        <f t="shared" si="885"/>
        <v>-153.05498151973538</v>
      </c>
      <c r="AC606" s="245">
        <f t="shared" si="885"/>
        <v>50.168372815352669</v>
      </c>
      <c r="AD606" s="245">
        <f t="shared" si="885"/>
        <v>-30.496240104938721</v>
      </c>
      <c r="AE606" s="245">
        <f t="shared" si="885"/>
        <v>67.93805282885188</v>
      </c>
      <c r="AF606" s="580"/>
      <c r="AG606" s="580"/>
      <c r="AH606" s="580"/>
      <c r="AI606" s="580"/>
      <c r="AJ606" s="580">
        <f t="shared" si="886"/>
        <v>-287.12570157031899</v>
      </c>
      <c r="AK606" s="580">
        <f t="shared" si="886"/>
        <v>138.21613982860441</v>
      </c>
      <c r="AL606" s="580">
        <f t="shared" si="886"/>
        <v>-393.90738415928172</v>
      </c>
      <c r="AM606" s="580">
        <f t="shared" si="886"/>
        <v>-732.66143734725711</v>
      </c>
      <c r="AN606" s="580">
        <f t="shared" si="886"/>
        <v>-427.90326289972677</v>
      </c>
      <c r="AO606" s="580">
        <f t="shared" si="886"/>
        <v>-728.98245384083714</v>
      </c>
      <c r="AP606" s="580">
        <f t="shared" si="886"/>
        <v>-24.121103824485068</v>
      </c>
      <c r="AQ606" s="580">
        <f t="shared" si="886"/>
        <v>384.63458200367546</v>
      </c>
      <c r="AR606" s="580">
        <f t="shared" si="886"/>
        <v>749.46381248352304</v>
      </c>
      <c r="AS606" s="580">
        <f t="shared" si="886"/>
        <v>880.29194817233792</v>
      </c>
      <c r="AT606" s="580">
        <f t="shared" si="886"/>
        <v>753.97380912664221</v>
      </c>
      <c r="AU606" s="580">
        <f t="shared" si="886"/>
        <v>774.83661741648223</v>
      </c>
      <c r="AV606" s="580">
        <f t="shared" si="886"/>
        <v>244.26941140492067</v>
      </c>
      <c r="AW606" s="580">
        <f t="shared" si="886"/>
        <v>25.35024186403092</v>
      </c>
      <c r="AX606" s="580">
        <f t="shared" si="886"/>
        <v>2.4703480294046898</v>
      </c>
      <c r="AY606" s="580">
        <f t="shared" si="886"/>
        <v>-68.189996162993793</v>
      </c>
      <c r="AZ606" s="580">
        <f t="shared" si="886"/>
        <v>-98.669085600105078</v>
      </c>
      <c r="BA606" s="580">
        <f t="shared" si="886"/>
        <v>-153.05498151973538</v>
      </c>
      <c r="BB606" s="580">
        <f t="shared" si="886"/>
        <v>50.168372815352669</v>
      </c>
      <c r="BC606" s="580">
        <f t="shared" si="886"/>
        <v>-30.496240104938721</v>
      </c>
      <c r="BD606" s="580">
        <f t="shared" si="886"/>
        <v>67.93805282885188</v>
      </c>
      <c r="BE606" s="580">
        <f t="shared" si="886"/>
        <v>57.28032441839126</v>
      </c>
      <c r="BF606" s="580">
        <f t="shared" si="886"/>
        <v>-77.913889153455429</v>
      </c>
      <c r="BG606" s="580">
        <f t="shared" si="886"/>
        <v>-34.768236151091614</v>
      </c>
      <c r="BH606" s="580">
        <f t="shared" si="886"/>
        <v>215.69841371674522</v>
      </c>
      <c r="BI606" s="580">
        <f t="shared" si="886"/>
        <v>324.83978275702833</v>
      </c>
      <c r="BJ606" s="580">
        <f t="shared" si="886"/>
        <v>200.02472895676604</v>
      </c>
      <c r="BK606" s="580">
        <f t="shared" si="886"/>
        <v>70.26188091529626</v>
      </c>
      <c r="BL606" s="580">
        <f t="shared" si="887"/>
        <v>-133.8642845705653</v>
      </c>
      <c r="BM606" s="580">
        <f t="shared" si="888"/>
        <v>-339.7327218890851</v>
      </c>
      <c r="BN606" s="580">
        <f t="shared" si="888"/>
        <v>-287.52744835996646</v>
      </c>
      <c r="BO606" s="580">
        <f t="shared" si="888"/>
        <v>-313.28194196000931</v>
      </c>
      <c r="BP606" s="580">
        <f t="shared" si="888"/>
        <v>268.28628632559167</v>
      </c>
      <c r="BQ606" s="580">
        <f t="shared" si="888"/>
        <v>399.59041042961803</v>
      </c>
      <c r="BR606" s="580">
        <f t="shared" si="888"/>
        <v>332.96604937727852</v>
      </c>
      <c r="BS606" s="580">
        <f t="shared" si="888"/>
        <v>554.40162821511296</v>
      </c>
    </row>
    <row r="607" spans="1:71" s="245" customFormat="1">
      <c r="A607" s="243"/>
      <c r="B607" s="243" t="s">
        <v>2050</v>
      </c>
      <c r="C607" s="243" t="s">
        <v>2051</v>
      </c>
      <c r="D607" s="243"/>
      <c r="G607" s="245" t="e">
        <f t="shared" si="883"/>
        <v>#DIV/0!</v>
      </c>
      <c r="H607" s="245" t="e">
        <f t="shared" si="883"/>
        <v>#DIV/0!</v>
      </c>
      <c r="I607" s="245" t="e">
        <f t="shared" si="883"/>
        <v>#DIV/0!</v>
      </c>
      <c r="J607" s="245" t="e">
        <f t="shared" si="883"/>
        <v>#DIV/0!</v>
      </c>
      <c r="K607" s="245" t="e">
        <f t="shared" si="883"/>
        <v>#DIV/0!</v>
      </c>
      <c r="L607" s="245" t="e">
        <f t="shared" si="883"/>
        <v>#DIV/0!</v>
      </c>
      <c r="M607" s="245" t="e">
        <f t="shared" si="883"/>
        <v>#DIV/0!</v>
      </c>
      <c r="N607" s="245" t="e">
        <f t="shared" si="883"/>
        <v>#DIV/0!</v>
      </c>
      <c r="O607" s="245">
        <f t="shared" si="883"/>
        <v>-313.98058053261337</v>
      </c>
      <c r="P607" s="245">
        <f t="shared" si="883"/>
        <v>-561.97782800664595</v>
      </c>
      <c r="Q607" s="245">
        <f t="shared" si="884"/>
        <v>-3.8492352891596582</v>
      </c>
      <c r="R607" s="245">
        <f t="shared" si="884"/>
        <v>308.46183686677409</v>
      </c>
      <c r="S607" s="245">
        <f t="shared" si="884"/>
        <v>569.11046937455603</v>
      </c>
      <c r="T607" s="245">
        <f t="shared" si="884"/>
        <v>612.92421745925606</v>
      </c>
      <c r="U607" s="245">
        <f t="shared" si="884"/>
        <v>545.46617447928907</v>
      </c>
      <c r="V607" s="245">
        <f t="shared" si="884"/>
        <v>596.97087863587046</v>
      </c>
      <c r="W607" s="245">
        <f t="shared" si="884"/>
        <v>190.11862285565576</v>
      </c>
      <c r="X607" s="245">
        <f t="shared" si="884"/>
        <v>64.774050838600772</v>
      </c>
      <c r="Y607" s="245">
        <f t="shared" si="884"/>
        <v>57.930419596220517</v>
      </c>
      <c r="Z607" s="245">
        <f t="shared" si="884"/>
        <v>495.39352031032956</v>
      </c>
      <c r="AA607" s="245">
        <f t="shared" si="885"/>
        <v>-6.200095371633374</v>
      </c>
      <c r="AB607" s="245">
        <f t="shared" si="885"/>
        <v>-66.211612323242619</v>
      </c>
      <c r="AC607" s="245">
        <f t="shared" si="885"/>
        <v>80.445359503243807</v>
      </c>
      <c r="AD607" s="245">
        <f t="shared" si="885"/>
        <v>-504.87249790794237</v>
      </c>
      <c r="AE607" s="245">
        <f t="shared" si="885"/>
        <v>-34.422382615776925</v>
      </c>
      <c r="AF607" s="580"/>
      <c r="AG607" s="580"/>
      <c r="AH607" s="580"/>
      <c r="AI607" s="580"/>
      <c r="AJ607" s="580">
        <f t="shared" si="886"/>
        <v>-183.02320855351405</v>
      </c>
      <c r="AK607" s="580">
        <f t="shared" si="886"/>
        <v>94.584735056254658</v>
      </c>
      <c r="AL607" s="580">
        <f t="shared" si="886"/>
        <v>-331.69699431676474</v>
      </c>
      <c r="AM607" s="580">
        <f t="shared" si="886"/>
        <v>-557.98517734756888</v>
      </c>
      <c r="AN607" s="580">
        <f t="shared" si="886"/>
        <v>-313.98058053261337</v>
      </c>
      <c r="AO607" s="580">
        <f t="shared" si="886"/>
        <v>-490.05119082218317</v>
      </c>
      <c r="AP607" s="580">
        <f t="shared" si="886"/>
        <v>21.922511237367281</v>
      </c>
      <c r="AQ607" s="580">
        <f t="shared" si="886"/>
        <v>393.57330341983959</v>
      </c>
      <c r="AR607" s="580">
        <f t="shared" si="886"/>
        <v>599.92548945178589</v>
      </c>
      <c r="AS607" s="580">
        <f t="shared" si="886"/>
        <v>588.61299978849183</v>
      </c>
      <c r="AT607" s="580">
        <f t="shared" si="886"/>
        <v>500.01991243177508</v>
      </c>
      <c r="AU607" s="580">
        <f t="shared" si="886"/>
        <v>478.28939081113617</v>
      </c>
      <c r="AV607" s="580">
        <f t="shared" si="886"/>
        <v>159.30360277842581</v>
      </c>
      <c r="AW607" s="580">
        <f t="shared" si="886"/>
        <v>17.158631324902274</v>
      </c>
      <c r="AX607" s="580">
        <f t="shared" si="886"/>
        <v>16.219627770880329</v>
      </c>
      <c r="AY607" s="580">
        <f t="shared" si="886"/>
        <v>-69.480721981580373</v>
      </c>
      <c r="AZ607" s="580">
        <f t="shared" si="886"/>
        <v>-6.200095371633374</v>
      </c>
      <c r="BA607" s="580">
        <f t="shared" si="886"/>
        <v>-11.870265968591553</v>
      </c>
      <c r="BB607" s="580">
        <f t="shared" si="886"/>
        <v>115.86130329662865</v>
      </c>
      <c r="BC607" s="580">
        <f t="shared" si="886"/>
        <v>15.513057569234689</v>
      </c>
      <c r="BD607" s="580">
        <f t="shared" si="886"/>
        <v>-34.422382615776925</v>
      </c>
      <c r="BE607" s="580">
        <f t="shared" si="886"/>
        <v>-69.521465685595984</v>
      </c>
      <c r="BF607" s="580">
        <f t="shared" si="886"/>
        <v>-200.30898514225743</v>
      </c>
      <c r="BG607" s="580">
        <f t="shared" si="886"/>
        <v>-32.964439627430764</v>
      </c>
      <c r="BH607" s="580">
        <f t="shared" si="886"/>
        <v>221.09652055078629</v>
      </c>
      <c r="BI607" s="580">
        <f t="shared" si="886"/>
        <v>204.2320731050518</v>
      </c>
      <c r="BJ607" s="580">
        <f t="shared" si="886"/>
        <v>64.050509162351858</v>
      </c>
      <c r="BK607" s="580">
        <f t="shared" si="886"/>
        <v>7.6688005438604989</v>
      </c>
      <c r="BL607" s="580">
        <f t="shared" si="887"/>
        <v>-160.70838307614198</v>
      </c>
      <c r="BM607" s="580">
        <f t="shared" si="888"/>
        <v>-19.159327022612516</v>
      </c>
      <c r="BN607" s="580">
        <f t="shared" si="888"/>
        <v>-193.91690641666148</v>
      </c>
      <c r="BO607" s="580">
        <f t="shared" si="888"/>
        <v>-320.6408032710703</v>
      </c>
      <c r="BP607" s="580">
        <f t="shared" si="888"/>
        <v>172.95388327141819</v>
      </c>
      <c r="BQ607" s="580">
        <f t="shared" si="888"/>
        <v>56.286556283055589</v>
      </c>
      <c r="BR607" s="580">
        <f t="shared" si="888"/>
        <v>366.77238059857496</v>
      </c>
      <c r="BS607" s="580">
        <f t="shared" si="888"/>
        <v>470.9356604769356</v>
      </c>
    </row>
    <row r="608" spans="1:71" s="245" customFormat="1">
      <c r="A608" s="243"/>
      <c r="B608" s="243" t="s">
        <v>2052</v>
      </c>
      <c r="C608" s="243" t="s">
        <v>2053</v>
      </c>
      <c r="D608" s="243"/>
      <c r="G608" s="245" t="e">
        <f t="shared" si="883"/>
        <v>#DIV/0!</v>
      </c>
      <c r="H608" s="245" t="e">
        <f t="shared" si="883"/>
        <v>#DIV/0!</v>
      </c>
      <c r="I608" s="245" t="e">
        <f t="shared" si="883"/>
        <v>#DIV/0!</v>
      </c>
      <c r="J608" s="245" t="e">
        <f t="shared" si="883"/>
        <v>#DIV/0!</v>
      </c>
      <c r="K608" s="245" t="e">
        <f t="shared" si="883"/>
        <v>#DIV/0!</v>
      </c>
      <c r="L608" s="245" t="e">
        <f t="shared" si="883"/>
        <v>#DIV/0!</v>
      </c>
      <c r="M608" s="245" t="e">
        <f t="shared" si="883"/>
        <v>#DIV/0!</v>
      </c>
      <c r="N608" s="245" t="e">
        <f t="shared" si="883"/>
        <v>#DIV/0!</v>
      </c>
      <c r="O608" s="245">
        <f t="shared" si="883"/>
        <v>-313.98058053261337</v>
      </c>
      <c r="P608" s="245">
        <f t="shared" si="883"/>
        <v>-561.97782800664595</v>
      </c>
      <c r="Q608" s="245">
        <f t="shared" si="884"/>
        <v>-3.8492352891596582</v>
      </c>
      <c r="R608" s="245">
        <f t="shared" si="884"/>
        <v>308.46183686677409</v>
      </c>
      <c r="S608" s="245">
        <f t="shared" si="884"/>
        <v>569.11046937455603</v>
      </c>
      <c r="T608" s="245">
        <f t="shared" si="884"/>
        <v>612.92421745925606</v>
      </c>
      <c r="U608" s="245">
        <f t="shared" si="884"/>
        <v>545.46617447928907</v>
      </c>
      <c r="V608" s="245">
        <f t="shared" si="884"/>
        <v>596.97087863587046</v>
      </c>
      <c r="W608" s="245">
        <f t="shared" si="884"/>
        <v>190.11862285565576</v>
      </c>
      <c r="X608" s="245">
        <f t="shared" si="884"/>
        <v>64.774050838600772</v>
      </c>
      <c r="Y608" s="245">
        <f t="shared" si="884"/>
        <v>57.930419596220517</v>
      </c>
      <c r="Z608" s="245">
        <f t="shared" si="884"/>
        <v>495.39352031032956</v>
      </c>
      <c r="AA608" s="245">
        <f t="shared" si="885"/>
        <v>-6.200095371633374</v>
      </c>
      <c r="AB608" s="245">
        <f t="shared" si="885"/>
        <v>-66.211612323242619</v>
      </c>
      <c r="AC608" s="245">
        <f t="shared" si="885"/>
        <v>80.445359503243807</v>
      </c>
      <c r="AD608" s="245">
        <f t="shared" si="885"/>
        <v>-504.87249790794237</v>
      </c>
      <c r="AE608" s="245">
        <f t="shared" si="885"/>
        <v>-34.422382615776925</v>
      </c>
      <c r="AF608" s="580"/>
      <c r="AG608" s="580"/>
      <c r="AH608" s="580"/>
      <c r="AI608" s="580"/>
      <c r="AJ608" s="580">
        <f t="shared" si="886"/>
        <v>-183.02320855351405</v>
      </c>
      <c r="AK608" s="580">
        <f t="shared" si="886"/>
        <v>94.584735056254658</v>
      </c>
      <c r="AL608" s="580">
        <f t="shared" si="886"/>
        <v>-331.69699431676474</v>
      </c>
      <c r="AM608" s="580">
        <f t="shared" si="886"/>
        <v>-557.98517734756888</v>
      </c>
      <c r="AN608" s="580">
        <f t="shared" si="886"/>
        <v>-313.98058053261337</v>
      </c>
      <c r="AO608" s="580">
        <f t="shared" si="886"/>
        <v>-490.05119082218317</v>
      </c>
      <c r="AP608" s="580">
        <f t="shared" si="886"/>
        <v>21.922511237367281</v>
      </c>
      <c r="AQ608" s="580">
        <f t="shared" si="886"/>
        <v>393.57330341983959</v>
      </c>
      <c r="AR608" s="580">
        <f t="shared" si="886"/>
        <v>599.92548945178589</v>
      </c>
      <c r="AS608" s="580">
        <f t="shared" si="886"/>
        <v>588.61299978849183</v>
      </c>
      <c r="AT608" s="580">
        <f t="shared" si="886"/>
        <v>500.01991243177508</v>
      </c>
      <c r="AU608" s="580">
        <f t="shared" si="886"/>
        <v>478.28939081113617</v>
      </c>
      <c r="AV608" s="580">
        <f t="shared" si="886"/>
        <v>159.30360277842581</v>
      </c>
      <c r="AW608" s="580">
        <f t="shared" si="886"/>
        <v>17.158631324902274</v>
      </c>
      <c r="AX608" s="580">
        <f t="shared" si="886"/>
        <v>16.219627770880329</v>
      </c>
      <c r="AY608" s="580">
        <f t="shared" si="886"/>
        <v>-69.480721981580373</v>
      </c>
      <c r="AZ608" s="580">
        <f t="shared" si="886"/>
        <v>-6.200095371633374</v>
      </c>
      <c r="BA608" s="580">
        <f t="shared" si="886"/>
        <v>-11.870265968591553</v>
      </c>
      <c r="BB608" s="580">
        <f t="shared" si="886"/>
        <v>115.86130329662865</v>
      </c>
      <c r="BC608" s="580">
        <f t="shared" si="886"/>
        <v>15.513057569234689</v>
      </c>
      <c r="BD608" s="580">
        <f t="shared" si="886"/>
        <v>-34.422382615776925</v>
      </c>
      <c r="BE608" s="580">
        <f t="shared" si="886"/>
        <v>-69.521465685595984</v>
      </c>
      <c r="BF608" s="580">
        <f t="shared" si="886"/>
        <v>-200.30898514225743</v>
      </c>
      <c r="BG608" s="580">
        <f t="shared" si="886"/>
        <v>-32.964439627430764</v>
      </c>
      <c r="BH608" s="580">
        <f t="shared" si="886"/>
        <v>221.09652055078629</v>
      </c>
      <c r="BI608" s="580">
        <f t="shared" si="886"/>
        <v>204.2320731050518</v>
      </c>
      <c r="BJ608" s="580">
        <f t="shared" si="886"/>
        <v>64.050509162351858</v>
      </c>
      <c r="BK608" s="580">
        <f t="shared" si="886"/>
        <v>7.6688005438604989</v>
      </c>
      <c r="BL608" s="580">
        <f t="shared" si="887"/>
        <v>-160.70838307614198</v>
      </c>
      <c r="BM608" s="580">
        <f t="shared" si="888"/>
        <v>-19.159327022612516</v>
      </c>
      <c r="BN608" s="580">
        <f t="shared" si="888"/>
        <v>-193.91690641666148</v>
      </c>
      <c r="BO608" s="580">
        <f t="shared" si="888"/>
        <v>-320.6408032710703</v>
      </c>
      <c r="BP608" s="580">
        <f t="shared" si="888"/>
        <v>172.95388327141819</v>
      </c>
      <c r="BQ608" s="580">
        <f t="shared" si="888"/>
        <v>56.286556283055589</v>
      </c>
      <c r="BR608" s="580">
        <f t="shared" si="888"/>
        <v>366.77238059857496</v>
      </c>
      <c r="BS608" s="580">
        <f t="shared" si="888"/>
        <v>470.9356604769356</v>
      </c>
    </row>
    <row r="609" spans="1:71" s="245" customFormat="1">
      <c r="A609" s="243"/>
      <c r="B609" s="243" t="s">
        <v>2054</v>
      </c>
      <c r="C609" s="243" t="s">
        <v>2055</v>
      </c>
      <c r="D609" s="243"/>
      <c r="G609" s="245" t="e">
        <f t="shared" si="883"/>
        <v>#DIV/0!</v>
      </c>
      <c r="H609" s="245" t="e">
        <f t="shared" si="883"/>
        <v>#DIV/0!</v>
      </c>
      <c r="I609" s="245" t="e">
        <f t="shared" si="883"/>
        <v>#DIV/0!</v>
      </c>
      <c r="J609" s="245" t="e">
        <f t="shared" si="883"/>
        <v>#DIV/0!</v>
      </c>
      <c r="K609" s="245" t="e">
        <f t="shared" si="883"/>
        <v>#DIV/0!</v>
      </c>
      <c r="L609" s="245" t="e">
        <f t="shared" si="883"/>
        <v>#DIV/0!</v>
      </c>
      <c r="M609" s="245" t="e">
        <f t="shared" si="883"/>
        <v>#DIV/0!</v>
      </c>
      <c r="N609" s="245" t="e">
        <f t="shared" si="883"/>
        <v>#DIV/0!</v>
      </c>
      <c r="O609" s="245">
        <f t="shared" si="883"/>
        <v>-313.98058053261337</v>
      </c>
      <c r="P609" s="245">
        <f t="shared" si="883"/>
        <v>-729.80664810372525</v>
      </c>
      <c r="Q609" s="245">
        <f t="shared" si="884"/>
        <v>-63.983310517723879</v>
      </c>
      <c r="R609" s="245">
        <f t="shared" si="884"/>
        <v>109.86841490962141</v>
      </c>
      <c r="S609" s="245">
        <f t="shared" si="884"/>
        <v>497.20875586101931</v>
      </c>
      <c r="T609" s="245">
        <f t="shared" si="884"/>
        <v>669.65039202437185</v>
      </c>
      <c r="U609" s="245">
        <f t="shared" si="884"/>
        <v>651.50745259015537</v>
      </c>
      <c r="V609" s="245">
        <f t="shared" si="884"/>
        <v>873.8943502269168</v>
      </c>
      <c r="W609" s="245">
        <f t="shared" si="884"/>
        <v>262.02033636919248</v>
      </c>
      <c r="X609" s="245">
        <f t="shared" si="884"/>
        <v>175.87669637056428</v>
      </c>
      <c r="Y609" s="245">
        <f t="shared" si="884"/>
        <v>155.25560052201433</v>
      </c>
      <c r="Z609" s="245">
        <f t="shared" si="884"/>
        <v>1813.4334189914525</v>
      </c>
      <c r="AA609" s="245">
        <f t="shared" si="885"/>
        <v>-6.200095371633374</v>
      </c>
      <c r="AB609" s="245">
        <f t="shared" si="885"/>
        <v>-193.00808715076218</v>
      </c>
      <c r="AC609" s="245">
        <f t="shared" si="885"/>
        <v>-2.1918426813213543</v>
      </c>
      <c r="AD609" s="245">
        <f t="shared" si="885"/>
        <v>-1719.1054606880225</v>
      </c>
      <c r="AE609" s="245">
        <f t="shared" si="885"/>
        <v>-34.422382615776925</v>
      </c>
      <c r="AF609" s="580"/>
      <c r="AG609" s="580"/>
      <c r="AH609" s="580"/>
      <c r="AI609" s="580"/>
      <c r="AJ609" s="580">
        <f t="shared" si="886"/>
        <v>-135.85296893414488</v>
      </c>
      <c r="AK609" s="580">
        <f t="shared" si="886"/>
        <v>113.53817263342893</v>
      </c>
      <c r="AL609" s="580">
        <f t="shared" si="886"/>
        <v>-488.34390403806066</v>
      </c>
      <c r="AM609" s="580">
        <f t="shared" si="886"/>
        <v>-750.35252775095523</v>
      </c>
      <c r="AN609" s="580">
        <f t="shared" si="886"/>
        <v>-313.98058053261337</v>
      </c>
      <c r="AO609" s="580">
        <f t="shared" si="886"/>
        <v>-697.03531074524756</v>
      </c>
      <c r="AP609" s="580">
        <f t="shared" si="886"/>
        <v>-73.207788669024779</v>
      </c>
      <c r="AQ609" s="580">
        <f t="shared" si="886"/>
        <v>109.07756759317434</v>
      </c>
      <c r="AR609" s="580">
        <f t="shared" si="886"/>
        <v>497.20875586101931</v>
      </c>
      <c r="AS609" s="580">
        <f t="shared" si="886"/>
        <v>669.65039202437185</v>
      </c>
      <c r="AT609" s="580">
        <f t="shared" si="886"/>
        <v>660.73193074145604</v>
      </c>
      <c r="AU609" s="580">
        <f t="shared" si="886"/>
        <v>874.10673096186042</v>
      </c>
      <c r="AV609" s="580">
        <f t="shared" si="886"/>
        <v>262.02033636919248</v>
      </c>
      <c r="AW609" s="580">
        <f t="shared" si="886"/>
        <v>175.87669637056428</v>
      </c>
      <c r="AX609" s="580">
        <f t="shared" si="886"/>
        <v>155.25560052201433</v>
      </c>
      <c r="AY609" s="580">
        <f t="shared" si="886"/>
        <v>1813.4334189914525</v>
      </c>
      <c r="AZ609" s="580">
        <f t="shared" si="886"/>
        <v>-6.200095371633374</v>
      </c>
      <c r="BA609" s="580">
        <f t="shared" si="886"/>
        <v>-193.00808715076218</v>
      </c>
      <c r="BB609" s="580">
        <f t="shared" si="886"/>
        <v>-2.1918426813213543</v>
      </c>
      <c r="BC609" s="580">
        <f t="shared" si="886"/>
        <v>-1719.105460688023</v>
      </c>
      <c r="BD609" s="580">
        <f t="shared" si="886"/>
        <v>-34.422382615776925</v>
      </c>
      <c r="BE609" s="580">
        <f t="shared" si="886"/>
        <v>111.61635549657464</v>
      </c>
      <c r="BF609" s="580">
        <f t="shared" si="886"/>
        <v>-82.255839164307432</v>
      </c>
      <c r="BG609" s="580">
        <f t="shared" si="886"/>
        <v>-46.444136237512623</v>
      </c>
      <c r="BH609" s="580">
        <f t="shared" si="886"/>
        <v>25.620567147366913</v>
      </c>
      <c r="BI609" s="580">
        <f t="shared" si="886"/>
        <v>128.17248536502265</v>
      </c>
      <c r="BJ609" s="580">
        <f t="shared" si="886"/>
        <v>250.2043433232954</v>
      </c>
      <c r="BK609" s="580">
        <f t="shared" si="886"/>
        <v>-64.50862616868082</v>
      </c>
      <c r="BL609" s="580">
        <f t="shared" si="887"/>
        <v>-93.230815175758153</v>
      </c>
      <c r="BM609" s="580">
        <f t="shared" si="888"/>
        <v>-626.80567026802908</v>
      </c>
      <c r="BN609" s="580">
        <f t="shared" si="888"/>
        <v>-240.4426226317062</v>
      </c>
      <c r="BO609" s="580">
        <f t="shared" si="888"/>
        <v>-237.00608503692456</v>
      </c>
      <c r="BP609" s="580">
        <f t="shared" si="888"/>
        <v>300.95226877445373</v>
      </c>
      <c r="BQ609" s="580">
        <f t="shared" si="888"/>
        <v>739.99248726850124</v>
      </c>
      <c r="BR609" s="580">
        <f t="shared" si="888"/>
        <v>227.14426265267616</v>
      </c>
      <c r="BS609" s="580">
        <f t="shared" si="888"/>
        <v>459.47836895533118</v>
      </c>
    </row>
    <row r="610" spans="1:71" s="240" customFormat="1">
      <c r="A610" s="209"/>
      <c r="B610" s="209"/>
      <c r="C610" s="209"/>
      <c r="D610" s="209"/>
      <c r="AF610" s="579"/>
      <c r="AG610" s="579"/>
      <c r="AH610" s="579"/>
      <c r="AI610" s="579"/>
      <c r="AJ610" s="579"/>
      <c r="AK610" s="579"/>
      <c r="AL610" s="579"/>
      <c r="AM610" s="579"/>
      <c r="AN610" s="579"/>
      <c r="AO610" s="579"/>
      <c r="AP610" s="579"/>
      <c r="AQ610" s="579"/>
      <c r="AR610" s="579"/>
      <c r="AS610" s="579"/>
      <c r="AT610" s="579"/>
      <c r="AU610" s="579"/>
      <c r="AV610" s="579"/>
      <c r="AW610" s="579"/>
      <c r="AX610" s="579"/>
      <c r="AY610" s="579"/>
      <c r="AZ610" s="579"/>
      <c r="BA610" s="579"/>
      <c r="BB610" s="579"/>
      <c r="BC610" s="579"/>
      <c r="BD610" s="579"/>
      <c r="BE610" s="579"/>
      <c r="BF610" s="579"/>
      <c r="BG610" s="579"/>
      <c r="BH610" s="579"/>
      <c r="BI610" s="579"/>
      <c r="BJ610" s="579"/>
      <c r="BK610" s="579"/>
    </row>
    <row r="611" spans="1:71" s="240" customFormat="1">
      <c r="A611" s="209"/>
      <c r="B611" s="209"/>
      <c r="C611" s="275" t="s">
        <v>2056</v>
      </c>
      <c r="D611" s="209"/>
      <c r="AF611" s="579"/>
      <c r="AG611" s="579"/>
      <c r="AH611" s="579"/>
      <c r="AI611" s="579"/>
      <c r="AJ611" s="579"/>
      <c r="AK611" s="579"/>
      <c r="AL611" s="579"/>
      <c r="AM611" s="579"/>
      <c r="AN611" s="579"/>
      <c r="AO611" s="579"/>
      <c r="AP611" s="579"/>
      <c r="AQ611" s="579"/>
      <c r="AR611" s="579"/>
      <c r="AS611" s="579"/>
      <c r="AT611" s="579"/>
      <c r="AU611" s="579"/>
      <c r="AV611" s="579"/>
      <c r="AW611" s="579"/>
      <c r="AX611" s="579"/>
      <c r="AY611" s="579"/>
      <c r="AZ611" s="579"/>
      <c r="BA611" s="579"/>
      <c r="BB611" s="579"/>
      <c r="BC611" s="579"/>
      <c r="BD611" s="579"/>
      <c r="BE611" s="579"/>
      <c r="BF611" s="579"/>
      <c r="BG611" s="579"/>
      <c r="BH611" s="579"/>
      <c r="BI611" s="579"/>
      <c r="BJ611" s="579"/>
      <c r="BK611" s="579"/>
    </row>
    <row r="612" spans="1:71" s="245" customFormat="1">
      <c r="A612" s="243"/>
      <c r="B612" s="243" t="s">
        <v>2057</v>
      </c>
      <c r="C612" s="243" t="s">
        <v>2021</v>
      </c>
      <c r="D612" s="243"/>
      <c r="F612" s="245" t="e">
        <f t="shared" ref="F612:AE612" si="889">(F444/E444-1)*100</f>
        <v>#DIV/0!</v>
      </c>
      <c r="G612" s="245" t="e">
        <f t="shared" si="889"/>
        <v>#DIV/0!</v>
      </c>
      <c r="H612" s="245" t="e">
        <f t="shared" si="889"/>
        <v>#DIV/0!</v>
      </c>
      <c r="I612" s="245" t="e">
        <f t="shared" si="889"/>
        <v>#DIV/0!</v>
      </c>
      <c r="J612" s="245" t="e">
        <f t="shared" si="889"/>
        <v>#DIV/0!</v>
      </c>
      <c r="K612" s="245" t="e">
        <f t="shared" si="889"/>
        <v>#DIV/0!</v>
      </c>
      <c r="L612" s="245">
        <f t="shared" si="889"/>
        <v>12.006259929338681</v>
      </c>
      <c r="M612" s="245">
        <f t="shared" si="889"/>
        <v>5.9034981497319894</v>
      </c>
      <c r="N612" s="245">
        <f t="shared" si="889"/>
        <v>-17.063468265867066</v>
      </c>
      <c r="O612" s="245">
        <f t="shared" si="889"/>
        <v>11.391935211742865</v>
      </c>
      <c r="P612" s="245">
        <f t="shared" si="889"/>
        <v>10.284883393847055</v>
      </c>
      <c r="Q612" s="245">
        <f t="shared" si="889"/>
        <v>-17.474680489556317</v>
      </c>
      <c r="R612" s="245">
        <f t="shared" si="889"/>
        <v>-10.446008273501018</v>
      </c>
      <c r="S612" s="245">
        <f t="shared" si="889"/>
        <v>24.16149431085104</v>
      </c>
      <c r="T612" s="245">
        <f t="shared" si="889"/>
        <v>23.478599255068499</v>
      </c>
      <c r="U612" s="245">
        <f t="shared" si="889"/>
        <v>14.131206472012225</v>
      </c>
      <c r="V612" s="245">
        <f t="shared" si="889"/>
        <v>3.152736265570244</v>
      </c>
      <c r="W612" s="245">
        <f t="shared" si="889"/>
        <v>14.432040477135999</v>
      </c>
      <c r="X612" s="245">
        <f t="shared" si="889"/>
        <v>11.613188485524638</v>
      </c>
      <c r="Y612" s="245">
        <f t="shared" si="889"/>
        <v>-3.7942613926878477</v>
      </c>
      <c r="Z612" s="245">
        <f t="shared" si="889"/>
        <v>-0.7730280483016827</v>
      </c>
      <c r="AA612" s="245">
        <f t="shared" si="889"/>
        <v>13.547127840011196</v>
      </c>
      <c r="AB612" s="245">
        <f t="shared" si="889"/>
        <v>11.919579966385395</v>
      </c>
      <c r="AC612" s="245">
        <f t="shared" si="889"/>
        <v>-5.341866549211538</v>
      </c>
      <c r="AD612" s="245">
        <f t="shared" si="889"/>
        <v>-6.7079297778330442</v>
      </c>
      <c r="AE612" s="245">
        <f t="shared" si="889"/>
        <v>4.6054555148512977</v>
      </c>
      <c r="AF612" s="580" t="e">
        <f t="shared" ref="AF612:BK612" si="890">(AF37/AE37-1)*100</f>
        <v>#DIV/0!</v>
      </c>
      <c r="AG612" s="580">
        <f t="shared" si="890"/>
        <v>10.592193075644918</v>
      </c>
      <c r="AH612" s="580">
        <f t="shared" si="890"/>
        <v>5.4294593118962897</v>
      </c>
      <c r="AI612" s="580">
        <f t="shared" si="890"/>
        <v>-9.9165573176857151</v>
      </c>
      <c r="AJ612" s="580">
        <f t="shared" si="890"/>
        <v>-11.992392643340322</v>
      </c>
      <c r="AK612" s="580">
        <f t="shared" si="890"/>
        <v>10.217081675752659</v>
      </c>
      <c r="AL612" s="580">
        <f t="shared" si="890"/>
        <v>6.8832910749377252</v>
      </c>
      <c r="AM612" s="580">
        <f t="shared" si="890"/>
        <v>-17.26590511131494</v>
      </c>
      <c r="AN612" s="580">
        <f t="shared" si="890"/>
        <v>11.542686675468406</v>
      </c>
      <c r="AO612" s="580">
        <f t="shared" si="890"/>
        <v>10.71641548303155</v>
      </c>
      <c r="AP612" s="580">
        <f t="shared" si="890"/>
        <v>-18.197843091650245</v>
      </c>
      <c r="AQ612" s="580">
        <f t="shared" si="890"/>
        <v>-10.834767427360015</v>
      </c>
      <c r="AR612" s="580">
        <f t="shared" si="890"/>
        <v>26.374234982154231</v>
      </c>
      <c r="AS612" s="580">
        <f t="shared" si="890"/>
        <v>23.649064404888918</v>
      </c>
      <c r="AT612" s="580">
        <f t="shared" si="890"/>
        <v>13.340159385941686</v>
      </c>
      <c r="AU612" s="580">
        <f t="shared" si="890"/>
        <v>3.936080155661692</v>
      </c>
      <c r="AV612" s="580">
        <f t="shared" si="890"/>
        <v>13.579905484052347</v>
      </c>
      <c r="AW612" s="580">
        <f t="shared" si="890"/>
        <v>11.870098386798977</v>
      </c>
      <c r="AX612" s="580">
        <f t="shared" si="890"/>
        <v>-3.6530324737915842</v>
      </c>
      <c r="AY612" s="580">
        <f t="shared" si="890"/>
        <v>5.1636222810280685E-2</v>
      </c>
      <c r="AZ612" s="580">
        <f t="shared" si="890"/>
        <v>12.533186444547017</v>
      </c>
      <c r="BA612" s="580">
        <f t="shared" si="890"/>
        <v>11.269177003911457</v>
      </c>
      <c r="BB612" s="580">
        <f t="shared" si="890"/>
        <v>-4.0925556031134462</v>
      </c>
      <c r="BC612" s="580">
        <f t="shared" si="890"/>
        <v>-6.7025485800473188</v>
      </c>
      <c r="BD612" s="580">
        <f t="shared" si="890"/>
        <v>4.3868410271174163</v>
      </c>
      <c r="BE612" s="580">
        <f t="shared" si="890"/>
        <v>2.1942702455002738</v>
      </c>
      <c r="BF612" s="580">
        <f t="shared" si="890"/>
        <v>10.174857330285846</v>
      </c>
      <c r="BG612" s="580">
        <f t="shared" si="890"/>
        <v>-12.363393126318966</v>
      </c>
      <c r="BH612" s="580">
        <f t="shared" si="890"/>
        <v>3.3902022124036479</v>
      </c>
      <c r="BI612" s="580">
        <f t="shared" si="890"/>
        <v>5.2562734859307847</v>
      </c>
      <c r="BJ612" s="580">
        <f t="shared" si="890"/>
        <v>-0.72567564096739368</v>
      </c>
      <c r="BK612" s="580">
        <f t="shared" si="890"/>
        <v>-4.0220826467333719</v>
      </c>
      <c r="BL612" s="580">
        <f t="shared" ref="BL612:BS612" si="891">(BL37/BK37-1)*100</f>
        <v>6.442710039687638</v>
      </c>
      <c r="BM612" s="580">
        <f t="shared" si="891"/>
        <v>13.509254154678118</v>
      </c>
      <c r="BN612" s="580">
        <f t="shared" si="891"/>
        <v>-5.2659670319297742</v>
      </c>
      <c r="BO612" s="580">
        <f t="shared" si="891"/>
        <v>-16.237470584292414</v>
      </c>
      <c r="BP612" s="580">
        <f t="shared" si="891"/>
        <v>18.754460713281574</v>
      </c>
      <c r="BQ612" s="580">
        <f t="shared" si="891"/>
        <v>8.595026270978078</v>
      </c>
      <c r="BR612" s="580">
        <f t="shared" si="891"/>
        <v>-8.6647358032062129</v>
      </c>
      <c r="BS612" s="580">
        <f t="shared" si="891"/>
        <v>-3.565283972288591</v>
      </c>
    </row>
    <row r="613" spans="1:71" s="245" customFormat="1">
      <c r="A613" s="243"/>
      <c r="B613" s="243" t="s">
        <v>2058</v>
      </c>
      <c r="C613" s="243" t="s">
        <v>1351</v>
      </c>
      <c r="D613" s="243"/>
      <c r="F613" s="245" t="e">
        <f t="shared" ref="F613:AE613" si="892">(F446/E446-1)*100</f>
        <v>#DIV/0!</v>
      </c>
      <c r="G613" s="245" t="e">
        <f t="shared" si="892"/>
        <v>#DIV/0!</v>
      </c>
      <c r="H613" s="245" t="e">
        <f t="shared" si="892"/>
        <v>#DIV/0!</v>
      </c>
      <c r="I613" s="245" t="e">
        <f t="shared" si="892"/>
        <v>#DIV/0!</v>
      </c>
      <c r="J613" s="245" t="e">
        <f t="shared" si="892"/>
        <v>#DIV/0!</v>
      </c>
      <c r="K613" s="245" t="e">
        <f t="shared" si="892"/>
        <v>#DIV/0!</v>
      </c>
      <c r="L613" s="245">
        <f t="shared" si="892"/>
        <v>12.006259929338681</v>
      </c>
      <c r="M613" s="245">
        <f t="shared" si="892"/>
        <v>5.9034981497319894</v>
      </c>
      <c r="N613" s="245">
        <f t="shared" si="892"/>
        <v>-17.063468265867066</v>
      </c>
      <c r="O613" s="245">
        <f t="shared" si="892"/>
        <v>11.391935211742865</v>
      </c>
      <c r="P613" s="245">
        <f t="shared" si="892"/>
        <v>10.284883393847055</v>
      </c>
      <c r="Q613" s="245">
        <f t="shared" si="892"/>
        <v>-17.474680489556317</v>
      </c>
      <c r="R613" s="245">
        <f t="shared" si="892"/>
        <v>-10.446008273501018</v>
      </c>
      <c r="S613" s="245">
        <f t="shared" si="892"/>
        <v>24.16149431085104</v>
      </c>
      <c r="T613" s="245">
        <f t="shared" si="892"/>
        <v>23.478599255068499</v>
      </c>
      <c r="U613" s="245">
        <f t="shared" si="892"/>
        <v>14.131206472012225</v>
      </c>
      <c r="V613" s="245">
        <f t="shared" si="892"/>
        <v>3.152736265570244</v>
      </c>
      <c r="W613" s="245">
        <f t="shared" si="892"/>
        <v>14.432040477135999</v>
      </c>
      <c r="X613" s="245">
        <f t="shared" si="892"/>
        <v>11.613188485524638</v>
      </c>
      <c r="Y613" s="245">
        <f t="shared" si="892"/>
        <v>-3.7942613926878477</v>
      </c>
      <c r="Z613" s="245">
        <f t="shared" si="892"/>
        <v>-0.7730280483016827</v>
      </c>
      <c r="AA613" s="245">
        <f t="shared" si="892"/>
        <v>13.547127840011196</v>
      </c>
      <c r="AB613" s="245">
        <f t="shared" si="892"/>
        <v>11.919579966385395</v>
      </c>
      <c r="AC613" s="245">
        <f t="shared" si="892"/>
        <v>-5.341866549211538</v>
      </c>
      <c r="AD613" s="245">
        <f t="shared" si="892"/>
        <v>-6.7079297778330442</v>
      </c>
      <c r="AE613" s="245">
        <f t="shared" si="892"/>
        <v>4.6054555148512977</v>
      </c>
      <c r="AF613" s="580" t="e">
        <f t="shared" ref="AF613:BK613" si="893">(AF40/AE40-1)*100</f>
        <v>#DIV/0!</v>
      </c>
      <c r="AG613" s="580">
        <f t="shared" si="893"/>
        <v>10.592193075644918</v>
      </c>
      <c r="AH613" s="580">
        <f t="shared" si="893"/>
        <v>5.4294593118962897</v>
      </c>
      <c r="AI613" s="580">
        <f t="shared" si="893"/>
        <v>-9.9165573176857151</v>
      </c>
      <c r="AJ613" s="580">
        <f t="shared" si="893"/>
        <v>-8.8565192020920271</v>
      </c>
      <c r="AK613" s="580">
        <f t="shared" si="893"/>
        <v>12.006259929338681</v>
      </c>
      <c r="AL613" s="580">
        <f t="shared" si="893"/>
        <v>5.9034981497319894</v>
      </c>
      <c r="AM613" s="580">
        <f t="shared" si="893"/>
        <v>-17.063468265867066</v>
      </c>
      <c r="AN613" s="580">
        <f t="shared" si="893"/>
        <v>11.391935211742865</v>
      </c>
      <c r="AO613" s="580">
        <f t="shared" si="893"/>
        <v>10.284883393847055</v>
      </c>
      <c r="AP613" s="580">
        <f t="shared" si="893"/>
        <v>-17.474680489556317</v>
      </c>
      <c r="AQ613" s="580">
        <f t="shared" si="893"/>
        <v>-10.446008273501018</v>
      </c>
      <c r="AR613" s="580">
        <f t="shared" si="893"/>
        <v>24.16149431085104</v>
      </c>
      <c r="AS613" s="580">
        <f t="shared" si="893"/>
        <v>23.478599255068499</v>
      </c>
      <c r="AT613" s="580">
        <f t="shared" si="893"/>
        <v>14.131206472012225</v>
      </c>
      <c r="AU613" s="580">
        <f t="shared" si="893"/>
        <v>3.152736265570244</v>
      </c>
      <c r="AV613" s="580">
        <f t="shared" si="893"/>
        <v>14.432040477135999</v>
      </c>
      <c r="AW613" s="580">
        <f t="shared" si="893"/>
        <v>11.613188485524638</v>
      </c>
      <c r="AX613" s="580">
        <f t="shared" si="893"/>
        <v>-3.7942613926878477</v>
      </c>
      <c r="AY613" s="580">
        <f t="shared" si="893"/>
        <v>-0.7730280483016827</v>
      </c>
      <c r="AZ613" s="580">
        <f t="shared" si="893"/>
        <v>13.547127840011196</v>
      </c>
      <c r="BA613" s="580">
        <f t="shared" si="893"/>
        <v>11.919579966385395</v>
      </c>
      <c r="BB613" s="580">
        <f t="shared" si="893"/>
        <v>-5.341866549211538</v>
      </c>
      <c r="BC613" s="580">
        <f t="shared" si="893"/>
        <v>-6.7079297778330442</v>
      </c>
      <c r="BD613" s="580">
        <f t="shared" si="893"/>
        <v>4.6054555148512977</v>
      </c>
      <c r="BE613" s="580">
        <f t="shared" si="893"/>
        <v>2.1937414451482562</v>
      </c>
      <c r="BF613" s="580">
        <f t="shared" si="893"/>
        <v>8.8550800418309095</v>
      </c>
      <c r="BG613" s="580">
        <f t="shared" si="893"/>
        <v>-12.308621744006231</v>
      </c>
      <c r="BH613" s="580">
        <f t="shared" si="893"/>
        <v>3.4680436871112885</v>
      </c>
      <c r="BI613" s="580">
        <f t="shared" si="893"/>
        <v>5.3715163028981383</v>
      </c>
      <c r="BJ613" s="580">
        <f t="shared" si="893"/>
        <v>-0.84349619025718692</v>
      </c>
      <c r="BK613" s="580">
        <f t="shared" si="893"/>
        <v>-3.8772304550167225</v>
      </c>
      <c r="BL613" s="580">
        <f t="shared" ref="BL613:BS613" si="894">(BL40/BK40-1)*100</f>
        <v>6.4902915278704176</v>
      </c>
      <c r="BM613" s="580">
        <f t="shared" si="894"/>
        <v>13.530550737661384</v>
      </c>
      <c r="BN613" s="580">
        <f t="shared" si="894"/>
        <v>-5.1302261076052957</v>
      </c>
      <c r="BO613" s="580">
        <f t="shared" si="894"/>
        <v>-16.224189833432611</v>
      </c>
      <c r="BP613" s="580">
        <f t="shared" si="894"/>
        <v>18.14472057290677</v>
      </c>
      <c r="BQ613" s="580">
        <f t="shared" si="894"/>
        <v>8.5843179837407746</v>
      </c>
      <c r="BR613" s="580">
        <f t="shared" si="894"/>
        <v>-8.7518955779168799</v>
      </c>
      <c r="BS613" s="580">
        <f t="shared" si="894"/>
        <v>-3.3948408657078599</v>
      </c>
    </row>
    <row r="614" spans="1:71" s="245" customFormat="1">
      <c r="A614" s="243"/>
      <c r="B614" s="243" t="s">
        <v>2093</v>
      </c>
      <c r="C614" s="243" t="s">
        <v>2027</v>
      </c>
      <c r="D614" s="243"/>
      <c r="F614" s="245" t="e">
        <f t="shared" ref="F614:AE614" si="895">(F482/E482-1)*100</f>
        <v>#DIV/0!</v>
      </c>
      <c r="G614" s="245" t="e">
        <f t="shared" si="895"/>
        <v>#DIV/0!</v>
      </c>
      <c r="H614" s="245" t="e">
        <f t="shared" si="895"/>
        <v>#DIV/0!</v>
      </c>
      <c r="I614" s="245" t="e">
        <f t="shared" si="895"/>
        <v>#DIV/0!</v>
      </c>
      <c r="J614" s="245" t="e">
        <f t="shared" si="895"/>
        <v>#DIV/0!</v>
      </c>
      <c r="K614" s="245" t="e">
        <f t="shared" si="895"/>
        <v>#DIV/0!</v>
      </c>
      <c r="L614" s="245">
        <f t="shared" si="895"/>
        <v>37.522735540196429</v>
      </c>
      <c r="M614" s="245">
        <f t="shared" si="895"/>
        <v>-2.9281841026319477</v>
      </c>
      <c r="N614" s="245">
        <f t="shared" si="895"/>
        <v>-28.723636165458576</v>
      </c>
      <c r="O614" s="245">
        <f t="shared" si="895"/>
        <v>1.9956417020300821</v>
      </c>
      <c r="P614" s="245">
        <f t="shared" si="895"/>
        <v>28.87289628546792</v>
      </c>
      <c r="Q614" s="245">
        <f t="shared" si="895"/>
        <v>-11.046477808155508</v>
      </c>
      <c r="R614" s="245">
        <f t="shared" si="895"/>
        <v>-0.98090504839120074</v>
      </c>
      <c r="S614" s="245">
        <f t="shared" si="895"/>
        <v>50.383040549464894</v>
      </c>
      <c r="T614" s="245">
        <f t="shared" si="895"/>
        <v>39.763295419612717</v>
      </c>
      <c r="U614" s="245">
        <f t="shared" si="895"/>
        <v>13.671427000361414</v>
      </c>
      <c r="V614" s="245">
        <f t="shared" si="895"/>
        <v>7.4039777203432688</v>
      </c>
      <c r="W614" s="245">
        <f t="shared" si="895"/>
        <v>-2.1876206408499854E-2</v>
      </c>
      <c r="X614" s="245">
        <f t="shared" si="895"/>
        <v>15.476297735960799</v>
      </c>
      <c r="Y614" s="245">
        <f t="shared" si="895"/>
        <v>-5.3334373641561017</v>
      </c>
      <c r="Z614" s="245">
        <f t="shared" si="895"/>
        <v>-5.4055008712853292</v>
      </c>
      <c r="AA614" s="245">
        <f t="shared" si="895"/>
        <v>4.5344220261138268</v>
      </c>
      <c r="AB614" s="245">
        <f t="shared" si="895"/>
        <v>25.901362164221588</v>
      </c>
      <c r="AC614" s="245">
        <f t="shared" si="895"/>
        <v>-6.9266198208763452</v>
      </c>
      <c r="AD614" s="245">
        <f t="shared" si="895"/>
        <v>-6.4564640850294346</v>
      </c>
      <c r="AE614" s="245">
        <f t="shared" si="895"/>
        <v>-5.3107246439783378</v>
      </c>
      <c r="AF614" s="580" t="e">
        <f t="shared" ref="AF614:BK614" si="896">(AF77/AE77-1)*100</f>
        <v>#DIV/0!</v>
      </c>
      <c r="AG614" s="580">
        <f t="shared" si="896"/>
        <v>1.2476087498960231</v>
      </c>
      <c r="AH614" s="580">
        <f t="shared" si="896"/>
        <v>-0.4299131958705682</v>
      </c>
      <c r="AI614" s="580">
        <f t="shared" si="896"/>
        <v>-10.266211979539152</v>
      </c>
      <c r="AJ614" s="580">
        <f t="shared" si="896"/>
        <v>-15.74979312881174</v>
      </c>
      <c r="AK614" s="580">
        <f t="shared" si="896"/>
        <v>37.522735540196429</v>
      </c>
      <c r="AL614" s="580">
        <f t="shared" si="896"/>
        <v>-2.9281841026319477</v>
      </c>
      <c r="AM614" s="580">
        <f t="shared" si="896"/>
        <v>-28.723636165458576</v>
      </c>
      <c r="AN614" s="580">
        <f t="shared" si="896"/>
        <v>1.9956417020300821</v>
      </c>
      <c r="AO614" s="580">
        <f t="shared" si="896"/>
        <v>28.87289628546792</v>
      </c>
      <c r="AP614" s="580">
        <f t="shared" si="896"/>
        <v>-11.046477808155508</v>
      </c>
      <c r="AQ614" s="580">
        <f t="shared" si="896"/>
        <v>-0.98090504839120074</v>
      </c>
      <c r="AR614" s="580">
        <f t="shared" si="896"/>
        <v>50.383040549464894</v>
      </c>
      <c r="AS614" s="580">
        <f t="shared" si="896"/>
        <v>39.763295419612717</v>
      </c>
      <c r="AT614" s="580">
        <f t="shared" si="896"/>
        <v>13.671427000361414</v>
      </c>
      <c r="AU614" s="580">
        <f t="shared" si="896"/>
        <v>7.4039777203432688</v>
      </c>
      <c r="AV614" s="580">
        <f t="shared" si="896"/>
        <v>-2.1876206408499854E-2</v>
      </c>
      <c r="AW614" s="580">
        <f t="shared" si="896"/>
        <v>15.476297735960799</v>
      </c>
      <c r="AX614" s="580">
        <f t="shared" si="896"/>
        <v>-5.3334373641561017</v>
      </c>
      <c r="AY614" s="580">
        <f t="shared" si="896"/>
        <v>-5.4055008712853292</v>
      </c>
      <c r="AZ614" s="580">
        <f t="shared" si="896"/>
        <v>4.5344220261138268</v>
      </c>
      <c r="BA614" s="580">
        <f t="shared" si="896"/>
        <v>25.901362164221588</v>
      </c>
      <c r="BB614" s="580">
        <f t="shared" si="896"/>
        <v>-6.9266198208763452</v>
      </c>
      <c r="BC614" s="580">
        <f t="shared" si="896"/>
        <v>-6.4564640850294346</v>
      </c>
      <c r="BD614" s="580">
        <f t="shared" si="896"/>
        <v>-5.3107246439783378</v>
      </c>
      <c r="BE614" s="580">
        <f t="shared" si="896"/>
        <v>4.9913961225192871</v>
      </c>
      <c r="BF614" s="580">
        <f t="shared" si="896"/>
        <v>10.548398728160691</v>
      </c>
      <c r="BG614" s="580">
        <f t="shared" si="896"/>
        <v>-17.312577217692048</v>
      </c>
      <c r="BH614" s="580">
        <f t="shared" si="896"/>
        <v>19.856799627057509</v>
      </c>
      <c r="BI614" s="580">
        <f t="shared" si="896"/>
        <v>16.815430184200707</v>
      </c>
      <c r="BJ614" s="580">
        <f t="shared" si="896"/>
        <v>-11.240310077519366</v>
      </c>
      <c r="BK614" s="580">
        <f t="shared" si="896"/>
        <v>-6.8580112729161424</v>
      </c>
      <c r="BL614" s="580">
        <f t="shared" ref="BL614:BS614" si="897">(BL77/BK77-1)*100</f>
        <v>2.478417117600884</v>
      </c>
      <c r="BM614" s="580">
        <f t="shared" si="897"/>
        <v>20.338385263412494</v>
      </c>
      <c r="BN614" s="580">
        <f t="shared" si="897"/>
        <v>-3.881291921721064</v>
      </c>
      <c r="BO614" s="580">
        <f t="shared" si="897"/>
        <v>-27.482924449400613</v>
      </c>
      <c r="BP614" s="580">
        <f t="shared" si="897"/>
        <v>36.985511425070271</v>
      </c>
      <c r="BQ614" s="580">
        <f t="shared" si="897"/>
        <v>15.478320353609787</v>
      </c>
      <c r="BR614" s="580">
        <f t="shared" si="897"/>
        <v>-11.019723101926694</v>
      </c>
      <c r="BS614" s="580">
        <f t="shared" si="897"/>
        <v>-1.5593660114541663</v>
      </c>
    </row>
    <row r="615" spans="1:71" s="245" customFormat="1">
      <c r="A615" s="243"/>
      <c r="B615" s="243" t="s">
        <v>2094</v>
      </c>
      <c r="C615" s="243" t="s">
        <v>2029</v>
      </c>
      <c r="D615" s="243"/>
      <c r="F615" s="245" t="e">
        <f t="shared" ref="F615:AE615" si="898">(F485/E485-1)*100</f>
        <v>#DIV/0!</v>
      </c>
      <c r="G615" s="245" t="e">
        <f t="shared" si="898"/>
        <v>#DIV/0!</v>
      </c>
      <c r="H615" s="245" t="e">
        <f t="shared" si="898"/>
        <v>#DIV/0!</v>
      </c>
      <c r="I615" s="245" t="e">
        <f t="shared" si="898"/>
        <v>#DIV/0!</v>
      </c>
      <c r="J615" s="245" t="e">
        <f t="shared" si="898"/>
        <v>#DIV/0!</v>
      </c>
      <c r="K615" s="245" t="e">
        <f t="shared" si="898"/>
        <v>#DIV/0!</v>
      </c>
      <c r="L615" s="245">
        <f t="shared" si="898"/>
        <v>45.798654152647408</v>
      </c>
      <c r="M615" s="245">
        <f t="shared" si="898"/>
        <v>-1.2692436158260989</v>
      </c>
      <c r="N615" s="245">
        <f t="shared" si="898"/>
        <v>-32.283561433184651</v>
      </c>
      <c r="O615" s="245">
        <f t="shared" si="898"/>
        <v>5.9405940594059681</v>
      </c>
      <c r="P615" s="245">
        <f t="shared" si="898"/>
        <v>33.216153648289406</v>
      </c>
      <c r="Q615" s="245">
        <f t="shared" si="898"/>
        <v>-11.839479951084597</v>
      </c>
      <c r="R615" s="245">
        <f t="shared" si="898"/>
        <v>-0.87607227596263604</v>
      </c>
      <c r="S615" s="245">
        <f t="shared" si="898"/>
        <v>55.529368440434347</v>
      </c>
      <c r="T615" s="245">
        <f t="shared" si="898"/>
        <v>42.759388170668245</v>
      </c>
      <c r="U615" s="245">
        <f t="shared" si="898"/>
        <v>14.084553762460072</v>
      </c>
      <c r="V615" s="245">
        <f t="shared" si="898"/>
        <v>8.0162826197571757</v>
      </c>
      <c r="W615" s="245">
        <f t="shared" si="898"/>
        <v>0.28533358457039082</v>
      </c>
      <c r="X615" s="245">
        <f t="shared" si="898"/>
        <v>16.388184294936337</v>
      </c>
      <c r="Y615" s="245">
        <f t="shared" si="898"/>
        <v>-5.6410138142569677</v>
      </c>
      <c r="Z615" s="245">
        <f t="shared" si="898"/>
        <v>-5.491873396065083</v>
      </c>
      <c r="AA615" s="245">
        <f t="shared" si="898"/>
        <v>4.6343229543810205</v>
      </c>
      <c r="AB615" s="245">
        <f t="shared" si="898"/>
        <v>25.797083539297883</v>
      </c>
      <c r="AC615" s="245">
        <f t="shared" si="898"/>
        <v>-6.4796895721793817</v>
      </c>
      <c r="AD615" s="245">
        <f t="shared" si="898"/>
        <v>-6.3887225706152684</v>
      </c>
      <c r="AE615" s="245">
        <f t="shared" si="898"/>
        <v>-6.1391204820629097</v>
      </c>
      <c r="AF615" s="580" t="e">
        <f t="shared" ref="AF615:BK615" si="899">(AF81/AE81-1)*100</f>
        <v>#DIV/0!</v>
      </c>
      <c r="AG615" s="580">
        <f t="shared" si="899"/>
        <v>1.1037527593819041</v>
      </c>
      <c r="AH615" s="580">
        <f t="shared" si="899"/>
        <v>0.12340991076522645</v>
      </c>
      <c r="AI615" s="580">
        <f t="shared" si="899"/>
        <v>-11.339717455200615</v>
      </c>
      <c r="AJ615" s="580">
        <f t="shared" si="899"/>
        <v>-19.480982426121919</v>
      </c>
      <c r="AK615" s="580">
        <f t="shared" si="899"/>
        <v>45.798654152647408</v>
      </c>
      <c r="AL615" s="580">
        <f t="shared" si="899"/>
        <v>-1.2692436158260989</v>
      </c>
      <c r="AM615" s="580">
        <f t="shared" si="899"/>
        <v>-32.283561433184651</v>
      </c>
      <c r="AN615" s="580">
        <f t="shared" si="899"/>
        <v>5.9405940594059681</v>
      </c>
      <c r="AO615" s="580">
        <f t="shared" si="899"/>
        <v>33.216153648289406</v>
      </c>
      <c r="AP615" s="580">
        <f t="shared" si="899"/>
        <v>-11.839479951084597</v>
      </c>
      <c r="AQ615" s="580">
        <f t="shared" si="899"/>
        <v>-0.87607227596263604</v>
      </c>
      <c r="AR615" s="580">
        <f t="shared" si="899"/>
        <v>55.529368440434347</v>
      </c>
      <c r="AS615" s="580">
        <f t="shared" si="899"/>
        <v>42.759388170668245</v>
      </c>
      <c r="AT615" s="580">
        <f t="shared" si="899"/>
        <v>14.084553762460072</v>
      </c>
      <c r="AU615" s="580">
        <f t="shared" si="899"/>
        <v>8.0162826197571757</v>
      </c>
      <c r="AV615" s="580">
        <f t="shared" si="899"/>
        <v>0.28533358457039082</v>
      </c>
      <c r="AW615" s="580">
        <f t="shared" si="899"/>
        <v>16.388184294936337</v>
      </c>
      <c r="AX615" s="580">
        <f t="shared" si="899"/>
        <v>-5.6410138142569677</v>
      </c>
      <c r="AY615" s="580">
        <f t="shared" si="899"/>
        <v>-5.491873396065083</v>
      </c>
      <c r="AZ615" s="580">
        <f t="shared" si="899"/>
        <v>4.6343229543810205</v>
      </c>
      <c r="BA615" s="580">
        <f t="shared" si="899"/>
        <v>25.797083539297883</v>
      </c>
      <c r="BB615" s="580">
        <f t="shared" si="899"/>
        <v>-6.4796895721793817</v>
      </c>
      <c r="BC615" s="580">
        <f t="shared" si="899"/>
        <v>-6.3887225706152684</v>
      </c>
      <c r="BD615" s="580">
        <f t="shared" si="899"/>
        <v>-6.1391204820629097</v>
      </c>
      <c r="BE615" s="580">
        <f t="shared" si="899"/>
        <v>4.5082849149989945</v>
      </c>
      <c r="BF615" s="580">
        <f t="shared" si="899"/>
        <v>11.039042749121952</v>
      </c>
      <c r="BG615" s="580">
        <f t="shared" si="899"/>
        <v>-18.614977283731793</v>
      </c>
      <c r="BH615" s="580">
        <f t="shared" si="899"/>
        <v>21.309400237980782</v>
      </c>
      <c r="BI615" s="580">
        <f t="shared" si="899"/>
        <v>17.604766675014517</v>
      </c>
      <c r="BJ615" s="580">
        <f t="shared" si="899"/>
        <v>-11.829321313540897</v>
      </c>
      <c r="BK615" s="580">
        <f t="shared" si="899"/>
        <v>-7.0272010948868369</v>
      </c>
      <c r="BL615" s="580">
        <f t="shared" ref="BL615:BS615" si="900">(BL81/BK81-1)*100</f>
        <v>-7.7932198986885304E-2</v>
      </c>
      <c r="BM615" s="580">
        <f t="shared" si="900"/>
        <v>21.925776680098807</v>
      </c>
      <c r="BN615" s="580">
        <f t="shared" si="900"/>
        <v>-3.8647085476692489</v>
      </c>
      <c r="BO615" s="580">
        <f t="shared" si="900"/>
        <v>-28.972247636474535</v>
      </c>
      <c r="BP615" s="580">
        <f t="shared" si="900"/>
        <v>38.156576499212825</v>
      </c>
      <c r="BQ615" s="580">
        <f t="shared" si="900"/>
        <v>16.658975542224287</v>
      </c>
      <c r="BR615" s="580">
        <f t="shared" si="900"/>
        <v>-11.441649444587899</v>
      </c>
      <c r="BS615" s="580">
        <f t="shared" si="900"/>
        <v>-1.7985578719952322</v>
      </c>
    </row>
    <row r="616" spans="1:71" s="245" customFormat="1">
      <c r="A616" s="243"/>
      <c r="B616" s="243" t="s">
        <v>2095</v>
      </c>
      <c r="C616" s="243" t="s">
        <v>2031</v>
      </c>
      <c r="D616" s="243"/>
      <c r="F616" s="245" t="e">
        <f t="shared" ref="F616:AE616" si="901">(F487/E487-1)*100</f>
        <v>#DIV/0!</v>
      </c>
      <c r="G616" s="245" t="e">
        <f t="shared" si="901"/>
        <v>#DIV/0!</v>
      </c>
      <c r="H616" s="245" t="e">
        <f t="shared" si="901"/>
        <v>#DIV/0!</v>
      </c>
      <c r="I616" s="245" t="e">
        <f t="shared" si="901"/>
        <v>#DIV/0!</v>
      </c>
      <c r="J616" s="245" t="e">
        <f t="shared" si="901"/>
        <v>#DIV/0!</v>
      </c>
      <c r="K616" s="245" t="e">
        <f t="shared" si="901"/>
        <v>#DIV/0!</v>
      </c>
      <c r="L616" s="245">
        <f t="shared" si="901"/>
        <v>45.040630611437436</v>
      </c>
      <c r="M616" s="245">
        <f t="shared" si="901"/>
        <v>-22.75893906328691</v>
      </c>
      <c r="N616" s="245">
        <f t="shared" si="901"/>
        <v>-34.631893507199095</v>
      </c>
      <c r="O616" s="245">
        <f t="shared" si="901"/>
        <v>8.9020031585072203</v>
      </c>
      <c r="P616" s="245">
        <f t="shared" si="901"/>
        <v>27.018775759425996</v>
      </c>
      <c r="Q616" s="245">
        <f t="shared" si="901"/>
        <v>-6.3123422665545821</v>
      </c>
      <c r="R616" s="245">
        <f t="shared" si="901"/>
        <v>-5.5703428149952439</v>
      </c>
      <c r="S616" s="245">
        <f t="shared" si="901"/>
        <v>51.287101813488924</v>
      </c>
      <c r="T616" s="245">
        <f t="shared" si="901"/>
        <v>40.221783245039134</v>
      </c>
      <c r="U616" s="245">
        <f t="shared" si="901"/>
        <v>15.739762430762404</v>
      </c>
      <c r="V616" s="245">
        <f t="shared" si="901"/>
        <v>8.6461589532213381</v>
      </c>
      <c r="W616" s="245">
        <f t="shared" si="901"/>
        <v>5.2565914270072955</v>
      </c>
      <c r="X616" s="245">
        <f t="shared" si="901"/>
        <v>15.016086504269598</v>
      </c>
      <c r="Y616" s="245">
        <f t="shared" si="901"/>
        <v>-3.4881642181863404</v>
      </c>
      <c r="Z616" s="245">
        <f t="shared" si="901"/>
        <v>1.2802911436540443</v>
      </c>
      <c r="AA616" s="245">
        <f t="shared" si="901"/>
        <v>2.5583371884112083</v>
      </c>
      <c r="AB616" s="245">
        <f t="shared" si="901"/>
        <v>14.595768339120152</v>
      </c>
      <c r="AC616" s="245">
        <f t="shared" si="901"/>
        <v>2.5301392308889392</v>
      </c>
      <c r="AD616" s="245">
        <f t="shared" si="901"/>
        <v>-7.9825368057353741</v>
      </c>
      <c r="AE616" s="245">
        <f t="shared" si="901"/>
        <v>-1.1866182834300298</v>
      </c>
      <c r="AF616" s="580" t="e">
        <f t="shared" ref="AF616:BK616" si="902">(AF83/AE83-1)*100</f>
        <v>#DIV/0!</v>
      </c>
      <c r="AG616" s="580">
        <f t="shared" si="902"/>
        <v>12.605310343133658</v>
      </c>
      <c r="AH616" s="580">
        <f t="shared" si="902"/>
        <v>4.1247682408114716</v>
      </c>
      <c r="AI616" s="580">
        <f t="shared" si="902"/>
        <v>-8.197167755991341</v>
      </c>
      <c r="AJ616" s="580">
        <f t="shared" si="902"/>
        <v>-25.023389544303164</v>
      </c>
      <c r="AK616" s="580">
        <f t="shared" si="902"/>
        <v>45.040630611437436</v>
      </c>
      <c r="AL616" s="580">
        <f t="shared" si="902"/>
        <v>-22.75893906328691</v>
      </c>
      <c r="AM616" s="580">
        <f t="shared" si="902"/>
        <v>-34.631893507199095</v>
      </c>
      <c r="AN616" s="580">
        <f t="shared" si="902"/>
        <v>8.9020031585072203</v>
      </c>
      <c r="AO616" s="580">
        <f t="shared" si="902"/>
        <v>27.018775759425996</v>
      </c>
      <c r="AP616" s="580">
        <f t="shared" si="902"/>
        <v>-6.3123422665545821</v>
      </c>
      <c r="AQ616" s="580">
        <f t="shared" si="902"/>
        <v>-5.5703428149952439</v>
      </c>
      <c r="AR616" s="580">
        <f t="shared" si="902"/>
        <v>51.287101813488924</v>
      </c>
      <c r="AS616" s="580">
        <f t="shared" si="902"/>
        <v>40.221783245039134</v>
      </c>
      <c r="AT616" s="580">
        <f t="shared" si="902"/>
        <v>15.739762430762404</v>
      </c>
      <c r="AU616" s="580">
        <f t="shared" si="902"/>
        <v>8.6461589532213381</v>
      </c>
      <c r="AV616" s="580">
        <f t="shared" si="902"/>
        <v>5.2565914270072955</v>
      </c>
      <c r="AW616" s="580">
        <f t="shared" si="902"/>
        <v>15.016086504269598</v>
      </c>
      <c r="AX616" s="580">
        <f t="shared" si="902"/>
        <v>-3.4881642181863404</v>
      </c>
      <c r="AY616" s="580">
        <f t="shared" si="902"/>
        <v>1.2802911436540443</v>
      </c>
      <c r="AZ616" s="580">
        <f t="shared" si="902"/>
        <v>2.5583371884112083</v>
      </c>
      <c r="BA616" s="580">
        <f t="shared" si="902"/>
        <v>14.595768339120152</v>
      </c>
      <c r="BB616" s="580">
        <f t="shared" si="902"/>
        <v>2.5301392308889392</v>
      </c>
      <c r="BC616" s="580">
        <f t="shared" si="902"/>
        <v>-7.9825368057353741</v>
      </c>
      <c r="BD616" s="580">
        <f t="shared" si="902"/>
        <v>-1.1866182834300298</v>
      </c>
      <c r="BE616" s="580">
        <f t="shared" si="902"/>
        <v>2.2053553017881145</v>
      </c>
      <c r="BF616" s="580">
        <f t="shared" si="902"/>
        <v>12.774644775144296</v>
      </c>
      <c r="BG616" s="580">
        <f t="shared" si="902"/>
        <v>-11.949465864753828</v>
      </c>
      <c r="BH616" s="580">
        <f t="shared" si="902"/>
        <v>9.7069437591308372</v>
      </c>
      <c r="BI616" s="580">
        <f t="shared" si="902"/>
        <v>10.341999435586203</v>
      </c>
      <c r="BJ616" s="580">
        <f t="shared" si="902"/>
        <v>-2.8484882391962785</v>
      </c>
      <c r="BK616" s="580">
        <f t="shared" si="902"/>
        <v>-8.7910822261527581</v>
      </c>
      <c r="BL616" s="580">
        <f t="shared" ref="BL616:BS616" si="903">(BL83/BK83-1)*100</f>
        <v>3.0432312007865114</v>
      </c>
      <c r="BM616" s="580">
        <f t="shared" si="903"/>
        <v>8.4687902103411261</v>
      </c>
      <c r="BN616" s="580">
        <f t="shared" si="903"/>
        <v>-4.9903968753531096</v>
      </c>
      <c r="BO616" s="580">
        <f t="shared" si="903"/>
        <v>-21.616525387738463</v>
      </c>
      <c r="BP616" s="580">
        <f t="shared" si="903"/>
        <v>48.247800268735652</v>
      </c>
      <c r="BQ616" s="580">
        <f t="shared" si="903"/>
        <v>10.131643386034561</v>
      </c>
      <c r="BR616" s="580">
        <f t="shared" si="903"/>
        <v>-11.10041813234216</v>
      </c>
      <c r="BS616" s="580">
        <f t="shared" si="903"/>
        <v>-0.39568479599839668</v>
      </c>
    </row>
    <row r="617" spans="1:71" s="245" customFormat="1">
      <c r="A617" s="243"/>
      <c r="B617" s="243" t="s">
        <v>2096</v>
      </c>
      <c r="C617" s="243" t="s">
        <v>2033</v>
      </c>
      <c r="D617" s="243"/>
      <c r="F617" s="245" t="e">
        <f t="shared" ref="F617:AE617" si="904">(F491/E491-1)*100</f>
        <v>#DIV/0!</v>
      </c>
      <c r="G617" s="245" t="e">
        <f t="shared" si="904"/>
        <v>#DIV/0!</v>
      </c>
      <c r="H617" s="245" t="e">
        <f t="shared" si="904"/>
        <v>#DIV/0!</v>
      </c>
      <c r="I617" s="245" t="e">
        <f t="shared" si="904"/>
        <v>#DIV/0!</v>
      </c>
      <c r="J617" s="245" t="e">
        <f t="shared" si="904"/>
        <v>#DIV/0!</v>
      </c>
      <c r="K617" s="245" t="e">
        <f t="shared" si="904"/>
        <v>#DIV/0!</v>
      </c>
      <c r="L617" s="245">
        <f t="shared" si="904"/>
        <v>44.653130802715268</v>
      </c>
      <c r="M617" s="245">
        <f t="shared" si="904"/>
        <v>-22.944023569023596</v>
      </c>
      <c r="N617" s="245">
        <f t="shared" si="904"/>
        <v>-34.781658792364155</v>
      </c>
      <c r="O617" s="245">
        <f t="shared" si="904"/>
        <v>9.3421548511369181</v>
      </c>
      <c r="P617" s="245">
        <f t="shared" si="904"/>
        <v>25.218290441176428</v>
      </c>
      <c r="Q617" s="245">
        <f t="shared" si="904"/>
        <v>-7.3890571000398424</v>
      </c>
      <c r="R617" s="245">
        <f t="shared" si="904"/>
        <v>-4.4747531455367024</v>
      </c>
      <c r="S617" s="245">
        <f t="shared" si="904"/>
        <v>51.942888750604823</v>
      </c>
      <c r="T617" s="245">
        <f t="shared" si="904"/>
        <v>42.126459011171605</v>
      </c>
      <c r="U617" s="245">
        <f t="shared" si="904"/>
        <v>15.739442256587655</v>
      </c>
      <c r="V617" s="245">
        <f t="shared" si="904"/>
        <v>8.6478426729443605</v>
      </c>
      <c r="W617" s="245">
        <f t="shared" si="904"/>
        <v>5.1750477402927597</v>
      </c>
      <c r="X617" s="245">
        <f t="shared" si="904"/>
        <v>15.025116504266789</v>
      </c>
      <c r="Y617" s="245">
        <f t="shared" si="904"/>
        <v>-3.4600328324282725</v>
      </c>
      <c r="Z617" s="245">
        <f t="shared" si="904"/>
        <v>1.3145846958795948</v>
      </c>
      <c r="AA617" s="245">
        <f t="shared" si="904"/>
        <v>2.5391087298002102</v>
      </c>
      <c r="AB617" s="245">
        <f t="shared" si="904"/>
        <v>12.501836190795789</v>
      </c>
      <c r="AC617" s="245">
        <f t="shared" si="904"/>
        <v>4.4618125180701629</v>
      </c>
      <c r="AD617" s="245">
        <f t="shared" si="904"/>
        <v>-8.1389223695370934</v>
      </c>
      <c r="AE617" s="245">
        <f t="shared" si="904"/>
        <v>-1.0205172564608289</v>
      </c>
      <c r="AF617" s="580" t="e">
        <f t="shared" ref="AF617:BK617" si="905">(AF87/AE87-1)*100</f>
        <v>#DIV/0!</v>
      </c>
      <c r="AG617" s="580">
        <f t="shared" si="905"/>
        <v>12.315452755905532</v>
      </c>
      <c r="AH617" s="580">
        <f t="shared" si="905"/>
        <v>4.5328075364224452</v>
      </c>
      <c r="AI617" s="580">
        <f t="shared" si="905"/>
        <v>-8.6557404535357101</v>
      </c>
      <c r="AJ617" s="580">
        <f t="shared" si="905"/>
        <v>-24.626009544787031</v>
      </c>
      <c r="AK617" s="580">
        <f t="shared" si="905"/>
        <v>44.653130802715268</v>
      </c>
      <c r="AL617" s="580">
        <f t="shared" si="905"/>
        <v>-22.944023569023596</v>
      </c>
      <c r="AM617" s="580">
        <f t="shared" si="905"/>
        <v>-34.781658792364155</v>
      </c>
      <c r="AN617" s="580">
        <f t="shared" si="905"/>
        <v>9.3421548511369181</v>
      </c>
      <c r="AO617" s="580">
        <f t="shared" si="905"/>
        <v>25.218290441176428</v>
      </c>
      <c r="AP617" s="580">
        <f t="shared" si="905"/>
        <v>-7.3890571000398424</v>
      </c>
      <c r="AQ617" s="580">
        <f t="shared" si="905"/>
        <v>-4.4747531455367024</v>
      </c>
      <c r="AR617" s="580">
        <f t="shared" si="905"/>
        <v>51.942888750604823</v>
      </c>
      <c r="AS617" s="580">
        <f t="shared" si="905"/>
        <v>42.126459011171605</v>
      </c>
      <c r="AT617" s="580">
        <f t="shared" si="905"/>
        <v>15.739442256587655</v>
      </c>
      <c r="AU617" s="580">
        <f t="shared" si="905"/>
        <v>8.6478426729443605</v>
      </c>
      <c r="AV617" s="580">
        <f t="shared" si="905"/>
        <v>5.1750477402927597</v>
      </c>
      <c r="AW617" s="580">
        <f t="shared" si="905"/>
        <v>15.025116504266789</v>
      </c>
      <c r="AX617" s="580">
        <f t="shared" si="905"/>
        <v>-3.4600328324282725</v>
      </c>
      <c r="AY617" s="580">
        <f t="shared" si="905"/>
        <v>1.3145846958795948</v>
      </c>
      <c r="AZ617" s="580">
        <f t="shared" si="905"/>
        <v>2.5391087298002102</v>
      </c>
      <c r="BA617" s="580">
        <f t="shared" si="905"/>
        <v>12.501836190795789</v>
      </c>
      <c r="BB617" s="580">
        <f t="shared" si="905"/>
        <v>4.4618125180701629</v>
      </c>
      <c r="BC617" s="580">
        <f t="shared" si="905"/>
        <v>-8.1389223695370934</v>
      </c>
      <c r="BD617" s="580">
        <f t="shared" si="905"/>
        <v>-1.0205172564608289</v>
      </c>
      <c r="BE617" s="580">
        <f t="shared" si="905"/>
        <v>2.187766965504423</v>
      </c>
      <c r="BF617" s="580">
        <f t="shared" si="905"/>
        <v>12.788876396936534</v>
      </c>
      <c r="BG617" s="580">
        <f t="shared" si="905"/>
        <v>-11.957299618320539</v>
      </c>
      <c r="BH617" s="580">
        <f t="shared" si="905"/>
        <v>9.7173435519300568</v>
      </c>
      <c r="BI617" s="580">
        <f t="shared" si="905"/>
        <v>10.347230184419098</v>
      </c>
      <c r="BJ617" s="580">
        <f t="shared" si="905"/>
        <v>-2.8605682771849827</v>
      </c>
      <c r="BK617" s="580">
        <f t="shared" si="905"/>
        <v>-8.7908109531332208</v>
      </c>
      <c r="BL617" s="580">
        <f t="shared" ref="BL617:BS617" si="906">(BL87/BK87-1)*100</f>
        <v>3.0491105257460349</v>
      </c>
      <c r="BM617" s="580">
        <f t="shared" si="906"/>
        <v>8.4748581833461891</v>
      </c>
      <c r="BN617" s="580">
        <f t="shared" si="906"/>
        <v>-4.9922122779692764</v>
      </c>
      <c r="BO617" s="580">
        <f t="shared" si="906"/>
        <v>-22.135109193303148</v>
      </c>
      <c r="BP617" s="580">
        <f t="shared" si="906"/>
        <v>49.232011170746603</v>
      </c>
      <c r="BQ617" s="580">
        <f t="shared" si="906"/>
        <v>10.115644965569693</v>
      </c>
      <c r="BR617" s="580">
        <f t="shared" si="906"/>
        <v>-11.094293528771304</v>
      </c>
      <c r="BS617" s="580">
        <f t="shared" si="906"/>
        <v>-0.40918730025988337</v>
      </c>
    </row>
    <row r="618" spans="1:71" s="245" customFormat="1">
      <c r="A618" s="243"/>
      <c r="B618" s="243" t="s">
        <v>2097</v>
      </c>
      <c r="C618" s="243" t="s">
        <v>2035</v>
      </c>
      <c r="D618" s="243"/>
      <c r="F618" s="245" t="e">
        <f t="shared" ref="F618:AE618" si="907">(F496/E496-1)*100</f>
        <v>#DIV/0!</v>
      </c>
      <c r="G618" s="245" t="e">
        <f t="shared" si="907"/>
        <v>#DIV/0!</v>
      </c>
      <c r="H618" s="245" t="e">
        <f t="shared" si="907"/>
        <v>#DIV/0!</v>
      </c>
      <c r="I618" s="245" t="e">
        <f t="shared" si="907"/>
        <v>#DIV/0!</v>
      </c>
      <c r="J618" s="245" t="e">
        <f t="shared" si="907"/>
        <v>#DIV/0!</v>
      </c>
      <c r="K618" s="245" t="e">
        <f t="shared" si="907"/>
        <v>#DIV/0!</v>
      </c>
      <c r="L618" s="245">
        <f t="shared" si="907"/>
        <v>52.0729171275607</v>
      </c>
      <c r="M618" s="245">
        <f t="shared" si="907"/>
        <v>-27.40587721850455</v>
      </c>
      <c r="N618" s="245">
        <f t="shared" si="907"/>
        <v>-37.277660657459066</v>
      </c>
      <c r="O618" s="245">
        <f t="shared" si="907"/>
        <v>11.900623658112707</v>
      </c>
      <c r="P618" s="245">
        <f t="shared" si="907"/>
        <v>29.990863407948744</v>
      </c>
      <c r="Q618" s="245">
        <f t="shared" si="907"/>
        <v>-8.1971534001055275</v>
      </c>
      <c r="R618" s="245">
        <f t="shared" si="907"/>
        <v>-4.2109292755286187</v>
      </c>
      <c r="S618" s="245">
        <f t="shared" si="907"/>
        <v>55.012488760115644</v>
      </c>
      <c r="T618" s="245">
        <f t="shared" si="907"/>
        <v>40.156427245539959</v>
      </c>
      <c r="U618" s="245">
        <f t="shared" si="907"/>
        <v>16.628919480077631</v>
      </c>
      <c r="V618" s="245">
        <f t="shared" si="907"/>
        <v>11.241207179357726</v>
      </c>
      <c r="W618" s="245">
        <f t="shared" si="907"/>
        <v>4.5899785733653387</v>
      </c>
      <c r="X618" s="245">
        <f t="shared" si="907"/>
        <v>15.577395577395613</v>
      </c>
      <c r="Y618" s="245">
        <f t="shared" si="907"/>
        <v>-2.1947572132300253</v>
      </c>
      <c r="Z618" s="245">
        <f t="shared" si="907"/>
        <v>33.905203039978325</v>
      </c>
      <c r="AA618" s="245">
        <f t="shared" si="907"/>
        <v>-20.400315685187863</v>
      </c>
      <c r="AB618" s="245">
        <f t="shared" si="907"/>
        <v>11.465558462014247</v>
      </c>
      <c r="AC618" s="245">
        <f t="shared" si="907"/>
        <v>5.5268380632031544</v>
      </c>
      <c r="AD618" s="245">
        <f t="shared" si="907"/>
        <v>-8.2187538857378168</v>
      </c>
      <c r="AE618" s="245">
        <f t="shared" si="907"/>
        <v>-6.4171088163761825</v>
      </c>
      <c r="AF618" s="580" t="e">
        <f t="shared" ref="AF618:BK618" si="908">(AF89/AE89-1)*100</f>
        <v>#DIV/0!</v>
      </c>
      <c r="AG618" s="580">
        <f t="shared" si="908"/>
        <v>19.916787264833612</v>
      </c>
      <c r="AH618" s="580">
        <f t="shared" si="908"/>
        <v>7.7507919746568898</v>
      </c>
      <c r="AI618" s="580">
        <f t="shared" si="908"/>
        <v>-10.18928151425219</v>
      </c>
      <c r="AJ618" s="580">
        <f t="shared" si="908"/>
        <v>-29.53702260327352</v>
      </c>
      <c r="AK618" s="580">
        <f t="shared" si="908"/>
        <v>52.0729171275607</v>
      </c>
      <c r="AL618" s="580">
        <f t="shared" si="908"/>
        <v>-22.938609252254906</v>
      </c>
      <c r="AM618" s="580">
        <f t="shared" si="908"/>
        <v>-35.116665408140094</v>
      </c>
      <c r="AN618" s="580">
        <f t="shared" si="908"/>
        <v>1.9028222286878504</v>
      </c>
      <c r="AO618" s="580">
        <f t="shared" si="908"/>
        <v>40.457971676564554</v>
      </c>
      <c r="AP618" s="580">
        <f t="shared" si="908"/>
        <v>-7.5862910110990223</v>
      </c>
      <c r="AQ618" s="580">
        <f t="shared" si="908"/>
        <v>1.249395099203876</v>
      </c>
      <c r="AR618" s="580">
        <f t="shared" si="908"/>
        <v>37.957853573756026</v>
      </c>
      <c r="AS618" s="580">
        <f t="shared" si="908"/>
        <v>41.305785644546724</v>
      </c>
      <c r="AT618" s="580">
        <f t="shared" si="908"/>
        <v>16.118664467525612</v>
      </c>
      <c r="AU618" s="580">
        <f t="shared" si="908"/>
        <v>10.945183865729401</v>
      </c>
      <c r="AV618" s="580">
        <f t="shared" si="908"/>
        <v>2.1020761245674091</v>
      </c>
      <c r="AW618" s="580">
        <f t="shared" si="908"/>
        <v>15.577395577395613</v>
      </c>
      <c r="AX618" s="580">
        <f t="shared" si="908"/>
        <v>-2.1947572132300253</v>
      </c>
      <c r="AY618" s="580">
        <f t="shared" si="908"/>
        <v>1.3221207896747744</v>
      </c>
      <c r="AZ618" s="580">
        <f t="shared" si="908"/>
        <v>5.1972837423995166</v>
      </c>
      <c r="BA618" s="580">
        <f t="shared" si="908"/>
        <v>15.490957162545826</v>
      </c>
      <c r="BB618" s="580">
        <f t="shared" si="908"/>
        <v>3.9989771191290879</v>
      </c>
      <c r="BC618" s="580">
        <f t="shared" si="908"/>
        <v>-10.336631344769076</v>
      </c>
      <c r="BD618" s="580">
        <f t="shared" si="908"/>
        <v>-6.1872363764576725</v>
      </c>
      <c r="BE618" s="580">
        <f t="shared" si="908"/>
        <v>3.1013794735450739</v>
      </c>
      <c r="BF618" s="580">
        <f t="shared" si="908"/>
        <v>10.540456613606519</v>
      </c>
      <c r="BG618" s="580">
        <f t="shared" si="908"/>
        <v>-6.4696973398147284</v>
      </c>
      <c r="BH618" s="580">
        <f t="shared" si="908"/>
        <v>8.8681980229051049</v>
      </c>
      <c r="BI618" s="580">
        <f t="shared" si="908"/>
        <v>5.1386623164762391</v>
      </c>
      <c r="BJ618" s="580">
        <f t="shared" si="908"/>
        <v>-7.6997672614429691</v>
      </c>
      <c r="BK618" s="580">
        <f t="shared" si="908"/>
        <v>-1.1742457016426955</v>
      </c>
      <c r="BL618" s="580">
        <f t="shared" ref="BL618:BS618" si="909">(BL89/BK89-1)*100</f>
        <v>0.9605643315447665</v>
      </c>
      <c r="BM618" s="580">
        <f t="shared" si="909"/>
        <v>23.710063056701493</v>
      </c>
      <c r="BN618" s="580">
        <f t="shared" si="909"/>
        <v>-21.665331464049732</v>
      </c>
      <c r="BO618" s="580">
        <f t="shared" si="909"/>
        <v>-21.215723873441984</v>
      </c>
      <c r="BP618" s="580">
        <f t="shared" si="909"/>
        <v>55.34245241688167</v>
      </c>
      <c r="BQ618" s="580">
        <f t="shared" si="909"/>
        <v>9.9262555360575266</v>
      </c>
      <c r="BR618" s="580">
        <f t="shared" si="909"/>
        <v>-7.7708834177443347</v>
      </c>
      <c r="BS618" s="580">
        <f t="shared" si="909"/>
        <v>-2.1924356847755844</v>
      </c>
    </row>
    <row r="619" spans="1:71" s="245" customFormat="1">
      <c r="A619" s="243"/>
      <c r="B619" s="243" t="s">
        <v>2098</v>
      </c>
      <c r="C619" s="243" t="s">
        <v>2037</v>
      </c>
      <c r="D619" s="243"/>
      <c r="F619" s="245" t="e">
        <f t="shared" ref="F619:AE619" si="910">(F499/E499-1)*100</f>
        <v>#DIV/0!</v>
      </c>
      <c r="G619" s="245" t="e">
        <f t="shared" si="910"/>
        <v>#DIV/0!</v>
      </c>
      <c r="H619" s="245" t="e">
        <f t="shared" si="910"/>
        <v>#DIV/0!</v>
      </c>
      <c r="I619" s="245" t="e">
        <f t="shared" si="910"/>
        <v>#DIV/0!</v>
      </c>
      <c r="J619" s="245" t="e">
        <f t="shared" si="910"/>
        <v>#DIV/0!</v>
      </c>
      <c r="K619" s="245" t="e">
        <f t="shared" si="910"/>
        <v>#DIV/0!</v>
      </c>
      <c r="L619" s="245">
        <f t="shared" si="910"/>
        <v>52.0729171275607</v>
      </c>
      <c r="M619" s="245">
        <f t="shared" si="910"/>
        <v>-27.40587721850455</v>
      </c>
      <c r="N619" s="245">
        <f t="shared" si="910"/>
        <v>-37.277660657459066</v>
      </c>
      <c r="O619" s="245">
        <f t="shared" si="910"/>
        <v>11.900623658112707</v>
      </c>
      <c r="P619" s="245">
        <f t="shared" si="910"/>
        <v>29.990863407948744</v>
      </c>
      <c r="Q619" s="245">
        <f t="shared" si="910"/>
        <v>-8.1971534001055275</v>
      </c>
      <c r="R619" s="245">
        <f t="shared" si="910"/>
        <v>-4.2109292755286187</v>
      </c>
      <c r="S619" s="245">
        <f t="shared" si="910"/>
        <v>55.012488760115644</v>
      </c>
      <c r="T619" s="245">
        <f t="shared" si="910"/>
        <v>40.156427245539959</v>
      </c>
      <c r="U619" s="245">
        <f t="shared" si="910"/>
        <v>16.628919480077631</v>
      </c>
      <c r="V619" s="245">
        <f t="shared" si="910"/>
        <v>11.241207179357726</v>
      </c>
      <c r="W619" s="245">
        <f t="shared" si="910"/>
        <v>4.5899785733653387</v>
      </c>
      <c r="X619" s="245">
        <f t="shared" si="910"/>
        <v>15.577395577395613</v>
      </c>
      <c r="Y619" s="245">
        <f t="shared" si="910"/>
        <v>-2.1947572132300253</v>
      </c>
      <c r="Z619" s="245">
        <f t="shared" si="910"/>
        <v>33.905203039978325</v>
      </c>
      <c r="AA619" s="245">
        <f t="shared" si="910"/>
        <v>-20.400315685187863</v>
      </c>
      <c r="AB619" s="245">
        <f t="shared" si="910"/>
        <v>11.465558462014247</v>
      </c>
      <c r="AC619" s="245">
        <f t="shared" si="910"/>
        <v>5.5268380632031544</v>
      </c>
      <c r="AD619" s="245">
        <f t="shared" si="910"/>
        <v>-8.2187538857378168</v>
      </c>
      <c r="AE619" s="245">
        <f t="shared" si="910"/>
        <v>-6.4171088163761825</v>
      </c>
      <c r="AF619" s="580" t="e">
        <f t="shared" ref="AF619:BK619" si="911">(AF92/AE92-1)*100</f>
        <v>#DIV/0!</v>
      </c>
      <c r="AG619" s="580">
        <f t="shared" si="911"/>
        <v>19.916787264833612</v>
      </c>
      <c r="AH619" s="580">
        <f t="shared" si="911"/>
        <v>7.7507919746568898</v>
      </c>
      <c r="AI619" s="580">
        <f t="shared" si="911"/>
        <v>-10.18928151425219</v>
      </c>
      <c r="AJ619" s="580">
        <f t="shared" si="911"/>
        <v>-29.53702260327352</v>
      </c>
      <c r="AK619" s="580">
        <f t="shared" si="911"/>
        <v>52.0729171275607</v>
      </c>
      <c r="AL619" s="580">
        <f t="shared" si="911"/>
        <v>-22.938609252254906</v>
      </c>
      <c r="AM619" s="580">
        <f t="shared" si="911"/>
        <v>-35.116665408140094</v>
      </c>
      <c r="AN619" s="580">
        <f t="shared" si="911"/>
        <v>1.9028222286878504</v>
      </c>
      <c r="AO619" s="580">
        <f t="shared" si="911"/>
        <v>40.457971676564554</v>
      </c>
      <c r="AP619" s="580">
        <f t="shared" si="911"/>
        <v>-7.5862910110990223</v>
      </c>
      <c r="AQ619" s="580">
        <f t="shared" si="911"/>
        <v>1.249395099203876</v>
      </c>
      <c r="AR619" s="580">
        <f t="shared" si="911"/>
        <v>37.957853573756026</v>
      </c>
      <c r="AS619" s="580">
        <f t="shared" si="911"/>
        <v>41.305785644546724</v>
      </c>
      <c r="AT619" s="580">
        <f t="shared" si="911"/>
        <v>16.118664467525612</v>
      </c>
      <c r="AU619" s="580">
        <f t="shared" si="911"/>
        <v>10.945183865729401</v>
      </c>
      <c r="AV619" s="580">
        <f t="shared" si="911"/>
        <v>2.1020761245674091</v>
      </c>
      <c r="AW619" s="580">
        <f t="shared" si="911"/>
        <v>15.577395577395613</v>
      </c>
      <c r="AX619" s="580">
        <f t="shared" si="911"/>
        <v>-2.1947572132300253</v>
      </c>
      <c r="AY619" s="580">
        <f t="shared" si="911"/>
        <v>1.3221207896747744</v>
      </c>
      <c r="AZ619" s="580">
        <f t="shared" si="911"/>
        <v>5.1972837423995166</v>
      </c>
      <c r="BA619" s="580">
        <f t="shared" si="911"/>
        <v>15.490957162545826</v>
      </c>
      <c r="BB619" s="580">
        <f t="shared" si="911"/>
        <v>3.9989771191290879</v>
      </c>
      <c r="BC619" s="580">
        <f t="shared" si="911"/>
        <v>-10.336631344769076</v>
      </c>
      <c r="BD619" s="580">
        <f t="shared" si="911"/>
        <v>-6.1872363764576725</v>
      </c>
      <c r="BE619" s="580">
        <f t="shared" si="911"/>
        <v>3.1013794735450739</v>
      </c>
      <c r="BF619" s="580">
        <f t="shared" si="911"/>
        <v>10.540456613606519</v>
      </c>
      <c r="BG619" s="580">
        <f t="shared" si="911"/>
        <v>-6.4696973398147284</v>
      </c>
      <c r="BH619" s="580">
        <f t="shared" si="911"/>
        <v>8.8681980229051049</v>
      </c>
      <c r="BI619" s="580">
        <f t="shared" si="911"/>
        <v>5.1386623164762391</v>
      </c>
      <c r="BJ619" s="580">
        <f t="shared" si="911"/>
        <v>-7.6997672614429691</v>
      </c>
      <c r="BK619" s="580">
        <f t="shared" si="911"/>
        <v>-1.1742457016426955</v>
      </c>
      <c r="BL619" s="580">
        <f t="shared" ref="BL619:BS619" si="912">(BL92/BK92-1)*100</f>
        <v>0.9605643315447665</v>
      </c>
      <c r="BM619" s="580">
        <f t="shared" si="912"/>
        <v>23.710063056701493</v>
      </c>
      <c r="BN619" s="580">
        <f t="shared" si="912"/>
        <v>-21.665331464049732</v>
      </c>
      <c r="BO619" s="580">
        <f t="shared" si="912"/>
        <v>-21.215723873441984</v>
      </c>
      <c r="BP619" s="580">
        <f t="shared" si="912"/>
        <v>55.34245241688167</v>
      </c>
      <c r="BQ619" s="580">
        <f t="shared" si="912"/>
        <v>9.9262555360575266</v>
      </c>
      <c r="BR619" s="580">
        <f t="shared" si="912"/>
        <v>-7.7708834177443347</v>
      </c>
      <c r="BS619" s="580">
        <f t="shared" si="912"/>
        <v>-2.1924356847755844</v>
      </c>
    </row>
    <row r="620" spans="1:71" s="245" customFormat="1">
      <c r="A620" s="243"/>
      <c r="B620" s="243" t="s">
        <v>2099</v>
      </c>
      <c r="C620" s="243" t="s">
        <v>2039</v>
      </c>
      <c r="D620" s="243"/>
      <c r="F620" s="245" t="e">
        <f t="shared" ref="F620:AE620" si="913">(F505/E505-1)*100</f>
        <v>#DIV/0!</v>
      </c>
      <c r="G620" s="245" t="e">
        <f t="shared" si="913"/>
        <v>#DIV/0!</v>
      </c>
      <c r="H620" s="245" t="e">
        <f t="shared" si="913"/>
        <v>#DIV/0!</v>
      </c>
      <c r="I620" s="245" t="e">
        <f t="shared" si="913"/>
        <v>#DIV/0!</v>
      </c>
      <c r="J620" s="245" t="e">
        <f t="shared" si="913"/>
        <v>#DIV/0!</v>
      </c>
      <c r="K620" s="245" t="e">
        <f t="shared" si="913"/>
        <v>#DIV/0!</v>
      </c>
      <c r="L620" s="245">
        <f t="shared" si="913"/>
        <v>52.0729171275607</v>
      </c>
      <c r="M620" s="245">
        <f t="shared" si="913"/>
        <v>-37.82950247308704</v>
      </c>
      <c r="N620" s="245">
        <f t="shared" si="913"/>
        <v>-43.527704979408377</v>
      </c>
      <c r="O620" s="245">
        <f t="shared" si="913"/>
        <v>45.123062898814979</v>
      </c>
      <c r="P620" s="245">
        <f t="shared" si="913"/>
        <v>5.5676107811785558</v>
      </c>
      <c r="Q620" s="245">
        <f t="shared" si="913"/>
        <v>-10.093579271920927</v>
      </c>
      <c r="R620" s="245">
        <f t="shared" si="913"/>
        <v>-21.635280669032987</v>
      </c>
      <c r="S620" s="245">
        <f t="shared" si="913"/>
        <v>125.32821497120872</v>
      </c>
      <c r="T620" s="245">
        <f t="shared" si="913"/>
        <v>37.255102388497164</v>
      </c>
      <c r="U620" s="245">
        <f t="shared" si="913"/>
        <v>17.954968597175093</v>
      </c>
      <c r="V620" s="245">
        <f t="shared" si="913"/>
        <v>11.998535224072771</v>
      </c>
      <c r="W620" s="245">
        <f t="shared" si="913"/>
        <v>10.895014750925402</v>
      </c>
      <c r="X620" s="245">
        <f t="shared" si="913"/>
        <v>15.577395577395613</v>
      </c>
      <c r="Y620" s="245">
        <f t="shared" si="913"/>
        <v>-2.1947572132300253</v>
      </c>
      <c r="Z620" s="245">
        <f t="shared" si="913"/>
        <v>109.93239495735322</v>
      </c>
      <c r="AA620" s="245">
        <f t="shared" si="913"/>
        <v>-49.22740774591562</v>
      </c>
      <c r="AB620" s="245">
        <f t="shared" si="913"/>
        <v>2.0729614941071839</v>
      </c>
      <c r="AC620" s="245">
        <f t="shared" si="913"/>
        <v>9.5604849820887239</v>
      </c>
      <c r="AD620" s="245">
        <f t="shared" si="913"/>
        <v>-2.9112539141588956</v>
      </c>
      <c r="AE620" s="245">
        <f t="shared" si="913"/>
        <v>-6.9491218071602407</v>
      </c>
      <c r="AF620" s="580" t="e">
        <f t="shared" ref="AF620:BK620" si="914">(AF100/AE100-1)*100</f>
        <v>#DIV/0!</v>
      </c>
      <c r="AG620" s="580">
        <f t="shared" si="914"/>
        <v>19.8639148904177</v>
      </c>
      <c r="AH620" s="580">
        <f t="shared" si="914"/>
        <v>8.1448957189901972</v>
      </c>
      <c r="AI620" s="580">
        <f t="shared" si="914"/>
        <v>-10.588132938924744</v>
      </c>
      <c r="AJ620" s="580">
        <f t="shared" si="914"/>
        <v>-26.693911971716709</v>
      </c>
      <c r="AK620" s="580">
        <f t="shared" si="914"/>
        <v>48.648289898677021</v>
      </c>
      <c r="AL620" s="580">
        <f t="shared" si="914"/>
        <v>-36.397190141683566</v>
      </c>
      <c r="AM620" s="580">
        <f t="shared" si="914"/>
        <v>-43.471546237364201</v>
      </c>
      <c r="AN620" s="580">
        <f t="shared" si="914"/>
        <v>44.978888980875922</v>
      </c>
      <c r="AO620" s="580">
        <f t="shared" si="914"/>
        <v>5.5676107811785558</v>
      </c>
      <c r="AP620" s="580">
        <f t="shared" si="914"/>
        <v>-11.142965326986676</v>
      </c>
      <c r="AQ620" s="580">
        <f t="shared" si="914"/>
        <v>-20.734157180251856</v>
      </c>
      <c r="AR620" s="580">
        <f t="shared" si="914"/>
        <v>125.39743491283267</v>
      </c>
      <c r="AS620" s="580">
        <f t="shared" si="914"/>
        <v>37.255102388497143</v>
      </c>
      <c r="AT620" s="580">
        <f t="shared" si="914"/>
        <v>17.954968597175093</v>
      </c>
      <c r="AU620" s="580">
        <f t="shared" si="914"/>
        <v>11.998535224072771</v>
      </c>
      <c r="AV620" s="580">
        <f t="shared" si="914"/>
        <v>10.895014750925402</v>
      </c>
      <c r="AW620" s="580">
        <f t="shared" si="914"/>
        <v>15.577395577395613</v>
      </c>
      <c r="AX620" s="580">
        <f t="shared" si="914"/>
        <v>-2.1947572132300253</v>
      </c>
      <c r="AY620" s="580">
        <f t="shared" si="914"/>
        <v>109.93239495735322</v>
      </c>
      <c r="AZ620" s="580">
        <f t="shared" si="914"/>
        <v>-49.22740774591562</v>
      </c>
      <c r="BA620" s="580">
        <f t="shared" si="914"/>
        <v>2.0729614941071839</v>
      </c>
      <c r="BB620" s="580">
        <f t="shared" si="914"/>
        <v>9.5604849820887239</v>
      </c>
      <c r="BC620" s="580">
        <f t="shared" si="914"/>
        <v>-2.9112539141589067</v>
      </c>
      <c r="BD620" s="580">
        <f t="shared" si="914"/>
        <v>-6.9491218071602301</v>
      </c>
      <c r="BE620" s="580">
        <f t="shared" si="914"/>
        <v>3.1013794735450739</v>
      </c>
      <c r="BF620" s="580">
        <f t="shared" si="914"/>
        <v>10.540456613606519</v>
      </c>
      <c r="BG620" s="580">
        <f t="shared" si="914"/>
        <v>-6.4696973398147284</v>
      </c>
      <c r="BH620" s="580">
        <f t="shared" si="914"/>
        <v>-3.6682032464055214</v>
      </c>
      <c r="BI620" s="580">
        <f t="shared" si="914"/>
        <v>13.485522177637854</v>
      </c>
      <c r="BJ620" s="580">
        <f t="shared" si="914"/>
        <v>8.0498351569592721</v>
      </c>
      <c r="BK620" s="580">
        <f t="shared" si="914"/>
        <v>-15.545851528384269</v>
      </c>
      <c r="BL620" s="580">
        <f t="shared" ref="BL620:BS620" si="915">(BL100/BK100-1)*100</f>
        <v>-3.1351040016755594</v>
      </c>
      <c r="BM620" s="580">
        <f t="shared" si="915"/>
        <v>-20.146490445687704</v>
      </c>
      <c r="BN620" s="580">
        <f t="shared" si="915"/>
        <v>45.750550008461573</v>
      </c>
      <c r="BO620" s="580">
        <f t="shared" si="915"/>
        <v>-27.811063118294545</v>
      </c>
      <c r="BP620" s="580">
        <f t="shared" si="915"/>
        <v>53.985717043041895</v>
      </c>
      <c r="BQ620" s="580">
        <f t="shared" si="915"/>
        <v>9.9262555360575266</v>
      </c>
      <c r="BR620" s="580">
        <f t="shared" si="915"/>
        <v>-7.7708834177443347</v>
      </c>
      <c r="BS620" s="580">
        <f t="shared" si="915"/>
        <v>-2.1924356847755844</v>
      </c>
    </row>
    <row r="621" spans="1:71" s="245" customFormat="1">
      <c r="A621" s="243"/>
      <c r="B621" s="243" t="s">
        <v>2100</v>
      </c>
      <c r="C621" s="243" t="s">
        <v>2041</v>
      </c>
      <c r="D621" s="243"/>
      <c r="F621" s="245" t="e">
        <f t="shared" ref="F621:BK621" si="916">(F587/E587-1)*100</f>
        <v>#DIV/0!</v>
      </c>
      <c r="G621" s="245" t="e">
        <f t="shared" si="916"/>
        <v>#DIV/0!</v>
      </c>
      <c r="H621" s="245" t="e">
        <f t="shared" si="916"/>
        <v>#DIV/0!</v>
      </c>
      <c r="I621" s="245" t="e">
        <f t="shared" si="916"/>
        <v>#DIV/0!</v>
      </c>
      <c r="J621" s="245" t="e">
        <f t="shared" si="916"/>
        <v>#DIV/0!</v>
      </c>
      <c r="K621" s="245" t="e">
        <f t="shared" si="916"/>
        <v>#DIV/0!</v>
      </c>
      <c r="L621" s="245" t="e">
        <f t="shared" si="916"/>
        <v>#DIV/0!</v>
      </c>
      <c r="M621" s="245">
        <f t="shared" si="916"/>
        <v>-27.40587721850455</v>
      </c>
      <c r="N621" s="245">
        <f t="shared" si="916"/>
        <v>-37.277660657459066</v>
      </c>
      <c r="O621" s="245">
        <f t="shared" si="916"/>
        <v>11.900623658112707</v>
      </c>
      <c r="P621" s="245">
        <f t="shared" si="916"/>
        <v>29.990863407948744</v>
      </c>
      <c r="Q621" s="245">
        <f t="shared" si="916"/>
        <v>-8.1971534001055275</v>
      </c>
      <c r="R621" s="245">
        <f t="shared" si="916"/>
        <v>-4.2109292755286187</v>
      </c>
      <c r="S621" s="245">
        <f t="shared" si="916"/>
        <v>55.012488760115644</v>
      </c>
      <c r="T621" s="245">
        <f t="shared" si="916"/>
        <v>40.156427245539959</v>
      </c>
      <c r="U621" s="245">
        <f t="shared" si="916"/>
        <v>16.628919480077631</v>
      </c>
      <c r="V621" s="245">
        <f t="shared" si="916"/>
        <v>11.241207179357705</v>
      </c>
      <c r="W621" s="245">
        <f t="shared" si="916"/>
        <v>4.5899785733653387</v>
      </c>
      <c r="X621" s="245">
        <f t="shared" si="916"/>
        <v>15.577395577395592</v>
      </c>
      <c r="Y621" s="245">
        <f t="shared" si="916"/>
        <v>-2.1947572132300142</v>
      </c>
      <c r="Z621" s="245">
        <f t="shared" si="916"/>
        <v>33.905203039978304</v>
      </c>
      <c r="AA621" s="245">
        <f t="shared" si="916"/>
        <v>-20.400315685187863</v>
      </c>
      <c r="AB621" s="245">
        <f t="shared" si="916"/>
        <v>11.465558462014226</v>
      </c>
      <c r="AC621" s="245">
        <f t="shared" si="916"/>
        <v>5.5268380632031544</v>
      </c>
      <c r="AD621" s="245">
        <f t="shared" si="916"/>
        <v>-8.2187538857378168</v>
      </c>
      <c r="AE621" s="245">
        <f t="shared" si="916"/>
        <v>-6.4171088163761825</v>
      </c>
      <c r="AF621" s="580">
        <f t="shared" si="916"/>
        <v>3.1013794735450961</v>
      </c>
      <c r="AG621" s="580">
        <f t="shared" si="916"/>
        <v>10.540456613606519</v>
      </c>
      <c r="AH621" s="580">
        <f t="shared" si="916"/>
        <v>-6.4696973398147284</v>
      </c>
      <c r="AI621" s="580">
        <f t="shared" si="916"/>
        <v>8.8681980229050836</v>
      </c>
      <c r="AJ621" s="580">
        <f t="shared" si="916"/>
        <v>5.1386623164762391</v>
      </c>
      <c r="AK621" s="580">
        <f t="shared" si="916"/>
        <v>-7.6997672614429691</v>
      </c>
      <c r="AL621" s="580">
        <f t="shared" si="916"/>
        <v>-1.1742457016427066</v>
      </c>
      <c r="AM621" s="580">
        <f t="shared" si="916"/>
        <v>0.96056433154478871</v>
      </c>
      <c r="AN621" s="580">
        <f t="shared" si="916"/>
        <v>-23.651837811721897</v>
      </c>
      <c r="AO621" s="580">
        <f t="shared" si="916"/>
        <v>-100</v>
      </c>
      <c r="AP621" s="580" t="e">
        <f t="shared" si="916"/>
        <v>#DIV/0!</v>
      </c>
      <c r="AQ621" s="580" t="e">
        <f t="shared" si="916"/>
        <v>#DIV/0!</v>
      </c>
      <c r="AR621" s="580" t="e">
        <f t="shared" si="916"/>
        <v>#DIV/0!</v>
      </c>
      <c r="AS621" s="580" t="e">
        <f t="shared" si="916"/>
        <v>#DIV/0!</v>
      </c>
      <c r="AT621" s="580" t="e">
        <f t="shared" si="916"/>
        <v>#DIV/0!</v>
      </c>
      <c r="AU621" s="580" t="e">
        <f t="shared" si="916"/>
        <v>#DIV/0!</v>
      </c>
      <c r="AV621" s="580" t="e">
        <f t="shared" si="916"/>
        <v>#DIV/0!</v>
      </c>
      <c r="AW621" s="580" t="e">
        <f t="shared" si="916"/>
        <v>#DIV/0!</v>
      </c>
      <c r="AX621" s="580" t="e">
        <f t="shared" si="916"/>
        <v>#DIV/0!</v>
      </c>
      <c r="AY621" s="580" t="e">
        <f t="shared" si="916"/>
        <v>#DIV/0!</v>
      </c>
      <c r="AZ621" s="580" t="e">
        <f t="shared" si="916"/>
        <v>#DIV/0!</v>
      </c>
      <c r="BA621" s="580" t="e">
        <f t="shared" si="916"/>
        <v>#DIV/0!</v>
      </c>
      <c r="BB621" s="580" t="e">
        <f t="shared" si="916"/>
        <v>#DIV/0!</v>
      </c>
      <c r="BC621" s="580" t="e">
        <f t="shared" si="916"/>
        <v>#DIV/0!</v>
      </c>
      <c r="BD621" s="580" t="e">
        <f t="shared" si="916"/>
        <v>#DIV/0!</v>
      </c>
      <c r="BE621" s="580" t="e">
        <f t="shared" si="916"/>
        <v>#DIV/0!</v>
      </c>
      <c r="BF621" s="580" t="e">
        <f t="shared" si="916"/>
        <v>#DIV/0!</v>
      </c>
      <c r="BG621" s="580" t="e">
        <f t="shared" si="916"/>
        <v>#DIV/0!</v>
      </c>
      <c r="BH621" s="580" t="e">
        <f t="shared" si="916"/>
        <v>#DIV/0!</v>
      </c>
      <c r="BI621" s="580" t="e">
        <f t="shared" si="916"/>
        <v>#DIV/0!</v>
      </c>
      <c r="BJ621" s="580" t="e">
        <f t="shared" si="916"/>
        <v>#DIV/0!</v>
      </c>
      <c r="BK621" s="580" t="e">
        <f t="shared" si="916"/>
        <v>#DIV/0!</v>
      </c>
      <c r="BL621" s="580" t="e">
        <f t="shared" ref="BL621:BS621" si="917">(BL587/BK587-1)*100</f>
        <v>#DIV/0!</v>
      </c>
      <c r="BM621" s="580" t="e">
        <f t="shared" si="917"/>
        <v>#DIV/0!</v>
      </c>
      <c r="BN621" s="580" t="e">
        <f t="shared" si="917"/>
        <v>#DIV/0!</v>
      </c>
      <c r="BO621" s="580" t="e">
        <f t="shared" si="917"/>
        <v>#DIV/0!</v>
      </c>
      <c r="BP621" s="580" t="e">
        <f t="shared" si="917"/>
        <v>#DIV/0!</v>
      </c>
      <c r="BQ621" s="580" t="e">
        <f t="shared" si="917"/>
        <v>#DIV/0!</v>
      </c>
      <c r="BR621" s="580" t="e">
        <f t="shared" si="917"/>
        <v>#DIV/0!</v>
      </c>
      <c r="BS621" s="580" t="e">
        <f t="shared" si="917"/>
        <v>#DIV/0!</v>
      </c>
    </row>
    <row r="622" spans="1:71" s="245" customFormat="1">
      <c r="A622" s="243"/>
      <c r="B622" s="243" t="s">
        <v>2101</v>
      </c>
      <c r="C622" s="243" t="s">
        <v>2043</v>
      </c>
      <c r="D622" s="243"/>
      <c r="F622" s="245" t="e">
        <f t="shared" ref="F622:BK628" si="918">(F631/E631-1)*100</f>
        <v>#DIV/0!</v>
      </c>
      <c r="G622" s="245" t="e">
        <f t="shared" si="918"/>
        <v>#DIV/0!</v>
      </c>
      <c r="H622" s="245" t="e">
        <f t="shared" si="918"/>
        <v>#DIV/0!</v>
      </c>
      <c r="I622" s="245" t="e">
        <f t="shared" si="918"/>
        <v>#DIV/0!</v>
      </c>
      <c r="J622" s="245" t="e">
        <f t="shared" si="918"/>
        <v>#DIV/0!</v>
      </c>
      <c r="K622" s="245" t="e">
        <f t="shared" si="918"/>
        <v>#DIV/0!</v>
      </c>
      <c r="L622" s="245">
        <f t="shared" si="918"/>
        <v>22.781294212444301</v>
      </c>
      <c r="M622" s="245">
        <f t="shared" si="918"/>
        <v>-8.3393678269977674</v>
      </c>
      <c r="N622" s="245">
        <f t="shared" si="918"/>
        <v>-14.059145777846304</v>
      </c>
      <c r="O622" s="245">
        <f t="shared" si="918"/>
        <v>-8.4353445263802627</v>
      </c>
      <c r="P622" s="245">
        <f t="shared" si="918"/>
        <v>16.854542816389205</v>
      </c>
      <c r="Q622" s="245">
        <f t="shared" si="918"/>
        <v>7.7893702436223622</v>
      </c>
      <c r="R622" s="245">
        <f t="shared" si="918"/>
        <v>10.569158384381772</v>
      </c>
      <c r="S622" s="245">
        <f t="shared" si="918"/>
        <v>21.118903557141078</v>
      </c>
      <c r="T622" s="245">
        <f t="shared" si="918"/>
        <v>13.188274132349932</v>
      </c>
      <c r="U622" s="245">
        <f t="shared" si="918"/>
        <v>-0.40285167033921043</v>
      </c>
      <c r="V622" s="245">
        <f t="shared" si="918"/>
        <v>4.1213074986475196</v>
      </c>
      <c r="W622" s="245">
        <f t="shared" si="918"/>
        <v>-12.631004938195145</v>
      </c>
      <c r="X622" s="245">
        <f t="shared" si="918"/>
        <v>3.4611584014887065</v>
      </c>
      <c r="Y622" s="245">
        <f t="shared" si="918"/>
        <v>-1.5998795848871095</v>
      </c>
      <c r="Z622" s="245">
        <f t="shared" si="918"/>
        <v>-4.6685621176051129</v>
      </c>
      <c r="AA622" s="245">
        <f t="shared" si="918"/>
        <v>-7.937414169204116</v>
      </c>
      <c r="AB622" s="245">
        <f t="shared" si="918"/>
        <v>12.492704316827808</v>
      </c>
      <c r="AC622" s="245">
        <f t="shared" si="918"/>
        <v>-1.6741860565935407</v>
      </c>
      <c r="AD622" s="245">
        <f t="shared" si="918"/>
        <v>0.26954669588183933</v>
      </c>
      <c r="AE622" s="245">
        <f t="shared" si="918"/>
        <v>-9.4796013363010694</v>
      </c>
      <c r="AF622" s="580">
        <f t="shared" si="918"/>
        <v>-8.5968108531630509</v>
      </c>
      <c r="AG622" s="580">
        <f t="shared" si="918"/>
        <v>-8.4495876841479856</v>
      </c>
      <c r="AH622" s="580">
        <f t="shared" si="918"/>
        <v>-5.5576235959181268</v>
      </c>
      <c r="AI622" s="580">
        <f t="shared" si="918"/>
        <v>-0.38814531443532863</v>
      </c>
      <c r="AJ622" s="580">
        <f t="shared" si="918"/>
        <v>-7.563101459778732</v>
      </c>
      <c r="AK622" s="580">
        <f t="shared" si="918"/>
        <v>22.781294212444301</v>
      </c>
      <c r="AL622" s="580">
        <f t="shared" si="918"/>
        <v>-8.3393678269977674</v>
      </c>
      <c r="AM622" s="580">
        <f t="shared" si="918"/>
        <v>-14.059145777846304</v>
      </c>
      <c r="AN622" s="580">
        <f t="shared" si="918"/>
        <v>-8.4353445263802627</v>
      </c>
      <c r="AO622" s="580">
        <f t="shared" si="918"/>
        <v>16.854542816389205</v>
      </c>
      <c r="AP622" s="580">
        <f t="shared" si="918"/>
        <v>7.7893702436223622</v>
      </c>
      <c r="AQ622" s="580">
        <f t="shared" si="918"/>
        <v>10.569158384381772</v>
      </c>
      <c r="AR622" s="580">
        <f t="shared" si="918"/>
        <v>21.118903557141078</v>
      </c>
      <c r="AS622" s="580">
        <f t="shared" si="918"/>
        <v>13.188274132349932</v>
      </c>
      <c r="AT622" s="580">
        <f t="shared" si="918"/>
        <v>-0.40285167033921043</v>
      </c>
      <c r="AU622" s="580">
        <f t="shared" si="918"/>
        <v>4.1213074986475196</v>
      </c>
      <c r="AV622" s="580">
        <f t="shared" si="918"/>
        <v>-12.631004938195145</v>
      </c>
      <c r="AW622" s="580">
        <f t="shared" si="918"/>
        <v>3.4611584014887065</v>
      </c>
      <c r="AX622" s="580">
        <f t="shared" si="918"/>
        <v>-1.5998795848871095</v>
      </c>
      <c r="AY622" s="580">
        <f t="shared" si="918"/>
        <v>-4.6685621176051129</v>
      </c>
      <c r="AZ622" s="580">
        <f t="shared" si="918"/>
        <v>-7.937414169204116</v>
      </c>
      <c r="BA622" s="580">
        <f t="shared" si="918"/>
        <v>12.492704316827808</v>
      </c>
      <c r="BB622" s="580">
        <f t="shared" si="918"/>
        <v>-1.6741860565935407</v>
      </c>
      <c r="BC622" s="580">
        <f t="shared" si="918"/>
        <v>0.26954669588183933</v>
      </c>
      <c r="BD622" s="580">
        <f t="shared" si="918"/>
        <v>-9.4796013363010694</v>
      </c>
      <c r="BE622" s="580">
        <f t="shared" si="918"/>
        <v>2.7375988370801352</v>
      </c>
      <c r="BF622" s="580">
        <f t="shared" si="918"/>
        <v>1.5555715779907331</v>
      </c>
      <c r="BG622" s="580">
        <f t="shared" si="918"/>
        <v>-5.7063254942555268</v>
      </c>
      <c r="BH622" s="580">
        <f t="shared" si="918"/>
        <v>15.839437333430251</v>
      </c>
      <c r="BI622" s="580">
        <f t="shared" si="918"/>
        <v>10.860538296142774</v>
      </c>
      <c r="BJ622" s="580">
        <f t="shared" si="918"/>
        <v>-10.485256627453444</v>
      </c>
      <c r="BK622" s="580">
        <f t="shared" si="918"/>
        <v>-3.1010142882998193</v>
      </c>
      <c r="BL622" s="580">
        <f t="shared" ref="BL622:BL628" si="919">(BL631/BK631-1)*100</f>
        <v>-3.7673616558928646</v>
      </c>
      <c r="BM622" s="580">
        <f t="shared" ref="BM622:BS628" si="920">(BM631/BL631-1)*100</f>
        <v>5.9964780242123483</v>
      </c>
      <c r="BN622" s="580">
        <f t="shared" si="920"/>
        <v>1.3164721856519179</v>
      </c>
      <c r="BO622" s="580">
        <f t="shared" si="920"/>
        <v>-13.439123529313314</v>
      </c>
      <c r="BP622" s="580">
        <f t="shared" si="920"/>
        <v>15.947213519826221</v>
      </c>
      <c r="BQ622" s="580">
        <f t="shared" si="920"/>
        <v>6.3489852843219285</v>
      </c>
      <c r="BR622" s="580">
        <f t="shared" si="920"/>
        <v>-2.4853420664166403</v>
      </c>
      <c r="BS622" s="580">
        <f t="shared" si="920"/>
        <v>1.8999760165005153</v>
      </c>
    </row>
    <row r="623" spans="1:71" s="245" customFormat="1">
      <c r="A623" s="243"/>
      <c r="B623" s="243" t="s">
        <v>2102</v>
      </c>
      <c r="C623" s="243" t="s">
        <v>2045</v>
      </c>
      <c r="D623" s="243"/>
      <c r="F623" s="245" t="e">
        <f t="shared" ref="F623:AE623" si="921">(F632/E632-1)*100</f>
        <v>#DIV/0!</v>
      </c>
      <c r="G623" s="245" t="e">
        <f t="shared" si="921"/>
        <v>#DIV/0!</v>
      </c>
      <c r="H623" s="245" t="e">
        <f t="shared" si="921"/>
        <v>#DIV/0!</v>
      </c>
      <c r="I623" s="245" t="e">
        <f t="shared" si="921"/>
        <v>#DIV/0!</v>
      </c>
      <c r="J623" s="245" t="e">
        <f t="shared" si="921"/>
        <v>#DIV/0!</v>
      </c>
      <c r="K623" s="245" t="e">
        <f t="shared" si="921"/>
        <v>#DIV/0!</v>
      </c>
      <c r="L623" s="245">
        <f t="shared" si="921"/>
        <v>30.170094282790359</v>
      </c>
      <c r="M623" s="245">
        <f t="shared" si="921"/>
        <v>-6.7729035309266887</v>
      </c>
      <c r="N623" s="245">
        <f t="shared" si="921"/>
        <v>-18.35149462978287</v>
      </c>
      <c r="O623" s="245">
        <f t="shared" si="921"/>
        <v>-4.8938382675321694</v>
      </c>
      <c r="P623" s="245">
        <f t="shared" si="921"/>
        <v>20.792759214833367</v>
      </c>
      <c r="Q623" s="245">
        <f t="shared" si="921"/>
        <v>6.8284504342434937</v>
      </c>
      <c r="R623" s="245">
        <f t="shared" si="921"/>
        <v>10.686219355542836</v>
      </c>
      <c r="S623" s="245">
        <f t="shared" si="921"/>
        <v>25.263769821463853</v>
      </c>
      <c r="T623" s="245">
        <f t="shared" si="921"/>
        <v>15.614680626374478</v>
      </c>
      <c r="U623" s="245">
        <f t="shared" si="921"/>
        <v>-4.0876383413679385E-2</v>
      </c>
      <c r="V623" s="245">
        <f t="shared" si="921"/>
        <v>4.7148980533735507</v>
      </c>
      <c r="W623" s="245">
        <f t="shared" si="921"/>
        <v>-12.362540101163521</v>
      </c>
      <c r="X623" s="245">
        <f t="shared" si="921"/>
        <v>4.2781645020659731</v>
      </c>
      <c r="Y623" s="245">
        <f t="shared" si="921"/>
        <v>-1.919586553050745</v>
      </c>
      <c r="Z623" s="245">
        <f t="shared" si="921"/>
        <v>-4.7556075278205938</v>
      </c>
      <c r="AA623" s="245">
        <f t="shared" si="921"/>
        <v>-7.8494322623363866</v>
      </c>
      <c r="AB623" s="245">
        <f t="shared" si="921"/>
        <v>12.399531500279526</v>
      </c>
      <c r="AC623" s="245">
        <f t="shared" si="921"/>
        <v>-1.2020340793634787</v>
      </c>
      <c r="AD623" s="245">
        <f t="shared" si="921"/>
        <v>0.3421589921390078</v>
      </c>
      <c r="AE623" s="245">
        <f t="shared" si="921"/>
        <v>-10.271525461106346</v>
      </c>
      <c r="AF623" s="580">
        <f t="shared" si="918"/>
        <v>-17.453928696744804</v>
      </c>
      <c r="AG623" s="580">
        <f t="shared" si="918"/>
        <v>-8.5796655734758254</v>
      </c>
      <c r="AH623" s="580">
        <f t="shared" si="918"/>
        <v>-5.0327958008718809</v>
      </c>
      <c r="AI623" s="580">
        <f t="shared" si="918"/>
        <v>-1.5798243219164898</v>
      </c>
      <c r="AJ623" s="580">
        <f t="shared" si="918"/>
        <v>-11.656854808505146</v>
      </c>
      <c r="AK623" s="580">
        <f t="shared" si="918"/>
        <v>30.170094282790359</v>
      </c>
      <c r="AL623" s="580">
        <f t="shared" si="918"/>
        <v>-6.7729035309266887</v>
      </c>
      <c r="AM623" s="580">
        <f t="shared" si="918"/>
        <v>-18.35149462978287</v>
      </c>
      <c r="AN623" s="580">
        <f t="shared" si="918"/>
        <v>-4.8938382675321694</v>
      </c>
      <c r="AO623" s="580">
        <f t="shared" si="918"/>
        <v>20.792759214833367</v>
      </c>
      <c r="AP623" s="580">
        <f t="shared" si="918"/>
        <v>6.8284504342434937</v>
      </c>
      <c r="AQ623" s="580">
        <f t="shared" si="918"/>
        <v>10.686219355542836</v>
      </c>
      <c r="AR623" s="580">
        <f t="shared" si="918"/>
        <v>25.263769821463853</v>
      </c>
      <c r="AS623" s="580">
        <f t="shared" si="918"/>
        <v>15.614680626374478</v>
      </c>
      <c r="AT623" s="580">
        <f t="shared" si="918"/>
        <v>-4.0876383413679385E-2</v>
      </c>
      <c r="AU623" s="580">
        <f t="shared" si="918"/>
        <v>4.7148980533735507</v>
      </c>
      <c r="AV623" s="580">
        <f t="shared" si="918"/>
        <v>-12.362540101163521</v>
      </c>
      <c r="AW623" s="580">
        <f t="shared" si="918"/>
        <v>4.2781645020659731</v>
      </c>
      <c r="AX623" s="580">
        <f t="shared" si="918"/>
        <v>-1.919586553050745</v>
      </c>
      <c r="AY623" s="580">
        <f t="shared" si="918"/>
        <v>-4.7556075278205938</v>
      </c>
      <c r="AZ623" s="580">
        <f t="shared" si="918"/>
        <v>-7.8494322623363866</v>
      </c>
      <c r="BA623" s="580">
        <f t="shared" si="918"/>
        <v>12.399531500279526</v>
      </c>
      <c r="BB623" s="580">
        <f t="shared" si="918"/>
        <v>-1.2020340793634787</v>
      </c>
      <c r="BC623" s="580">
        <f t="shared" si="918"/>
        <v>0.3421589921390078</v>
      </c>
      <c r="BD623" s="580">
        <f t="shared" si="918"/>
        <v>-10.271525461106346</v>
      </c>
      <c r="BE623" s="580">
        <f t="shared" si="918"/>
        <v>2.2648583339059503</v>
      </c>
      <c r="BF623" s="580">
        <f t="shared" si="918"/>
        <v>2.0063029731380411</v>
      </c>
      <c r="BG623" s="580">
        <f t="shared" si="918"/>
        <v>-7.191534293503377</v>
      </c>
      <c r="BH623" s="580">
        <f t="shared" si="918"/>
        <v>17.243349651822925</v>
      </c>
      <c r="BI623" s="580">
        <f t="shared" si="918"/>
        <v>11.609636836724446</v>
      </c>
      <c r="BJ623" s="580">
        <f t="shared" si="918"/>
        <v>-11.079278414618997</v>
      </c>
      <c r="BK623" s="580">
        <f t="shared" si="918"/>
        <v>-3.2770285903965801</v>
      </c>
      <c r="BL623" s="580">
        <f t="shared" si="919"/>
        <v>-6.1679084850080219</v>
      </c>
      <c r="BM623" s="580">
        <f t="shared" si="920"/>
        <v>7.3946844156834501</v>
      </c>
      <c r="BN623" s="580">
        <f t="shared" si="920"/>
        <v>1.3339523306669099</v>
      </c>
      <c r="BO623" s="580">
        <f t="shared" si="920"/>
        <v>-15.216872003619642</v>
      </c>
      <c r="BP623" s="580">
        <f t="shared" si="920"/>
        <v>16.938425880788131</v>
      </c>
      <c r="BQ623" s="580">
        <f t="shared" si="920"/>
        <v>7.436301768449316</v>
      </c>
      <c r="BR623" s="580">
        <f t="shared" si="920"/>
        <v>-2.9477367050049885</v>
      </c>
      <c r="BS623" s="580">
        <f t="shared" si="920"/>
        <v>1.6523786183030076</v>
      </c>
    </row>
    <row r="624" spans="1:71" s="245" customFormat="1">
      <c r="A624" s="243"/>
      <c r="B624" s="243" t="s">
        <v>2103</v>
      </c>
      <c r="C624" s="243" t="s">
        <v>2047</v>
      </c>
      <c r="D624" s="243"/>
      <c r="F624" s="245" t="e">
        <f t="shared" ref="F624:AE624" si="922">(F633/E633-1)*100</f>
        <v>#DIV/0!</v>
      </c>
      <c r="G624" s="245" t="e">
        <f t="shared" si="922"/>
        <v>#DIV/0!</v>
      </c>
      <c r="H624" s="245" t="e">
        <f t="shared" si="922"/>
        <v>#DIV/0!</v>
      </c>
      <c r="I624" s="245" t="e">
        <f t="shared" si="922"/>
        <v>#DIV/0!</v>
      </c>
      <c r="J624" s="245" t="e">
        <f t="shared" si="922"/>
        <v>#DIV/0!</v>
      </c>
      <c r="K624" s="245" t="e">
        <f t="shared" si="922"/>
        <v>#DIV/0!</v>
      </c>
      <c r="L624" s="245">
        <f t="shared" si="922"/>
        <v>29.493325375688073</v>
      </c>
      <c r="M624" s="245">
        <f t="shared" si="922"/>
        <v>-27.064674646057895</v>
      </c>
      <c r="N624" s="245">
        <f t="shared" si="922"/>
        <v>-21.182975552499094</v>
      </c>
      <c r="O624" s="245">
        <f t="shared" si="922"/>
        <v>-2.2352893398454587</v>
      </c>
      <c r="P624" s="245">
        <f t="shared" si="922"/>
        <v>15.173332781990801</v>
      </c>
      <c r="Q624" s="245">
        <f t="shared" si="922"/>
        <v>13.5259557784434</v>
      </c>
      <c r="R624" s="245">
        <f t="shared" si="922"/>
        <v>5.4443865253892776</v>
      </c>
      <c r="S624" s="245">
        <f t="shared" si="922"/>
        <v>21.847036920098727</v>
      </c>
      <c r="T624" s="245">
        <f t="shared" si="922"/>
        <v>13.559583677641518</v>
      </c>
      <c r="U624" s="245">
        <f t="shared" si="922"/>
        <v>1.409391881916755</v>
      </c>
      <c r="V624" s="245">
        <f t="shared" si="922"/>
        <v>5.3255229929219716</v>
      </c>
      <c r="W624" s="245">
        <f t="shared" si="922"/>
        <v>-8.018251716801295</v>
      </c>
      <c r="X624" s="245">
        <f t="shared" si="922"/>
        <v>3.0488314731607957</v>
      </c>
      <c r="Y624" s="245">
        <f t="shared" si="922"/>
        <v>0.31816935136366187</v>
      </c>
      <c r="Z624" s="245">
        <f t="shared" si="922"/>
        <v>2.0693155818110265</v>
      </c>
      <c r="AA624" s="245">
        <f t="shared" si="922"/>
        <v>-9.6777354571956131</v>
      </c>
      <c r="AB624" s="245">
        <f t="shared" si="922"/>
        <v>2.3911708510151009</v>
      </c>
      <c r="AC624" s="245">
        <f t="shared" si="922"/>
        <v>8.3162486868526777</v>
      </c>
      <c r="AD624" s="245">
        <f t="shared" si="922"/>
        <v>-1.3662544146216926</v>
      </c>
      <c r="AE624" s="245">
        <f t="shared" si="922"/>
        <v>-5.537066656584666</v>
      </c>
      <c r="AF624" s="580">
        <f t="shared" si="918"/>
        <v>-11.692779698122512</v>
      </c>
      <c r="AG624" s="580">
        <f t="shared" si="918"/>
        <v>1.820306851236575</v>
      </c>
      <c r="AH624" s="580">
        <f t="shared" si="918"/>
        <v>-1.2375014342291824</v>
      </c>
      <c r="AI624" s="580">
        <f t="shared" si="918"/>
        <v>1.9086632465390219</v>
      </c>
      <c r="AJ624" s="580">
        <f t="shared" si="918"/>
        <v>-17.737824143514857</v>
      </c>
      <c r="AK624" s="580">
        <f t="shared" si="918"/>
        <v>29.493325375688073</v>
      </c>
      <c r="AL624" s="580">
        <f t="shared" si="918"/>
        <v>-27.064674646057895</v>
      </c>
      <c r="AM624" s="580">
        <f t="shared" si="918"/>
        <v>-21.182975552499094</v>
      </c>
      <c r="AN624" s="580">
        <f t="shared" si="918"/>
        <v>-2.2352893398454587</v>
      </c>
      <c r="AO624" s="580">
        <f t="shared" si="918"/>
        <v>15.173332781990801</v>
      </c>
      <c r="AP624" s="580">
        <f t="shared" si="918"/>
        <v>13.5259557784434</v>
      </c>
      <c r="AQ624" s="580">
        <f t="shared" si="918"/>
        <v>5.4443865253892776</v>
      </c>
      <c r="AR624" s="580">
        <f t="shared" si="918"/>
        <v>21.847036920098727</v>
      </c>
      <c r="AS624" s="580">
        <f t="shared" si="918"/>
        <v>13.559583677641518</v>
      </c>
      <c r="AT624" s="580">
        <f t="shared" si="918"/>
        <v>1.409391881916755</v>
      </c>
      <c r="AU624" s="580">
        <f t="shared" si="918"/>
        <v>5.3255229929219716</v>
      </c>
      <c r="AV624" s="580">
        <f t="shared" si="918"/>
        <v>-8.018251716801295</v>
      </c>
      <c r="AW624" s="580">
        <f t="shared" si="918"/>
        <v>3.0488314731607957</v>
      </c>
      <c r="AX624" s="580">
        <f t="shared" si="918"/>
        <v>0.31816935136366187</v>
      </c>
      <c r="AY624" s="580">
        <f t="shared" si="918"/>
        <v>2.0693155818110265</v>
      </c>
      <c r="AZ624" s="580">
        <f t="shared" si="918"/>
        <v>-9.6777354571956131</v>
      </c>
      <c r="BA624" s="580">
        <f t="shared" si="918"/>
        <v>2.3911708510151009</v>
      </c>
      <c r="BB624" s="580">
        <f t="shared" si="918"/>
        <v>8.3162486868526777</v>
      </c>
      <c r="BC624" s="580">
        <f t="shared" si="918"/>
        <v>-1.3662544146216926</v>
      </c>
      <c r="BD624" s="580">
        <f t="shared" si="918"/>
        <v>-5.537066656584666</v>
      </c>
      <c r="BE624" s="580">
        <f t="shared" si="918"/>
        <v>1.1364547843761841E-2</v>
      </c>
      <c r="BF624" s="580">
        <f t="shared" si="918"/>
        <v>3.6007182501791801</v>
      </c>
      <c r="BG624" s="580">
        <f t="shared" si="918"/>
        <v>0.40956806289889069</v>
      </c>
      <c r="BH624" s="580">
        <f t="shared" si="918"/>
        <v>6.0297845109414494</v>
      </c>
      <c r="BI624" s="580">
        <f t="shared" si="918"/>
        <v>4.7171031670456776</v>
      </c>
      <c r="BJ624" s="580">
        <f t="shared" si="918"/>
        <v>-2.0220479463315733</v>
      </c>
      <c r="BK624" s="580">
        <f t="shared" si="918"/>
        <v>-5.1120580424354749</v>
      </c>
      <c r="BL624" s="580">
        <f t="shared" si="919"/>
        <v>-3.2369714437130104</v>
      </c>
      <c r="BM624" s="580">
        <f t="shared" si="920"/>
        <v>-4.4585008127166041</v>
      </c>
      <c r="BN624" s="580">
        <f t="shared" si="920"/>
        <v>0.1473907088793025</v>
      </c>
      <c r="BO624" s="580">
        <f t="shared" si="920"/>
        <v>-6.4366259706525426</v>
      </c>
      <c r="BP624" s="580">
        <f t="shared" si="920"/>
        <v>25.479834858344219</v>
      </c>
      <c r="BQ624" s="580">
        <f t="shared" si="920"/>
        <v>1.4249989602785007</v>
      </c>
      <c r="BR624" s="580">
        <f t="shared" si="920"/>
        <v>-2.5737768135563721</v>
      </c>
      <c r="BS624" s="580">
        <f t="shared" si="920"/>
        <v>3.1045506229540942</v>
      </c>
    </row>
    <row r="625" spans="1:71" s="245" customFormat="1">
      <c r="A625" s="243"/>
      <c r="B625" s="243" t="s">
        <v>2104</v>
      </c>
      <c r="C625" s="243" t="s">
        <v>2049</v>
      </c>
      <c r="D625" s="243"/>
      <c r="F625" s="245" t="e">
        <f t="shared" ref="F625:AE625" si="923">(F634/E634-1)*100</f>
        <v>#DIV/0!</v>
      </c>
      <c r="G625" s="245" t="e">
        <f t="shared" si="923"/>
        <v>#DIV/0!</v>
      </c>
      <c r="H625" s="245" t="e">
        <f t="shared" si="923"/>
        <v>#DIV/0!</v>
      </c>
      <c r="I625" s="245" t="e">
        <f t="shared" si="923"/>
        <v>#DIV/0!</v>
      </c>
      <c r="J625" s="245" t="e">
        <f t="shared" si="923"/>
        <v>#DIV/0!</v>
      </c>
      <c r="K625" s="245" t="e">
        <f t="shared" si="923"/>
        <v>#DIV/0!</v>
      </c>
      <c r="L625" s="245">
        <f t="shared" si="923"/>
        <v>29.147362740236595</v>
      </c>
      <c r="M625" s="245">
        <f t="shared" si="923"/>
        <v>-27.239441777427807</v>
      </c>
      <c r="N625" s="245">
        <f t="shared" si="923"/>
        <v>-21.363553739256592</v>
      </c>
      <c r="O625" s="245">
        <f t="shared" si="923"/>
        <v>-1.8401514945490138</v>
      </c>
      <c r="P625" s="245">
        <f t="shared" si="923"/>
        <v>13.540756074429062</v>
      </c>
      <c r="Q625" s="245">
        <f t="shared" si="923"/>
        <v>12.22124730851859</v>
      </c>
      <c r="R625" s="245">
        <f t="shared" si="923"/>
        <v>6.667771042747872</v>
      </c>
      <c r="S625" s="245">
        <f t="shared" si="923"/>
        <v>22.375209475330738</v>
      </c>
      <c r="T625" s="245">
        <f t="shared" si="923"/>
        <v>15.102098556837706</v>
      </c>
      <c r="U625" s="245">
        <f t="shared" si="923"/>
        <v>1.4091113502509023</v>
      </c>
      <c r="V625" s="245">
        <f t="shared" si="923"/>
        <v>5.3271552518265652</v>
      </c>
      <c r="W625" s="245">
        <f t="shared" si="923"/>
        <v>-8.0895112052929097</v>
      </c>
      <c r="X625" s="245">
        <f t="shared" si="923"/>
        <v>3.0569219149085169</v>
      </c>
      <c r="Y625" s="245">
        <f t="shared" si="923"/>
        <v>0.34741021180018095</v>
      </c>
      <c r="Z625" s="245">
        <f t="shared" si="923"/>
        <v>2.1038762980669201</v>
      </c>
      <c r="AA625" s="245">
        <f t="shared" si="923"/>
        <v>-9.6946697988885777</v>
      </c>
      <c r="AB625" s="245">
        <f t="shared" si="923"/>
        <v>0.52024518371607265</v>
      </c>
      <c r="AC625" s="245">
        <f t="shared" si="923"/>
        <v>10.356932584539603</v>
      </c>
      <c r="AD625" s="245">
        <f t="shared" si="923"/>
        <v>-1.5338844858906686</v>
      </c>
      <c r="AE625" s="245">
        <f t="shared" si="923"/>
        <v>-5.3782785454372313</v>
      </c>
      <c r="AF625" s="580">
        <f t="shared" si="918"/>
        <v>-11.847655711151395</v>
      </c>
      <c r="AG625" s="580">
        <f t="shared" si="918"/>
        <v>1.5582109661953281</v>
      </c>
      <c r="AH625" s="580">
        <f t="shared" si="918"/>
        <v>-0.85047555145022491</v>
      </c>
      <c r="AI625" s="580">
        <f t="shared" si="918"/>
        <v>1.399609991146078</v>
      </c>
      <c r="AJ625" s="580">
        <f t="shared" si="918"/>
        <v>-17.301830262178196</v>
      </c>
      <c r="AK625" s="580">
        <f t="shared" si="918"/>
        <v>29.147362740236595</v>
      </c>
      <c r="AL625" s="580">
        <f t="shared" si="918"/>
        <v>-27.239441777427807</v>
      </c>
      <c r="AM625" s="580">
        <f t="shared" si="918"/>
        <v>-21.363553739256592</v>
      </c>
      <c r="AN625" s="580">
        <f t="shared" si="918"/>
        <v>-1.8401514945490138</v>
      </c>
      <c r="AO625" s="580">
        <f t="shared" si="918"/>
        <v>13.540756074429062</v>
      </c>
      <c r="AP625" s="580">
        <f t="shared" si="918"/>
        <v>12.22124730851859</v>
      </c>
      <c r="AQ625" s="580">
        <f t="shared" si="918"/>
        <v>6.667771042747872</v>
      </c>
      <c r="AR625" s="580">
        <f t="shared" si="918"/>
        <v>22.375209475330738</v>
      </c>
      <c r="AS625" s="580">
        <f t="shared" si="918"/>
        <v>15.102098556837706</v>
      </c>
      <c r="AT625" s="580">
        <f t="shared" si="918"/>
        <v>1.4091113502509023</v>
      </c>
      <c r="AU625" s="580">
        <f t="shared" si="918"/>
        <v>5.3271552518265652</v>
      </c>
      <c r="AV625" s="580">
        <f t="shared" si="918"/>
        <v>-8.0895112052929097</v>
      </c>
      <c r="AW625" s="580">
        <f t="shared" si="918"/>
        <v>3.0569219149085169</v>
      </c>
      <c r="AX625" s="580">
        <f t="shared" si="918"/>
        <v>0.34741021180018095</v>
      </c>
      <c r="AY625" s="580">
        <f t="shared" si="918"/>
        <v>2.1038762980669201</v>
      </c>
      <c r="AZ625" s="580">
        <f t="shared" si="918"/>
        <v>-9.6946697988885777</v>
      </c>
      <c r="BA625" s="580">
        <f t="shared" si="918"/>
        <v>0.52024518371607265</v>
      </c>
      <c r="BB625" s="580">
        <f t="shared" si="918"/>
        <v>10.356932584539603</v>
      </c>
      <c r="BC625" s="580">
        <f t="shared" si="918"/>
        <v>-1.5338844858906686</v>
      </c>
      <c r="BD625" s="580">
        <f t="shared" si="918"/>
        <v>-5.3782785454372313</v>
      </c>
      <c r="BE625" s="580">
        <f t="shared" si="918"/>
        <v>-5.8462285061011698E-3</v>
      </c>
      <c r="BF625" s="580">
        <f t="shared" si="918"/>
        <v>3.613792166239671</v>
      </c>
      <c r="BG625" s="580">
        <f t="shared" si="918"/>
        <v>0.40063474046454495</v>
      </c>
      <c r="BH625" s="580">
        <f t="shared" si="918"/>
        <v>6.0398357233047983</v>
      </c>
      <c r="BI625" s="580">
        <f t="shared" si="918"/>
        <v>4.7220672683668141</v>
      </c>
      <c r="BJ625" s="580">
        <f t="shared" si="918"/>
        <v>-2.0342307457694053</v>
      </c>
      <c r="BK625" s="580">
        <f t="shared" si="918"/>
        <v>-5.1117758272841485</v>
      </c>
      <c r="BL625" s="580">
        <f t="shared" si="919"/>
        <v>-3.2314504475027817</v>
      </c>
      <c r="BM625" s="580">
        <f t="shared" si="920"/>
        <v>-4.453156019649307</v>
      </c>
      <c r="BN625" s="580">
        <f t="shared" si="920"/>
        <v>0.14547713562862441</v>
      </c>
      <c r="BO625" s="580">
        <f t="shared" si="920"/>
        <v>-7.0556397462682057</v>
      </c>
      <c r="BP625" s="580">
        <f t="shared" si="920"/>
        <v>26.312890196947848</v>
      </c>
      <c r="BQ625" s="580">
        <f t="shared" si="920"/>
        <v>1.4102653221602646</v>
      </c>
      <c r="BR625" s="580">
        <f t="shared" si="920"/>
        <v>-2.5670647797999879</v>
      </c>
      <c r="BS625" s="580">
        <f t="shared" si="920"/>
        <v>3.0905736217437196</v>
      </c>
    </row>
    <row r="626" spans="1:71" s="245" customFormat="1">
      <c r="A626" s="243"/>
      <c r="B626" s="243" t="s">
        <v>2105</v>
      </c>
      <c r="C626" s="243" t="s">
        <v>2051</v>
      </c>
      <c r="D626" s="243"/>
      <c r="F626" s="245" t="e">
        <f t="shared" ref="F626:AE626" si="924">(F635/E635-1)*100</f>
        <v>#DIV/0!</v>
      </c>
      <c r="G626" s="245" t="e">
        <f t="shared" si="924"/>
        <v>#DIV/0!</v>
      </c>
      <c r="H626" s="245" t="e">
        <f t="shared" si="924"/>
        <v>#DIV/0!</v>
      </c>
      <c r="I626" s="245" t="e">
        <f t="shared" si="924"/>
        <v>#DIV/0!</v>
      </c>
      <c r="J626" s="245" t="e">
        <f t="shared" si="924"/>
        <v>#DIV/0!</v>
      </c>
      <c r="K626" s="245" t="e">
        <f t="shared" si="924"/>
        <v>#DIV/0!</v>
      </c>
      <c r="L626" s="245">
        <f t="shared" si="924"/>
        <v>35.771801704207284</v>
      </c>
      <c r="M626" s="245">
        <f t="shared" si="924"/>
        <v>-31.452573286240249</v>
      </c>
      <c r="N626" s="245">
        <f t="shared" si="924"/>
        <v>-24.373086225008787</v>
      </c>
      <c r="O626" s="245">
        <f t="shared" si="924"/>
        <v>0.45666541783557779</v>
      </c>
      <c r="P626" s="245">
        <f t="shared" si="924"/>
        <v>17.868251212387911</v>
      </c>
      <c r="Q626" s="245">
        <f t="shared" si="924"/>
        <v>11.242037164456796</v>
      </c>
      <c r="R626" s="245">
        <f t="shared" si="924"/>
        <v>6.9623685977220573</v>
      </c>
      <c r="S626" s="245">
        <f t="shared" si="924"/>
        <v>24.847473542824794</v>
      </c>
      <c r="T626" s="245">
        <f t="shared" si="924"/>
        <v>13.506654668166629</v>
      </c>
      <c r="U626" s="245">
        <f t="shared" si="924"/>
        <v>2.188457552735934</v>
      </c>
      <c r="V626" s="245">
        <f t="shared" si="924"/>
        <v>7.8412567679866596</v>
      </c>
      <c r="W626" s="245">
        <f t="shared" si="924"/>
        <v>-8.6007921057189911</v>
      </c>
      <c r="X626" s="245">
        <f t="shared" si="924"/>
        <v>3.5517371608688508</v>
      </c>
      <c r="Y626" s="245">
        <f t="shared" si="924"/>
        <v>1.6625870791207031</v>
      </c>
      <c r="Z626" s="245">
        <f t="shared" si="924"/>
        <v>34.948391960565608</v>
      </c>
      <c r="AA626" s="245">
        <f t="shared" si="924"/>
        <v>-29.897227848009756</v>
      </c>
      <c r="AB626" s="245">
        <f t="shared" si="924"/>
        <v>-0.40566762715470439</v>
      </c>
      <c r="AC626" s="245">
        <f t="shared" si="924"/>
        <v>11.482060987464116</v>
      </c>
      <c r="AD626" s="245">
        <f t="shared" si="924"/>
        <v>-1.619456084860027</v>
      </c>
      <c r="AE626" s="245">
        <f t="shared" si="924"/>
        <v>-10.537274826610332</v>
      </c>
      <c r="AF626" s="580">
        <f t="shared" si="918"/>
        <v>-15.009173321619507</v>
      </c>
      <c r="AG626" s="580">
        <f t="shared" si="918"/>
        <v>8.4315121437285256</v>
      </c>
      <c r="AH626" s="580">
        <f t="shared" si="918"/>
        <v>2.2017875059885395</v>
      </c>
      <c r="AI626" s="580">
        <f t="shared" si="918"/>
        <v>-0.30274619668818614</v>
      </c>
      <c r="AJ626" s="580">
        <f t="shared" si="918"/>
        <v>-22.690052234274727</v>
      </c>
      <c r="AK626" s="580">
        <f t="shared" si="918"/>
        <v>35.771801704207284</v>
      </c>
      <c r="AL626" s="580">
        <f t="shared" si="918"/>
        <v>-27.234329277025747</v>
      </c>
      <c r="AM626" s="580">
        <f t="shared" si="918"/>
        <v>-21.767485045245916</v>
      </c>
      <c r="AN626" s="580">
        <f t="shared" si="918"/>
        <v>-8.5186714505115173</v>
      </c>
      <c r="AO626" s="580">
        <f t="shared" si="918"/>
        <v>27.359223997149272</v>
      </c>
      <c r="AP626" s="580">
        <f t="shared" si="918"/>
        <v>11.982249250432652</v>
      </c>
      <c r="AQ626" s="580">
        <f t="shared" si="918"/>
        <v>13.059611467038867</v>
      </c>
      <c r="AR626" s="580">
        <f t="shared" si="918"/>
        <v>11.1116246945002</v>
      </c>
      <c r="AS626" s="580">
        <f t="shared" si="918"/>
        <v>14.437470539046849</v>
      </c>
      <c r="AT626" s="580">
        <f t="shared" si="918"/>
        <v>1.7413799932105123</v>
      </c>
      <c r="AU626" s="580">
        <f t="shared" si="918"/>
        <v>7.5542810421405093</v>
      </c>
      <c r="AV626" s="580">
        <f t="shared" si="918"/>
        <v>-10.774923090733646</v>
      </c>
      <c r="AW626" s="580">
        <f t="shared" si="918"/>
        <v>3.5517371608688508</v>
      </c>
      <c r="AX626" s="580">
        <f t="shared" si="918"/>
        <v>1.6625870791207031</v>
      </c>
      <c r="AY626" s="580">
        <f t="shared" si="918"/>
        <v>2.1114711018253907</v>
      </c>
      <c r="AZ626" s="580">
        <f t="shared" si="918"/>
        <v>-7.3536374335920529</v>
      </c>
      <c r="BA626" s="580">
        <f t="shared" si="918"/>
        <v>3.1910209073632068</v>
      </c>
      <c r="BB626" s="580">
        <f t="shared" si="918"/>
        <v>9.8679778776715743</v>
      </c>
      <c r="BC626" s="580">
        <f t="shared" si="918"/>
        <v>-3.8896141529441763</v>
      </c>
      <c r="BD626" s="580">
        <f t="shared" si="918"/>
        <v>-10.317522961100911</v>
      </c>
      <c r="BE626" s="580">
        <f t="shared" si="918"/>
        <v>0.8881542211506277</v>
      </c>
      <c r="BF626" s="580">
        <f t="shared" si="918"/>
        <v>1.5482755339741194</v>
      </c>
      <c r="BG626" s="580">
        <f t="shared" si="918"/>
        <v>6.6584931384544799</v>
      </c>
      <c r="BH626" s="580">
        <f t="shared" si="918"/>
        <v>5.2191518688841976</v>
      </c>
      <c r="BI626" s="580">
        <f t="shared" si="918"/>
        <v>-0.22098380529377293</v>
      </c>
      <c r="BJ626" s="580">
        <f t="shared" si="918"/>
        <v>-6.9145954201262345</v>
      </c>
      <c r="BK626" s="580">
        <f t="shared" si="918"/>
        <v>2.8120129769139579</v>
      </c>
      <c r="BL626" s="580">
        <f t="shared" si="919"/>
        <v>-5.1927054729476563</v>
      </c>
      <c r="BM626" s="580">
        <f t="shared" si="920"/>
        <v>8.9663198609528862</v>
      </c>
      <c r="BN626" s="580">
        <f t="shared" si="920"/>
        <v>-17.429266117150512</v>
      </c>
      <c r="BO626" s="580">
        <f t="shared" si="920"/>
        <v>-5.9582044388290072</v>
      </c>
      <c r="BP626" s="580">
        <f t="shared" si="920"/>
        <v>31.484887063591049</v>
      </c>
      <c r="BQ626" s="580">
        <f t="shared" si="920"/>
        <v>1.2358483961907751</v>
      </c>
      <c r="BR626" s="580">
        <f t="shared" si="920"/>
        <v>1.0751041529966754</v>
      </c>
      <c r="BS626" s="580">
        <f t="shared" si="920"/>
        <v>1.2446593864213762</v>
      </c>
    </row>
    <row r="627" spans="1:71" s="245" customFormat="1">
      <c r="A627" s="243"/>
      <c r="B627" s="243" t="s">
        <v>2106</v>
      </c>
      <c r="C627" s="243" t="s">
        <v>2053</v>
      </c>
      <c r="D627" s="243"/>
      <c r="F627" s="245" t="e">
        <f t="shared" ref="F627:AE627" si="925">(F636/E636-1)*100</f>
        <v>#DIV/0!</v>
      </c>
      <c r="G627" s="245" t="e">
        <f t="shared" si="925"/>
        <v>#DIV/0!</v>
      </c>
      <c r="H627" s="245" t="e">
        <f t="shared" si="925"/>
        <v>#DIV/0!</v>
      </c>
      <c r="I627" s="245" t="e">
        <f t="shared" si="925"/>
        <v>#DIV/0!</v>
      </c>
      <c r="J627" s="245" t="e">
        <f t="shared" si="925"/>
        <v>#DIV/0!</v>
      </c>
      <c r="K627" s="245" t="e">
        <f t="shared" si="925"/>
        <v>#DIV/0!</v>
      </c>
      <c r="L627" s="245">
        <f t="shared" si="925"/>
        <v>35.771801704207284</v>
      </c>
      <c r="M627" s="245">
        <f t="shared" si="925"/>
        <v>-31.452573286240249</v>
      </c>
      <c r="N627" s="245">
        <f t="shared" si="925"/>
        <v>-24.373086225008787</v>
      </c>
      <c r="O627" s="245">
        <f t="shared" si="925"/>
        <v>0.45666541783557779</v>
      </c>
      <c r="P627" s="245">
        <f t="shared" si="925"/>
        <v>17.868251212387911</v>
      </c>
      <c r="Q627" s="245">
        <f t="shared" si="925"/>
        <v>11.242037164456796</v>
      </c>
      <c r="R627" s="245">
        <f t="shared" si="925"/>
        <v>6.9623685977220573</v>
      </c>
      <c r="S627" s="245">
        <f t="shared" si="925"/>
        <v>24.847473542824794</v>
      </c>
      <c r="T627" s="245">
        <f t="shared" si="925"/>
        <v>13.506654668166629</v>
      </c>
      <c r="U627" s="245">
        <f t="shared" si="925"/>
        <v>2.188457552735934</v>
      </c>
      <c r="V627" s="245">
        <f t="shared" si="925"/>
        <v>7.8412567679866596</v>
      </c>
      <c r="W627" s="245">
        <f t="shared" si="925"/>
        <v>-8.6007921057189911</v>
      </c>
      <c r="X627" s="245">
        <f t="shared" si="925"/>
        <v>3.5517371608688508</v>
      </c>
      <c r="Y627" s="245">
        <f t="shared" si="925"/>
        <v>1.6625870791207031</v>
      </c>
      <c r="Z627" s="245">
        <f t="shared" si="925"/>
        <v>34.948391960565608</v>
      </c>
      <c r="AA627" s="245">
        <f t="shared" si="925"/>
        <v>-29.897227848009756</v>
      </c>
      <c r="AB627" s="245">
        <f t="shared" si="925"/>
        <v>-0.40566762715470439</v>
      </c>
      <c r="AC627" s="245">
        <f t="shared" si="925"/>
        <v>11.482060987464116</v>
      </c>
      <c r="AD627" s="245">
        <f t="shared" si="925"/>
        <v>-1.619456084860027</v>
      </c>
      <c r="AE627" s="245">
        <f t="shared" si="925"/>
        <v>-10.537274826610332</v>
      </c>
      <c r="AF627" s="580">
        <f t="shared" si="918"/>
        <v>-15.009173321619507</v>
      </c>
      <c r="AG627" s="580">
        <f t="shared" si="918"/>
        <v>8.4315121437285256</v>
      </c>
      <c r="AH627" s="580">
        <f t="shared" si="918"/>
        <v>2.2017875059885395</v>
      </c>
      <c r="AI627" s="580">
        <f t="shared" si="918"/>
        <v>-0.30274619668818614</v>
      </c>
      <c r="AJ627" s="580">
        <f t="shared" si="918"/>
        <v>-22.690052234274727</v>
      </c>
      <c r="AK627" s="580">
        <f t="shared" si="918"/>
        <v>35.771801704207284</v>
      </c>
      <c r="AL627" s="580">
        <f t="shared" si="918"/>
        <v>-27.234329277025747</v>
      </c>
      <c r="AM627" s="580">
        <f t="shared" si="918"/>
        <v>-21.767485045245916</v>
      </c>
      <c r="AN627" s="580">
        <f t="shared" si="918"/>
        <v>-8.5186714505115173</v>
      </c>
      <c r="AO627" s="580">
        <f t="shared" si="918"/>
        <v>27.359223997149272</v>
      </c>
      <c r="AP627" s="580">
        <f t="shared" si="918"/>
        <v>11.982249250432652</v>
      </c>
      <c r="AQ627" s="580">
        <f t="shared" si="918"/>
        <v>13.059611467038867</v>
      </c>
      <c r="AR627" s="580">
        <f t="shared" si="918"/>
        <v>11.1116246945002</v>
      </c>
      <c r="AS627" s="580">
        <f t="shared" si="918"/>
        <v>14.437470539046849</v>
      </c>
      <c r="AT627" s="580">
        <f t="shared" si="918"/>
        <v>1.7413799932105123</v>
      </c>
      <c r="AU627" s="580">
        <f t="shared" si="918"/>
        <v>7.5542810421405093</v>
      </c>
      <c r="AV627" s="580">
        <f t="shared" si="918"/>
        <v>-10.774923090733646</v>
      </c>
      <c r="AW627" s="580">
        <f t="shared" si="918"/>
        <v>3.5517371608688508</v>
      </c>
      <c r="AX627" s="580">
        <f t="shared" si="918"/>
        <v>1.6625870791207031</v>
      </c>
      <c r="AY627" s="580">
        <f t="shared" si="918"/>
        <v>2.1114711018253907</v>
      </c>
      <c r="AZ627" s="580">
        <f t="shared" si="918"/>
        <v>-7.3536374335920529</v>
      </c>
      <c r="BA627" s="580">
        <f t="shared" si="918"/>
        <v>3.1910209073632068</v>
      </c>
      <c r="BB627" s="580">
        <f t="shared" si="918"/>
        <v>9.8679778776715743</v>
      </c>
      <c r="BC627" s="580">
        <f t="shared" si="918"/>
        <v>-3.8896141529441763</v>
      </c>
      <c r="BD627" s="580">
        <f t="shared" si="918"/>
        <v>-10.317522961100911</v>
      </c>
      <c r="BE627" s="580">
        <f t="shared" si="918"/>
        <v>0.8881542211506277</v>
      </c>
      <c r="BF627" s="580">
        <f t="shared" si="918"/>
        <v>1.5482755339741194</v>
      </c>
      <c r="BG627" s="580">
        <f t="shared" si="918"/>
        <v>6.6584931384544799</v>
      </c>
      <c r="BH627" s="580">
        <f t="shared" si="918"/>
        <v>5.2191518688841976</v>
      </c>
      <c r="BI627" s="580">
        <f t="shared" si="918"/>
        <v>-0.22098380529377293</v>
      </c>
      <c r="BJ627" s="580">
        <f t="shared" si="918"/>
        <v>-6.9145954201262345</v>
      </c>
      <c r="BK627" s="580">
        <f t="shared" si="918"/>
        <v>2.8120129769139579</v>
      </c>
      <c r="BL627" s="580">
        <f t="shared" si="919"/>
        <v>-5.1927054729476563</v>
      </c>
      <c r="BM627" s="580">
        <f t="shared" si="920"/>
        <v>8.9663198609528862</v>
      </c>
      <c r="BN627" s="580">
        <f t="shared" si="920"/>
        <v>-17.429266117150512</v>
      </c>
      <c r="BO627" s="580">
        <f t="shared" si="920"/>
        <v>-5.9582044388290072</v>
      </c>
      <c r="BP627" s="580">
        <f t="shared" si="920"/>
        <v>31.484887063591049</v>
      </c>
      <c r="BQ627" s="580">
        <f t="shared" si="920"/>
        <v>1.2358483961907751</v>
      </c>
      <c r="BR627" s="580">
        <f t="shared" si="920"/>
        <v>1.0751041529966754</v>
      </c>
      <c r="BS627" s="580">
        <f t="shared" si="920"/>
        <v>1.2446593864213762</v>
      </c>
    </row>
    <row r="628" spans="1:71" s="245" customFormat="1">
      <c r="A628" s="243"/>
      <c r="B628" s="243" t="s">
        <v>2107</v>
      </c>
      <c r="C628" s="243" t="s">
        <v>2055</v>
      </c>
      <c r="D628" s="243"/>
      <c r="F628" s="245" t="e">
        <f t="shared" ref="F628:AE628" si="926">(F637/E637-1)*100</f>
        <v>#DIV/0!</v>
      </c>
      <c r="G628" s="245" t="e">
        <f t="shared" si="926"/>
        <v>#DIV/0!</v>
      </c>
      <c r="H628" s="245" t="e">
        <f t="shared" si="926"/>
        <v>#DIV/0!</v>
      </c>
      <c r="I628" s="245" t="e">
        <f t="shared" si="926"/>
        <v>#DIV/0!</v>
      </c>
      <c r="J628" s="245" t="e">
        <f t="shared" si="926"/>
        <v>#DIV/0!</v>
      </c>
      <c r="K628" s="245" t="e">
        <f t="shared" si="926"/>
        <v>#DIV/0!</v>
      </c>
      <c r="L628" s="245">
        <f t="shared" si="926"/>
        <v>35.771801704207284</v>
      </c>
      <c r="M628" s="245">
        <f t="shared" si="926"/>
        <v>-41.295142641074037</v>
      </c>
      <c r="N628" s="245">
        <f t="shared" si="926"/>
        <v>-31.909022670946609</v>
      </c>
      <c r="O628" s="245">
        <f t="shared" si="926"/>
        <v>30.281480991378086</v>
      </c>
      <c r="P628" s="245">
        <f t="shared" si="926"/>
        <v>-4.2773519520551861</v>
      </c>
      <c r="Q628" s="245">
        <f t="shared" si="926"/>
        <v>8.9440443992480532</v>
      </c>
      <c r="R628" s="245">
        <f t="shared" si="926"/>
        <v>-12.494442938629035</v>
      </c>
      <c r="S628" s="245">
        <f t="shared" si="926"/>
        <v>81.479947726044927</v>
      </c>
      <c r="T628" s="245">
        <f t="shared" si="926"/>
        <v>11.156996610376746</v>
      </c>
      <c r="U628" s="245">
        <f t="shared" si="926"/>
        <v>3.3503213041917279</v>
      </c>
      <c r="V628" s="245">
        <f t="shared" si="926"/>
        <v>8.5754380142943667</v>
      </c>
      <c r="W628" s="245">
        <f t="shared" si="926"/>
        <v>-3.0909400124848108</v>
      </c>
      <c r="X628" s="245">
        <f t="shared" si="926"/>
        <v>3.5517371608688508</v>
      </c>
      <c r="Y628" s="245">
        <f t="shared" si="926"/>
        <v>1.6625870791207031</v>
      </c>
      <c r="Z628" s="245">
        <f t="shared" si="926"/>
        <v>111.56787396429277</v>
      </c>
      <c r="AA628" s="245">
        <f t="shared" si="926"/>
        <v>-55.285005248548977</v>
      </c>
      <c r="AB628" s="245">
        <f t="shared" si="926"/>
        <v>-8.7979408743631851</v>
      </c>
      <c r="AC628" s="245">
        <f t="shared" si="926"/>
        <v>15.743339730069582</v>
      </c>
      <c r="AD628" s="245">
        <f t="shared" si="926"/>
        <v>4.0696662156094465</v>
      </c>
      <c r="AE628" s="245">
        <f t="shared" si="926"/>
        <v>-11.045864926587035</v>
      </c>
      <c r="AF628" s="580">
        <f t="shared" si="918"/>
        <v>-18.204016625484808</v>
      </c>
      <c r="AG628" s="580">
        <f t="shared" si="918"/>
        <v>8.3837037289159468</v>
      </c>
      <c r="AH628" s="580">
        <f t="shared" si="918"/>
        <v>2.5755954975172024</v>
      </c>
      <c r="AI628" s="580">
        <f t="shared" si="918"/>
        <v>-0.74550394749830495</v>
      </c>
      <c r="AJ628" s="580">
        <f t="shared" si="918"/>
        <v>-19.57067319951874</v>
      </c>
      <c r="AK628" s="580">
        <f t="shared" si="918"/>
        <v>32.714269713545185</v>
      </c>
      <c r="AL628" s="580">
        <f t="shared" si="918"/>
        <v>-39.942673311516671</v>
      </c>
      <c r="AM628" s="580">
        <f>(AM637/AL637-1)*100</f>
        <v>-31.841309757384963</v>
      </c>
      <c r="AN628" s="580">
        <f>(AN637/AM637-1)*100</f>
        <v>30.152051587296903</v>
      </c>
      <c r="AO628" s="580">
        <f t="shared" si="918"/>
        <v>-4.2773519520551861</v>
      </c>
      <c r="AP628" s="580">
        <f t="shared" si="918"/>
        <v>7.6724515580558927</v>
      </c>
      <c r="AQ628" s="580">
        <f t="shared" si="918"/>
        <v>-11.48820807247899</v>
      </c>
      <c r="AR628" s="580">
        <f t="shared" si="918"/>
        <v>81.535697652387313</v>
      </c>
      <c r="AS628" s="580">
        <f t="shared" si="918"/>
        <v>11.156996610376746</v>
      </c>
      <c r="AT628" s="580">
        <f t="shared" si="918"/>
        <v>3.3503213041917279</v>
      </c>
      <c r="AU628" s="580">
        <f t="shared" si="918"/>
        <v>8.5754380142943667</v>
      </c>
      <c r="AV628" s="580">
        <f t="shared" si="918"/>
        <v>-3.0909400124848108</v>
      </c>
      <c r="AW628" s="580">
        <f t="shared" si="918"/>
        <v>3.5517371608688508</v>
      </c>
      <c r="AX628" s="580">
        <f t="shared" si="918"/>
        <v>1.6625870791207031</v>
      </c>
      <c r="AY628" s="580">
        <f t="shared" si="918"/>
        <v>111.56787396429277</v>
      </c>
      <c r="AZ628" s="580">
        <f t="shared" si="918"/>
        <v>-55.285005248548977</v>
      </c>
      <c r="BA628" s="580">
        <f t="shared" si="918"/>
        <v>-8.7979408743631851</v>
      </c>
      <c r="BB628" s="580">
        <f t="shared" si="918"/>
        <v>15.743339730069582</v>
      </c>
      <c r="BC628" s="580">
        <f t="shared" si="918"/>
        <v>4.0696662156094243</v>
      </c>
      <c r="BD628" s="580">
        <f t="shared" si="918"/>
        <v>-11.045864926587011</v>
      </c>
      <c r="BE628" s="580">
        <f t="shared" si="918"/>
        <v>0.8881542211506277</v>
      </c>
      <c r="BF628" s="580">
        <f t="shared" si="918"/>
        <v>1.5482755339741194</v>
      </c>
      <c r="BG628" s="580">
        <f t="shared" si="918"/>
        <v>6.6584931384544799</v>
      </c>
      <c r="BH628" s="580">
        <f t="shared" si="918"/>
        <v>-6.897054084734533</v>
      </c>
      <c r="BI628" s="580">
        <f t="shared" si="918"/>
        <v>7.700378773534422</v>
      </c>
      <c r="BJ628" s="580">
        <f t="shared" si="918"/>
        <v>8.9689843888410827</v>
      </c>
      <c r="BK628" s="580">
        <f>(BK637/BJ637-1)*100</f>
        <v>-12.139289294933297</v>
      </c>
      <c r="BL628" s="580">
        <f t="shared" si="919"/>
        <v>-9.0387540417492538</v>
      </c>
      <c r="BM628" s="580">
        <f t="shared" si="920"/>
        <v>-29.663417436569738</v>
      </c>
      <c r="BN628" s="580">
        <f t="shared" si="920"/>
        <v>53.632230823884953</v>
      </c>
      <c r="BO628" s="580">
        <f t="shared" si="920"/>
        <v>-13.830810184735087</v>
      </c>
      <c r="BP628" s="580">
        <f t="shared" si="920"/>
        <v>30.336519733031775</v>
      </c>
      <c r="BQ628" s="580">
        <f t="shared" si="920"/>
        <v>1.2358483961907751</v>
      </c>
      <c r="BR628" s="580">
        <f t="shared" si="920"/>
        <v>1.0751041529966754</v>
      </c>
      <c r="BS628" s="580">
        <f t="shared" si="920"/>
        <v>1.2446593864213762</v>
      </c>
    </row>
    <row r="629" spans="1:71" s="240" customFormat="1">
      <c r="A629" s="209"/>
      <c r="B629" s="209"/>
      <c r="C629" s="209"/>
      <c r="D629" s="209"/>
      <c r="AF629" s="579"/>
      <c r="AG629" s="579"/>
      <c r="AH629" s="579"/>
      <c r="AI629" s="579"/>
      <c r="AJ629" s="579"/>
      <c r="AK629" s="579"/>
      <c r="AL629" s="579"/>
      <c r="AM629" s="579"/>
      <c r="AN629" s="579"/>
      <c r="AO629" s="579"/>
      <c r="AP629" s="579"/>
      <c r="AQ629" s="579"/>
      <c r="AR629" s="579"/>
      <c r="AS629" s="579"/>
      <c r="AT629" s="579"/>
      <c r="AU629" s="579"/>
      <c r="AV629" s="579"/>
      <c r="AW629" s="579"/>
      <c r="AX629" s="579"/>
      <c r="AY629" s="579"/>
      <c r="AZ629" s="579"/>
      <c r="BA629" s="579"/>
      <c r="BB629" s="579"/>
      <c r="BC629" s="579"/>
      <c r="BD629" s="579"/>
      <c r="BE629" s="579"/>
      <c r="BF629" s="579"/>
      <c r="BG629" s="579"/>
      <c r="BH629" s="579"/>
      <c r="BI629" s="579"/>
      <c r="BJ629" s="579"/>
      <c r="BK629" s="579"/>
      <c r="BL629" s="579"/>
      <c r="BM629" s="579"/>
      <c r="BN629" s="579"/>
      <c r="BO629" s="579"/>
      <c r="BP629" s="579"/>
      <c r="BQ629" s="579"/>
      <c r="BR629" s="579"/>
      <c r="BS629" s="579"/>
    </row>
    <row r="630" spans="1:71" s="240" customFormat="1">
      <c r="A630" s="209"/>
      <c r="B630" s="209"/>
      <c r="C630" s="275" t="s">
        <v>2108</v>
      </c>
      <c r="D630" s="209"/>
      <c r="AF630" s="579"/>
      <c r="AG630" s="579"/>
      <c r="AH630" s="579"/>
      <c r="AI630" s="579"/>
      <c r="AJ630" s="579"/>
      <c r="AK630" s="579"/>
      <c r="AL630" s="579"/>
      <c r="AM630" s="579"/>
      <c r="AN630" s="579"/>
      <c r="AO630" s="579"/>
      <c r="AP630" s="579"/>
      <c r="AQ630" s="579"/>
      <c r="AR630" s="579"/>
      <c r="AS630" s="579"/>
      <c r="AT630" s="579"/>
      <c r="AU630" s="579"/>
      <c r="AV630" s="579"/>
      <c r="AW630" s="579"/>
      <c r="AX630" s="579"/>
      <c r="AY630" s="579"/>
      <c r="AZ630" s="579"/>
      <c r="BA630" s="579"/>
      <c r="BB630" s="579"/>
      <c r="BC630" s="579"/>
      <c r="BD630" s="579"/>
      <c r="BE630" s="579"/>
      <c r="BF630" s="579"/>
      <c r="BG630" s="579"/>
      <c r="BH630" s="579"/>
      <c r="BI630" s="579"/>
      <c r="BJ630" s="579"/>
      <c r="BK630" s="579"/>
      <c r="BL630" s="579"/>
      <c r="BM630" s="579"/>
      <c r="BN630" s="579"/>
      <c r="BO630" s="579"/>
      <c r="BP630" s="579"/>
      <c r="BQ630" s="579"/>
      <c r="BR630" s="579"/>
      <c r="BS630" s="579"/>
    </row>
    <row r="631" spans="1:71" s="245" customFormat="1">
      <c r="A631" s="243"/>
      <c r="B631" s="243" t="s">
        <v>2109</v>
      </c>
      <c r="C631" s="243" t="s">
        <v>2110</v>
      </c>
      <c r="D631" s="243"/>
      <c r="F631" s="245" t="e">
        <f t="shared" ref="F631:AD631" si="927">F482/F446*100</f>
        <v>#DIV/0!</v>
      </c>
      <c r="G631" s="245" t="e">
        <f t="shared" si="927"/>
        <v>#DIV/0!</v>
      </c>
      <c r="H631" s="245" t="e">
        <f t="shared" si="927"/>
        <v>#DIV/0!</v>
      </c>
      <c r="I631" s="245" t="e">
        <f t="shared" si="927"/>
        <v>#DIV/0!</v>
      </c>
      <c r="J631" s="245" t="e">
        <f t="shared" si="927"/>
        <v>#DIV/0!</v>
      </c>
      <c r="K631" s="245">
        <f t="shared" si="927"/>
        <v>13.036777084864722</v>
      </c>
      <c r="L631" s="245">
        <f t="shared" si="927"/>
        <v>16.006723628388276</v>
      </c>
      <c r="M631" s="245">
        <f t="shared" si="927"/>
        <v>14.671864067966014</v>
      </c>
      <c r="N631" s="245">
        <f t="shared" si="927"/>
        <v>12.609125310323222</v>
      </c>
      <c r="O631" s="245">
        <f t="shared" si="927"/>
        <v>11.545502148634444</v>
      </c>
      <c r="P631" s="245">
        <f t="shared" si="927"/>
        <v>13.491443751643173</v>
      </c>
      <c r="Q631" s="245">
        <f t="shared" si="927"/>
        <v>14.542342256668716</v>
      </c>
      <c r="R631" s="245">
        <f t="shared" si="927"/>
        <v>16.079345442574912</v>
      </c>
      <c r="S631" s="245">
        <f t="shared" si="927"/>
        <v>19.475126899211865</v>
      </c>
      <c r="T631" s="245">
        <f t="shared" si="927"/>
        <v>22.043560022302948</v>
      </c>
      <c r="U631" s="245">
        <f t="shared" si="927"/>
        <v>21.954757172550874</v>
      </c>
      <c r="V631" s="245">
        <f t="shared" si="927"/>
        <v>22.859580226213065</v>
      </c>
      <c r="W631" s="245">
        <f t="shared" si="927"/>
        <v>19.972185518989413</v>
      </c>
      <c r="X631" s="245">
        <f t="shared" si="927"/>
        <v>20.663454496040824</v>
      </c>
      <c r="Y631" s="245">
        <f t="shared" si="927"/>
        <v>20.332864106026229</v>
      </c>
      <c r="Z631" s="245">
        <f t="shared" si="927"/>
        <v>19.383611714948159</v>
      </c>
      <c r="AA631" s="245">
        <f t="shared" si="927"/>
        <v>17.845054172182355</v>
      </c>
      <c r="AB631" s="245">
        <f t="shared" si="927"/>
        <v>20.07438402509084</v>
      </c>
      <c r="AC631" s="245">
        <f t="shared" si="927"/>
        <v>19.738301486795727</v>
      </c>
      <c r="AD631" s="245">
        <f t="shared" si="927"/>
        <v>19.791505426276583</v>
      </c>
      <c r="AE631" s="245">
        <f>AE482/AE446*100</f>
        <v>17.91534961341317</v>
      </c>
      <c r="AF631" s="580">
        <f>AF77/AF40*100</f>
        <v>16.375200893465163</v>
      </c>
      <c r="AG631" s="580">
        <f t="shared" ref="AG631:BK631" si="928">AG77/AG40*100</f>
        <v>14.991563935516439</v>
      </c>
      <c r="AH631" s="580">
        <f t="shared" si="928"/>
        <v>14.158389240839025</v>
      </c>
      <c r="AI631" s="580">
        <f t="shared" si="928"/>
        <v>14.103434116401193</v>
      </c>
      <c r="AJ631" s="580">
        <f t="shared" si="928"/>
        <v>13.036777084864722</v>
      </c>
      <c r="AK631" s="580">
        <f t="shared" si="928"/>
        <v>16.006723628388276</v>
      </c>
      <c r="AL631" s="580">
        <f t="shared" si="928"/>
        <v>14.671864067966014</v>
      </c>
      <c r="AM631" s="580">
        <f>AM77/AM40*100</f>
        <v>12.609125310323222</v>
      </c>
      <c r="AN631" s="580">
        <f>AN77/AN40*100</f>
        <v>11.545502148634444</v>
      </c>
      <c r="AO631" s="580">
        <f t="shared" si="928"/>
        <v>13.491443751643173</v>
      </c>
      <c r="AP631" s="580">
        <f t="shared" si="928"/>
        <v>14.542342256668716</v>
      </c>
      <c r="AQ631" s="580">
        <f t="shared" si="928"/>
        <v>16.079345442574912</v>
      </c>
      <c r="AR631" s="580">
        <f t="shared" si="928"/>
        <v>19.475126899211865</v>
      </c>
      <c r="AS631" s="580">
        <f t="shared" si="928"/>
        <v>22.043560022302948</v>
      </c>
      <c r="AT631" s="580">
        <f t="shared" si="928"/>
        <v>21.954757172550874</v>
      </c>
      <c r="AU631" s="580">
        <f t="shared" si="928"/>
        <v>22.859580226213065</v>
      </c>
      <c r="AV631" s="580">
        <f t="shared" si="928"/>
        <v>19.972185518989413</v>
      </c>
      <c r="AW631" s="580">
        <f t="shared" si="928"/>
        <v>20.663454496040824</v>
      </c>
      <c r="AX631" s="580">
        <f t="shared" si="928"/>
        <v>20.332864106026229</v>
      </c>
      <c r="AY631" s="580">
        <f t="shared" si="928"/>
        <v>19.383611714948159</v>
      </c>
      <c r="AZ631" s="580">
        <f t="shared" si="928"/>
        <v>17.845054172182355</v>
      </c>
      <c r="BA631" s="580">
        <f t="shared" si="928"/>
        <v>20.07438402509084</v>
      </c>
      <c r="BB631" s="580">
        <f t="shared" si="928"/>
        <v>19.738301486795727</v>
      </c>
      <c r="BC631" s="580">
        <f t="shared" si="928"/>
        <v>19.791505426276583</v>
      </c>
      <c r="BD631" s="580">
        <f t="shared" si="928"/>
        <v>17.91534961341317</v>
      </c>
      <c r="BE631" s="580">
        <f t="shared" si="928"/>
        <v>18.405800016088808</v>
      </c>
      <c r="BF631" s="580">
        <f t="shared" si="928"/>
        <v>18.692115409840898</v>
      </c>
      <c r="BG631" s="580">
        <f t="shared" si="928"/>
        <v>17.625482462793482</v>
      </c>
      <c r="BH631" s="580">
        <f t="shared" si="928"/>
        <v>20.417259712202394</v>
      </c>
      <c r="BI631" s="580">
        <f t="shared" si="928"/>
        <v>22.634684022269067</v>
      </c>
      <c r="BJ631" s="580">
        <f t="shared" si="928"/>
        <v>20.261379315720955</v>
      </c>
      <c r="BK631" s="580">
        <f t="shared" si="928"/>
        <v>19.633071048133825</v>
      </c>
      <c r="BL631" s="580">
        <f t="shared" ref="BL631:BQ631" si="929">BL77/BL40*100</f>
        <v>18.893422257592228</v>
      </c>
      <c r="BM631" s="580">
        <f t="shared" si="929"/>
        <v>20.026362171290391</v>
      </c>
      <c r="BN631" s="580">
        <f t="shared" si="929"/>
        <v>20.290003659073346</v>
      </c>
      <c r="BO631" s="580">
        <f t="shared" si="929"/>
        <v>17.563205003228287</v>
      </c>
      <c r="BP631" s="580">
        <f t="shared" si="929"/>
        <v>20.364046806017903</v>
      </c>
      <c r="BQ631" s="580">
        <f t="shared" si="929"/>
        <v>21.65695714102441</v>
      </c>
      <c r="BR631" s="580">
        <f t="shared" ref="BR631:BS631" si="930">BR77/BR40*100</f>
        <v>21.118707674892708</v>
      </c>
      <c r="BS631" s="580">
        <f t="shared" si="930"/>
        <v>21.519958055710521</v>
      </c>
    </row>
    <row r="632" spans="1:71" s="245" customFormat="1">
      <c r="A632" s="243"/>
      <c r="B632" s="243" t="s">
        <v>2111</v>
      </c>
      <c r="C632" s="243" t="s">
        <v>2112</v>
      </c>
      <c r="D632" s="243"/>
      <c r="F632" s="245" t="e">
        <f t="shared" ref="F632:AD632" si="931">F485/F446*100</f>
        <v>#DIV/0!</v>
      </c>
      <c r="G632" s="245" t="e">
        <f t="shared" si="931"/>
        <v>#DIV/0!</v>
      </c>
      <c r="H632" s="245" t="e">
        <f t="shared" si="931"/>
        <v>#DIV/0!</v>
      </c>
      <c r="I632" s="245" t="e">
        <f t="shared" si="931"/>
        <v>#DIV/0!</v>
      </c>
      <c r="J632" s="245" t="e">
        <f t="shared" si="931"/>
        <v>#DIV/0!</v>
      </c>
      <c r="K632" s="245">
        <f t="shared" si="931"/>
        <v>10.712066962274442</v>
      </c>
      <c r="L632" s="245">
        <f t="shared" si="931"/>
        <v>13.943907664428279</v>
      </c>
      <c r="M632" s="245">
        <f t="shared" si="931"/>
        <v>12.999500249875059</v>
      </c>
      <c r="N632" s="245">
        <f t="shared" si="931"/>
        <v>10.613897659620626</v>
      </c>
      <c r="O632" s="245">
        <f t="shared" si="931"/>
        <v>10.09447067427741</v>
      </c>
      <c r="P632" s="245">
        <f t="shared" si="931"/>
        <v>12.193389655591877</v>
      </c>
      <c r="Q632" s="245">
        <f t="shared" si="931"/>
        <v>13.026009224478141</v>
      </c>
      <c r="R632" s="245">
        <f t="shared" si="931"/>
        <v>14.41799714347912</v>
      </c>
      <c r="S632" s="245">
        <f t="shared" si="931"/>
        <v>18.060526754672917</v>
      </c>
      <c r="T632" s="245">
        <f t="shared" si="931"/>
        <v>20.880620326856008</v>
      </c>
      <c r="U632" s="245">
        <f t="shared" si="931"/>
        <v>20.872085084432047</v>
      </c>
      <c r="V632" s="245">
        <f t="shared" si="931"/>
        <v>21.856182617776405</v>
      </c>
      <c r="W632" s="245">
        <f t="shared" si="931"/>
        <v>19.154203277070266</v>
      </c>
      <c r="X632" s="245">
        <f t="shared" si="931"/>
        <v>19.973651602323443</v>
      </c>
      <c r="Y632" s="245">
        <f t="shared" si="931"/>
        <v>19.590240072012037</v>
      </c>
      <c r="Z632" s="245">
        <f t="shared" si="931"/>
        <v>18.658605140429305</v>
      </c>
      <c r="AA632" s="245">
        <f t="shared" si="931"/>
        <v>17.194010568834493</v>
      </c>
      <c r="AB632" s="245">
        <f t="shared" si="931"/>
        <v>19.325987325478515</v>
      </c>
      <c r="AC632" s="245">
        <f t="shared" si="931"/>
        <v>19.093682371652797</v>
      </c>
      <c r="AD632" s="245">
        <f t="shared" si="931"/>
        <v>19.159013122817868</v>
      </c>
      <c r="AE632" s="245">
        <f>AE485/AE446*100</f>
        <v>17.191090211810923</v>
      </c>
      <c r="AF632" s="580">
        <f>AF81/AF40*100</f>
        <v>14.190569584048371</v>
      </c>
      <c r="AG632" s="580">
        <f t="shared" ref="AG632:BK632" si="932">AG81/AG40*100</f>
        <v>12.973066170765641</v>
      </c>
      <c r="AH632" s="580">
        <f t="shared" si="932"/>
        <v>12.320158241279017</v>
      </c>
      <c r="AI632" s="580">
        <f t="shared" si="932"/>
        <v>12.125521384884692</v>
      </c>
      <c r="AJ632" s="580">
        <f t="shared" si="932"/>
        <v>10.712066962274442</v>
      </c>
      <c r="AK632" s="580">
        <f t="shared" si="932"/>
        <v>13.943907664428279</v>
      </c>
      <c r="AL632" s="580">
        <f t="shared" si="932"/>
        <v>12.999500249875059</v>
      </c>
      <c r="AM632" s="580">
        <f>AM81/AM40*100</f>
        <v>10.613897659620626</v>
      </c>
      <c r="AN632" s="580">
        <f>AN81/AN40*100</f>
        <v>10.09447067427741</v>
      </c>
      <c r="AO632" s="580">
        <f t="shared" si="932"/>
        <v>12.193389655591877</v>
      </c>
      <c r="AP632" s="580">
        <f t="shared" si="932"/>
        <v>13.026009224478141</v>
      </c>
      <c r="AQ632" s="580">
        <f t="shared" si="932"/>
        <v>14.41799714347912</v>
      </c>
      <c r="AR632" s="580">
        <f t="shared" si="932"/>
        <v>18.060526754672917</v>
      </c>
      <c r="AS632" s="580">
        <f t="shared" si="932"/>
        <v>20.880620326856008</v>
      </c>
      <c r="AT632" s="580">
        <f t="shared" si="932"/>
        <v>20.872085084432047</v>
      </c>
      <c r="AU632" s="580">
        <f t="shared" si="932"/>
        <v>21.856182617776405</v>
      </c>
      <c r="AV632" s="580">
        <f t="shared" si="932"/>
        <v>19.154203277070266</v>
      </c>
      <c r="AW632" s="580">
        <f t="shared" si="932"/>
        <v>19.973651602323443</v>
      </c>
      <c r="AX632" s="580">
        <f t="shared" si="932"/>
        <v>19.590240072012037</v>
      </c>
      <c r="AY632" s="580">
        <f t="shared" si="932"/>
        <v>18.658605140429305</v>
      </c>
      <c r="AZ632" s="580">
        <f t="shared" si="932"/>
        <v>17.194010568834493</v>
      </c>
      <c r="BA632" s="580">
        <f t="shared" si="932"/>
        <v>19.325987325478515</v>
      </c>
      <c r="BB632" s="580">
        <f t="shared" si="932"/>
        <v>19.093682371652797</v>
      </c>
      <c r="BC632" s="580">
        <f t="shared" si="932"/>
        <v>19.159013122817868</v>
      </c>
      <c r="BD632" s="580">
        <f t="shared" si="932"/>
        <v>17.191090211810923</v>
      </c>
      <c r="BE632" s="580">
        <f t="shared" si="932"/>
        <v>17.580444051162413</v>
      </c>
      <c r="BF632" s="580">
        <f t="shared" si="932"/>
        <v>17.933161022851756</v>
      </c>
      <c r="BG632" s="580">
        <f t="shared" si="932"/>
        <v>16.643491597984191</v>
      </c>
      <c r="BH632" s="580">
        <f t="shared" si="932"/>
        <v>19.513387048496377</v>
      </c>
      <c r="BI632" s="580">
        <f t="shared" si="932"/>
        <v>21.778820419371229</v>
      </c>
      <c r="BJ632" s="580">
        <f t="shared" si="932"/>
        <v>19.365884269689197</v>
      </c>
      <c r="BK632" s="580">
        <f t="shared" si="932"/>
        <v>18.731258705388367</v>
      </c>
      <c r="BL632" s="580">
        <f t="shared" ref="BL632:BQ632" si="933">BL81/BL40*100</f>
        <v>17.575931810349914</v>
      </c>
      <c r="BM632" s="580">
        <f t="shared" si="933"/>
        <v>18.875616500841009</v>
      </c>
      <c r="BN632" s="580">
        <f t="shared" si="933"/>
        <v>19.127408227081727</v>
      </c>
      <c r="BO632" s="580">
        <f t="shared" si="933"/>
        <v>16.216814999556888</v>
      </c>
      <c r="BP632" s="580">
        <f t="shared" si="933"/>
        <v>18.963688188481363</v>
      </c>
      <c r="BQ632" s="580">
        <f t="shared" si="933"/>
        <v>20.373885268604617</v>
      </c>
      <c r="BR632" s="580">
        <f t="shared" ref="BR632:BS632" si="934">BR81/BR40*100</f>
        <v>19.773316774306355</v>
      </c>
      <c r="BS632" s="580">
        <f t="shared" si="934"/>
        <v>20.100046832814314</v>
      </c>
    </row>
    <row r="633" spans="1:71" s="245" customFormat="1">
      <c r="A633" s="243"/>
      <c r="B633" s="243" t="s">
        <v>2113</v>
      </c>
      <c r="C633" s="243" t="s">
        <v>2114</v>
      </c>
      <c r="D633" s="243"/>
      <c r="F633" s="245" t="e">
        <f t="shared" ref="F633:AD633" si="935">F487/F$446*100</f>
        <v>#DIV/0!</v>
      </c>
      <c r="G633" s="245" t="e">
        <f t="shared" si="935"/>
        <v>#DIV/0!</v>
      </c>
      <c r="H633" s="245" t="e">
        <f t="shared" si="935"/>
        <v>#DIV/0!</v>
      </c>
      <c r="I633" s="245" t="e">
        <f t="shared" si="935"/>
        <v>#DIV/0!</v>
      </c>
      <c r="J633" s="245" t="e">
        <f t="shared" si="935"/>
        <v>#DIV/0!</v>
      </c>
      <c r="K633" s="245">
        <f t="shared" si="935"/>
        <v>15.582007445522017</v>
      </c>
      <c r="L633" s="245">
        <f t="shared" si="935"/>
        <v>20.177659601493765</v>
      </c>
      <c r="M633" s="245">
        <f t="shared" si="935"/>
        <v>14.716641679160416</v>
      </c>
      <c r="N633" s="245">
        <f t="shared" si="935"/>
        <v>11.599219070114973</v>
      </c>
      <c r="O633" s="245">
        <f t="shared" si="935"/>
        <v>11.339942962735371</v>
      </c>
      <c r="P633" s="245">
        <f t="shared" si="935"/>
        <v>13.060590245759157</v>
      </c>
      <c r="Q633" s="245">
        <f t="shared" si="935"/>
        <v>14.827159906804233</v>
      </c>
      <c r="R633" s="245">
        <f t="shared" si="935"/>
        <v>15.634407802868205</v>
      </c>
      <c r="S633" s="245">
        <f t="shared" si="935"/>
        <v>19.050062647799617</v>
      </c>
      <c r="T633" s="245">
        <f t="shared" si="935"/>
        <v>21.633171833171136</v>
      </c>
      <c r="U633" s="245">
        <f t="shared" si="935"/>
        <v>21.938068000788952</v>
      </c>
      <c r="V633" s="245">
        <f t="shared" si="935"/>
        <v>23.106384856373825</v>
      </c>
      <c r="W633" s="245">
        <f t="shared" si="935"/>
        <v>21.253656755936916</v>
      </c>
      <c r="X633" s="245">
        <f t="shared" si="935"/>
        <v>21.901644932309488</v>
      </c>
      <c r="Y633" s="245">
        <f t="shared" si="935"/>
        <v>21.971329253928591</v>
      </c>
      <c r="Z633" s="245">
        <f t="shared" si="935"/>
        <v>22.425985393711137</v>
      </c>
      <c r="AA633" s="245">
        <f t="shared" si="935"/>
        <v>20.255657853638446</v>
      </c>
      <c r="AB633" s="245">
        <f t="shared" si="935"/>
        <v>20.740005239916002</v>
      </c>
      <c r="AC633" s="245">
        <f t="shared" si="935"/>
        <v>22.464795653333695</v>
      </c>
      <c r="AD633" s="245">
        <f t="shared" si="935"/>
        <v>22.157869390984281</v>
      </c>
      <c r="AE633" s="245">
        <f>AE487/AE$446*100</f>
        <v>20.930973393126511</v>
      </c>
      <c r="AF633" s="580">
        <f>AF83/AF$40*100</f>
        <v>18.483560785595589</v>
      </c>
      <c r="AG633" s="580">
        <f t="shared" ref="AG633:BK633" si="936">AG83/AG$40*100</f>
        <v>18.820018308928262</v>
      </c>
      <c r="AH633" s="580">
        <f t="shared" si="936"/>
        <v>18.587120312433079</v>
      </c>
      <c r="AI633" s="580">
        <f t="shared" si="936"/>
        <v>18.941885846426477</v>
      </c>
      <c r="AJ633" s="580">
        <f t="shared" si="936"/>
        <v>15.582007445522017</v>
      </c>
      <c r="AK633" s="580">
        <f t="shared" si="936"/>
        <v>20.177659601493765</v>
      </c>
      <c r="AL633" s="580">
        <f t="shared" si="936"/>
        <v>14.716641679160416</v>
      </c>
      <c r="AM633" s="580">
        <f>AM83/AM$40*100</f>
        <v>11.599219070114973</v>
      </c>
      <c r="AN633" s="580">
        <f>AN83/AN$40*100</f>
        <v>11.339942962735371</v>
      </c>
      <c r="AO633" s="580">
        <f t="shared" si="936"/>
        <v>13.060590245759157</v>
      </c>
      <c r="AP633" s="580">
        <f t="shared" si="936"/>
        <v>14.827159906804233</v>
      </c>
      <c r="AQ633" s="580">
        <f t="shared" si="936"/>
        <v>15.634407802868205</v>
      </c>
      <c r="AR633" s="580">
        <f t="shared" si="936"/>
        <v>19.050062647799617</v>
      </c>
      <c r="AS633" s="580">
        <f t="shared" si="936"/>
        <v>21.633171833171136</v>
      </c>
      <c r="AT633" s="580">
        <f t="shared" si="936"/>
        <v>21.938068000788952</v>
      </c>
      <c r="AU633" s="580">
        <f t="shared" si="936"/>
        <v>23.106384856373825</v>
      </c>
      <c r="AV633" s="580">
        <f t="shared" si="936"/>
        <v>21.253656755936916</v>
      </c>
      <c r="AW633" s="580">
        <f t="shared" si="936"/>
        <v>21.901644932309488</v>
      </c>
      <c r="AX633" s="580">
        <f t="shared" si="936"/>
        <v>21.971329253928591</v>
      </c>
      <c r="AY633" s="580">
        <f t="shared" si="936"/>
        <v>22.425985393711137</v>
      </c>
      <c r="AZ633" s="580">
        <f t="shared" si="936"/>
        <v>20.255657853638446</v>
      </c>
      <c r="BA633" s="580">
        <f t="shared" si="936"/>
        <v>20.740005239916002</v>
      </c>
      <c r="BB633" s="580">
        <f t="shared" si="936"/>
        <v>22.464795653333695</v>
      </c>
      <c r="BC633" s="580">
        <f t="shared" si="936"/>
        <v>22.157869390984281</v>
      </c>
      <c r="BD633" s="580">
        <f t="shared" si="936"/>
        <v>20.930973393126511</v>
      </c>
      <c r="BE633" s="580">
        <f t="shared" si="936"/>
        <v>20.933352103611938</v>
      </c>
      <c r="BF633" s="580">
        <f t="shared" si="936"/>
        <v>21.687103133180962</v>
      </c>
      <c r="BG633" s="580">
        <f t="shared" si="936"/>
        <v>21.775926581382414</v>
      </c>
      <c r="BH633" s="580">
        <f t="shared" si="936"/>
        <v>23.088968029500592</v>
      </c>
      <c r="BI633" s="580">
        <f t="shared" si="936"/>
        <v>24.17809847165833</v>
      </c>
      <c r="BJ633" s="580">
        <f t="shared" si="936"/>
        <v>23.689205728050137</v>
      </c>
      <c r="BK633" s="580">
        <f t="shared" si="936"/>
        <v>22.478199781440264</v>
      </c>
      <c r="BL633" s="580">
        <f t="shared" ref="BL633:BQ633" si="937">BL83/BL$40*100</f>
        <v>21.750586873454282</v>
      </c>
      <c r="BM633" s="580">
        <f t="shared" si="937"/>
        <v>20.780836780930692</v>
      </c>
      <c r="BN633" s="580">
        <f t="shared" si="937"/>
        <v>20.811465803573157</v>
      </c>
      <c r="BO633" s="580">
        <f t="shared" si="937"/>
        <v>19.471909590786893</v>
      </c>
      <c r="BP633" s="580">
        <f t="shared" si="937"/>
        <v>24.433319998285484</v>
      </c>
      <c r="BQ633" s="580">
        <f t="shared" si="937"/>
        <v>24.781494554222569</v>
      </c>
      <c r="BR633" s="580">
        <f t="shared" ref="BR633:BS633" si="938">BR83/BR$40*100</f>
        <v>24.143674193333254</v>
      </c>
      <c r="BS633" s="580">
        <f t="shared" si="938"/>
        <v>24.893226780906389</v>
      </c>
    </row>
    <row r="634" spans="1:71" s="245" customFormat="1">
      <c r="A634" s="243"/>
      <c r="B634" s="243" t="s">
        <v>2115</v>
      </c>
      <c r="C634" s="243" t="s">
        <v>2116</v>
      </c>
      <c r="D634" s="243"/>
      <c r="F634" s="245" t="e">
        <f t="shared" ref="F634:AD634" si="939">F491/F$446*100</f>
        <v>#DIV/0!</v>
      </c>
      <c r="G634" s="245" t="e">
        <f t="shared" si="939"/>
        <v>#DIV/0!</v>
      </c>
      <c r="H634" s="245" t="e">
        <f t="shared" si="939"/>
        <v>#DIV/0!</v>
      </c>
      <c r="I634" s="245" t="e">
        <f t="shared" si="939"/>
        <v>#DIV/0!</v>
      </c>
      <c r="J634" s="245" t="e">
        <f t="shared" si="939"/>
        <v>#DIV/0!</v>
      </c>
      <c r="K634" s="245">
        <f t="shared" si="939"/>
        <v>15.579162023095346</v>
      </c>
      <c r="L634" s="245">
        <f t="shared" si="939"/>
        <v>20.120076889856129</v>
      </c>
      <c r="M634" s="245">
        <f t="shared" si="939"/>
        <v>14.63948025987006</v>
      </c>
      <c r="N634" s="245">
        <f t="shared" si="939"/>
        <v>11.511967027404859</v>
      </c>
      <c r="O634" s="245">
        <f t="shared" si="939"/>
        <v>11.300129394098079</v>
      </c>
      <c r="P634" s="245">
        <f t="shared" si="939"/>
        <v>12.830252351447758</v>
      </c>
      <c r="Q634" s="245">
        <f t="shared" si="939"/>
        <v>14.39826922162521</v>
      </c>
      <c r="R634" s="245">
        <f t="shared" si="939"/>
        <v>15.358312847441614</v>
      </c>
      <c r="S634" s="245">
        <f t="shared" si="939"/>
        <v>18.794767518933309</v>
      </c>
      <c r="T634" s="245">
        <f t="shared" si="939"/>
        <v>21.633171833171136</v>
      </c>
      <c r="U634" s="245">
        <f t="shared" si="939"/>
        <v>21.938007312891632</v>
      </c>
      <c r="V634" s="245">
        <f t="shared" si="939"/>
        <v>23.106679021606435</v>
      </c>
      <c r="W634" s="245">
        <f t="shared" si="939"/>
        <v>21.237461632982516</v>
      </c>
      <c r="X634" s="245">
        <f t="shared" si="939"/>
        <v>21.886674251811446</v>
      </c>
      <c r="Y634" s="245">
        <f t="shared" si="939"/>
        <v>21.962710793185678</v>
      </c>
      <c r="Z634" s="245">
        <f t="shared" si="939"/>
        <v>22.424779059976498</v>
      </c>
      <c r="AA634" s="245">
        <f t="shared" si="939"/>
        <v>20.250770776981465</v>
      </c>
      <c r="AB634" s="245">
        <f t="shared" si="939"/>
        <v>20.356124436614092</v>
      </c>
      <c r="AC634" s="245">
        <f t="shared" si="939"/>
        <v>22.464394521339205</v>
      </c>
      <c r="AD634" s="245">
        <f t="shared" si="939"/>
        <v>22.11981665892711</v>
      </c>
      <c r="AE634" s="245">
        <f>AE491/AE$446*100</f>
        <v>20.930151305269984</v>
      </c>
      <c r="AF634" s="580">
        <f>AF87/AF$40*100</f>
        <v>18.450419038798536</v>
      </c>
      <c r="AG634" s="580">
        <f t="shared" ref="AG634:BK634" si="940">AG87/AG$40*100</f>
        <v>18.737915491570085</v>
      </c>
      <c r="AH634" s="580">
        <f t="shared" si="940"/>
        <v>18.578554101462878</v>
      </c>
      <c r="AI634" s="580">
        <f t="shared" si="940"/>
        <v>18.83858140087743</v>
      </c>
      <c r="AJ634" s="580">
        <f t="shared" si="940"/>
        <v>15.579162023095346</v>
      </c>
      <c r="AK634" s="580">
        <f t="shared" si="940"/>
        <v>20.120076889856129</v>
      </c>
      <c r="AL634" s="580">
        <f t="shared" si="940"/>
        <v>14.63948025987006</v>
      </c>
      <c r="AM634" s="580">
        <f>AM87/AM$40*100</f>
        <v>11.511967027404859</v>
      </c>
      <c r="AN634" s="580">
        <f>AN87/AN$40*100</f>
        <v>11.300129394098079</v>
      </c>
      <c r="AO634" s="580">
        <f t="shared" si="940"/>
        <v>12.830252351447758</v>
      </c>
      <c r="AP634" s="580">
        <f t="shared" si="940"/>
        <v>14.39826922162521</v>
      </c>
      <c r="AQ634" s="580">
        <f t="shared" si="940"/>
        <v>15.358312847441614</v>
      </c>
      <c r="AR634" s="580">
        <f t="shared" si="940"/>
        <v>18.794767518933309</v>
      </c>
      <c r="AS634" s="580">
        <f t="shared" si="940"/>
        <v>21.633171833171136</v>
      </c>
      <c r="AT634" s="580">
        <f t="shared" si="940"/>
        <v>21.938007312891632</v>
      </c>
      <c r="AU634" s="580">
        <f t="shared" si="940"/>
        <v>23.106679021606435</v>
      </c>
      <c r="AV634" s="580">
        <f t="shared" si="940"/>
        <v>21.237461632982516</v>
      </c>
      <c r="AW634" s="580">
        <f t="shared" si="940"/>
        <v>21.886674251811446</v>
      </c>
      <c r="AX634" s="580">
        <f t="shared" si="940"/>
        <v>21.962710793185678</v>
      </c>
      <c r="AY634" s="580">
        <f t="shared" si="940"/>
        <v>22.424779059976498</v>
      </c>
      <c r="AZ634" s="580">
        <f t="shared" si="940"/>
        <v>20.250770776981465</v>
      </c>
      <c r="BA634" s="580">
        <f t="shared" si="940"/>
        <v>20.356124436614092</v>
      </c>
      <c r="BB634" s="580">
        <f t="shared" si="940"/>
        <v>22.464394521339205</v>
      </c>
      <c r="BC634" s="580">
        <f t="shared" si="940"/>
        <v>22.11981665892711</v>
      </c>
      <c r="BD634" s="580">
        <f t="shared" si="940"/>
        <v>20.930151305269984</v>
      </c>
      <c r="BE634" s="580">
        <f t="shared" si="940"/>
        <v>20.928927680798004</v>
      </c>
      <c r="BF634" s="580">
        <f t="shared" si="940"/>
        <v>21.685255629804651</v>
      </c>
      <c r="BG634" s="580">
        <f t="shared" si="940"/>
        <v>21.772134297416194</v>
      </c>
      <c r="BH634" s="580">
        <f t="shared" si="940"/>
        <v>23.087135442437436</v>
      </c>
      <c r="BI634" s="580">
        <f t="shared" si="940"/>
        <v>24.177325508368288</v>
      </c>
      <c r="BJ634" s="580">
        <f t="shared" si="940"/>
        <v>23.685502919372311</v>
      </c>
      <c r="BK634" s="580">
        <f t="shared" si="940"/>
        <v>22.474753106569157</v>
      </c>
      <c r="BL634" s="580">
        <f t="shared" ref="BL634:BQ634" si="941">BL87/BL$40*100</f>
        <v>21.748492596731783</v>
      </c>
      <c r="BM634" s="580">
        <f t="shared" si="941"/>
        <v>20.779998289477437</v>
      </c>
      <c r="BN634" s="580">
        <f t="shared" si="941"/>
        <v>20.810228435772647</v>
      </c>
      <c r="BO634" s="580">
        <f t="shared" si="941"/>
        <v>19.341933686969064</v>
      </c>
      <c r="BP634" s="580">
        <f t="shared" si="941"/>
        <v>24.431355459987699</v>
      </c>
      <c r="BQ634" s="580">
        <f t="shared" si="941"/>
        <v>24.775902393773617</v>
      </c>
      <c r="BR634" s="580">
        <f t="shared" ref="BR634:BS634" si="942">BR87/BR$40*100</f>
        <v>24.139888929545432</v>
      </c>
      <c r="BS634" s="580">
        <f t="shared" si="942"/>
        <v>24.885949969120194</v>
      </c>
    </row>
    <row r="635" spans="1:71" s="245" customFormat="1">
      <c r="A635" s="243"/>
      <c r="B635" s="243" t="s">
        <v>2117</v>
      </c>
      <c r="C635" s="243" t="s">
        <v>2118</v>
      </c>
      <c r="D635" s="243"/>
      <c r="F635" s="245" t="e">
        <f t="shared" ref="F635:AD635" si="943">F496/F$446*100</f>
        <v>#DIV/0!</v>
      </c>
      <c r="G635" s="245" t="e">
        <f t="shared" si="943"/>
        <v>#DIV/0!</v>
      </c>
      <c r="H635" s="245" t="e">
        <f t="shared" si="943"/>
        <v>#DIV/0!</v>
      </c>
      <c r="I635" s="245" t="e">
        <f t="shared" si="943"/>
        <v>#DIV/0!</v>
      </c>
      <c r="J635" s="245" t="e">
        <f t="shared" si="943"/>
        <v>#DIV/0!</v>
      </c>
      <c r="K635" s="245">
        <f t="shared" si="943"/>
        <v>10.718232044198897</v>
      </c>
      <c r="L635" s="245">
        <f t="shared" si="943"/>
        <v>14.552336757246529</v>
      </c>
      <c r="M635" s="245">
        <f t="shared" si="943"/>
        <v>9.9752523738130865</v>
      </c>
      <c r="N635" s="245">
        <f t="shared" si="943"/>
        <v>7.5439755115813867</v>
      </c>
      <c r="O635" s="245">
        <f t="shared" si="943"/>
        <v>7.5784262388727637</v>
      </c>
      <c r="P635" s="245">
        <f t="shared" si="943"/>
        <v>8.9325584771800699</v>
      </c>
      <c r="Q635" s="245">
        <f t="shared" si="943"/>
        <v>9.9367600209214899</v>
      </c>
      <c r="R635" s="245">
        <f t="shared" si="943"/>
        <v>10.628593880249127</v>
      </c>
      <c r="S635" s="245">
        <f t="shared" si="943"/>
        <v>13.269530932618324</v>
      </c>
      <c r="T635" s="245">
        <f t="shared" si="943"/>
        <v>15.06180065177263</v>
      </c>
      <c r="U635" s="245">
        <f t="shared" si="943"/>
        <v>15.39142176571438</v>
      </c>
      <c r="V635" s="245">
        <f t="shared" si="943"/>
        <v>16.598302666607832</v>
      </c>
      <c r="W635" s="245">
        <f t="shared" si="943"/>
        <v>15.170717161174881</v>
      </c>
      <c r="X635" s="245">
        <f t="shared" si="943"/>
        <v>15.709541160158638</v>
      </c>
      <c r="Y635" s="245">
        <f t="shared" si="943"/>
        <v>15.970725961676585</v>
      </c>
      <c r="Z635" s="245">
        <f t="shared" si="943"/>
        <v>21.552237869711128</v>
      </c>
      <c r="AA635" s="245">
        <f t="shared" si="943"/>
        <v>15.108716207458547</v>
      </c>
      <c r="AB635" s="245">
        <f t="shared" si="943"/>
        <v>15.047425036926212</v>
      </c>
      <c r="AC635" s="245">
        <f t="shared" si="943"/>
        <v>16.775179556709023</v>
      </c>
      <c r="AD635" s="245">
        <f t="shared" si="943"/>
        <v>16.503512890631704</v>
      </c>
      <c r="AE635" s="245">
        <f>AE496/AE$446*100</f>
        <v>14.764492381300778</v>
      </c>
      <c r="AF635" s="580">
        <f>AF89/AF$40*100</f>
        <v>12.548464129734038</v>
      </c>
      <c r="AG635" s="580">
        <f t="shared" ref="AG635:BK635" si="944">AG89/AG$40*100</f>
        <v>13.606489406683982</v>
      </c>
      <c r="AH635" s="580">
        <f t="shared" si="944"/>
        <v>13.906075390444006</v>
      </c>
      <c r="AI635" s="580">
        <f t="shared" si="944"/>
        <v>13.863975276090844</v>
      </c>
      <c r="AJ635" s="580">
        <f t="shared" si="944"/>
        <v>10.718232044198897</v>
      </c>
      <c r="AK635" s="580">
        <f t="shared" si="944"/>
        <v>14.552336757246529</v>
      </c>
      <c r="AL635" s="580">
        <f t="shared" si="944"/>
        <v>10.589105447276358</v>
      </c>
      <c r="AM635" s="580">
        <f>AM89/AM$40*100</f>
        <v>8.2841235026151558</v>
      </c>
      <c r="AN635" s="580">
        <f>AN89/AN$40*100</f>
        <v>7.5784262388727637</v>
      </c>
      <c r="AO635" s="580">
        <f t="shared" si="944"/>
        <v>9.6518248490246972</v>
      </c>
      <c r="AP635" s="580">
        <f t="shared" si="944"/>
        <v>10.808330559650031</v>
      </c>
      <c r="AQ635" s="580">
        <f t="shared" si="944"/>
        <v>12.219856536813552</v>
      </c>
      <c r="AR635" s="580">
        <f t="shared" si="944"/>
        <v>13.577681133390623</v>
      </c>
      <c r="AS635" s="580">
        <f t="shared" si="944"/>
        <v>15.537954846909615</v>
      </c>
      <c r="AT635" s="580">
        <f t="shared" si="944"/>
        <v>15.808529683967782</v>
      </c>
      <c r="AU635" s="580">
        <f t="shared" si="944"/>
        <v>17.002750444924914</v>
      </c>
      <c r="AV635" s="580">
        <f t="shared" si="944"/>
        <v>15.170717161174881</v>
      </c>
      <c r="AW635" s="580">
        <f t="shared" si="944"/>
        <v>15.709541160158638</v>
      </c>
      <c r="AX635" s="580">
        <f t="shared" si="944"/>
        <v>15.970725961676585</v>
      </c>
      <c r="AY635" s="580">
        <f t="shared" si="944"/>
        <v>16.30794322510911</v>
      </c>
      <c r="AZ635" s="580">
        <f t="shared" si="944"/>
        <v>15.108716207458547</v>
      </c>
      <c r="BA635" s="580">
        <f t="shared" si="944"/>
        <v>15.590838500472723</v>
      </c>
      <c r="BB635" s="580">
        <f t="shared" si="944"/>
        <v>17.129338994642872</v>
      </c>
      <c r="BC635" s="580">
        <f t="shared" si="944"/>
        <v>16.463073800801457</v>
      </c>
      <c r="BD635" s="580">
        <f t="shared" si="944"/>
        <v>14.764492381300778</v>
      </c>
      <c r="BE635" s="580">
        <f t="shared" si="944"/>
        <v>14.895623843616763</v>
      </c>
      <c r="BF635" s="580">
        <f t="shared" si="944"/>
        <v>15.126249143220297</v>
      </c>
      <c r="BG635" s="580">
        <f t="shared" si="944"/>
        <v>16.133429404527149</v>
      </c>
      <c r="BH635" s="580">
        <f t="shared" si="944"/>
        <v>16.975457586808641</v>
      </c>
      <c r="BI635" s="580">
        <f t="shared" si="944"/>
        <v>16.937944574667281</v>
      </c>
      <c r="BJ635" s="580">
        <f t="shared" si="944"/>
        <v>15.766754234843816</v>
      </c>
      <c r="BK635" s="580">
        <f t="shared" si="944"/>
        <v>16.210117409965754</v>
      </c>
      <c r="BL635" s="580">
        <f t="shared" ref="BL635:BQ635" si="945">BL89/BL$40*100</f>
        <v>15.368373756047221</v>
      </c>
      <c r="BM635" s="580">
        <f t="shared" si="945"/>
        <v>16.746351304441156</v>
      </c>
      <c r="BN635" s="580">
        <f t="shared" si="945"/>
        <v>13.827585170677201</v>
      </c>
      <c r="BO635" s="580">
        <f t="shared" si="945"/>
        <v>13.003709377255051</v>
      </c>
      <c r="BP635" s="580">
        <f t="shared" si="945"/>
        <v>17.097912588761403</v>
      </c>
      <c r="BQ635" s="580">
        <f t="shared" si="945"/>
        <v>17.309216867271711</v>
      </c>
      <c r="BR635" s="580">
        <f t="shared" ref="BR635:BS635" si="946">BR89/BR$40*100</f>
        <v>17.495308976662951</v>
      </c>
      <c r="BS635" s="580">
        <f t="shared" si="946"/>
        <v>17.713065982024407</v>
      </c>
    </row>
    <row r="636" spans="1:71" s="245" customFormat="1">
      <c r="A636" s="243"/>
      <c r="B636" s="243" t="s">
        <v>2119</v>
      </c>
      <c r="C636" s="243" t="s">
        <v>2120</v>
      </c>
      <c r="D636" s="243"/>
      <c r="F636" s="245" t="e">
        <f t="shared" ref="F636:AD636" si="947">F499/F$446*100</f>
        <v>#DIV/0!</v>
      </c>
      <c r="G636" s="245" t="e">
        <f t="shared" si="947"/>
        <v>#DIV/0!</v>
      </c>
      <c r="H636" s="245" t="e">
        <f t="shared" si="947"/>
        <v>#DIV/0!</v>
      </c>
      <c r="I636" s="245" t="e">
        <f t="shared" si="947"/>
        <v>#DIV/0!</v>
      </c>
      <c r="J636" s="245" t="e">
        <f t="shared" si="947"/>
        <v>#DIV/0!</v>
      </c>
      <c r="K636" s="245">
        <f t="shared" si="947"/>
        <v>10.718232044198897</v>
      </c>
      <c r="L636" s="245">
        <f t="shared" si="947"/>
        <v>14.552336757246529</v>
      </c>
      <c r="M636" s="245">
        <f t="shared" si="947"/>
        <v>9.9752523738130865</v>
      </c>
      <c r="N636" s="245">
        <f t="shared" si="947"/>
        <v>7.5439755115813867</v>
      </c>
      <c r="O636" s="245">
        <f t="shared" si="947"/>
        <v>7.5784262388727637</v>
      </c>
      <c r="P636" s="245">
        <f t="shared" si="947"/>
        <v>8.9325584771800699</v>
      </c>
      <c r="Q636" s="245">
        <f t="shared" si="947"/>
        <v>9.9367600209214899</v>
      </c>
      <c r="R636" s="245">
        <f t="shared" si="947"/>
        <v>10.628593880249127</v>
      </c>
      <c r="S636" s="245">
        <f t="shared" si="947"/>
        <v>13.269530932618324</v>
      </c>
      <c r="T636" s="245">
        <f t="shared" si="947"/>
        <v>15.06180065177263</v>
      </c>
      <c r="U636" s="245">
        <f t="shared" si="947"/>
        <v>15.39142176571438</v>
      </c>
      <c r="V636" s="245">
        <f t="shared" si="947"/>
        <v>16.598302666607832</v>
      </c>
      <c r="W636" s="245">
        <f t="shared" si="947"/>
        <v>15.170717161174881</v>
      </c>
      <c r="X636" s="245">
        <f t="shared" si="947"/>
        <v>15.709541160158638</v>
      </c>
      <c r="Y636" s="245">
        <f t="shared" si="947"/>
        <v>15.970725961676585</v>
      </c>
      <c r="Z636" s="245">
        <f t="shared" si="947"/>
        <v>21.552237869711128</v>
      </c>
      <c r="AA636" s="245">
        <f t="shared" si="947"/>
        <v>15.108716207458547</v>
      </c>
      <c r="AB636" s="245">
        <f t="shared" si="947"/>
        <v>15.047425036926212</v>
      </c>
      <c r="AC636" s="245">
        <f t="shared" si="947"/>
        <v>16.775179556709023</v>
      </c>
      <c r="AD636" s="245">
        <f t="shared" si="947"/>
        <v>16.503512890631704</v>
      </c>
      <c r="AE636" s="245">
        <f>AE499/AE$446*100</f>
        <v>14.764492381300778</v>
      </c>
      <c r="AF636" s="580">
        <f>AF92/AF$40*100</f>
        <v>12.548464129734038</v>
      </c>
      <c r="AG636" s="580">
        <f t="shared" ref="AG636:BK636" si="948">AG92/AG$40*100</f>
        <v>13.606489406683982</v>
      </c>
      <c r="AH636" s="580">
        <f t="shared" si="948"/>
        <v>13.906075390444006</v>
      </c>
      <c r="AI636" s="580">
        <f t="shared" si="948"/>
        <v>13.863975276090844</v>
      </c>
      <c r="AJ636" s="580">
        <f t="shared" si="948"/>
        <v>10.718232044198897</v>
      </c>
      <c r="AK636" s="580">
        <f t="shared" si="948"/>
        <v>14.552336757246529</v>
      </c>
      <c r="AL636" s="580">
        <f t="shared" si="948"/>
        <v>10.589105447276358</v>
      </c>
      <c r="AM636" s="580">
        <f>AM92/AM$40*100</f>
        <v>8.2841235026151558</v>
      </c>
      <c r="AN636" s="580">
        <f>AN92/AN$40*100</f>
        <v>7.5784262388727637</v>
      </c>
      <c r="AO636" s="580">
        <f t="shared" si="948"/>
        <v>9.6518248490246972</v>
      </c>
      <c r="AP636" s="580">
        <f t="shared" si="948"/>
        <v>10.808330559650031</v>
      </c>
      <c r="AQ636" s="580">
        <f t="shared" si="948"/>
        <v>12.219856536813552</v>
      </c>
      <c r="AR636" s="580">
        <f t="shared" si="948"/>
        <v>13.577681133390623</v>
      </c>
      <c r="AS636" s="580">
        <f t="shared" si="948"/>
        <v>15.537954846909615</v>
      </c>
      <c r="AT636" s="580">
        <f t="shared" si="948"/>
        <v>15.808529683967782</v>
      </c>
      <c r="AU636" s="580">
        <f t="shared" si="948"/>
        <v>17.002750444924914</v>
      </c>
      <c r="AV636" s="580">
        <f t="shared" si="948"/>
        <v>15.170717161174881</v>
      </c>
      <c r="AW636" s="580">
        <f t="shared" si="948"/>
        <v>15.709541160158638</v>
      </c>
      <c r="AX636" s="580">
        <f t="shared" si="948"/>
        <v>15.970725961676585</v>
      </c>
      <c r="AY636" s="580">
        <f t="shared" si="948"/>
        <v>16.30794322510911</v>
      </c>
      <c r="AZ636" s="580">
        <f t="shared" si="948"/>
        <v>15.108716207458547</v>
      </c>
      <c r="BA636" s="580">
        <f t="shared" si="948"/>
        <v>15.590838500472723</v>
      </c>
      <c r="BB636" s="580">
        <f t="shared" si="948"/>
        <v>17.129338994642872</v>
      </c>
      <c r="BC636" s="580">
        <f t="shared" si="948"/>
        <v>16.463073800801457</v>
      </c>
      <c r="BD636" s="580">
        <f t="shared" si="948"/>
        <v>14.764492381300778</v>
      </c>
      <c r="BE636" s="580">
        <f t="shared" si="948"/>
        <v>14.895623843616763</v>
      </c>
      <c r="BF636" s="580">
        <f t="shared" si="948"/>
        <v>15.126249143220297</v>
      </c>
      <c r="BG636" s="580">
        <f t="shared" si="948"/>
        <v>16.133429404527149</v>
      </c>
      <c r="BH636" s="580">
        <f t="shared" si="948"/>
        <v>16.975457586808641</v>
      </c>
      <c r="BI636" s="580">
        <f t="shared" si="948"/>
        <v>16.937944574667281</v>
      </c>
      <c r="BJ636" s="580">
        <f t="shared" si="948"/>
        <v>15.766754234843816</v>
      </c>
      <c r="BK636" s="580">
        <f t="shared" si="948"/>
        <v>16.210117409965754</v>
      </c>
      <c r="BL636" s="580">
        <f t="shared" ref="BL636:BQ636" si="949">BL92/BL$40*100</f>
        <v>15.368373756047221</v>
      </c>
      <c r="BM636" s="580">
        <f t="shared" si="949"/>
        <v>16.746351304441156</v>
      </c>
      <c r="BN636" s="580">
        <f t="shared" si="949"/>
        <v>13.827585170677201</v>
      </c>
      <c r="BO636" s="580">
        <f t="shared" si="949"/>
        <v>13.003709377255051</v>
      </c>
      <c r="BP636" s="580">
        <f t="shared" si="949"/>
        <v>17.097912588761403</v>
      </c>
      <c r="BQ636" s="580">
        <f t="shared" si="949"/>
        <v>17.309216867271711</v>
      </c>
      <c r="BR636" s="580">
        <f t="shared" ref="BR636:BS636" si="950">BR92/BR$40*100</f>
        <v>17.495308976662951</v>
      </c>
      <c r="BS636" s="580">
        <f t="shared" si="950"/>
        <v>17.713065982024407</v>
      </c>
    </row>
    <row r="637" spans="1:71" s="245" customFormat="1">
      <c r="A637" s="243"/>
      <c r="B637" s="243" t="s">
        <v>2121</v>
      </c>
      <c r="C637" s="243" t="s">
        <v>2122</v>
      </c>
      <c r="D637" s="243"/>
      <c r="F637" s="245" t="e">
        <f t="shared" ref="F637:AD637" si="951">F505/F446*100</f>
        <v>#DIV/0!</v>
      </c>
      <c r="G637" s="245" t="e">
        <f t="shared" si="951"/>
        <v>#DIV/0!</v>
      </c>
      <c r="H637" s="245" t="e">
        <f t="shared" si="951"/>
        <v>#DIV/0!</v>
      </c>
      <c r="I637" s="245" t="e">
        <f t="shared" si="951"/>
        <v>#DIV/0!</v>
      </c>
      <c r="J637" s="245" t="e">
        <f t="shared" si="951"/>
        <v>#DIV/0!</v>
      </c>
      <c r="K637" s="245">
        <f t="shared" si="951"/>
        <v>10.718232044198897</v>
      </c>
      <c r="L637" s="245">
        <f t="shared" si="951"/>
        <v>14.552336757246529</v>
      </c>
      <c r="M637" s="245">
        <f t="shared" si="951"/>
        <v>8.542928535732127</v>
      </c>
      <c r="N637" s="245">
        <f t="shared" si="951"/>
        <v>5.8169635325025952</v>
      </c>
      <c r="O637" s="245">
        <f t="shared" si="951"/>
        <v>7.5784262388727637</v>
      </c>
      <c r="P637" s="245">
        <f t="shared" si="951"/>
        <v>7.2542702762092768</v>
      </c>
      <c r="Q637" s="245">
        <f t="shared" si="951"/>
        <v>7.9030954305548882</v>
      </c>
      <c r="R637" s="245">
        <f t="shared" si="951"/>
        <v>6.9156476815988093</v>
      </c>
      <c r="S637" s="245">
        <f t="shared" si="951"/>
        <v>12.550513797482957</v>
      </c>
      <c r="T637" s="245">
        <f t="shared" si="951"/>
        <v>13.950774196452995</v>
      </c>
      <c r="U637" s="245">
        <f t="shared" si="951"/>
        <v>14.418169956456442</v>
      </c>
      <c r="V637" s="245">
        <f t="shared" si="951"/>
        <v>15.654591183867977</v>
      </c>
      <c r="W637" s="245">
        <f t="shared" si="951"/>
        <v>15.170717161174881</v>
      </c>
      <c r="X637" s="245">
        <f t="shared" si="951"/>
        <v>15.709541160158638</v>
      </c>
      <c r="Y637" s="245">
        <f t="shared" si="951"/>
        <v>15.970725961676585</v>
      </c>
      <c r="Z637" s="245">
        <f t="shared" si="951"/>
        <v>33.788925373782504</v>
      </c>
      <c r="AA637" s="245">
        <f t="shared" si="951"/>
        <v>15.108716207458547</v>
      </c>
      <c r="AB637" s="245">
        <f t="shared" si="951"/>
        <v>13.779460288651016</v>
      </c>
      <c r="AC637" s="245">
        <f t="shared" si="951"/>
        <v>15.948807534863372</v>
      </c>
      <c r="AD637" s="245">
        <f t="shared" si="951"/>
        <v>16.597870766902279</v>
      </c>
      <c r="AE637" s="245">
        <f>AE505/AE446*100</f>
        <v>14.764492381300778</v>
      </c>
      <c r="AF637" s="580">
        <f>AF100/AF40*100</f>
        <v>12.076761733540346</v>
      </c>
      <c r="AG637" s="580">
        <f t="shared" ref="AG637:BK637" si="952">AG100/AG40*100</f>
        <v>13.089241657327463</v>
      </c>
      <c r="AH637" s="580">
        <f t="shared" si="952"/>
        <v>13.426367576112735</v>
      </c>
      <c r="AI637" s="580">
        <f t="shared" si="952"/>
        <v>13.326273475827183</v>
      </c>
      <c r="AJ637" s="580">
        <f t="shared" si="952"/>
        <v>10.718232044198897</v>
      </c>
      <c r="AK637" s="580">
        <f t="shared" si="952"/>
        <v>14.224623383661752</v>
      </c>
      <c r="AL637" s="580">
        <f t="shared" si="952"/>
        <v>8.5429285357321287</v>
      </c>
      <c r="AM637" s="580">
        <f>AM100/AM40*100</f>
        <v>5.8227481983176306</v>
      </c>
      <c r="AN637" s="580">
        <f>AN100/AN40*100</f>
        <v>7.5784262388727637</v>
      </c>
      <c r="AO637" s="580">
        <f t="shared" si="952"/>
        <v>7.2542702762092768</v>
      </c>
      <c r="AP637" s="580">
        <f t="shared" si="952"/>
        <v>7.810850649041881</v>
      </c>
      <c r="AQ637" s="580">
        <f t="shared" si="952"/>
        <v>6.9135238742493739</v>
      </c>
      <c r="AR637" s="580">
        <f t="shared" si="952"/>
        <v>12.550513797482957</v>
      </c>
      <c r="AS637" s="580">
        <f t="shared" si="952"/>
        <v>13.950774196452995</v>
      </c>
      <c r="AT637" s="580">
        <f t="shared" si="952"/>
        <v>14.418169956456442</v>
      </c>
      <c r="AU637" s="580">
        <f t="shared" si="952"/>
        <v>15.654591183867977</v>
      </c>
      <c r="AV637" s="580">
        <f t="shared" si="952"/>
        <v>15.170717161174881</v>
      </c>
      <c r="AW637" s="580">
        <f t="shared" si="952"/>
        <v>15.709541160158638</v>
      </c>
      <c r="AX637" s="580">
        <f t="shared" si="952"/>
        <v>15.970725961676585</v>
      </c>
      <c r="AY637" s="580">
        <f t="shared" si="952"/>
        <v>33.788925373782504</v>
      </c>
      <c r="AZ637" s="580">
        <f t="shared" si="952"/>
        <v>15.108716207458547</v>
      </c>
      <c r="BA637" s="580">
        <f t="shared" si="952"/>
        <v>13.779460288651016</v>
      </c>
      <c r="BB637" s="580">
        <f t="shared" si="952"/>
        <v>15.948807534863372</v>
      </c>
      <c r="BC637" s="580">
        <f t="shared" si="952"/>
        <v>16.597870766902275</v>
      </c>
      <c r="BD637" s="580">
        <f t="shared" si="952"/>
        <v>14.764492381300778</v>
      </c>
      <c r="BE637" s="580">
        <f t="shared" si="952"/>
        <v>14.895623843616763</v>
      </c>
      <c r="BF637" s="580">
        <f t="shared" si="952"/>
        <v>15.126249143220297</v>
      </c>
      <c r="BG637" s="580">
        <f t="shared" si="952"/>
        <v>16.133429404527149</v>
      </c>
      <c r="BH637" s="580">
        <f t="shared" si="952"/>
        <v>15.020698052774447</v>
      </c>
      <c r="BI637" s="580">
        <f t="shared" si="952"/>
        <v>16.177348697266989</v>
      </c>
      <c r="BJ637" s="580">
        <f t="shared" si="952"/>
        <v>17.628292576453251</v>
      </c>
      <c r="BK637" s="580">
        <f t="shared" si="952"/>
        <v>15.488343142840341</v>
      </c>
      <c r="BL637" s="580">
        <f t="shared" ref="BL637:BQ637" si="953">BL100/BL40*100</f>
        <v>14.088389901016866</v>
      </c>
      <c r="BM637" s="580">
        <f t="shared" si="953"/>
        <v>9.9092919945866988</v>
      </c>
      <c r="BN637" s="580">
        <f t="shared" si="953"/>
        <v>15.223866350136189</v>
      </c>
      <c r="BO637" s="580">
        <f t="shared" si="953"/>
        <v>13.118282292471095</v>
      </c>
      <c r="BP637" s="580">
        <f t="shared" si="953"/>
        <v>17.097912588761403</v>
      </c>
      <c r="BQ637" s="580">
        <f t="shared" si="953"/>
        <v>17.309216867271711</v>
      </c>
      <c r="BR637" s="580">
        <f t="shared" ref="BR637:BS637" si="954">BR100/BR40*100</f>
        <v>17.495308976662951</v>
      </c>
      <c r="BS637" s="580">
        <f t="shared" si="954"/>
        <v>17.713065982024407</v>
      </c>
    </row>
    <row r="638" spans="1:71" s="240" customFormat="1">
      <c r="A638" s="209"/>
      <c r="B638" s="209"/>
      <c r="C638" s="209"/>
      <c r="D638" s="209"/>
      <c r="AF638" s="579"/>
      <c r="AG638" s="579"/>
      <c r="AH638" s="579"/>
      <c r="AI638" s="579"/>
      <c r="AJ638" s="579"/>
      <c r="AK638" s="579"/>
      <c r="AL638" s="579"/>
      <c r="AM638" s="579"/>
      <c r="AN638" s="579"/>
      <c r="AO638" s="579"/>
      <c r="AP638" s="579"/>
      <c r="AQ638" s="579"/>
      <c r="AR638" s="579"/>
      <c r="AS638" s="579"/>
      <c r="AT638" s="579"/>
      <c r="AU638" s="579"/>
      <c r="AV638" s="579"/>
      <c r="AW638" s="579"/>
      <c r="AX638" s="579"/>
      <c r="AY638" s="579"/>
      <c r="AZ638" s="579"/>
      <c r="BA638" s="579"/>
      <c r="BB638" s="579"/>
      <c r="BC638" s="579"/>
      <c r="BD638" s="579"/>
      <c r="BE638" s="579"/>
      <c r="BF638" s="579"/>
      <c r="BG638" s="579"/>
      <c r="BH638" s="579"/>
      <c r="BI638" s="579"/>
      <c r="BJ638" s="579"/>
      <c r="BK638" s="579"/>
    </row>
    <row r="639" spans="1:71" s="240" customFormat="1">
      <c r="A639" s="209"/>
      <c r="B639" s="209"/>
      <c r="C639" s="209"/>
      <c r="D639" s="209"/>
      <c r="AF639" s="579"/>
      <c r="AG639" s="579"/>
      <c r="AH639" s="579"/>
      <c r="AI639" s="579"/>
      <c r="AJ639" s="579"/>
      <c r="AK639" s="579"/>
      <c r="AL639" s="579"/>
      <c r="AM639" s="579"/>
      <c r="AN639" s="579"/>
      <c r="AO639" s="579"/>
      <c r="AP639" s="579"/>
      <c r="AQ639" s="579"/>
      <c r="AR639" s="579"/>
      <c r="AS639" s="579"/>
      <c r="AT639" s="579"/>
      <c r="AU639" s="579"/>
      <c r="AV639" s="579"/>
      <c r="AW639" s="579"/>
      <c r="AX639" s="579"/>
      <c r="AY639" s="579"/>
      <c r="AZ639" s="579"/>
      <c r="BA639" s="579"/>
      <c r="BB639" s="579"/>
      <c r="BC639" s="579"/>
      <c r="BD639" s="579"/>
      <c r="BE639" s="579"/>
      <c r="BF639" s="579"/>
      <c r="BG639" s="579"/>
      <c r="BH639" s="579"/>
      <c r="BI639" s="579"/>
      <c r="BJ639" s="579"/>
      <c r="BK639" s="579"/>
    </row>
    <row r="640" spans="1:71" s="240" customFormat="1">
      <c r="A640" s="209"/>
      <c r="B640" s="209"/>
      <c r="C640" s="250" t="s">
        <v>2123</v>
      </c>
      <c r="D640" s="209"/>
      <c r="AF640" s="579"/>
      <c r="AG640" s="579"/>
      <c r="AH640" s="579"/>
      <c r="AI640" s="579"/>
      <c r="AJ640" s="579"/>
      <c r="AK640" s="579"/>
      <c r="AL640" s="579"/>
      <c r="AM640" s="579"/>
      <c r="AN640" s="579"/>
      <c r="AO640" s="579"/>
      <c r="AP640" s="579"/>
      <c r="AQ640" s="579"/>
      <c r="AR640" s="579"/>
      <c r="AS640" s="579"/>
      <c r="AT640" s="579"/>
      <c r="AU640" s="579"/>
      <c r="AV640" s="579"/>
      <c r="AW640" s="579"/>
      <c r="AX640" s="579"/>
      <c r="AY640" s="579"/>
      <c r="AZ640" s="579"/>
      <c r="BA640" s="579"/>
      <c r="BB640" s="579"/>
      <c r="BC640" s="579"/>
      <c r="BD640" s="579"/>
      <c r="BE640" s="579"/>
      <c r="BF640" s="579"/>
      <c r="BG640" s="579"/>
      <c r="BH640" s="579"/>
      <c r="BI640" s="579"/>
      <c r="BJ640" s="579"/>
      <c r="BK640" s="579"/>
    </row>
    <row r="641" spans="1:63" s="240" customFormat="1">
      <c r="A641" s="209"/>
      <c r="B641" s="209"/>
      <c r="C641" s="209"/>
      <c r="D641" s="209"/>
      <c r="AF641" s="579"/>
      <c r="AG641" s="579"/>
      <c r="AH641" s="579"/>
      <c r="AI641" s="579"/>
      <c r="AJ641" s="579"/>
      <c r="AK641" s="579"/>
      <c r="AL641" s="579"/>
      <c r="AM641" s="579"/>
      <c r="AN641" s="579"/>
      <c r="AO641" s="579"/>
      <c r="AP641" s="579"/>
      <c r="AQ641" s="579"/>
      <c r="AR641" s="579"/>
      <c r="AS641" s="579"/>
      <c r="AT641" s="579"/>
      <c r="AU641" s="579"/>
      <c r="AV641" s="579"/>
      <c r="AW641" s="579"/>
      <c r="AX641" s="579"/>
      <c r="AY641" s="579"/>
      <c r="AZ641" s="579"/>
      <c r="BA641" s="579"/>
      <c r="BB641" s="579"/>
      <c r="BC641" s="579"/>
      <c r="BD641" s="579"/>
      <c r="BE641" s="579"/>
      <c r="BF641" s="579"/>
      <c r="BG641" s="579"/>
      <c r="BH641" s="579"/>
      <c r="BI641" s="579"/>
      <c r="BJ641" s="579"/>
      <c r="BK641" s="579"/>
    </row>
    <row r="642" spans="1:63" s="245" customFormat="1">
      <c r="A642" s="243"/>
      <c r="B642" s="243"/>
      <c r="C642" s="243" t="s">
        <v>2124</v>
      </c>
      <c r="D642" s="243"/>
      <c r="F642" s="245">
        <f t="shared" ref="F642:AD642" si="955">F649+F650</f>
        <v>0</v>
      </c>
      <c r="G642" s="245">
        <f t="shared" si="955"/>
        <v>0</v>
      </c>
      <c r="H642" s="245">
        <f t="shared" si="955"/>
        <v>0</v>
      </c>
      <c r="I642" s="245">
        <f t="shared" si="955"/>
        <v>0</v>
      </c>
      <c r="J642" s="245">
        <f t="shared" si="955"/>
        <v>0</v>
      </c>
      <c r="K642" s="245">
        <f t="shared" si="955"/>
        <v>0</v>
      </c>
      <c r="L642" s="245">
        <f t="shared" si="955"/>
        <v>0</v>
      </c>
      <c r="M642" s="245">
        <f t="shared" si="955"/>
        <v>0</v>
      </c>
      <c r="N642" s="245">
        <f t="shared" si="955"/>
        <v>0</v>
      </c>
      <c r="O642" s="245">
        <f t="shared" si="955"/>
        <v>0</v>
      </c>
      <c r="P642" s="245">
        <f t="shared" si="955"/>
        <v>0</v>
      </c>
      <c r="Q642" s="245">
        <f t="shared" si="955"/>
        <v>0</v>
      </c>
      <c r="R642" s="245">
        <f t="shared" si="955"/>
        <v>0</v>
      </c>
      <c r="S642" s="245">
        <f t="shared" si="955"/>
        <v>0</v>
      </c>
      <c r="T642" s="245">
        <f t="shared" si="955"/>
        <v>0</v>
      </c>
      <c r="U642" s="245">
        <f t="shared" si="955"/>
        <v>0</v>
      </c>
      <c r="V642" s="245">
        <f t="shared" si="955"/>
        <v>0</v>
      </c>
      <c r="W642" s="245">
        <f t="shared" si="955"/>
        <v>0</v>
      </c>
      <c r="X642" s="245">
        <f t="shared" si="955"/>
        <v>0</v>
      </c>
      <c r="Y642" s="245">
        <f t="shared" si="955"/>
        <v>0</v>
      </c>
      <c r="Z642" s="245">
        <f t="shared" si="955"/>
        <v>0</v>
      </c>
      <c r="AA642" s="245">
        <f t="shared" si="955"/>
        <v>0</v>
      </c>
      <c r="AB642" s="245">
        <f t="shared" si="955"/>
        <v>0</v>
      </c>
      <c r="AC642" s="245">
        <f t="shared" si="955"/>
        <v>0</v>
      </c>
      <c r="AD642" s="245">
        <f t="shared" si="955"/>
        <v>0</v>
      </c>
      <c r="AE642" s="245">
        <f>AE649+AE650</f>
        <v>0</v>
      </c>
      <c r="AF642" s="580">
        <f t="shared" ref="AF642:BK642" si="956">AF649+AF650</f>
        <v>0</v>
      </c>
      <c r="AG642" s="580">
        <f t="shared" si="956"/>
        <v>0</v>
      </c>
      <c r="AH642" s="580">
        <f t="shared" si="956"/>
        <v>0</v>
      </c>
      <c r="AI642" s="580">
        <f t="shared" si="956"/>
        <v>0</v>
      </c>
      <c r="AJ642" s="580">
        <f t="shared" si="956"/>
        <v>0</v>
      </c>
      <c r="AK642" s="580">
        <f t="shared" si="956"/>
        <v>0</v>
      </c>
      <c r="AL642" s="580">
        <f t="shared" si="956"/>
        <v>0</v>
      </c>
      <c r="AM642" s="580">
        <f>AM649+AM650</f>
        <v>0</v>
      </c>
      <c r="AN642" s="580">
        <f t="shared" si="956"/>
        <v>0</v>
      </c>
      <c r="AO642" s="580">
        <f t="shared" si="956"/>
        <v>0</v>
      </c>
      <c r="AP642" s="580">
        <f t="shared" si="956"/>
        <v>0</v>
      </c>
      <c r="AQ642" s="580">
        <f t="shared" si="956"/>
        <v>0</v>
      </c>
      <c r="AR642" s="580">
        <f t="shared" si="956"/>
        <v>0</v>
      </c>
      <c r="AS642" s="580">
        <f t="shared" si="956"/>
        <v>0</v>
      </c>
      <c r="AT642" s="580">
        <f t="shared" si="956"/>
        <v>0</v>
      </c>
      <c r="AU642" s="580">
        <f t="shared" si="956"/>
        <v>0</v>
      </c>
      <c r="AV642" s="580">
        <f t="shared" si="956"/>
        <v>0</v>
      </c>
      <c r="AW642" s="580">
        <f t="shared" si="956"/>
        <v>0</v>
      </c>
      <c r="AX642" s="580">
        <f t="shared" si="956"/>
        <v>0</v>
      </c>
      <c r="AY642" s="580">
        <f t="shared" si="956"/>
        <v>0</v>
      </c>
      <c r="AZ642" s="580">
        <f t="shared" si="956"/>
        <v>0</v>
      </c>
      <c r="BA642" s="580">
        <f t="shared" si="956"/>
        <v>0</v>
      </c>
      <c r="BB642" s="580">
        <f t="shared" si="956"/>
        <v>0</v>
      </c>
      <c r="BC642" s="580">
        <f t="shared" si="956"/>
        <v>0</v>
      </c>
      <c r="BD642" s="580">
        <f t="shared" si="956"/>
        <v>0</v>
      </c>
      <c r="BE642" s="580">
        <f t="shared" si="956"/>
        <v>0</v>
      </c>
      <c r="BF642" s="580">
        <f t="shared" si="956"/>
        <v>0</v>
      </c>
      <c r="BG642" s="580">
        <f t="shared" si="956"/>
        <v>0</v>
      </c>
      <c r="BH642" s="580">
        <f t="shared" si="956"/>
        <v>0</v>
      </c>
      <c r="BI642" s="580">
        <f t="shared" si="956"/>
        <v>0</v>
      </c>
      <c r="BJ642" s="580">
        <f t="shared" si="956"/>
        <v>0</v>
      </c>
      <c r="BK642" s="580">
        <f t="shared" si="956"/>
        <v>0</v>
      </c>
    </row>
    <row r="643" spans="1:63" s="240" customFormat="1">
      <c r="A643" s="209"/>
      <c r="B643" s="209"/>
      <c r="C643" s="209" t="s">
        <v>2125</v>
      </c>
      <c r="D643" s="209"/>
      <c r="AF643" s="579"/>
      <c r="AG643" s="579"/>
      <c r="AH643" s="579"/>
      <c r="AI643" s="579"/>
      <c r="AJ643" s="579"/>
      <c r="AK643" s="579"/>
      <c r="AL643" s="579"/>
      <c r="AM643" s="579"/>
      <c r="AN643" s="579"/>
      <c r="AO643" s="579"/>
      <c r="AP643" s="579"/>
      <c r="AQ643" s="579"/>
      <c r="AR643" s="579"/>
      <c r="AS643" s="579"/>
      <c r="AT643" s="579"/>
      <c r="AU643" s="579"/>
      <c r="AV643" s="579"/>
      <c r="AW643" s="579"/>
      <c r="AX643" s="579"/>
      <c r="AY643" s="579"/>
      <c r="AZ643" s="579"/>
      <c r="BA643" s="579"/>
      <c r="BB643" s="579"/>
      <c r="BC643" s="579"/>
      <c r="BD643" s="579"/>
      <c r="BE643" s="579"/>
      <c r="BF643" s="579"/>
      <c r="BG643" s="579"/>
      <c r="BH643" s="579"/>
      <c r="BI643" s="579"/>
      <c r="BJ643" s="579"/>
      <c r="BK643" s="579"/>
    </row>
    <row r="644" spans="1:63" s="240" customFormat="1">
      <c r="A644" s="209"/>
      <c r="B644" s="209" t="s">
        <v>798</v>
      </c>
      <c r="C644" s="209" t="str">
        <f>IF(ISBLANK($E$19),"Please enter name of segment above", $E$19)</f>
        <v>Please enter name of segment above</v>
      </c>
      <c r="D644" s="209"/>
      <c r="F644" s="251"/>
      <c r="G644" s="251"/>
      <c r="H644" s="251"/>
      <c r="I644" s="251"/>
      <c r="J644" s="251"/>
      <c r="K644" s="251"/>
      <c r="L644" s="251"/>
      <c r="M644" s="251"/>
      <c r="N644" s="251"/>
      <c r="O644" s="251"/>
      <c r="P644" s="251"/>
      <c r="Q644" s="251"/>
      <c r="R644" s="251"/>
      <c r="S644" s="251"/>
      <c r="T644" s="251"/>
      <c r="U644" s="251"/>
      <c r="V644" s="251"/>
      <c r="W644" s="251"/>
      <c r="X644" s="251"/>
      <c r="Y644" s="251"/>
      <c r="Z644" s="251"/>
      <c r="AA644" s="251"/>
      <c r="AB644" s="251"/>
      <c r="AC644" s="251"/>
      <c r="AD644" s="251"/>
      <c r="AE644" s="251"/>
      <c r="AF644" s="579"/>
      <c r="AG644" s="579"/>
      <c r="AH644" s="579"/>
      <c r="AI644" s="579"/>
      <c r="AJ644" s="579"/>
      <c r="AK644" s="579"/>
      <c r="AL644" s="579"/>
      <c r="AM644" s="579"/>
      <c r="AN644" s="579"/>
      <c r="AO644" s="579"/>
      <c r="AP644" s="579"/>
      <c r="AQ644" s="579"/>
      <c r="AR644" s="579"/>
      <c r="AS644" s="579"/>
      <c r="AT644" s="579"/>
      <c r="AU644" s="579"/>
      <c r="AV644" s="579"/>
      <c r="AW644" s="579"/>
      <c r="AX644" s="579"/>
      <c r="AY644" s="579"/>
      <c r="AZ644" s="579"/>
      <c r="BA644" s="579"/>
      <c r="BB644" s="579"/>
      <c r="BC644" s="579"/>
      <c r="BD644" s="579"/>
      <c r="BE644" s="579"/>
      <c r="BF644" s="579"/>
      <c r="BG644" s="579"/>
      <c r="BH644" s="579"/>
      <c r="BI644" s="579"/>
      <c r="BJ644" s="579"/>
      <c r="BK644" s="579"/>
    </row>
    <row r="645" spans="1:63" s="240" customFormat="1">
      <c r="A645" s="209"/>
      <c r="B645" s="209" t="s">
        <v>800</v>
      </c>
      <c r="C645" s="209" t="str">
        <f>IF(ISBLANK($E$20),"Please enter name of segment above", $E$20)</f>
        <v>Please enter name of segment above</v>
      </c>
      <c r="D645" s="209"/>
      <c r="F645" s="251"/>
      <c r="G645" s="251"/>
      <c r="H645" s="251"/>
      <c r="I645" s="251"/>
      <c r="J645" s="251"/>
      <c r="K645" s="251"/>
      <c r="L645" s="251"/>
      <c r="M645" s="251"/>
      <c r="N645" s="251"/>
      <c r="O645" s="251"/>
      <c r="P645" s="251"/>
      <c r="Q645" s="251"/>
      <c r="R645" s="251"/>
      <c r="S645" s="251"/>
      <c r="T645" s="251"/>
      <c r="U645" s="251"/>
      <c r="V645" s="251"/>
      <c r="W645" s="251"/>
      <c r="X645" s="251"/>
      <c r="Y645" s="251"/>
      <c r="Z645" s="251"/>
      <c r="AA645" s="251"/>
      <c r="AB645" s="251"/>
      <c r="AC645" s="251"/>
      <c r="AD645" s="251"/>
      <c r="AE645" s="251"/>
      <c r="AF645" s="579"/>
      <c r="AG645" s="579"/>
      <c r="AH645" s="579"/>
      <c r="AI645" s="579"/>
      <c r="AJ645" s="579"/>
      <c r="AK645" s="579"/>
      <c r="AL645" s="579"/>
      <c r="AM645" s="579"/>
      <c r="AN645" s="579"/>
      <c r="AO645" s="579"/>
      <c r="AP645" s="579"/>
      <c r="AQ645" s="579"/>
      <c r="AR645" s="579"/>
      <c r="AS645" s="579"/>
      <c r="AT645" s="579"/>
      <c r="AU645" s="579"/>
      <c r="AV645" s="579"/>
      <c r="AW645" s="579"/>
      <c r="AX645" s="579"/>
      <c r="AY645" s="579"/>
      <c r="AZ645" s="579"/>
      <c r="BA645" s="579"/>
      <c r="BB645" s="579"/>
      <c r="BC645" s="579"/>
      <c r="BD645" s="579"/>
      <c r="BE645" s="579"/>
      <c r="BF645" s="579"/>
      <c r="BG645" s="579"/>
      <c r="BH645" s="579"/>
      <c r="BI645" s="579"/>
      <c r="BJ645" s="579"/>
      <c r="BK645" s="579"/>
    </row>
    <row r="646" spans="1:63" s="240" customFormat="1">
      <c r="A646" s="209"/>
      <c r="B646" s="209" t="s">
        <v>802</v>
      </c>
      <c r="C646" s="209" t="str">
        <f>IF(ISBLANK($E$21),"Please enter name of segment above", $E$21)</f>
        <v>Please enter name of segment above</v>
      </c>
      <c r="D646" s="209"/>
      <c r="F646" s="251"/>
      <c r="G646" s="251"/>
      <c r="H646" s="251"/>
      <c r="I646" s="251"/>
      <c r="J646" s="251"/>
      <c r="K646" s="251"/>
      <c r="L646" s="251"/>
      <c r="M646" s="251"/>
      <c r="N646" s="251"/>
      <c r="O646" s="251"/>
      <c r="P646" s="251"/>
      <c r="Q646" s="251"/>
      <c r="R646" s="251"/>
      <c r="S646" s="251"/>
      <c r="T646" s="251"/>
      <c r="U646" s="251"/>
      <c r="V646" s="251"/>
      <c r="W646" s="251"/>
      <c r="X646" s="251"/>
      <c r="Y646" s="251"/>
      <c r="Z646" s="251"/>
      <c r="AA646" s="251"/>
      <c r="AB646" s="251"/>
      <c r="AC646" s="251"/>
      <c r="AD646" s="251"/>
      <c r="AE646" s="251"/>
      <c r="AF646" s="579"/>
      <c r="AG646" s="579"/>
      <c r="AH646" s="579"/>
      <c r="AI646" s="579"/>
      <c r="AJ646" s="579"/>
      <c r="AK646" s="579"/>
      <c r="AL646" s="579"/>
      <c r="AM646" s="579"/>
      <c r="AN646" s="579"/>
      <c r="AO646" s="579"/>
      <c r="AP646" s="579"/>
      <c r="AQ646" s="579"/>
      <c r="AR646" s="579"/>
      <c r="AS646" s="579"/>
      <c r="AT646" s="579"/>
      <c r="AU646" s="579"/>
      <c r="AV646" s="579"/>
      <c r="AW646" s="579"/>
      <c r="AX646" s="579"/>
      <c r="AY646" s="579"/>
      <c r="AZ646" s="579"/>
      <c r="BA646" s="579"/>
      <c r="BB646" s="579"/>
      <c r="BC646" s="579"/>
      <c r="BD646" s="579"/>
      <c r="BE646" s="579"/>
      <c r="BF646" s="579"/>
      <c r="BG646" s="579"/>
      <c r="BH646" s="579"/>
      <c r="BI646" s="579"/>
      <c r="BJ646" s="579"/>
      <c r="BK646" s="579"/>
    </row>
    <row r="647" spans="1:63" s="240" customFormat="1">
      <c r="A647" s="209"/>
      <c r="B647" s="209" t="s">
        <v>804</v>
      </c>
      <c r="C647" s="209" t="str">
        <f>IF(ISBLANK($E$22),"Please enter name of segment above", $E$22)</f>
        <v>Please enter name of segment above</v>
      </c>
      <c r="D647" s="209"/>
      <c r="F647" s="251"/>
      <c r="G647" s="251"/>
      <c r="H647" s="251"/>
      <c r="I647" s="251"/>
      <c r="J647" s="251"/>
      <c r="K647" s="251"/>
      <c r="L647" s="251"/>
      <c r="M647" s="251"/>
      <c r="N647" s="251"/>
      <c r="O647" s="251"/>
      <c r="P647" s="251"/>
      <c r="Q647" s="251"/>
      <c r="R647" s="251"/>
      <c r="S647" s="251"/>
      <c r="T647" s="251"/>
      <c r="U647" s="251"/>
      <c r="V647" s="251"/>
      <c r="W647" s="251"/>
      <c r="X647" s="251"/>
      <c r="Y647" s="251"/>
      <c r="Z647" s="251"/>
      <c r="AA647" s="251"/>
      <c r="AB647" s="251"/>
      <c r="AC647" s="251"/>
      <c r="AD647" s="251"/>
      <c r="AE647" s="251"/>
      <c r="AF647" s="579"/>
      <c r="AG647" s="579"/>
      <c r="AH647" s="579"/>
      <c r="AI647" s="579"/>
      <c r="AJ647" s="579"/>
      <c r="AK647" s="579"/>
      <c r="AL647" s="579"/>
      <c r="AM647" s="579"/>
      <c r="AN647" s="579"/>
      <c r="AO647" s="579"/>
      <c r="AP647" s="579"/>
      <c r="AQ647" s="579"/>
      <c r="AR647" s="579"/>
      <c r="AS647" s="579"/>
      <c r="AT647" s="579"/>
      <c r="AU647" s="579"/>
      <c r="AV647" s="579"/>
      <c r="AW647" s="579"/>
      <c r="AX647" s="579"/>
      <c r="AY647" s="579"/>
      <c r="AZ647" s="579"/>
      <c r="BA647" s="579"/>
      <c r="BB647" s="579"/>
      <c r="BC647" s="579"/>
      <c r="BD647" s="579"/>
      <c r="BE647" s="579"/>
      <c r="BF647" s="579"/>
      <c r="BG647" s="579"/>
      <c r="BH647" s="579"/>
      <c r="BI647" s="579"/>
      <c r="BJ647" s="579"/>
      <c r="BK647" s="579"/>
    </row>
    <row r="648" spans="1:63" s="240" customFormat="1">
      <c r="A648" s="209"/>
      <c r="B648" s="209" t="s">
        <v>806</v>
      </c>
      <c r="C648" s="209" t="str">
        <f>IF(ISBLANK($E$23),"Please enter name of segment above", $E$23)</f>
        <v>Please enter name of segment above</v>
      </c>
      <c r="D648" s="209"/>
      <c r="F648" s="251"/>
      <c r="G648" s="251"/>
      <c r="H648" s="251"/>
      <c r="I648" s="251"/>
      <c r="J648" s="251"/>
      <c r="K648" s="251"/>
      <c r="L648" s="251"/>
      <c r="M648" s="251"/>
      <c r="N648" s="251"/>
      <c r="O648" s="251"/>
      <c r="P648" s="251"/>
      <c r="Q648" s="251"/>
      <c r="R648" s="251"/>
      <c r="S648" s="251"/>
      <c r="T648" s="251"/>
      <c r="U648" s="251"/>
      <c r="V648" s="251"/>
      <c r="W648" s="251"/>
      <c r="X648" s="251"/>
      <c r="Y648" s="251"/>
      <c r="Z648" s="251"/>
      <c r="AA648" s="251"/>
      <c r="AB648" s="251"/>
      <c r="AC648" s="251"/>
      <c r="AD648" s="251"/>
      <c r="AE648" s="251"/>
      <c r="AF648" s="579"/>
      <c r="AG648" s="579"/>
      <c r="AH648" s="579"/>
      <c r="AI648" s="579"/>
      <c r="AJ648" s="579"/>
      <c r="AK648" s="579"/>
      <c r="AL648" s="579"/>
      <c r="AM648" s="579"/>
      <c r="AN648" s="579"/>
      <c r="AO648" s="579"/>
      <c r="AP648" s="579"/>
      <c r="AQ648" s="579"/>
      <c r="AR648" s="579"/>
      <c r="AS648" s="579"/>
      <c r="AT648" s="579"/>
      <c r="AU648" s="579"/>
      <c r="AV648" s="579"/>
      <c r="AW648" s="579"/>
      <c r="AX648" s="579"/>
      <c r="AY648" s="579"/>
      <c r="AZ648" s="579"/>
      <c r="BA648" s="579"/>
      <c r="BB648" s="579"/>
      <c r="BC648" s="579"/>
      <c r="BD648" s="579"/>
      <c r="BE648" s="579"/>
      <c r="BF648" s="579"/>
      <c r="BG648" s="579"/>
      <c r="BH648" s="579"/>
      <c r="BI648" s="579"/>
      <c r="BJ648" s="579"/>
      <c r="BK648" s="579"/>
    </row>
    <row r="649" spans="1:63" s="301" customFormat="1">
      <c r="A649" s="250"/>
      <c r="B649" s="250" t="s">
        <v>2126</v>
      </c>
      <c r="C649" s="250" t="s">
        <v>296</v>
      </c>
      <c r="D649" s="250"/>
      <c r="F649" s="301">
        <f t="shared" ref="F649:AD649" si="957">SUM(F644:F648)</f>
        <v>0</v>
      </c>
      <c r="G649" s="301">
        <f t="shared" si="957"/>
        <v>0</v>
      </c>
      <c r="H649" s="301">
        <f t="shared" si="957"/>
        <v>0</v>
      </c>
      <c r="I649" s="301">
        <f t="shared" si="957"/>
        <v>0</v>
      </c>
      <c r="J649" s="301">
        <f t="shared" si="957"/>
        <v>0</v>
      </c>
      <c r="K649" s="301">
        <f t="shared" si="957"/>
        <v>0</v>
      </c>
      <c r="L649" s="301">
        <f t="shared" si="957"/>
        <v>0</v>
      </c>
      <c r="M649" s="301">
        <f t="shared" si="957"/>
        <v>0</v>
      </c>
      <c r="N649" s="301">
        <f t="shared" si="957"/>
        <v>0</v>
      </c>
      <c r="O649" s="301">
        <f t="shared" si="957"/>
        <v>0</v>
      </c>
      <c r="P649" s="301">
        <f t="shared" si="957"/>
        <v>0</v>
      </c>
      <c r="Q649" s="301">
        <f t="shared" si="957"/>
        <v>0</v>
      </c>
      <c r="R649" s="301">
        <f t="shared" si="957"/>
        <v>0</v>
      </c>
      <c r="S649" s="301">
        <f t="shared" si="957"/>
        <v>0</v>
      </c>
      <c r="T649" s="301">
        <f t="shared" si="957"/>
        <v>0</v>
      </c>
      <c r="U649" s="301">
        <f t="shared" si="957"/>
        <v>0</v>
      </c>
      <c r="V649" s="301">
        <f t="shared" si="957"/>
        <v>0</v>
      </c>
      <c r="W649" s="301">
        <f t="shared" si="957"/>
        <v>0</v>
      </c>
      <c r="X649" s="301">
        <f t="shared" si="957"/>
        <v>0</v>
      </c>
      <c r="Y649" s="301">
        <f t="shared" si="957"/>
        <v>0</v>
      </c>
      <c r="Z649" s="301">
        <f t="shared" si="957"/>
        <v>0</v>
      </c>
      <c r="AA649" s="301">
        <f t="shared" si="957"/>
        <v>0</v>
      </c>
      <c r="AB649" s="301">
        <f t="shared" si="957"/>
        <v>0</v>
      </c>
      <c r="AC649" s="301">
        <f t="shared" si="957"/>
        <v>0</v>
      </c>
      <c r="AD649" s="301">
        <f t="shared" si="957"/>
        <v>0</v>
      </c>
      <c r="AF649" s="588">
        <f t="shared" ref="AF649:BK649" si="958">SUM(AF644:AF648)</f>
        <v>0</v>
      </c>
      <c r="AG649" s="588">
        <f t="shared" si="958"/>
        <v>0</v>
      </c>
      <c r="AH649" s="588">
        <f t="shared" si="958"/>
        <v>0</v>
      </c>
      <c r="AI649" s="588">
        <f t="shared" si="958"/>
        <v>0</v>
      </c>
      <c r="AJ649" s="588">
        <f t="shared" si="958"/>
        <v>0</v>
      </c>
      <c r="AK649" s="588">
        <f t="shared" si="958"/>
        <v>0</v>
      </c>
      <c r="AL649" s="588">
        <f t="shared" si="958"/>
        <v>0</v>
      </c>
      <c r="AM649" s="588">
        <f t="shared" si="958"/>
        <v>0</v>
      </c>
      <c r="AN649" s="588">
        <f t="shared" si="958"/>
        <v>0</v>
      </c>
      <c r="AO649" s="588">
        <f t="shared" si="958"/>
        <v>0</v>
      </c>
      <c r="AP649" s="588">
        <f t="shared" si="958"/>
        <v>0</v>
      </c>
      <c r="AQ649" s="588">
        <f t="shared" si="958"/>
        <v>0</v>
      </c>
      <c r="AR649" s="588">
        <f t="shared" si="958"/>
        <v>0</v>
      </c>
      <c r="AS649" s="588">
        <f t="shared" si="958"/>
        <v>0</v>
      </c>
      <c r="AT649" s="588">
        <f t="shared" si="958"/>
        <v>0</v>
      </c>
      <c r="AU649" s="588">
        <f t="shared" si="958"/>
        <v>0</v>
      </c>
      <c r="AV649" s="588">
        <f t="shared" si="958"/>
        <v>0</v>
      </c>
      <c r="AW649" s="588">
        <f t="shared" si="958"/>
        <v>0</v>
      </c>
      <c r="AX649" s="588">
        <f t="shared" si="958"/>
        <v>0</v>
      </c>
      <c r="AY649" s="588">
        <f t="shared" si="958"/>
        <v>0</v>
      </c>
      <c r="AZ649" s="588">
        <f t="shared" si="958"/>
        <v>0</v>
      </c>
      <c r="BA649" s="588">
        <f t="shared" si="958"/>
        <v>0</v>
      </c>
      <c r="BB649" s="588">
        <f t="shared" si="958"/>
        <v>0</v>
      </c>
      <c r="BC649" s="588">
        <f t="shared" si="958"/>
        <v>0</v>
      </c>
      <c r="BD649" s="588">
        <f t="shared" si="958"/>
        <v>0</v>
      </c>
      <c r="BE649" s="588">
        <f t="shared" si="958"/>
        <v>0</v>
      </c>
      <c r="BF649" s="588">
        <f t="shared" si="958"/>
        <v>0</v>
      </c>
      <c r="BG649" s="588">
        <f t="shared" si="958"/>
        <v>0</v>
      </c>
      <c r="BH649" s="588">
        <f t="shared" si="958"/>
        <v>0</v>
      </c>
      <c r="BI649" s="588">
        <f t="shared" si="958"/>
        <v>0</v>
      </c>
      <c r="BJ649" s="588">
        <f t="shared" si="958"/>
        <v>0</v>
      </c>
      <c r="BK649" s="588">
        <f t="shared" si="958"/>
        <v>0</v>
      </c>
    </row>
    <row r="650" spans="1:63" s="240" customFormat="1">
      <c r="A650" s="209"/>
      <c r="B650" s="209"/>
      <c r="C650" s="209" t="s">
        <v>2127</v>
      </c>
      <c r="D650" s="209"/>
      <c r="AF650" s="579"/>
      <c r="AG650" s="579"/>
      <c r="AH650" s="579"/>
      <c r="AI650" s="579"/>
      <c r="AJ650" s="579"/>
      <c r="AK650" s="579"/>
      <c r="AL650" s="579"/>
      <c r="AM650" s="579"/>
      <c r="AN650" s="579"/>
      <c r="AO650" s="579"/>
      <c r="AP650" s="579"/>
      <c r="AQ650" s="579"/>
      <c r="AR650" s="579"/>
      <c r="AS650" s="579"/>
      <c r="AT650" s="579"/>
      <c r="AU650" s="579"/>
      <c r="AV650" s="579"/>
      <c r="AW650" s="579"/>
      <c r="AX650" s="579"/>
      <c r="AY650" s="579"/>
      <c r="AZ650" s="579"/>
      <c r="BA650" s="579"/>
      <c r="BB650" s="579"/>
      <c r="BC650" s="579"/>
      <c r="BD650" s="579"/>
      <c r="BE650" s="579"/>
      <c r="BF650" s="579"/>
      <c r="BG650" s="579"/>
      <c r="BH650" s="579"/>
      <c r="BI650" s="579"/>
      <c r="BJ650" s="579"/>
      <c r="BK650" s="579"/>
    </row>
    <row r="651" spans="1:63" s="301" customFormat="1">
      <c r="A651" s="250"/>
      <c r="B651" s="250"/>
      <c r="C651" s="250" t="s">
        <v>663</v>
      </c>
      <c r="D651" s="250"/>
      <c r="F651" s="301">
        <f t="shared" ref="F651:AD651" si="959">SUM(F653:F657)</f>
        <v>0</v>
      </c>
      <c r="G651" s="301">
        <f t="shared" si="959"/>
        <v>0</v>
      </c>
      <c r="H651" s="301">
        <f t="shared" si="959"/>
        <v>0</v>
      </c>
      <c r="I651" s="301">
        <f t="shared" si="959"/>
        <v>0</v>
      </c>
      <c r="J651" s="301">
        <f t="shared" si="959"/>
        <v>0</v>
      </c>
      <c r="K651" s="301">
        <f t="shared" si="959"/>
        <v>0</v>
      </c>
      <c r="L651" s="301">
        <f t="shared" si="959"/>
        <v>0</v>
      </c>
      <c r="M651" s="301">
        <f t="shared" si="959"/>
        <v>0</v>
      </c>
      <c r="N651" s="301">
        <f t="shared" si="959"/>
        <v>0</v>
      </c>
      <c r="O651" s="301">
        <f t="shared" si="959"/>
        <v>0</v>
      </c>
      <c r="P651" s="301">
        <f t="shared" si="959"/>
        <v>0</v>
      </c>
      <c r="Q651" s="301">
        <f t="shared" si="959"/>
        <v>0</v>
      </c>
      <c r="R651" s="301">
        <f t="shared" si="959"/>
        <v>0</v>
      </c>
      <c r="S651" s="301">
        <f t="shared" si="959"/>
        <v>0</v>
      </c>
      <c r="T651" s="301">
        <f t="shared" si="959"/>
        <v>0</v>
      </c>
      <c r="U651" s="301">
        <f t="shared" si="959"/>
        <v>0</v>
      </c>
      <c r="V651" s="301">
        <f t="shared" si="959"/>
        <v>0</v>
      </c>
      <c r="W651" s="301">
        <f t="shared" si="959"/>
        <v>0</v>
      </c>
      <c r="X651" s="301">
        <f t="shared" si="959"/>
        <v>0</v>
      </c>
      <c r="Y651" s="301">
        <f t="shared" si="959"/>
        <v>0</v>
      </c>
      <c r="Z651" s="301">
        <f t="shared" si="959"/>
        <v>0</v>
      </c>
      <c r="AA651" s="301">
        <f t="shared" si="959"/>
        <v>0</v>
      </c>
      <c r="AB651" s="301">
        <f t="shared" si="959"/>
        <v>0</v>
      </c>
      <c r="AC651" s="301">
        <f t="shared" si="959"/>
        <v>0</v>
      </c>
      <c r="AD651" s="301">
        <f t="shared" si="959"/>
        <v>0</v>
      </c>
      <c r="AF651" s="588">
        <f t="shared" ref="AF651:BK651" si="960">SUM(AF653:AF657)</f>
        <v>0</v>
      </c>
      <c r="AG651" s="588">
        <f t="shared" si="960"/>
        <v>0</v>
      </c>
      <c r="AH651" s="588">
        <f t="shared" si="960"/>
        <v>0</v>
      </c>
      <c r="AI651" s="588">
        <f t="shared" si="960"/>
        <v>0</v>
      </c>
      <c r="AJ651" s="588">
        <f t="shared" si="960"/>
        <v>0</v>
      </c>
      <c r="AK651" s="588">
        <f t="shared" si="960"/>
        <v>0</v>
      </c>
      <c r="AL651" s="588">
        <f t="shared" si="960"/>
        <v>0</v>
      </c>
      <c r="AM651" s="588">
        <f>SUM(AM653:AM657)</f>
        <v>0</v>
      </c>
      <c r="AN651" s="588">
        <f t="shared" si="960"/>
        <v>0</v>
      </c>
      <c r="AO651" s="588">
        <f t="shared" si="960"/>
        <v>0</v>
      </c>
      <c r="AP651" s="588">
        <f t="shared" si="960"/>
        <v>0</v>
      </c>
      <c r="AQ651" s="588">
        <f t="shared" si="960"/>
        <v>0</v>
      </c>
      <c r="AR651" s="588">
        <f t="shared" si="960"/>
        <v>0</v>
      </c>
      <c r="AS651" s="588">
        <f t="shared" si="960"/>
        <v>0</v>
      </c>
      <c r="AT651" s="588">
        <f t="shared" si="960"/>
        <v>0</v>
      </c>
      <c r="AU651" s="588">
        <f t="shared" si="960"/>
        <v>0</v>
      </c>
      <c r="AV651" s="588">
        <f t="shared" si="960"/>
        <v>0</v>
      </c>
      <c r="AW651" s="588">
        <f t="shared" si="960"/>
        <v>0</v>
      </c>
      <c r="AX651" s="588">
        <f t="shared" si="960"/>
        <v>0</v>
      </c>
      <c r="AY651" s="588">
        <f t="shared" si="960"/>
        <v>0</v>
      </c>
      <c r="AZ651" s="588">
        <f t="shared" si="960"/>
        <v>0</v>
      </c>
      <c r="BA651" s="588">
        <f t="shared" si="960"/>
        <v>0</v>
      </c>
      <c r="BB651" s="588">
        <f t="shared" si="960"/>
        <v>0</v>
      </c>
      <c r="BC651" s="588">
        <f t="shared" si="960"/>
        <v>0</v>
      </c>
      <c r="BD651" s="588">
        <f t="shared" si="960"/>
        <v>0</v>
      </c>
      <c r="BE651" s="588">
        <f t="shared" si="960"/>
        <v>0</v>
      </c>
      <c r="BF651" s="588">
        <f t="shared" si="960"/>
        <v>0</v>
      </c>
      <c r="BG651" s="588">
        <f t="shared" si="960"/>
        <v>0</v>
      </c>
      <c r="BH651" s="588">
        <f t="shared" si="960"/>
        <v>0</v>
      </c>
      <c r="BI651" s="588">
        <f t="shared" si="960"/>
        <v>0</v>
      </c>
      <c r="BJ651" s="588">
        <f t="shared" si="960"/>
        <v>0</v>
      </c>
      <c r="BK651" s="588">
        <f t="shared" si="960"/>
        <v>0</v>
      </c>
    </row>
    <row r="652" spans="1:63" s="240" customFormat="1">
      <c r="A652" s="209"/>
      <c r="B652" s="209"/>
      <c r="C652" s="209" t="s">
        <v>2125</v>
      </c>
      <c r="D652" s="209"/>
      <c r="AF652" s="579"/>
      <c r="AG652" s="579"/>
      <c r="AH652" s="579"/>
      <c r="AI652" s="579"/>
      <c r="AJ652" s="579"/>
      <c r="AK652" s="579"/>
      <c r="AL652" s="579"/>
      <c r="AM652" s="579"/>
      <c r="AN652" s="579"/>
      <c r="AO652" s="579"/>
      <c r="AP652" s="579"/>
      <c r="AQ652" s="579"/>
      <c r="AR652" s="579"/>
      <c r="AS652" s="579"/>
      <c r="AT652" s="579"/>
      <c r="AU652" s="579"/>
      <c r="AV652" s="579"/>
      <c r="AW652" s="579"/>
      <c r="AX652" s="579"/>
      <c r="AY652" s="579"/>
      <c r="AZ652" s="579"/>
      <c r="BA652" s="579"/>
      <c r="BB652" s="579"/>
      <c r="BC652" s="579"/>
      <c r="BD652" s="579"/>
      <c r="BE652" s="579"/>
      <c r="BF652" s="579"/>
      <c r="BG652" s="579"/>
      <c r="BH652" s="579"/>
      <c r="BI652" s="579"/>
      <c r="BJ652" s="579"/>
      <c r="BK652" s="579"/>
    </row>
    <row r="653" spans="1:63" s="240" customFormat="1">
      <c r="A653" s="209"/>
      <c r="B653" s="209" t="s">
        <v>2128</v>
      </c>
      <c r="C653" s="209" t="str">
        <f>IF(ISBLANK($E$19),"Please enter name of segment above", $E$19)</f>
        <v>Please enter name of segment above</v>
      </c>
      <c r="D653" s="209"/>
      <c r="F653" s="251"/>
      <c r="G653" s="251"/>
      <c r="H653" s="251"/>
      <c r="I653" s="251"/>
      <c r="J653" s="251"/>
      <c r="K653" s="251"/>
      <c r="L653" s="251"/>
      <c r="M653" s="251"/>
      <c r="N653" s="251"/>
      <c r="O653" s="251"/>
      <c r="P653" s="251"/>
      <c r="Q653" s="251"/>
      <c r="R653" s="251"/>
      <c r="S653" s="251"/>
      <c r="T653" s="251"/>
      <c r="U653" s="251"/>
      <c r="V653" s="251"/>
      <c r="W653" s="251"/>
      <c r="X653" s="251"/>
      <c r="Y653" s="251"/>
      <c r="Z653" s="251"/>
      <c r="AA653" s="251"/>
      <c r="AB653" s="251"/>
      <c r="AC653" s="251"/>
      <c r="AD653" s="251"/>
      <c r="AE653" s="251"/>
      <c r="AF653" s="579"/>
      <c r="AG653" s="579"/>
      <c r="AH653" s="579"/>
      <c r="AI653" s="579"/>
      <c r="AJ653" s="579"/>
      <c r="AK653" s="579"/>
      <c r="AL653" s="579"/>
      <c r="AM653" s="579"/>
      <c r="AN653" s="579"/>
      <c r="AO653" s="579"/>
      <c r="AP653" s="579"/>
      <c r="AQ653" s="579"/>
      <c r="AR653" s="579"/>
      <c r="AS653" s="579"/>
      <c r="AT653" s="579"/>
      <c r="AU653" s="579"/>
      <c r="AV653" s="579"/>
      <c r="AW653" s="579"/>
      <c r="AX653" s="579"/>
      <c r="AY653" s="579"/>
      <c r="AZ653" s="579"/>
      <c r="BA653" s="579"/>
      <c r="BB653" s="579"/>
      <c r="BC653" s="579"/>
      <c r="BD653" s="579"/>
      <c r="BE653" s="579"/>
      <c r="BF653" s="579"/>
      <c r="BG653" s="579"/>
      <c r="BH653" s="579"/>
      <c r="BI653" s="579"/>
      <c r="BJ653" s="579"/>
      <c r="BK653" s="579"/>
    </row>
    <row r="654" spans="1:63" s="240" customFormat="1">
      <c r="A654" s="209"/>
      <c r="B654" s="209" t="s">
        <v>2129</v>
      </c>
      <c r="C654" s="209" t="str">
        <f>IF(ISBLANK($E$20),"Please enter name of segment above", $E$20)</f>
        <v>Please enter name of segment above</v>
      </c>
      <c r="D654" s="209"/>
      <c r="F654" s="251"/>
      <c r="G654" s="251"/>
      <c r="H654" s="251"/>
      <c r="I654" s="251"/>
      <c r="J654" s="251"/>
      <c r="K654" s="251"/>
      <c r="L654" s="251"/>
      <c r="M654" s="251"/>
      <c r="N654" s="251"/>
      <c r="O654" s="251"/>
      <c r="P654" s="251"/>
      <c r="Q654" s="251"/>
      <c r="R654" s="251"/>
      <c r="S654" s="251"/>
      <c r="T654" s="251"/>
      <c r="U654" s="251"/>
      <c r="V654" s="251"/>
      <c r="W654" s="251"/>
      <c r="X654" s="251"/>
      <c r="Y654" s="251"/>
      <c r="Z654" s="251"/>
      <c r="AA654" s="251"/>
      <c r="AB654" s="251"/>
      <c r="AC654" s="251"/>
      <c r="AD654" s="251"/>
      <c r="AE654" s="251"/>
      <c r="AF654" s="579"/>
      <c r="AG654" s="579"/>
      <c r="AH654" s="579"/>
      <c r="AI654" s="579"/>
      <c r="AJ654" s="579"/>
      <c r="AK654" s="579"/>
      <c r="AL654" s="579"/>
      <c r="AM654" s="579"/>
      <c r="AN654" s="579"/>
      <c r="AO654" s="579"/>
      <c r="AP654" s="579"/>
      <c r="AQ654" s="579"/>
      <c r="AR654" s="579"/>
      <c r="AS654" s="579"/>
      <c r="AT654" s="579"/>
      <c r="AU654" s="579"/>
      <c r="AV654" s="579"/>
      <c r="AW654" s="579"/>
      <c r="AX654" s="579"/>
      <c r="AY654" s="579"/>
      <c r="AZ654" s="579"/>
      <c r="BA654" s="579"/>
      <c r="BB654" s="579"/>
      <c r="BC654" s="579"/>
      <c r="BD654" s="579"/>
      <c r="BE654" s="579"/>
      <c r="BF654" s="579"/>
      <c r="BG654" s="579"/>
      <c r="BH654" s="579"/>
      <c r="BI654" s="579"/>
      <c r="BJ654" s="579"/>
      <c r="BK654" s="579"/>
    </row>
    <row r="655" spans="1:63" s="240" customFormat="1">
      <c r="A655" s="209"/>
      <c r="B655" s="209" t="s">
        <v>2130</v>
      </c>
      <c r="C655" s="209" t="str">
        <f>IF(ISBLANK($E$21),"Please enter name of segment above", $E$21)</f>
        <v>Please enter name of segment above</v>
      </c>
      <c r="D655" s="209"/>
      <c r="F655" s="251"/>
      <c r="G655" s="251"/>
      <c r="H655" s="251"/>
      <c r="I655" s="251"/>
      <c r="J655" s="251"/>
      <c r="K655" s="251"/>
      <c r="L655" s="251"/>
      <c r="M655" s="251"/>
      <c r="N655" s="251"/>
      <c r="O655" s="251"/>
      <c r="P655" s="251"/>
      <c r="Q655" s="251"/>
      <c r="R655" s="251"/>
      <c r="S655" s="251"/>
      <c r="T655" s="251"/>
      <c r="U655" s="251"/>
      <c r="V655" s="251"/>
      <c r="W655" s="251"/>
      <c r="X655" s="251"/>
      <c r="Y655" s="251"/>
      <c r="Z655" s="251"/>
      <c r="AA655" s="251"/>
      <c r="AB655" s="251"/>
      <c r="AC655" s="251"/>
      <c r="AD655" s="251"/>
      <c r="AE655" s="251"/>
      <c r="AF655" s="579"/>
      <c r="AG655" s="579"/>
      <c r="AH655" s="579"/>
      <c r="AI655" s="579"/>
      <c r="AJ655" s="579"/>
      <c r="AK655" s="579"/>
      <c r="AL655" s="579"/>
      <c r="AM655" s="579"/>
      <c r="AN655" s="579"/>
      <c r="AO655" s="579"/>
      <c r="AP655" s="579"/>
      <c r="AQ655" s="579"/>
      <c r="AR655" s="579"/>
      <c r="AS655" s="579"/>
      <c r="AT655" s="579"/>
      <c r="AU655" s="579"/>
      <c r="AV655" s="579"/>
      <c r="AW655" s="579"/>
      <c r="AX655" s="579"/>
      <c r="AY655" s="579"/>
      <c r="AZ655" s="579"/>
      <c r="BA655" s="579"/>
      <c r="BB655" s="579"/>
      <c r="BC655" s="579"/>
      <c r="BD655" s="579"/>
      <c r="BE655" s="579"/>
      <c r="BF655" s="579"/>
      <c r="BG655" s="579"/>
      <c r="BH655" s="579"/>
      <c r="BI655" s="579"/>
      <c r="BJ655" s="579"/>
      <c r="BK655" s="579"/>
    </row>
    <row r="656" spans="1:63" s="240" customFormat="1">
      <c r="A656" s="209"/>
      <c r="B656" s="209" t="s">
        <v>2131</v>
      </c>
      <c r="C656" s="209" t="str">
        <f>IF(ISBLANK($E$22),"Please enter name of segment above", $E$22)</f>
        <v>Please enter name of segment above</v>
      </c>
      <c r="D656" s="209"/>
      <c r="F656" s="251"/>
      <c r="G656" s="251"/>
      <c r="H656" s="251"/>
      <c r="I656" s="251"/>
      <c r="J656" s="251"/>
      <c r="K656" s="251"/>
      <c r="L656" s="251"/>
      <c r="M656" s="251"/>
      <c r="N656" s="251"/>
      <c r="O656" s="251"/>
      <c r="P656" s="251"/>
      <c r="Q656" s="251"/>
      <c r="R656" s="251"/>
      <c r="S656" s="251"/>
      <c r="T656" s="251"/>
      <c r="U656" s="251"/>
      <c r="V656" s="251"/>
      <c r="W656" s="251"/>
      <c r="X656" s="251"/>
      <c r="Y656" s="251"/>
      <c r="Z656" s="251"/>
      <c r="AA656" s="251"/>
      <c r="AB656" s="251"/>
      <c r="AC656" s="251"/>
      <c r="AD656" s="251"/>
      <c r="AE656" s="251"/>
      <c r="AF656" s="579"/>
      <c r="AG656" s="579"/>
      <c r="AH656" s="579"/>
      <c r="AI656" s="579"/>
      <c r="AJ656" s="579"/>
      <c r="AK656" s="579"/>
      <c r="AL656" s="579"/>
      <c r="AM656" s="579"/>
      <c r="AN656" s="579"/>
      <c r="AO656" s="579"/>
      <c r="AP656" s="579"/>
      <c r="AQ656" s="579"/>
      <c r="AR656" s="579"/>
      <c r="AS656" s="579"/>
      <c r="AT656" s="579"/>
      <c r="AU656" s="579"/>
      <c r="AV656" s="579"/>
      <c r="AW656" s="579"/>
      <c r="AX656" s="579"/>
      <c r="AY656" s="579"/>
      <c r="AZ656" s="579"/>
      <c r="BA656" s="579"/>
      <c r="BB656" s="579"/>
      <c r="BC656" s="579"/>
      <c r="BD656" s="579"/>
      <c r="BE656" s="579"/>
      <c r="BF656" s="579"/>
      <c r="BG656" s="579"/>
      <c r="BH656" s="579"/>
      <c r="BI656" s="579"/>
      <c r="BJ656" s="579"/>
      <c r="BK656" s="579"/>
    </row>
    <row r="657" spans="1:63" s="240" customFormat="1">
      <c r="A657" s="209"/>
      <c r="B657" s="209" t="s">
        <v>2132</v>
      </c>
      <c r="C657" s="209" t="str">
        <f>IF(ISBLANK($E$23),"Please enter name of segment above", $E$23)</f>
        <v>Please enter name of segment above</v>
      </c>
      <c r="D657" s="209"/>
      <c r="F657" s="251"/>
      <c r="G657" s="251"/>
      <c r="H657" s="251"/>
      <c r="I657" s="251"/>
      <c r="J657" s="251"/>
      <c r="K657" s="251"/>
      <c r="L657" s="251"/>
      <c r="M657" s="251"/>
      <c r="N657" s="251"/>
      <c r="O657" s="251"/>
      <c r="P657" s="251"/>
      <c r="Q657" s="251"/>
      <c r="R657" s="251"/>
      <c r="S657" s="251"/>
      <c r="T657" s="251"/>
      <c r="U657" s="251"/>
      <c r="V657" s="251"/>
      <c r="W657" s="251"/>
      <c r="X657" s="251"/>
      <c r="Y657" s="251"/>
      <c r="Z657" s="251"/>
      <c r="AA657" s="251"/>
      <c r="AB657" s="251"/>
      <c r="AC657" s="251"/>
      <c r="AD657" s="251"/>
      <c r="AE657" s="251"/>
      <c r="AF657" s="579"/>
      <c r="AG657" s="579"/>
      <c r="AH657" s="579"/>
      <c r="AI657" s="579"/>
      <c r="AJ657" s="579"/>
      <c r="AK657" s="579"/>
      <c r="AL657" s="579"/>
      <c r="AM657" s="579"/>
      <c r="AN657" s="579"/>
      <c r="AO657" s="579"/>
      <c r="AP657" s="579"/>
      <c r="AQ657" s="579"/>
      <c r="AR657" s="579"/>
      <c r="AS657" s="579"/>
      <c r="AT657" s="579"/>
      <c r="AU657" s="579"/>
      <c r="AV657" s="579"/>
      <c r="AW657" s="579"/>
      <c r="AX657" s="579"/>
      <c r="AY657" s="579"/>
      <c r="AZ657" s="579"/>
      <c r="BA657" s="579"/>
      <c r="BB657" s="579"/>
      <c r="BC657" s="579"/>
      <c r="BD657" s="579"/>
      <c r="BE657" s="579"/>
      <c r="BF657" s="579"/>
      <c r="BG657" s="579"/>
      <c r="BH657" s="579"/>
      <c r="BI657" s="579"/>
      <c r="BJ657" s="579"/>
      <c r="BK657" s="579"/>
    </row>
    <row r="658" spans="1:63" s="245" customFormat="1">
      <c r="A658" s="243"/>
      <c r="B658" s="243"/>
      <c r="C658" s="243" t="s">
        <v>2133</v>
      </c>
      <c r="D658" s="243"/>
      <c r="F658" s="245">
        <f t="shared" ref="F658:AD658" si="961">SUM(F659:F662)</f>
        <v>0</v>
      </c>
      <c r="G658" s="245">
        <f t="shared" si="961"/>
        <v>0</v>
      </c>
      <c r="H658" s="245">
        <f t="shared" si="961"/>
        <v>0</v>
      </c>
      <c r="I658" s="245">
        <f t="shared" si="961"/>
        <v>0</v>
      </c>
      <c r="J658" s="245">
        <f t="shared" si="961"/>
        <v>0</v>
      </c>
      <c r="K658" s="245">
        <f t="shared" si="961"/>
        <v>0</v>
      </c>
      <c r="L658" s="245">
        <f t="shared" si="961"/>
        <v>0</v>
      </c>
      <c r="M658" s="245">
        <f t="shared" si="961"/>
        <v>0</v>
      </c>
      <c r="N658" s="245">
        <f t="shared" si="961"/>
        <v>0</v>
      </c>
      <c r="O658" s="245">
        <f t="shared" si="961"/>
        <v>0</v>
      </c>
      <c r="P658" s="245">
        <f t="shared" si="961"/>
        <v>0</v>
      </c>
      <c r="Q658" s="245">
        <f t="shared" si="961"/>
        <v>0</v>
      </c>
      <c r="R658" s="245">
        <f t="shared" si="961"/>
        <v>0</v>
      </c>
      <c r="S658" s="245">
        <f t="shared" si="961"/>
        <v>0</v>
      </c>
      <c r="T658" s="245">
        <f t="shared" si="961"/>
        <v>0</v>
      </c>
      <c r="U658" s="245">
        <f t="shared" si="961"/>
        <v>0</v>
      </c>
      <c r="V658" s="245">
        <f t="shared" si="961"/>
        <v>0</v>
      </c>
      <c r="W658" s="245">
        <f t="shared" si="961"/>
        <v>0</v>
      </c>
      <c r="X658" s="245">
        <f t="shared" si="961"/>
        <v>0</v>
      </c>
      <c r="Y658" s="245">
        <f t="shared" si="961"/>
        <v>0</v>
      </c>
      <c r="Z658" s="245">
        <f t="shared" si="961"/>
        <v>0</v>
      </c>
      <c r="AA658" s="245">
        <f t="shared" si="961"/>
        <v>0</v>
      </c>
      <c r="AB658" s="245">
        <f t="shared" si="961"/>
        <v>0</v>
      </c>
      <c r="AC658" s="245">
        <f t="shared" si="961"/>
        <v>0</v>
      </c>
      <c r="AD658" s="245">
        <f t="shared" si="961"/>
        <v>0</v>
      </c>
      <c r="AF658" s="580">
        <f t="shared" ref="AF658:BK658" si="962">SUM(AF659:AF662)</f>
        <v>0</v>
      </c>
      <c r="AG658" s="580">
        <f t="shared" si="962"/>
        <v>0</v>
      </c>
      <c r="AH658" s="580">
        <f t="shared" si="962"/>
        <v>0</v>
      </c>
      <c r="AI658" s="580">
        <f t="shared" si="962"/>
        <v>0</v>
      </c>
      <c r="AJ658" s="580">
        <f t="shared" si="962"/>
        <v>0</v>
      </c>
      <c r="AK658" s="580">
        <f t="shared" si="962"/>
        <v>0</v>
      </c>
      <c r="AL658" s="580">
        <f t="shared" si="962"/>
        <v>0</v>
      </c>
      <c r="AM658" s="580">
        <f>SUM(AM659:AM662)</f>
        <v>0</v>
      </c>
      <c r="AN658" s="580">
        <f t="shared" si="962"/>
        <v>0</v>
      </c>
      <c r="AO658" s="580">
        <f t="shared" si="962"/>
        <v>0</v>
      </c>
      <c r="AP658" s="580">
        <f t="shared" si="962"/>
        <v>0</v>
      </c>
      <c r="AQ658" s="580">
        <f t="shared" si="962"/>
        <v>0</v>
      </c>
      <c r="AR658" s="580">
        <f t="shared" si="962"/>
        <v>0</v>
      </c>
      <c r="AS658" s="580">
        <f t="shared" si="962"/>
        <v>0</v>
      </c>
      <c r="AT658" s="580">
        <f t="shared" si="962"/>
        <v>0</v>
      </c>
      <c r="AU658" s="580">
        <f t="shared" si="962"/>
        <v>0</v>
      </c>
      <c r="AV658" s="580">
        <f t="shared" si="962"/>
        <v>0</v>
      </c>
      <c r="AW658" s="580">
        <f t="shared" si="962"/>
        <v>0</v>
      </c>
      <c r="AX658" s="580">
        <f t="shared" si="962"/>
        <v>0</v>
      </c>
      <c r="AY658" s="580">
        <f t="shared" si="962"/>
        <v>0</v>
      </c>
      <c r="AZ658" s="580">
        <f t="shared" si="962"/>
        <v>0</v>
      </c>
      <c r="BA658" s="580">
        <f t="shared" si="962"/>
        <v>0</v>
      </c>
      <c r="BB658" s="580">
        <f t="shared" si="962"/>
        <v>0</v>
      </c>
      <c r="BC658" s="580">
        <f t="shared" si="962"/>
        <v>0</v>
      </c>
      <c r="BD658" s="580">
        <f t="shared" si="962"/>
        <v>0</v>
      </c>
      <c r="BE658" s="580">
        <f t="shared" si="962"/>
        <v>0</v>
      </c>
      <c r="BF658" s="580">
        <f t="shared" si="962"/>
        <v>0</v>
      </c>
      <c r="BG658" s="580">
        <f t="shared" si="962"/>
        <v>0</v>
      </c>
      <c r="BH658" s="580">
        <f t="shared" si="962"/>
        <v>0</v>
      </c>
      <c r="BI658" s="580">
        <f t="shared" si="962"/>
        <v>0</v>
      </c>
      <c r="BJ658" s="580">
        <f t="shared" si="962"/>
        <v>0</v>
      </c>
      <c r="BK658" s="580">
        <f t="shared" si="962"/>
        <v>0</v>
      </c>
    </row>
    <row r="659" spans="1:63" s="240" customFormat="1">
      <c r="A659" s="209"/>
      <c r="B659" s="209" t="s">
        <v>2134</v>
      </c>
      <c r="C659" s="209" t="s">
        <v>409</v>
      </c>
      <c r="D659" s="209"/>
      <c r="F659" s="251"/>
      <c r="G659" s="251"/>
      <c r="H659" s="251"/>
      <c r="I659" s="251"/>
      <c r="J659" s="251"/>
      <c r="K659" s="251"/>
      <c r="L659" s="251"/>
      <c r="M659" s="251"/>
      <c r="N659" s="251"/>
      <c r="O659" s="251"/>
      <c r="P659" s="251"/>
      <c r="Q659" s="251"/>
      <c r="R659" s="251"/>
      <c r="S659" s="251"/>
      <c r="T659" s="251"/>
      <c r="U659" s="251"/>
      <c r="V659" s="251"/>
      <c r="W659" s="251"/>
      <c r="X659" s="251"/>
      <c r="Y659" s="251"/>
      <c r="Z659" s="251"/>
      <c r="AA659" s="251"/>
      <c r="AB659" s="251"/>
      <c r="AC659" s="251"/>
      <c r="AD659" s="251"/>
      <c r="AE659" s="251"/>
      <c r="AF659" s="579"/>
      <c r="AG659" s="579"/>
      <c r="AH659" s="579"/>
      <c r="AI659" s="579"/>
      <c r="AJ659" s="579"/>
      <c r="AK659" s="579"/>
      <c r="AL659" s="579"/>
      <c r="AM659" s="579"/>
      <c r="AN659" s="579"/>
      <c r="AO659" s="579"/>
      <c r="AP659" s="579"/>
      <c r="AQ659" s="579"/>
      <c r="AR659" s="579"/>
      <c r="AS659" s="579"/>
      <c r="AT659" s="579"/>
      <c r="AU659" s="579"/>
      <c r="AV659" s="579"/>
      <c r="AW659" s="579"/>
      <c r="AX659" s="579"/>
      <c r="AY659" s="579"/>
      <c r="AZ659" s="579"/>
      <c r="BA659" s="579"/>
      <c r="BB659" s="579"/>
      <c r="BC659" s="579"/>
      <c r="BD659" s="579"/>
      <c r="BE659" s="579"/>
      <c r="BF659" s="579"/>
      <c r="BG659" s="579"/>
      <c r="BH659" s="579"/>
      <c r="BI659" s="579"/>
      <c r="BJ659" s="579"/>
      <c r="BK659" s="579"/>
    </row>
    <row r="660" spans="1:63" s="240" customFormat="1">
      <c r="A660" s="209"/>
      <c r="B660" s="209" t="s">
        <v>2135</v>
      </c>
      <c r="C660" s="209" t="s">
        <v>877</v>
      </c>
      <c r="D660" s="209"/>
      <c r="F660" s="251"/>
      <c r="G660" s="251"/>
      <c r="H660" s="251"/>
      <c r="I660" s="251"/>
      <c r="J660" s="251"/>
      <c r="K660" s="251"/>
      <c r="L660" s="251"/>
      <c r="M660" s="251"/>
      <c r="N660" s="251"/>
      <c r="O660" s="251"/>
      <c r="P660" s="251"/>
      <c r="Q660" s="251"/>
      <c r="R660" s="251"/>
      <c r="S660" s="251"/>
      <c r="T660" s="251"/>
      <c r="U660" s="251"/>
      <c r="V660" s="251"/>
      <c r="W660" s="251"/>
      <c r="X660" s="251"/>
      <c r="Y660" s="251"/>
      <c r="Z660" s="251"/>
      <c r="AA660" s="251"/>
      <c r="AB660" s="251"/>
      <c r="AC660" s="251"/>
      <c r="AD660" s="251"/>
      <c r="AE660" s="251"/>
      <c r="AF660" s="579"/>
      <c r="AG660" s="579"/>
      <c r="AH660" s="579"/>
      <c r="AI660" s="579"/>
      <c r="AJ660" s="579"/>
      <c r="AK660" s="579"/>
      <c r="AL660" s="579"/>
      <c r="AM660" s="579"/>
      <c r="AN660" s="579"/>
      <c r="AO660" s="579"/>
      <c r="AP660" s="579"/>
      <c r="AQ660" s="579"/>
      <c r="AR660" s="579"/>
      <c r="AS660" s="579"/>
      <c r="AT660" s="579"/>
      <c r="AU660" s="579"/>
      <c r="AV660" s="579"/>
      <c r="AW660" s="579"/>
      <c r="AX660" s="579"/>
      <c r="AY660" s="579"/>
      <c r="AZ660" s="579"/>
      <c r="BA660" s="579"/>
      <c r="BB660" s="579"/>
      <c r="BC660" s="579"/>
      <c r="BD660" s="579"/>
      <c r="BE660" s="579"/>
      <c r="BF660" s="579"/>
      <c r="BG660" s="579"/>
      <c r="BH660" s="579"/>
      <c r="BI660" s="579"/>
      <c r="BJ660" s="579"/>
      <c r="BK660" s="579"/>
    </row>
    <row r="661" spans="1:63" s="240" customFormat="1">
      <c r="A661" s="209"/>
      <c r="B661" s="209" t="s">
        <v>2136</v>
      </c>
      <c r="C661" s="209" t="s">
        <v>660</v>
      </c>
      <c r="D661" s="209"/>
      <c r="F661" s="251"/>
      <c r="G661" s="251"/>
      <c r="H661" s="251"/>
      <c r="I661" s="251"/>
      <c r="J661" s="251"/>
      <c r="K661" s="251"/>
      <c r="L661" s="251"/>
      <c r="M661" s="251"/>
      <c r="N661" s="251"/>
      <c r="O661" s="251"/>
      <c r="P661" s="251"/>
      <c r="Q661" s="251"/>
      <c r="R661" s="251"/>
      <c r="S661" s="251"/>
      <c r="T661" s="251"/>
      <c r="U661" s="251"/>
      <c r="V661" s="251"/>
      <c r="W661" s="251"/>
      <c r="X661" s="251"/>
      <c r="Y661" s="251"/>
      <c r="Z661" s="251"/>
      <c r="AA661" s="251"/>
      <c r="AB661" s="251"/>
      <c r="AC661" s="251"/>
      <c r="AD661" s="251"/>
      <c r="AE661" s="251"/>
      <c r="AF661" s="579"/>
      <c r="AG661" s="579"/>
      <c r="AH661" s="579"/>
      <c r="AI661" s="579"/>
      <c r="AJ661" s="579"/>
      <c r="AK661" s="579"/>
      <c r="AL661" s="579"/>
      <c r="AM661" s="579"/>
      <c r="AN661" s="579"/>
      <c r="AO661" s="579"/>
      <c r="AP661" s="579"/>
      <c r="AQ661" s="579"/>
      <c r="AR661" s="579"/>
      <c r="AS661" s="579"/>
      <c r="AT661" s="579"/>
      <c r="AU661" s="579"/>
      <c r="AV661" s="579"/>
      <c r="AW661" s="579"/>
      <c r="AX661" s="579"/>
      <c r="AY661" s="579"/>
      <c r="AZ661" s="579"/>
      <c r="BA661" s="579"/>
      <c r="BB661" s="579"/>
      <c r="BC661" s="579"/>
      <c r="BD661" s="579"/>
      <c r="BE661" s="579"/>
      <c r="BF661" s="579"/>
      <c r="BG661" s="579"/>
      <c r="BH661" s="579"/>
      <c r="BI661" s="579"/>
      <c r="BJ661" s="579"/>
      <c r="BK661" s="579"/>
    </row>
    <row r="662" spans="1:63" s="240" customFormat="1">
      <c r="A662" s="209"/>
      <c r="B662" s="209" t="s">
        <v>2137</v>
      </c>
      <c r="C662" s="209" t="s">
        <v>367</v>
      </c>
      <c r="D662" s="209"/>
      <c r="F662" s="251"/>
      <c r="G662" s="251"/>
      <c r="H662" s="251"/>
      <c r="I662" s="251"/>
      <c r="J662" s="251"/>
      <c r="K662" s="251"/>
      <c r="L662" s="251"/>
      <c r="M662" s="251"/>
      <c r="N662" s="251"/>
      <c r="O662" s="251"/>
      <c r="P662" s="251"/>
      <c r="Q662" s="251"/>
      <c r="R662" s="251"/>
      <c r="S662" s="251"/>
      <c r="T662" s="251"/>
      <c r="U662" s="251"/>
      <c r="V662" s="251"/>
      <c r="W662" s="251"/>
      <c r="X662" s="251"/>
      <c r="Y662" s="251"/>
      <c r="Z662" s="251"/>
      <c r="AA662" s="251"/>
      <c r="AB662" s="251"/>
      <c r="AC662" s="251"/>
      <c r="AD662" s="251"/>
      <c r="AE662" s="251"/>
      <c r="AF662" s="579"/>
      <c r="AG662" s="579"/>
      <c r="AH662" s="579"/>
      <c r="AI662" s="579"/>
      <c r="AJ662" s="579"/>
      <c r="AK662" s="579"/>
      <c r="AL662" s="579"/>
      <c r="AM662" s="579"/>
      <c r="AN662" s="579"/>
      <c r="AO662" s="579"/>
      <c r="AP662" s="579"/>
      <c r="AQ662" s="579"/>
      <c r="AR662" s="579"/>
      <c r="AS662" s="579"/>
      <c r="AT662" s="579"/>
      <c r="AU662" s="579"/>
      <c r="AV662" s="579"/>
      <c r="AW662" s="579"/>
      <c r="AX662" s="579"/>
      <c r="AY662" s="579"/>
      <c r="AZ662" s="579"/>
      <c r="BA662" s="579"/>
      <c r="BB662" s="579"/>
      <c r="BC662" s="579"/>
      <c r="BD662" s="579"/>
      <c r="BE662" s="579"/>
      <c r="BF662" s="579"/>
      <c r="BG662" s="579"/>
      <c r="BH662" s="579"/>
      <c r="BI662" s="579"/>
      <c r="BJ662" s="579"/>
      <c r="BK662" s="579"/>
    </row>
    <row r="663" spans="1:63" s="245" customFormat="1">
      <c r="A663" s="243"/>
      <c r="B663" s="243" t="s">
        <v>2138</v>
      </c>
      <c r="C663" s="250" t="s">
        <v>667</v>
      </c>
      <c r="D663" s="243"/>
      <c r="F663" s="245">
        <f t="shared" ref="F663:AD663" si="963">F651+F658</f>
        <v>0</v>
      </c>
      <c r="G663" s="245">
        <f t="shared" si="963"/>
        <v>0</v>
      </c>
      <c r="H663" s="245">
        <f t="shared" si="963"/>
        <v>0</v>
      </c>
      <c r="I663" s="245">
        <f t="shared" si="963"/>
        <v>0</v>
      </c>
      <c r="J663" s="245">
        <f t="shared" si="963"/>
        <v>0</v>
      </c>
      <c r="K663" s="245">
        <f t="shared" si="963"/>
        <v>0</v>
      </c>
      <c r="L663" s="245">
        <f t="shared" si="963"/>
        <v>0</v>
      </c>
      <c r="M663" s="245">
        <f t="shared" si="963"/>
        <v>0</v>
      </c>
      <c r="N663" s="245">
        <f t="shared" si="963"/>
        <v>0</v>
      </c>
      <c r="O663" s="245">
        <f t="shared" si="963"/>
        <v>0</v>
      </c>
      <c r="P663" s="245">
        <f t="shared" si="963"/>
        <v>0</v>
      </c>
      <c r="Q663" s="245">
        <f t="shared" si="963"/>
        <v>0</v>
      </c>
      <c r="R663" s="245">
        <f t="shared" si="963"/>
        <v>0</v>
      </c>
      <c r="S663" s="245">
        <f t="shared" si="963"/>
        <v>0</v>
      </c>
      <c r="T663" s="245">
        <f t="shared" si="963"/>
        <v>0</v>
      </c>
      <c r="U663" s="245">
        <f t="shared" si="963"/>
        <v>0</v>
      </c>
      <c r="V663" s="245">
        <f t="shared" si="963"/>
        <v>0</v>
      </c>
      <c r="W663" s="245">
        <f t="shared" si="963"/>
        <v>0</v>
      </c>
      <c r="X663" s="245">
        <f t="shared" si="963"/>
        <v>0</v>
      </c>
      <c r="Y663" s="245">
        <f t="shared" si="963"/>
        <v>0</v>
      </c>
      <c r="Z663" s="245">
        <f t="shared" si="963"/>
        <v>0</v>
      </c>
      <c r="AA663" s="245">
        <f t="shared" si="963"/>
        <v>0</v>
      </c>
      <c r="AB663" s="245">
        <f t="shared" si="963"/>
        <v>0</v>
      </c>
      <c r="AC663" s="245">
        <f t="shared" si="963"/>
        <v>0</v>
      </c>
      <c r="AD663" s="245">
        <f t="shared" si="963"/>
        <v>0</v>
      </c>
      <c r="AF663" s="580">
        <f t="shared" ref="AF663:BK663" si="964">AF651+AF658</f>
        <v>0</v>
      </c>
      <c r="AG663" s="580">
        <f t="shared" si="964"/>
        <v>0</v>
      </c>
      <c r="AH663" s="580">
        <f t="shared" si="964"/>
        <v>0</v>
      </c>
      <c r="AI663" s="580">
        <f t="shared" si="964"/>
        <v>0</v>
      </c>
      <c r="AJ663" s="580">
        <f t="shared" si="964"/>
        <v>0</v>
      </c>
      <c r="AK663" s="580">
        <f t="shared" si="964"/>
        <v>0</v>
      </c>
      <c r="AL663" s="580">
        <f t="shared" si="964"/>
        <v>0</v>
      </c>
      <c r="AM663" s="580">
        <f>AM651+AM658</f>
        <v>0</v>
      </c>
      <c r="AN663" s="580">
        <f t="shared" si="964"/>
        <v>0</v>
      </c>
      <c r="AO663" s="580">
        <f t="shared" si="964"/>
        <v>0</v>
      </c>
      <c r="AP663" s="580">
        <f t="shared" si="964"/>
        <v>0</v>
      </c>
      <c r="AQ663" s="580">
        <f t="shared" si="964"/>
        <v>0</v>
      </c>
      <c r="AR663" s="580">
        <f t="shared" si="964"/>
        <v>0</v>
      </c>
      <c r="AS663" s="580">
        <f t="shared" si="964"/>
        <v>0</v>
      </c>
      <c r="AT663" s="580">
        <f t="shared" si="964"/>
        <v>0</v>
      </c>
      <c r="AU663" s="580">
        <f t="shared" si="964"/>
        <v>0</v>
      </c>
      <c r="AV663" s="580">
        <f t="shared" si="964"/>
        <v>0</v>
      </c>
      <c r="AW663" s="580">
        <f t="shared" si="964"/>
        <v>0</v>
      </c>
      <c r="AX663" s="580">
        <f t="shared" si="964"/>
        <v>0</v>
      </c>
      <c r="AY663" s="580">
        <f t="shared" si="964"/>
        <v>0</v>
      </c>
      <c r="AZ663" s="580">
        <f t="shared" si="964"/>
        <v>0</v>
      </c>
      <c r="BA663" s="580">
        <f t="shared" si="964"/>
        <v>0</v>
      </c>
      <c r="BB663" s="580">
        <f t="shared" si="964"/>
        <v>0</v>
      </c>
      <c r="BC663" s="580">
        <f t="shared" si="964"/>
        <v>0</v>
      </c>
      <c r="BD663" s="580">
        <f t="shared" si="964"/>
        <v>0</v>
      </c>
      <c r="BE663" s="580">
        <f t="shared" si="964"/>
        <v>0</v>
      </c>
      <c r="BF663" s="580">
        <f t="shared" si="964"/>
        <v>0</v>
      </c>
      <c r="BG663" s="580">
        <f t="shared" si="964"/>
        <v>0</v>
      </c>
      <c r="BH663" s="580">
        <f t="shared" si="964"/>
        <v>0</v>
      </c>
      <c r="BI663" s="580">
        <f t="shared" si="964"/>
        <v>0</v>
      </c>
      <c r="BJ663" s="580">
        <f t="shared" si="964"/>
        <v>0</v>
      </c>
      <c r="BK663" s="580">
        <f t="shared" si="964"/>
        <v>0</v>
      </c>
    </row>
    <row r="664" spans="1:63" s="240" customFormat="1">
      <c r="A664" s="209"/>
      <c r="B664" s="209" t="s">
        <v>2139</v>
      </c>
      <c r="C664" s="209" t="s">
        <v>2140</v>
      </c>
      <c r="D664" s="209"/>
      <c r="F664" s="251"/>
      <c r="G664" s="251"/>
      <c r="H664" s="251"/>
      <c r="I664" s="251"/>
      <c r="J664" s="251"/>
      <c r="K664" s="251"/>
      <c r="L664" s="251"/>
      <c r="M664" s="251"/>
      <c r="N664" s="251"/>
      <c r="O664" s="251"/>
      <c r="P664" s="251"/>
      <c r="Q664" s="251"/>
      <c r="R664" s="251"/>
      <c r="S664" s="251"/>
      <c r="T664" s="251"/>
      <c r="U664" s="251"/>
      <c r="V664" s="251"/>
      <c r="W664" s="251"/>
      <c r="X664" s="251"/>
      <c r="Y664" s="251"/>
      <c r="Z664" s="251"/>
      <c r="AA664" s="251"/>
      <c r="AB664" s="251"/>
      <c r="AC664" s="251"/>
      <c r="AD664" s="251"/>
      <c r="AE664" s="251"/>
      <c r="AF664" s="579"/>
      <c r="AG664" s="579"/>
      <c r="AH664" s="579"/>
      <c r="AI664" s="579"/>
      <c r="AJ664" s="579"/>
      <c r="AK664" s="579"/>
      <c r="AL664" s="579"/>
      <c r="AM664" s="579"/>
      <c r="AN664" s="579"/>
      <c r="AO664" s="579"/>
      <c r="AP664" s="579"/>
      <c r="AQ664" s="579"/>
      <c r="AR664" s="579"/>
      <c r="AS664" s="579"/>
      <c r="AT664" s="579"/>
      <c r="AU664" s="579"/>
      <c r="AV664" s="579"/>
      <c r="AW664" s="579"/>
      <c r="AX664" s="579"/>
      <c r="AY664" s="579"/>
      <c r="AZ664" s="579"/>
      <c r="BA664" s="579"/>
      <c r="BB664" s="579"/>
      <c r="BC664" s="579"/>
      <c r="BD664" s="579"/>
      <c r="BE664" s="579"/>
      <c r="BF664" s="579"/>
      <c r="BG664" s="579"/>
      <c r="BH664" s="579"/>
      <c r="BI664" s="579"/>
      <c r="BJ664" s="579"/>
      <c r="BK664" s="579"/>
    </row>
    <row r="665" spans="1:63" s="240" customFormat="1">
      <c r="A665" s="209"/>
      <c r="B665" s="209" t="s">
        <v>2141</v>
      </c>
      <c r="C665" s="209" t="s">
        <v>554</v>
      </c>
      <c r="D665" s="209"/>
      <c r="F665" s="251"/>
      <c r="G665" s="251"/>
      <c r="H665" s="251"/>
      <c r="I665" s="251"/>
      <c r="J665" s="251"/>
      <c r="K665" s="251"/>
      <c r="L665" s="251"/>
      <c r="M665" s="251"/>
      <c r="N665" s="251"/>
      <c r="O665" s="251"/>
      <c r="P665" s="251"/>
      <c r="Q665" s="251"/>
      <c r="R665" s="251"/>
      <c r="S665" s="251"/>
      <c r="T665" s="251"/>
      <c r="U665" s="251"/>
      <c r="V665" s="251"/>
      <c r="W665" s="251"/>
      <c r="X665" s="251"/>
      <c r="Y665" s="251"/>
      <c r="Z665" s="251"/>
      <c r="AA665" s="251"/>
      <c r="AB665" s="251"/>
      <c r="AC665" s="251"/>
      <c r="AD665" s="251"/>
      <c r="AE665" s="251"/>
      <c r="AF665" s="579"/>
      <c r="AG665" s="579"/>
      <c r="AH665" s="579"/>
      <c r="AI665" s="579"/>
      <c r="AJ665" s="579"/>
      <c r="AK665" s="579"/>
      <c r="AL665" s="579"/>
      <c r="AM665" s="579"/>
      <c r="AN665" s="579"/>
      <c r="AO665" s="579"/>
      <c r="AP665" s="579"/>
      <c r="AQ665" s="579"/>
      <c r="AR665" s="579"/>
      <c r="AS665" s="579"/>
      <c r="AT665" s="579"/>
      <c r="AU665" s="579"/>
      <c r="AV665" s="579"/>
      <c r="AW665" s="579"/>
      <c r="AX665" s="579"/>
      <c r="AY665" s="579"/>
      <c r="AZ665" s="579"/>
      <c r="BA665" s="579"/>
      <c r="BB665" s="579"/>
      <c r="BC665" s="579"/>
      <c r="BD665" s="579"/>
      <c r="BE665" s="579"/>
      <c r="BF665" s="579"/>
      <c r="BG665" s="579"/>
      <c r="BH665" s="579"/>
      <c r="BI665" s="579"/>
      <c r="BJ665" s="579"/>
      <c r="BK665" s="579"/>
    </row>
    <row r="666" spans="1:63" s="245" customFormat="1">
      <c r="A666" s="243"/>
      <c r="B666" s="243" t="s">
        <v>2142</v>
      </c>
      <c r="C666" s="243" t="s">
        <v>2143</v>
      </c>
      <c r="D666" s="243"/>
      <c r="F666" s="245">
        <f t="shared" ref="F666:AD666" si="965">F663+F664+F665</f>
        <v>0</v>
      </c>
      <c r="G666" s="245">
        <f t="shared" si="965"/>
        <v>0</v>
      </c>
      <c r="H666" s="245">
        <f t="shared" si="965"/>
        <v>0</v>
      </c>
      <c r="I666" s="245">
        <f t="shared" si="965"/>
        <v>0</v>
      </c>
      <c r="J666" s="245">
        <f t="shared" si="965"/>
        <v>0</v>
      </c>
      <c r="K666" s="245">
        <f t="shared" si="965"/>
        <v>0</v>
      </c>
      <c r="L666" s="245">
        <f t="shared" si="965"/>
        <v>0</v>
      </c>
      <c r="M666" s="245">
        <f t="shared" si="965"/>
        <v>0</v>
      </c>
      <c r="N666" s="245">
        <f t="shared" si="965"/>
        <v>0</v>
      </c>
      <c r="O666" s="245">
        <f t="shared" si="965"/>
        <v>0</v>
      </c>
      <c r="P666" s="245">
        <f t="shared" si="965"/>
        <v>0</v>
      </c>
      <c r="Q666" s="245">
        <f t="shared" si="965"/>
        <v>0</v>
      </c>
      <c r="R666" s="245">
        <f t="shared" si="965"/>
        <v>0</v>
      </c>
      <c r="S666" s="245">
        <f t="shared" si="965"/>
        <v>0</v>
      </c>
      <c r="T666" s="245">
        <f t="shared" si="965"/>
        <v>0</v>
      </c>
      <c r="U666" s="245">
        <f t="shared" si="965"/>
        <v>0</v>
      </c>
      <c r="V666" s="245">
        <f t="shared" si="965"/>
        <v>0</v>
      </c>
      <c r="W666" s="245">
        <f t="shared" si="965"/>
        <v>0</v>
      </c>
      <c r="X666" s="245">
        <f t="shared" si="965"/>
        <v>0</v>
      </c>
      <c r="Y666" s="245">
        <f t="shared" si="965"/>
        <v>0</v>
      </c>
      <c r="Z666" s="245">
        <f t="shared" si="965"/>
        <v>0</v>
      </c>
      <c r="AA666" s="245">
        <f t="shared" si="965"/>
        <v>0</v>
      </c>
      <c r="AB666" s="245">
        <f t="shared" si="965"/>
        <v>0</v>
      </c>
      <c r="AC666" s="245">
        <f t="shared" si="965"/>
        <v>0</v>
      </c>
      <c r="AD666" s="245">
        <f t="shared" si="965"/>
        <v>0</v>
      </c>
      <c r="AF666" s="580">
        <f t="shared" ref="AF666:BK666" si="966">AF663+AF664+AF665</f>
        <v>0</v>
      </c>
      <c r="AG666" s="580">
        <f t="shared" si="966"/>
        <v>0</v>
      </c>
      <c r="AH666" s="580">
        <f t="shared" si="966"/>
        <v>0</v>
      </c>
      <c r="AI666" s="580">
        <f t="shared" si="966"/>
        <v>0</v>
      </c>
      <c r="AJ666" s="580">
        <f t="shared" si="966"/>
        <v>0</v>
      </c>
      <c r="AK666" s="580">
        <f t="shared" si="966"/>
        <v>0</v>
      </c>
      <c r="AL666" s="580">
        <f t="shared" si="966"/>
        <v>0</v>
      </c>
      <c r="AM666" s="580">
        <f t="shared" si="966"/>
        <v>0</v>
      </c>
      <c r="AN666" s="580">
        <f t="shared" si="966"/>
        <v>0</v>
      </c>
      <c r="AO666" s="580">
        <f t="shared" si="966"/>
        <v>0</v>
      </c>
      <c r="AP666" s="580">
        <f t="shared" si="966"/>
        <v>0</v>
      </c>
      <c r="AQ666" s="580">
        <f t="shared" si="966"/>
        <v>0</v>
      </c>
      <c r="AR666" s="580">
        <f t="shared" si="966"/>
        <v>0</v>
      </c>
      <c r="AS666" s="580">
        <f t="shared" si="966"/>
        <v>0</v>
      </c>
      <c r="AT666" s="580">
        <f t="shared" si="966"/>
        <v>0</v>
      </c>
      <c r="AU666" s="580">
        <f t="shared" si="966"/>
        <v>0</v>
      </c>
      <c r="AV666" s="580">
        <f t="shared" si="966"/>
        <v>0</v>
      </c>
      <c r="AW666" s="580">
        <f t="shared" si="966"/>
        <v>0</v>
      </c>
      <c r="AX666" s="580">
        <f t="shared" si="966"/>
        <v>0</v>
      </c>
      <c r="AY666" s="580">
        <f t="shared" si="966"/>
        <v>0</v>
      </c>
      <c r="AZ666" s="580">
        <f t="shared" si="966"/>
        <v>0</v>
      </c>
      <c r="BA666" s="580">
        <f t="shared" si="966"/>
        <v>0</v>
      </c>
      <c r="BB666" s="580">
        <f t="shared" si="966"/>
        <v>0</v>
      </c>
      <c r="BC666" s="580">
        <f t="shared" si="966"/>
        <v>0</v>
      </c>
      <c r="BD666" s="580">
        <f t="shared" si="966"/>
        <v>0</v>
      </c>
      <c r="BE666" s="580">
        <f t="shared" si="966"/>
        <v>0</v>
      </c>
      <c r="BF666" s="580">
        <f t="shared" si="966"/>
        <v>0</v>
      </c>
      <c r="BG666" s="580">
        <f t="shared" si="966"/>
        <v>0</v>
      </c>
      <c r="BH666" s="580">
        <f t="shared" si="966"/>
        <v>0</v>
      </c>
      <c r="BI666" s="580">
        <f t="shared" si="966"/>
        <v>0</v>
      </c>
      <c r="BJ666" s="580">
        <f t="shared" si="966"/>
        <v>0</v>
      </c>
      <c r="BK666" s="580">
        <f t="shared" si="966"/>
        <v>0</v>
      </c>
    </row>
    <row r="667" spans="1:63" s="240" customFormat="1">
      <c r="A667" s="209"/>
      <c r="B667" s="209" t="s">
        <v>2144</v>
      </c>
      <c r="C667" s="209" t="s">
        <v>2145</v>
      </c>
      <c r="D667" s="209"/>
      <c r="F667" s="251"/>
      <c r="G667" s="251"/>
      <c r="H667" s="251"/>
      <c r="I667" s="251"/>
      <c r="J667" s="251"/>
      <c r="K667" s="251"/>
      <c r="L667" s="251"/>
      <c r="M667" s="251"/>
      <c r="N667" s="251"/>
      <c r="O667" s="251"/>
      <c r="P667" s="251"/>
      <c r="Q667" s="251"/>
      <c r="R667" s="251"/>
      <c r="S667" s="251"/>
      <c r="T667" s="251"/>
      <c r="U667" s="251"/>
      <c r="V667" s="251"/>
      <c r="W667" s="251"/>
      <c r="X667" s="251"/>
      <c r="Y667" s="251"/>
      <c r="Z667" s="251"/>
      <c r="AA667" s="251"/>
      <c r="AB667" s="251"/>
      <c r="AC667" s="251"/>
      <c r="AD667" s="251"/>
      <c r="AE667" s="251"/>
      <c r="AF667" s="579"/>
      <c r="AG667" s="579"/>
      <c r="AH667" s="579"/>
      <c r="AI667" s="579"/>
      <c r="AJ667" s="579"/>
      <c r="AK667" s="579"/>
      <c r="AL667" s="579"/>
      <c r="AM667" s="579"/>
      <c r="AN667" s="579"/>
      <c r="AO667" s="579"/>
      <c r="AP667" s="579"/>
      <c r="AQ667" s="579"/>
      <c r="AR667" s="579"/>
      <c r="AS667" s="579"/>
      <c r="AT667" s="579"/>
      <c r="AU667" s="579"/>
      <c r="AV667" s="579"/>
      <c r="AW667" s="579"/>
      <c r="AX667" s="579"/>
      <c r="AY667" s="579"/>
      <c r="AZ667" s="579"/>
      <c r="BA667" s="579"/>
      <c r="BB667" s="579"/>
      <c r="BC667" s="579"/>
      <c r="BD667" s="579"/>
      <c r="BE667" s="579"/>
      <c r="BF667" s="579"/>
      <c r="BG667" s="579"/>
      <c r="BH667" s="579"/>
      <c r="BI667" s="579"/>
      <c r="BJ667" s="579"/>
      <c r="BK667" s="579"/>
    </row>
    <row r="668" spans="1:63" s="240" customFormat="1">
      <c r="A668" s="209"/>
      <c r="B668" s="209" t="s">
        <v>2146</v>
      </c>
      <c r="C668" s="209" t="s">
        <v>1819</v>
      </c>
      <c r="D668" s="209"/>
      <c r="F668" s="251"/>
      <c r="G668" s="251"/>
      <c r="H668" s="251"/>
      <c r="I668" s="251"/>
      <c r="J668" s="251"/>
      <c r="K668" s="251"/>
      <c r="L668" s="251"/>
      <c r="M668" s="251"/>
      <c r="N668" s="251"/>
      <c r="O668" s="251"/>
      <c r="P668" s="251"/>
      <c r="Q668" s="251"/>
      <c r="R668" s="251"/>
      <c r="S668" s="251"/>
      <c r="T668" s="251"/>
      <c r="U668" s="251"/>
      <c r="V668" s="251"/>
      <c r="W668" s="251"/>
      <c r="X668" s="251"/>
      <c r="Y668" s="251"/>
      <c r="Z668" s="251"/>
      <c r="AA668" s="251"/>
      <c r="AB668" s="251"/>
      <c r="AC668" s="251"/>
      <c r="AD668" s="251"/>
      <c r="AE668" s="251"/>
      <c r="AF668" s="579"/>
      <c r="AG668" s="579"/>
      <c r="AH668" s="579"/>
      <c r="AI668" s="579"/>
      <c r="AJ668" s="579"/>
      <c r="AK668" s="579"/>
      <c r="AL668" s="579"/>
      <c r="AM668" s="579"/>
      <c r="AN668" s="579"/>
      <c r="AO668" s="579"/>
      <c r="AP668" s="579"/>
      <c r="AQ668" s="579"/>
      <c r="AR668" s="579"/>
      <c r="AS668" s="579"/>
      <c r="AT668" s="579"/>
      <c r="AU668" s="579"/>
      <c r="AV668" s="579"/>
      <c r="AW668" s="579"/>
      <c r="AX668" s="579"/>
      <c r="AY668" s="579"/>
      <c r="AZ668" s="579"/>
      <c r="BA668" s="579"/>
      <c r="BB668" s="579"/>
      <c r="BC668" s="579"/>
      <c r="BD668" s="579"/>
      <c r="BE668" s="579"/>
      <c r="BF668" s="579"/>
      <c r="BG668" s="579"/>
      <c r="BH668" s="579"/>
      <c r="BI668" s="579"/>
      <c r="BJ668" s="579"/>
      <c r="BK668" s="579"/>
    </row>
    <row r="669" spans="1:63" s="245" customFormat="1">
      <c r="A669" s="243"/>
      <c r="B669" s="243" t="s">
        <v>2147</v>
      </c>
      <c r="C669" s="243" t="s">
        <v>2148</v>
      </c>
      <c r="D669" s="243"/>
      <c r="F669" s="245">
        <f t="shared" ref="F669:AD669" si="967">F666+F667+F668</f>
        <v>0</v>
      </c>
      <c r="G669" s="245">
        <f t="shared" si="967"/>
        <v>0</v>
      </c>
      <c r="H669" s="245">
        <f t="shared" si="967"/>
        <v>0</v>
      </c>
      <c r="I669" s="245">
        <f t="shared" si="967"/>
        <v>0</v>
      </c>
      <c r="J669" s="245">
        <f t="shared" si="967"/>
        <v>0</v>
      </c>
      <c r="K669" s="245">
        <f t="shared" si="967"/>
        <v>0</v>
      </c>
      <c r="L669" s="245">
        <f t="shared" si="967"/>
        <v>0</v>
      </c>
      <c r="M669" s="245">
        <f t="shared" si="967"/>
        <v>0</v>
      </c>
      <c r="N669" s="245">
        <f t="shared" si="967"/>
        <v>0</v>
      </c>
      <c r="O669" s="245">
        <f t="shared" si="967"/>
        <v>0</v>
      </c>
      <c r="P669" s="245">
        <f t="shared" si="967"/>
        <v>0</v>
      </c>
      <c r="Q669" s="245">
        <f t="shared" si="967"/>
        <v>0</v>
      </c>
      <c r="R669" s="245">
        <f t="shared" si="967"/>
        <v>0</v>
      </c>
      <c r="S669" s="245">
        <f t="shared" si="967"/>
        <v>0</v>
      </c>
      <c r="T669" s="245">
        <f t="shared" si="967"/>
        <v>0</v>
      </c>
      <c r="U669" s="245">
        <f t="shared" si="967"/>
        <v>0</v>
      </c>
      <c r="V669" s="245">
        <f t="shared" si="967"/>
        <v>0</v>
      </c>
      <c r="W669" s="245">
        <f t="shared" si="967"/>
        <v>0</v>
      </c>
      <c r="X669" s="245">
        <f t="shared" si="967"/>
        <v>0</v>
      </c>
      <c r="Y669" s="245">
        <f t="shared" si="967"/>
        <v>0</v>
      </c>
      <c r="Z669" s="245">
        <f t="shared" si="967"/>
        <v>0</v>
      </c>
      <c r="AA669" s="245">
        <f t="shared" si="967"/>
        <v>0</v>
      </c>
      <c r="AB669" s="245">
        <f t="shared" si="967"/>
        <v>0</v>
      </c>
      <c r="AC669" s="245">
        <f t="shared" si="967"/>
        <v>0</v>
      </c>
      <c r="AD669" s="245">
        <f t="shared" si="967"/>
        <v>0</v>
      </c>
      <c r="AF669" s="580">
        <f t="shared" ref="AF669:BK669" si="968">AF666+AF667+AF668</f>
        <v>0</v>
      </c>
      <c r="AG669" s="580">
        <f t="shared" si="968"/>
        <v>0</v>
      </c>
      <c r="AH669" s="580">
        <f t="shared" si="968"/>
        <v>0</v>
      </c>
      <c r="AI669" s="580">
        <f t="shared" si="968"/>
        <v>0</v>
      </c>
      <c r="AJ669" s="580">
        <f t="shared" si="968"/>
        <v>0</v>
      </c>
      <c r="AK669" s="580">
        <f t="shared" si="968"/>
        <v>0</v>
      </c>
      <c r="AL669" s="580">
        <f t="shared" si="968"/>
        <v>0</v>
      </c>
      <c r="AM669" s="580">
        <f t="shared" si="968"/>
        <v>0</v>
      </c>
      <c r="AN669" s="580">
        <f t="shared" si="968"/>
        <v>0</v>
      </c>
      <c r="AO669" s="580">
        <f t="shared" si="968"/>
        <v>0</v>
      </c>
      <c r="AP669" s="580">
        <f t="shared" si="968"/>
        <v>0</v>
      </c>
      <c r="AQ669" s="580">
        <f t="shared" si="968"/>
        <v>0</v>
      </c>
      <c r="AR669" s="580">
        <f t="shared" si="968"/>
        <v>0</v>
      </c>
      <c r="AS669" s="580">
        <f t="shared" si="968"/>
        <v>0</v>
      </c>
      <c r="AT669" s="580">
        <f t="shared" si="968"/>
        <v>0</v>
      </c>
      <c r="AU669" s="580">
        <f t="shared" si="968"/>
        <v>0</v>
      </c>
      <c r="AV669" s="580">
        <f t="shared" si="968"/>
        <v>0</v>
      </c>
      <c r="AW669" s="580">
        <f t="shared" si="968"/>
        <v>0</v>
      </c>
      <c r="AX669" s="580">
        <f t="shared" si="968"/>
        <v>0</v>
      </c>
      <c r="AY669" s="580">
        <f t="shared" si="968"/>
        <v>0</v>
      </c>
      <c r="AZ669" s="580">
        <f t="shared" si="968"/>
        <v>0</v>
      </c>
      <c r="BA669" s="580">
        <f t="shared" si="968"/>
        <v>0</v>
      </c>
      <c r="BB669" s="580">
        <f t="shared" si="968"/>
        <v>0</v>
      </c>
      <c r="BC669" s="580">
        <f t="shared" si="968"/>
        <v>0</v>
      </c>
      <c r="BD669" s="580">
        <f t="shared" si="968"/>
        <v>0</v>
      </c>
      <c r="BE669" s="580">
        <f t="shared" si="968"/>
        <v>0</v>
      </c>
      <c r="BF669" s="580">
        <f t="shared" si="968"/>
        <v>0</v>
      </c>
      <c r="BG669" s="580">
        <f t="shared" si="968"/>
        <v>0</v>
      </c>
      <c r="BH669" s="580">
        <f t="shared" si="968"/>
        <v>0</v>
      </c>
      <c r="BI669" s="580">
        <f t="shared" si="968"/>
        <v>0</v>
      </c>
      <c r="BJ669" s="580">
        <f t="shared" si="968"/>
        <v>0</v>
      </c>
      <c r="BK669" s="580">
        <f t="shared" si="968"/>
        <v>0</v>
      </c>
    </row>
    <row r="670" spans="1:63" s="240" customFormat="1">
      <c r="A670" s="209"/>
      <c r="B670" s="209"/>
      <c r="C670" s="209"/>
      <c r="D670" s="209"/>
      <c r="AF670" s="579"/>
      <c r="AG670" s="579"/>
      <c r="AH670" s="579"/>
      <c r="AI670" s="579"/>
      <c r="AJ670" s="579"/>
      <c r="AK670" s="579"/>
      <c r="AL670" s="579"/>
      <c r="AM670" s="579"/>
      <c r="AN670" s="579"/>
      <c r="AO670" s="579"/>
      <c r="AP670" s="579"/>
      <c r="AQ670" s="579"/>
      <c r="AR670" s="579"/>
      <c r="AS670" s="579"/>
      <c r="AT670" s="579"/>
      <c r="AU670" s="579"/>
      <c r="AV670" s="579"/>
      <c r="AW670" s="579"/>
      <c r="AX670" s="579"/>
      <c r="AY670" s="579"/>
      <c r="AZ670" s="579"/>
      <c r="BA670" s="579"/>
      <c r="BB670" s="579"/>
      <c r="BC670" s="579"/>
      <c r="BD670" s="579"/>
      <c r="BE670" s="579"/>
      <c r="BF670" s="579"/>
      <c r="BG670" s="579"/>
      <c r="BH670" s="579"/>
      <c r="BI670" s="579"/>
      <c r="BJ670" s="579"/>
      <c r="BK670" s="579"/>
    </row>
    <row r="671" spans="1:63" s="245" customFormat="1">
      <c r="A671" s="243"/>
      <c r="B671" s="243" t="s">
        <v>2149</v>
      </c>
      <c r="C671" s="243" t="s">
        <v>742</v>
      </c>
      <c r="D671" s="243"/>
      <c r="F671" s="279">
        <f>SUM(F673:F677)</f>
        <v>0</v>
      </c>
      <c r="G671" s="245">
        <f t="shared" ref="G671:AD671" si="969">SUM(G673:G676)</f>
        <v>0</v>
      </c>
      <c r="H671" s="245">
        <f t="shared" si="969"/>
        <v>0</v>
      </c>
      <c r="I671" s="245">
        <f t="shared" si="969"/>
        <v>0</v>
      </c>
      <c r="J671" s="245">
        <f t="shared" si="969"/>
        <v>0</v>
      </c>
      <c r="K671" s="245">
        <f t="shared" si="969"/>
        <v>0</v>
      </c>
      <c r="L671" s="245">
        <f t="shared" si="969"/>
        <v>0</v>
      </c>
      <c r="M671" s="245">
        <f t="shared" si="969"/>
        <v>0</v>
      </c>
      <c r="N671" s="245">
        <f t="shared" si="969"/>
        <v>0</v>
      </c>
      <c r="O671" s="245">
        <f t="shared" si="969"/>
        <v>0</v>
      </c>
      <c r="P671" s="245">
        <f t="shared" si="969"/>
        <v>0</v>
      </c>
      <c r="Q671" s="245">
        <f t="shared" si="969"/>
        <v>0</v>
      </c>
      <c r="R671" s="245">
        <f t="shared" si="969"/>
        <v>0</v>
      </c>
      <c r="S671" s="245">
        <f t="shared" si="969"/>
        <v>0</v>
      </c>
      <c r="T671" s="245">
        <f t="shared" si="969"/>
        <v>0</v>
      </c>
      <c r="U671" s="245">
        <f t="shared" si="969"/>
        <v>0</v>
      </c>
      <c r="V671" s="245">
        <f t="shared" si="969"/>
        <v>0</v>
      </c>
      <c r="W671" s="245">
        <f t="shared" si="969"/>
        <v>0</v>
      </c>
      <c r="X671" s="245">
        <f t="shared" si="969"/>
        <v>0</v>
      </c>
      <c r="Y671" s="245">
        <f t="shared" si="969"/>
        <v>0</v>
      </c>
      <c r="Z671" s="245">
        <f t="shared" si="969"/>
        <v>0</v>
      </c>
      <c r="AA671" s="245">
        <f t="shared" si="969"/>
        <v>0</v>
      </c>
      <c r="AB671" s="245">
        <f t="shared" si="969"/>
        <v>0</v>
      </c>
      <c r="AC671" s="245">
        <f t="shared" si="969"/>
        <v>0</v>
      </c>
      <c r="AD671" s="245">
        <f t="shared" si="969"/>
        <v>0</v>
      </c>
      <c r="AF671" s="580">
        <f t="shared" ref="AF671:BK671" si="970">SUM(AF673:AF677)</f>
        <v>0</v>
      </c>
      <c r="AG671" s="580">
        <f t="shared" si="970"/>
        <v>0</v>
      </c>
      <c r="AH671" s="580">
        <f t="shared" si="970"/>
        <v>0</v>
      </c>
      <c r="AI671" s="580">
        <f t="shared" si="970"/>
        <v>0</v>
      </c>
      <c r="AJ671" s="580">
        <f t="shared" si="970"/>
        <v>0</v>
      </c>
      <c r="AK671" s="580">
        <f t="shared" si="970"/>
        <v>0</v>
      </c>
      <c r="AL671" s="580">
        <f t="shared" si="970"/>
        <v>0</v>
      </c>
      <c r="AM671" s="580">
        <f>SUM(AM673:AM677)</f>
        <v>0</v>
      </c>
      <c r="AN671" s="580">
        <f t="shared" si="970"/>
        <v>0</v>
      </c>
      <c r="AO671" s="580">
        <f t="shared" si="970"/>
        <v>0</v>
      </c>
      <c r="AP671" s="580">
        <f t="shared" si="970"/>
        <v>0</v>
      </c>
      <c r="AQ671" s="580">
        <f t="shared" si="970"/>
        <v>0</v>
      </c>
      <c r="AR671" s="580">
        <f t="shared" si="970"/>
        <v>0</v>
      </c>
      <c r="AS671" s="580">
        <f t="shared" si="970"/>
        <v>0</v>
      </c>
      <c r="AT671" s="580">
        <f t="shared" si="970"/>
        <v>0</v>
      </c>
      <c r="AU671" s="580">
        <f t="shared" si="970"/>
        <v>0</v>
      </c>
      <c r="AV671" s="580">
        <f t="shared" si="970"/>
        <v>0</v>
      </c>
      <c r="AW671" s="580">
        <f t="shared" si="970"/>
        <v>0</v>
      </c>
      <c r="AX671" s="580">
        <f t="shared" si="970"/>
        <v>0</v>
      </c>
      <c r="AY671" s="580">
        <f t="shared" si="970"/>
        <v>0</v>
      </c>
      <c r="AZ671" s="580">
        <f t="shared" si="970"/>
        <v>0</v>
      </c>
      <c r="BA671" s="580">
        <f t="shared" si="970"/>
        <v>0</v>
      </c>
      <c r="BB671" s="580">
        <f t="shared" si="970"/>
        <v>0</v>
      </c>
      <c r="BC671" s="580">
        <f t="shared" si="970"/>
        <v>0</v>
      </c>
      <c r="BD671" s="580">
        <f t="shared" si="970"/>
        <v>0</v>
      </c>
      <c r="BE671" s="580">
        <f t="shared" si="970"/>
        <v>0</v>
      </c>
      <c r="BF671" s="580">
        <f t="shared" si="970"/>
        <v>0</v>
      </c>
      <c r="BG671" s="580">
        <f t="shared" si="970"/>
        <v>0</v>
      </c>
      <c r="BH671" s="580">
        <f t="shared" si="970"/>
        <v>0</v>
      </c>
      <c r="BI671" s="580">
        <f t="shared" si="970"/>
        <v>0</v>
      </c>
      <c r="BJ671" s="580">
        <f t="shared" si="970"/>
        <v>0</v>
      </c>
      <c r="BK671" s="580">
        <f t="shared" si="970"/>
        <v>0</v>
      </c>
    </row>
    <row r="672" spans="1:63" s="240" customFormat="1">
      <c r="A672" s="209"/>
      <c r="B672" s="209"/>
      <c r="C672" s="209" t="s">
        <v>2125</v>
      </c>
      <c r="D672" s="209"/>
      <c r="AF672" s="579"/>
      <c r="AG672" s="579"/>
      <c r="AH672" s="579"/>
      <c r="AI672" s="579"/>
      <c r="AJ672" s="579"/>
      <c r="AK672" s="579"/>
      <c r="AL672" s="579"/>
      <c r="AM672" s="579"/>
      <c r="AN672" s="579"/>
      <c r="AO672" s="579"/>
      <c r="AP672" s="579"/>
      <c r="AQ672" s="579"/>
      <c r="AR672" s="579"/>
      <c r="AS672" s="579"/>
      <c r="AT672" s="579"/>
      <c r="AU672" s="579"/>
      <c r="AV672" s="579"/>
      <c r="AW672" s="579"/>
      <c r="AX672" s="579"/>
      <c r="AY672" s="579"/>
      <c r="AZ672" s="579"/>
      <c r="BA672" s="579"/>
      <c r="BB672" s="579"/>
      <c r="BC672" s="579"/>
      <c r="BD672" s="579"/>
      <c r="BE672" s="579"/>
      <c r="BF672" s="579"/>
      <c r="BG672" s="579"/>
      <c r="BH672" s="579"/>
      <c r="BI672" s="579"/>
      <c r="BJ672" s="579"/>
      <c r="BK672" s="579"/>
    </row>
    <row r="673" spans="1:63" s="240" customFormat="1">
      <c r="A673" s="209"/>
      <c r="B673" s="209" t="s">
        <v>2150</v>
      </c>
      <c r="C673" s="209" t="str">
        <f>IF(ISBLANK($E$19),"Please enter name of segment above", $E$19)</f>
        <v>Please enter name of segment above</v>
      </c>
      <c r="D673" s="209"/>
      <c r="F673" s="251"/>
      <c r="G673" s="251"/>
      <c r="H673" s="251"/>
      <c r="I673" s="251"/>
      <c r="J673" s="251"/>
      <c r="K673" s="251"/>
      <c r="L673" s="251"/>
      <c r="M673" s="251"/>
      <c r="N673" s="251"/>
      <c r="O673" s="251"/>
      <c r="P673" s="251"/>
      <c r="Q673" s="251"/>
      <c r="R673" s="251"/>
      <c r="S673" s="251"/>
      <c r="T673" s="251"/>
      <c r="U673" s="251"/>
      <c r="V673" s="251"/>
      <c r="W673" s="251"/>
      <c r="X673" s="251"/>
      <c r="Y673" s="251"/>
      <c r="Z673" s="251"/>
      <c r="AA673" s="251"/>
      <c r="AB673" s="251"/>
      <c r="AC673" s="251"/>
      <c r="AD673" s="251"/>
      <c r="AE673" s="251"/>
      <c r="AF673" s="579"/>
      <c r="AG673" s="579"/>
      <c r="AH673" s="579"/>
      <c r="AI673" s="579"/>
      <c r="AJ673" s="579"/>
      <c r="AK673" s="579"/>
      <c r="AL673" s="579"/>
      <c r="AM673" s="579"/>
      <c r="AN673" s="579"/>
      <c r="AO673" s="579"/>
      <c r="AP673" s="579"/>
      <c r="AQ673" s="579"/>
      <c r="AR673" s="579"/>
      <c r="AS673" s="579"/>
      <c r="AT673" s="579"/>
      <c r="AU673" s="579"/>
      <c r="AV673" s="579"/>
      <c r="AW673" s="579"/>
      <c r="AX673" s="579"/>
      <c r="AY673" s="579"/>
      <c r="AZ673" s="579"/>
      <c r="BA673" s="579"/>
      <c r="BB673" s="579"/>
      <c r="BC673" s="579"/>
      <c r="BD673" s="579"/>
      <c r="BE673" s="579"/>
      <c r="BF673" s="579"/>
      <c r="BG673" s="579"/>
      <c r="BH673" s="579"/>
      <c r="BI673" s="579"/>
      <c r="BJ673" s="579"/>
      <c r="BK673" s="579"/>
    </row>
    <row r="674" spans="1:63" s="240" customFormat="1">
      <c r="A674" s="209"/>
      <c r="B674" s="209" t="s">
        <v>2151</v>
      </c>
      <c r="C674" s="209" t="str">
        <f>IF(ISBLANK($E$20),"Please enter name of segment above", $E$20)</f>
        <v>Please enter name of segment above</v>
      </c>
      <c r="D674" s="209"/>
      <c r="F674" s="251"/>
      <c r="G674" s="251"/>
      <c r="H674" s="251"/>
      <c r="I674" s="251"/>
      <c r="J674" s="251"/>
      <c r="K674" s="251"/>
      <c r="L674" s="251"/>
      <c r="M674" s="251"/>
      <c r="N674" s="251"/>
      <c r="O674" s="251"/>
      <c r="P674" s="251"/>
      <c r="Q674" s="251"/>
      <c r="R674" s="251"/>
      <c r="S674" s="251"/>
      <c r="T674" s="251"/>
      <c r="U674" s="251"/>
      <c r="V674" s="251"/>
      <c r="W674" s="251"/>
      <c r="X674" s="251"/>
      <c r="Y674" s="251"/>
      <c r="Z674" s="251"/>
      <c r="AA674" s="251"/>
      <c r="AB674" s="251"/>
      <c r="AC674" s="251"/>
      <c r="AD674" s="251"/>
      <c r="AE674" s="251"/>
      <c r="AF674" s="579"/>
      <c r="AG674" s="579"/>
      <c r="AH674" s="579"/>
      <c r="AI674" s="579"/>
      <c r="AJ674" s="579"/>
      <c r="AK674" s="579"/>
      <c r="AL674" s="579"/>
      <c r="AM674" s="579"/>
      <c r="AN674" s="579"/>
      <c r="AO674" s="579"/>
      <c r="AP674" s="579"/>
      <c r="AQ674" s="579"/>
      <c r="AR674" s="579"/>
      <c r="AS674" s="579"/>
      <c r="AT674" s="579"/>
      <c r="AU674" s="579"/>
      <c r="AV674" s="579"/>
      <c r="AW674" s="579"/>
      <c r="AX674" s="579"/>
      <c r="AY674" s="579"/>
      <c r="AZ674" s="579"/>
      <c r="BA674" s="579"/>
      <c r="BB674" s="579"/>
      <c r="BC674" s="579"/>
      <c r="BD674" s="579"/>
      <c r="BE674" s="579"/>
      <c r="BF674" s="579"/>
      <c r="BG674" s="579"/>
      <c r="BH674" s="579"/>
      <c r="BI674" s="579"/>
      <c r="BJ674" s="579"/>
      <c r="BK674" s="579"/>
    </row>
    <row r="675" spans="1:63" s="240" customFormat="1">
      <c r="A675" s="209"/>
      <c r="B675" s="209" t="s">
        <v>2152</v>
      </c>
      <c r="C675" s="209" t="str">
        <f>IF(ISBLANK($E$21),"Please enter name of segment above", $E$21)</f>
        <v>Please enter name of segment above</v>
      </c>
      <c r="D675" s="209"/>
      <c r="F675" s="251"/>
      <c r="G675" s="251"/>
      <c r="H675" s="251"/>
      <c r="I675" s="251"/>
      <c r="J675" s="251"/>
      <c r="K675" s="251"/>
      <c r="L675" s="251"/>
      <c r="M675" s="251"/>
      <c r="N675" s="251"/>
      <c r="O675" s="251"/>
      <c r="P675" s="251"/>
      <c r="Q675" s="251"/>
      <c r="R675" s="251"/>
      <c r="S675" s="251"/>
      <c r="T675" s="251"/>
      <c r="U675" s="251"/>
      <c r="V675" s="251"/>
      <c r="W675" s="251"/>
      <c r="X675" s="251"/>
      <c r="Y675" s="251"/>
      <c r="Z675" s="251"/>
      <c r="AA675" s="251"/>
      <c r="AB675" s="251"/>
      <c r="AC675" s="251"/>
      <c r="AD675" s="251"/>
      <c r="AE675" s="251"/>
      <c r="AF675" s="579"/>
      <c r="AG675" s="579"/>
      <c r="AH675" s="579"/>
      <c r="AI675" s="579"/>
      <c r="AJ675" s="579"/>
      <c r="AK675" s="579"/>
      <c r="AL675" s="579"/>
      <c r="AM675" s="579"/>
      <c r="AN675" s="579"/>
      <c r="AO675" s="579"/>
      <c r="AP675" s="579"/>
      <c r="AQ675" s="579"/>
      <c r="AR675" s="579"/>
      <c r="AS675" s="579"/>
      <c r="AT675" s="579"/>
      <c r="AU675" s="579"/>
      <c r="AV675" s="579"/>
      <c r="AW675" s="579"/>
      <c r="AX675" s="579"/>
      <c r="AY675" s="579"/>
      <c r="AZ675" s="579"/>
      <c r="BA675" s="579"/>
      <c r="BB675" s="579"/>
      <c r="BC675" s="579"/>
      <c r="BD675" s="579"/>
      <c r="BE675" s="579"/>
      <c r="BF675" s="579"/>
      <c r="BG675" s="579"/>
      <c r="BH675" s="579"/>
      <c r="BI675" s="579"/>
      <c r="BJ675" s="579"/>
      <c r="BK675" s="579"/>
    </row>
    <row r="676" spans="1:63" s="240" customFormat="1">
      <c r="A676" s="209"/>
      <c r="B676" s="209" t="s">
        <v>2153</v>
      </c>
      <c r="C676" s="209" t="str">
        <f>IF(ISBLANK($E$22),"Please enter name of segment above", $E$22)</f>
        <v>Please enter name of segment above</v>
      </c>
      <c r="D676" s="209"/>
      <c r="F676" s="251"/>
      <c r="G676" s="251"/>
      <c r="H676" s="251"/>
      <c r="I676" s="251"/>
      <c r="J676" s="251"/>
      <c r="K676" s="251"/>
      <c r="L676" s="251"/>
      <c r="M676" s="251"/>
      <c r="N676" s="251"/>
      <c r="O676" s="251"/>
      <c r="P676" s="251"/>
      <c r="Q676" s="251"/>
      <c r="R676" s="251"/>
      <c r="S676" s="251"/>
      <c r="T676" s="251"/>
      <c r="U676" s="251"/>
      <c r="V676" s="251"/>
      <c r="W676" s="251"/>
      <c r="X676" s="251"/>
      <c r="Y676" s="251"/>
      <c r="Z676" s="251"/>
      <c r="AA676" s="251"/>
      <c r="AB676" s="251"/>
      <c r="AC676" s="251"/>
      <c r="AD676" s="251"/>
      <c r="AE676" s="251"/>
      <c r="AF676" s="579"/>
      <c r="AG676" s="579"/>
      <c r="AH676" s="579"/>
      <c r="AI676" s="579"/>
      <c r="AJ676" s="579"/>
      <c r="AK676" s="579"/>
      <c r="AL676" s="579"/>
      <c r="AM676" s="579"/>
      <c r="AN676" s="579"/>
      <c r="AO676" s="579"/>
      <c r="AP676" s="579"/>
      <c r="AQ676" s="579"/>
      <c r="AR676" s="579"/>
      <c r="AS676" s="579"/>
      <c r="AT676" s="579"/>
      <c r="AU676" s="579"/>
      <c r="AV676" s="579"/>
      <c r="AW676" s="579"/>
      <c r="AX676" s="579"/>
      <c r="AY676" s="579"/>
      <c r="AZ676" s="579"/>
      <c r="BA676" s="579"/>
      <c r="BB676" s="579"/>
      <c r="BC676" s="579"/>
      <c r="BD676" s="579"/>
      <c r="BE676" s="579"/>
      <c r="BF676" s="579"/>
      <c r="BG676" s="579"/>
      <c r="BH676" s="579"/>
      <c r="BI676" s="579"/>
      <c r="BJ676" s="579"/>
      <c r="BK676" s="579"/>
    </row>
    <row r="677" spans="1:63" s="240" customFormat="1">
      <c r="A677" s="209"/>
      <c r="B677" s="209" t="s">
        <v>2154</v>
      </c>
      <c r="C677" s="209" t="str">
        <f>IF(ISBLANK($E$23),"Please enter name of segment above", $E$23)</f>
        <v>Please enter name of segment above</v>
      </c>
      <c r="D677" s="209"/>
      <c r="F677" s="251"/>
      <c r="G677" s="251"/>
      <c r="H677" s="251"/>
      <c r="I677" s="251"/>
      <c r="J677" s="251"/>
      <c r="K677" s="251"/>
      <c r="L677" s="251"/>
      <c r="M677" s="251"/>
      <c r="N677" s="251"/>
      <c r="O677" s="251"/>
      <c r="P677" s="251"/>
      <c r="Q677" s="251"/>
      <c r="R677" s="251"/>
      <c r="S677" s="251"/>
      <c r="T677" s="251"/>
      <c r="U677" s="251"/>
      <c r="V677" s="251"/>
      <c r="W677" s="251"/>
      <c r="X677" s="251"/>
      <c r="Y677" s="251"/>
      <c r="Z677" s="251"/>
      <c r="AA677" s="251"/>
      <c r="AB677" s="251"/>
      <c r="AC677" s="251"/>
      <c r="AD677" s="251"/>
      <c r="AE677" s="251"/>
      <c r="AF677" s="579"/>
      <c r="AG677" s="579"/>
      <c r="AH677" s="579"/>
      <c r="AI677" s="579"/>
      <c r="AJ677" s="579"/>
      <c r="AK677" s="579"/>
      <c r="AL677" s="579"/>
      <c r="AM677" s="579"/>
      <c r="AN677" s="579"/>
      <c r="AO677" s="579"/>
      <c r="AP677" s="579"/>
      <c r="AQ677" s="579"/>
      <c r="AR677" s="579"/>
      <c r="AS677" s="579"/>
      <c r="AT677" s="579"/>
      <c r="AU677" s="579"/>
      <c r="AV677" s="579"/>
      <c r="AW677" s="579"/>
      <c r="AX677" s="579"/>
      <c r="AY677" s="579"/>
      <c r="AZ677" s="579"/>
      <c r="BA677" s="579"/>
      <c r="BB677" s="579"/>
      <c r="BC677" s="579"/>
      <c r="BD677" s="579"/>
      <c r="BE677" s="579"/>
      <c r="BF677" s="579"/>
      <c r="BG677" s="579"/>
      <c r="BH677" s="579"/>
      <c r="BI677" s="579"/>
      <c r="BJ677" s="579"/>
      <c r="BK677" s="579"/>
    </row>
    <row r="678" spans="1:63" s="240" customFormat="1">
      <c r="A678" s="209"/>
      <c r="B678" s="209"/>
      <c r="C678" s="209"/>
      <c r="D678" s="209"/>
      <c r="AF678" s="579"/>
      <c r="AG678" s="579"/>
      <c r="AH678" s="579"/>
      <c r="AI678" s="579"/>
      <c r="AJ678" s="579"/>
      <c r="AK678" s="579"/>
      <c r="AL678" s="579"/>
      <c r="AM678" s="579"/>
      <c r="AN678" s="579"/>
      <c r="AO678" s="579"/>
      <c r="AP678" s="579"/>
      <c r="AQ678" s="579"/>
      <c r="AR678" s="579"/>
      <c r="AS678" s="579"/>
      <c r="AT678" s="579"/>
      <c r="AU678" s="579"/>
      <c r="AV678" s="579"/>
      <c r="AW678" s="579"/>
      <c r="AX678" s="579"/>
      <c r="AY678" s="579"/>
      <c r="AZ678" s="579"/>
      <c r="BA678" s="579"/>
      <c r="BB678" s="579"/>
      <c r="BC678" s="579"/>
      <c r="BD678" s="579"/>
      <c r="BE678" s="579"/>
      <c r="BF678" s="579"/>
      <c r="BG678" s="579"/>
      <c r="BH678" s="579"/>
      <c r="BI678" s="579"/>
      <c r="BJ678" s="579"/>
      <c r="BK678" s="579"/>
    </row>
    <row r="679" spans="1:63" s="240" customFormat="1">
      <c r="A679" s="209"/>
      <c r="B679" s="209"/>
      <c r="C679" s="275" t="s">
        <v>2155</v>
      </c>
      <c r="D679" s="209"/>
      <c r="AF679" s="579"/>
      <c r="AG679" s="579"/>
      <c r="AH679" s="579"/>
      <c r="AI679" s="579"/>
      <c r="AJ679" s="579"/>
      <c r="AK679" s="579"/>
      <c r="AL679" s="579"/>
      <c r="AM679" s="579"/>
      <c r="AN679" s="579"/>
      <c r="AO679" s="579"/>
      <c r="AP679" s="579"/>
      <c r="AQ679" s="579"/>
      <c r="AR679" s="579"/>
      <c r="AS679" s="579"/>
      <c r="AT679" s="579"/>
      <c r="AU679" s="579"/>
      <c r="AV679" s="579"/>
      <c r="AW679" s="579"/>
      <c r="AX679" s="579"/>
      <c r="AY679" s="579"/>
      <c r="AZ679" s="579"/>
      <c r="BA679" s="579"/>
      <c r="BB679" s="579"/>
      <c r="BC679" s="579"/>
      <c r="BD679" s="579"/>
      <c r="BE679" s="579"/>
      <c r="BF679" s="579"/>
      <c r="BG679" s="579"/>
      <c r="BH679" s="579"/>
      <c r="BI679" s="579"/>
      <c r="BJ679" s="579"/>
      <c r="BK679" s="579"/>
    </row>
    <row r="680" spans="1:63" s="240" customFormat="1">
      <c r="A680" s="209"/>
      <c r="B680" s="209"/>
      <c r="C680" s="209"/>
      <c r="D680" s="209"/>
      <c r="AF680" s="579"/>
      <c r="AG680" s="579"/>
      <c r="AH680" s="579"/>
      <c r="AI680" s="579"/>
      <c r="AJ680" s="579"/>
      <c r="AK680" s="579"/>
      <c r="AL680" s="579"/>
      <c r="AM680" s="579"/>
      <c r="AN680" s="579"/>
      <c r="AO680" s="579"/>
      <c r="AP680" s="579"/>
      <c r="AQ680" s="579"/>
      <c r="AR680" s="579"/>
      <c r="AS680" s="579"/>
      <c r="AT680" s="579"/>
      <c r="AU680" s="579"/>
      <c r="AV680" s="579"/>
      <c r="AW680" s="579"/>
      <c r="AX680" s="579"/>
      <c r="AY680" s="579"/>
      <c r="AZ680" s="579"/>
      <c r="BA680" s="579"/>
      <c r="BB680" s="579"/>
      <c r="BC680" s="579"/>
      <c r="BD680" s="579"/>
      <c r="BE680" s="579"/>
      <c r="BF680" s="579"/>
      <c r="BG680" s="579"/>
      <c r="BH680" s="579"/>
      <c r="BI680" s="579"/>
      <c r="BJ680" s="579"/>
      <c r="BK680" s="579"/>
    </row>
    <row r="681" spans="1:63" s="245" customFormat="1">
      <c r="A681" s="243"/>
      <c r="B681" s="243"/>
      <c r="C681" s="250" t="s">
        <v>296</v>
      </c>
      <c r="D681" s="243"/>
      <c r="F681" s="279" t="e">
        <f>SUM(F683:F687)</f>
        <v>#DIV/0!</v>
      </c>
      <c r="G681" s="245" t="e">
        <f t="shared" ref="G681:AD681" si="971">SUM(G683:G686)</f>
        <v>#DIV/0!</v>
      </c>
      <c r="H681" s="245" t="e">
        <f t="shared" si="971"/>
        <v>#DIV/0!</v>
      </c>
      <c r="I681" s="245" t="e">
        <f t="shared" si="971"/>
        <v>#DIV/0!</v>
      </c>
      <c r="J681" s="245" t="e">
        <f t="shared" si="971"/>
        <v>#DIV/0!</v>
      </c>
      <c r="K681" s="245" t="e">
        <f t="shared" si="971"/>
        <v>#DIV/0!</v>
      </c>
      <c r="L681" s="245" t="e">
        <f t="shared" si="971"/>
        <v>#DIV/0!</v>
      </c>
      <c r="M681" s="245" t="e">
        <f t="shared" si="971"/>
        <v>#DIV/0!</v>
      </c>
      <c r="N681" s="245" t="e">
        <f t="shared" si="971"/>
        <v>#DIV/0!</v>
      </c>
      <c r="O681" s="245" t="e">
        <f t="shared" si="971"/>
        <v>#DIV/0!</v>
      </c>
      <c r="P681" s="245" t="e">
        <f t="shared" si="971"/>
        <v>#DIV/0!</v>
      </c>
      <c r="Q681" s="245" t="e">
        <f t="shared" si="971"/>
        <v>#DIV/0!</v>
      </c>
      <c r="R681" s="245" t="e">
        <f t="shared" si="971"/>
        <v>#DIV/0!</v>
      </c>
      <c r="S681" s="245" t="e">
        <f t="shared" si="971"/>
        <v>#DIV/0!</v>
      </c>
      <c r="T681" s="245" t="e">
        <f t="shared" si="971"/>
        <v>#DIV/0!</v>
      </c>
      <c r="U681" s="245" t="e">
        <f t="shared" si="971"/>
        <v>#DIV/0!</v>
      </c>
      <c r="V681" s="245" t="e">
        <f t="shared" si="971"/>
        <v>#DIV/0!</v>
      </c>
      <c r="W681" s="245" t="e">
        <f t="shared" si="971"/>
        <v>#DIV/0!</v>
      </c>
      <c r="X681" s="245" t="e">
        <f t="shared" si="971"/>
        <v>#DIV/0!</v>
      </c>
      <c r="Y681" s="245" t="e">
        <f t="shared" si="971"/>
        <v>#DIV/0!</v>
      </c>
      <c r="Z681" s="245" t="e">
        <f t="shared" si="971"/>
        <v>#DIV/0!</v>
      </c>
      <c r="AA681" s="245" t="e">
        <f t="shared" si="971"/>
        <v>#DIV/0!</v>
      </c>
      <c r="AB681" s="245" t="e">
        <f t="shared" si="971"/>
        <v>#DIV/0!</v>
      </c>
      <c r="AC681" s="245" t="e">
        <f t="shared" si="971"/>
        <v>#DIV/0!</v>
      </c>
      <c r="AD681" s="245" t="e">
        <f t="shared" si="971"/>
        <v>#DIV/0!</v>
      </c>
      <c r="AF681" s="580" t="e">
        <f t="shared" ref="AF681:BK681" si="972">SUM(AF683:AF686)</f>
        <v>#DIV/0!</v>
      </c>
      <c r="AG681" s="580" t="e">
        <f t="shared" si="972"/>
        <v>#DIV/0!</v>
      </c>
      <c r="AH681" s="580" t="e">
        <f t="shared" si="972"/>
        <v>#DIV/0!</v>
      </c>
      <c r="AI681" s="580" t="e">
        <f t="shared" si="972"/>
        <v>#DIV/0!</v>
      </c>
      <c r="AJ681" s="580" t="e">
        <f t="shared" si="972"/>
        <v>#DIV/0!</v>
      </c>
      <c r="AK681" s="580" t="e">
        <f t="shared" si="972"/>
        <v>#DIV/0!</v>
      </c>
      <c r="AL681" s="580" t="e">
        <f t="shared" si="972"/>
        <v>#DIV/0!</v>
      </c>
      <c r="AM681" s="580" t="e">
        <f>SUM(AM683:AM686)</f>
        <v>#DIV/0!</v>
      </c>
      <c r="AN681" s="580" t="e">
        <f t="shared" si="972"/>
        <v>#DIV/0!</v>
      </c>
      <c r="AO681" s="580" t="e">
        <f t="shared" si="972"/>
        <v>#DIV/0!</v>
      </c>
      <c r="AP681" s="580" t="e">
        <f t="shared" si="972"/>
        <v>#DIV/0!</v>
      </c>
      <c r="AQ681" s="580" t="e">
        <f t="shared" si="972"/>
        <v>#DIV/0!</v>
      </c>
      <c r="AR681" s="580" t="e">
        <f t="shared" si="972"/>
        <v>#DIV/0!</v>
      </c>
      <c r="AS681" s="580" t="e">
        <f t="shared" si="972"/>
        <v>#DIV/0!</v>
      </c>
      <c r="AT681" s="580" t="e">
        <f t="shared" si="972"/>
        <v>#DIV/0!</v>
      </c>
      <c r="AU681" s="580" t="e">
        <f t="shared" si="972"/>
        <v>#DIV/0!</v>
      </c>
      <c r="AV681" s="580" t="e">
        <f t="shared" si="972"/>
        <v>#DIV/0!</v>
      </c>
      <c r="AW681" s="580" t="e">
        <f t="shared" si="972"/>
        <v>#DIV/0!</v>
      </c>
      <c r="AX681" s="580" t="e">
        <f t="shared" si="972"/>
        <v>#DIV/0!</v>
      </c>
      <c r="AY681" s="580" t="e">
        <f t="shared" si="972"/>
        <v>#DIV/0!</v>
      </c>
      <c r="AZ681" s="580" t="e">
        <f t="shared" si="972"/>
        <v>#DIV/0!</v>
      </c>
      <c r="BA681" s="580" t="e">
        <f t="shared" si="972"/>
        <v>#DIV/0!</v>
      </c>
      <c r="BB681" s="580" t="e">
        <f t="shared" si="972"/>
        <v>#DIV/0!</v>
      </c>
      <c r="BC681" s="580" t="e">
        <f t="shared" si="972"/>
        <v>#DIV/0!</v>
      </c>
      <c r="BD681" s="580" t="e">
        <f t="shared" si="972"/>
        <v>#DIV/0!</v>
      </c>
      <c r="BE681" s="580" t="e">
        <f t="shared" si="972"/>
        <v>#DIV/0!</v>
      </c>
      <c r="BF681" s="580" t="e">
        <f t="shared" si="972"/>
        <v>#DIV/0!</v>
      </c>
      <c r="BG681" s="580" t="e">
        <f t="shared" si="972"/>
        <v>#DIV/0!</v>
      </c>
      <c r="BH681" s="580" t="e">
        <f t="shared" si="972"/>
        <v>#DIV/0!</v>
      </c>
      <c r="BI681" s="580" t="e">
        <f t="shared" si="972"/>
        <v>#DIV/0!</v>
      </c>
      <c r="BJ681" s="580" t="e">
        <f t="shared" si="972"/>
        <v>#DIV/0!</v>
      </c>
      <c r="BK681" s="580" t="e">
        <f t="shared" si="972"/>
        <v>#DIV/0!</v>
      </c>
    </row>
    <row r="682" spans="1:63" s="248" customFormat="1">
      <c r="A682" s="247"/>
      <c r="B682" s="247"/>
      <c r="C682" s="247" t="s">
        <v>2125</v>
      </c>
      <c r="D682" s="247"/>
      <c r="AF682" s="581"/>
      <c r="AG682" s="581"/>
      <c r="AH682" s="581"/>
      <c r="AI682" s="581"/>
      <c r="AJ682" s="581"/>
      <c r="AK682" s="581"/>
      <c r="AL682" s="581"/>
      <c r="AM682" s="581"/>
      <c r="AN682" s="581"/>
      <c r="AO682" s="581"/>
      <c r="AP682" s="581"/>
      <c r="AQ682" s="581"/>
      <c r="AR682" s="581"/>
      <c r="AS682" s="581"/>
      <c r="AT682" s="581"/>
      <c r="AU682" s="581"/>
      <c r="AV682" s="581"/>
      <c r="AW682" s="581"/>
      <c r="AX682" s="581"/>
      <c r="AY682" s="581"/>
      <c r="AZ682" s="581"/>
      <c r="BA682" s="581"/>
      <c r="BB682" s="581"/>
      <c r="BC682" s="581"/>
      <c r="BD682" s="581"/>
      <c r="BE682" s="581"/>
      <c r="BF682" s="581"/>
      <c r="BG682" s="581"/>
      <c r="BH682" s="581"/>
      <c r="BI682" s="581"/>
      <c r="BJ682" s="581"/>
      <c r="BK682" s="581"/>
    </row>
    <row r="683" spans="1:63" s="245" customFormat="1">
      <c r="A683" s="243"/>
      <c r="B683" s="243" t="s">
        <v>2156</v>
      </c>
      <c r="C683" s="243" t="str">
        <f>IF(ISBLANK($E$19),"Please enter name of segment above", $E$19)</f>
        <v>Please enter name of segment above</v>
      </c>
      <c r="D683" s="243"/>
      <c r="F683" s="245" t="e">
        <f t="shared" ref="F683:AD683" si="973">F644/F$669</f>
        <v>#DIV/0!</v>
      </c>
      <c r="G683" s="245" t="e">
        <f t="shared" si="973"/>
        <v>#DIV/0!</v>
      </c>
      <c r="H683" s="245" t="e">
        <f t="shared" si="973"/>
        <v>#DIV/0!</v>
      </c>
      <c r="I683" s="245" t="e">
        <f t="shared" si="973"/>
        <v>#DIV/0!</v>
      </c>
      <c r="J683" s="245" t="e">
        <f t="shared" si="973"/>
        <v>#DIV/0!</v>
      </c>
      <c r="K683" s="245" t="e">
        <f t="shared" si="973"/>
        <v>#DIV/0!</v>
      </c>
      <c r="L683" s="245" t="e">
        <f t="shared" si="973"/>
        <v>#DIV/0!</v>
      </c>
      <c r="M683" s="245" t="e">
        <f t="shared" si="973"/>
        <v>#DIV/0!</v>
      </c>
      <c r="N683" s="245" t="e">
        <f t="shared" si="973"/>
        <v>#DIV/0!</v>
      </c>
      <c r="O683" s="245" t="e">
        <f t="shared" si="973"/>
        <v>#DIV/0!</v>
      </c>
      <c r="P683" s="245" t="e">
        <f t="shared" si="973"/>
        <v>#DIV/0!</v>
      </c>
      <c r="Q683" s="245" t="e">
        <f t="shared" si="973"/>
        <v>#DIV/0!</v>
      </c>
      <c r="R683" s="245" t="e">
        <f t="shared" si="973"/>
        <v>#DIV/0!</v>
      </c>
      <c r="S683" s="245" t="e">
        <f t="shared" si="973"/>
        <v>#DIV/0!</v>
      </c>
      <c r="T683" s="245" t="e">
        <f t="shared" si="973"/>
        <v>#DIV/0!</v>
      </c>
      <c r="U683" s="245" t="e">
        <f t="shared" si="973"/>
        <v>#DIV/0!</v>
      </c>
      <c r="V683" s="245" t="e">
        <f t="shared" si="973"/>
        <v>#DIV/0!</v>
      </c>
      <c r="W683" s="245" t="e">
        <f t="shared" si="973"/>
        <v>#DIV/0!</v>
      </c>
      <c r="X683" s="245" t="e">
        <f t="shared" si="973"/>
        <v>#DIV/0!</v>
      </c>
      <c r="Y683" s="245" t="e">
        <f t="shared" si="973"/>
        <v>#DIV/0!</v>
      </c>
      <c r="Z683" s="245" t="e">
        <f t="shared" si="973"/>
        <v>#DIV/0!</v>
      </c>
      <c r="AA683" s="245" t="e">
        <f t="shared" si="973"/>
        <v>#DIV/0!</v>
      </c>
      <c r="AB683" s="245" t="e">
        <f t="shared" si="973"/>
        <v>#DIV/0!</v>
      </c>
      <c r="AC683" s="245" t="e">
        <f t="shared" si="973"/>
        <v>#DIV/0!</v>
      </c>
      <c r="AD683" s="245" t="e">
        <f t="shared" si="973"/>
        <v>#DIV/0!</v>
      </c>
      <c r="AF683" s="580" t="e">
        <f t="shared" ref="AF683:BK687" si="974">AF644/AF$669</f>
        <v>#DIV/0!</v>
      </c>
      <c r="AG683" s="580" t="e">
        <f t="shared" si="974"/>
        <v>#DIV/0!</v>
      </c>
      <c r="AH683" s="580" t="e">
        <f t="shared" si="974"/>
        <v>#DIV/0!</v>
      </c>
      <c r="AI683" s="580" t="e">
        <f t="shared" si="974"/>
        <v>#DIV/0!</v>
      </c>
      <c r="AJ683" s="580" t="e">
        <f t="shared" si="974"/>
        <v>#DIV/0!</v>
      </c>
      <c r="AK683" s="580" t="e">
        <f t="shared" si="974"/>
        <v>#DIV/0!</v>
      </c>
      <c r="AL683" s="580" t="e">
        <f t="shared" si="974"/>
        <v>#DIV/0!</v>
      </c>
      <c r="AM683" s="580" t="e">
        <f>AM644/AM$669</f>
        <v>#DIV/0!</v>
      </c>
      <c r="AN683" s="580" t="e">
        <f t="shared" si="974"/>
        <v>#DIV/0!</v>
      </c>
      <c r="AO683" s="580" t="e">
        <f t="shared" si="974"/>
        <v>#DIV/0!</v>
      </c>
      <c r="AP683" s="580" t="e">
        <f t="shared" si="974"/>
        <v>#DIV/0!</v>
      </c>
      <c r="AQ683" s="580" t="e">
        <f t="shared" si="974"/>
        <v>#DIV/0!</v>
      </c>
      <c r="AR683" s="580" t="e">
        <f t="shared" si="974"/>
        <v>#DIV/0!</v>
      </c>
      <c r="AS683" s="580" t="e">
        <f t="shared" si="974"/>
        <v>#DIV/0!</v>
      </c>
      <c r="AT683" s="580" t="e">
        <f t="shared" si="974"/>
        <v>#DIV/0!</v>
      </c>
      <c r="AU683" s="580" t="e">
        <f t="shared" si="974"/>
        <v>#DIV/0!</v>
      </c>
      <c r="AV683" s="580" t="e">
        <f t="shared" si="974"/>
        <v>#DIV/0!</v>
      </c>
      <c r="AW683" s="580" t="e">
        <f t="shared" si="974"/>
        <v>#DIV/0!</v>
      </c>
      <c r="AX683" s="580" t="e">
        <f t="shared" si="974"/>
        <v>#DIV/0!</v>
      </c>
      <c r="AY683" s="580" t="e">
        <f t="shared" si="974"/>
        <v>#DIV/0!</v>
      </c>
      <c r="AZ683" s="580" t="e">
        <f t="shared" si="974"/>
        <v>#DIV/0!</v>
      </c>
      <c r="BA683" s="580" t="e">
        <f t="shared" si="974"/>
        <v>#DIV/0!</v>
      </c>
      <c r="BB683" s="580" t="e">
        <f t="shared" si="974"/>
        <v>#DIV/0!</v>
      </c>
      <c r="BC683" s="580" t="e">
        <f t="shared" si="974"/>
        <v>#DIV/0!</v>
      </c>
      <c r="BD683" s="580" t="e">
        <f t="shared" si="974"/>
        <v>#DIV/0!</v>
      </c>
      <c r="BE683" s="580" t="e">
        <f t="shared" si="974"/>
        <v>#DIV/0!</v>
      </c>
      <c r="BF683" s="580" t="e">
        <f t="shared" si="974"/>
        <v>#DIV/0!</v>
      </c>
      <c r="BG683" s="580" t="e">
        <f t="shared" si="974"/>
        <v>#DIV/0!</v>
      </c>
      <c r="BH683" s="580" t="e">
        <f t="shared" si="974"/>
        <v>#DIV/0!</v>
      </c>
      <c r="BI683" s="580" t="e">
        <f t="shared" si="974"/>
        <v>#DIV/0!</v>
      </c>
      <c r="BJ683" s="580" t="e">
        <f t="shared" si="974"/>
        <v>#DIV/0!</v>
      </c>
      <c r="BK683" s="580" t="e">
        <f t="shared" si="974"/>
        <v>#DIV/0!</v>
      </c>
    </row>
    <row r="684" spans="1:63" s="245" customFormat="1">
      <c r="A684" s="243"/>
      <c r="B684" s="243" t="s">
        <v>2157</v>
      </c>
      <c r="C684" s="243" t="str">
        <f>IF(ISBLANK($E$20),"Please enter name of segment above", $E$20)</f>
        <v>Please enter name of segment above</v>
      </c>
      <c r="D684" s="243"/>
      <c r="F684" s="245" t="e">
        <f t="shared" ref="F684:AD684" si="975">F645/F$669</f>
        <v>#DIV/0!</v>
      </c>
      <c r="G684" s="245" t="e">
        <f t="shared" si="975"/>
        <v>#DIV/0!</v>
      </c>
      <c r="H684" s="245" t="e">
        <f t="shared" si="975"/>
        <v>#DIV/0!</v>
      </c>
      <c r="I684" s="245" t="e">
        <f t="shared" si="975"/>
        <v>#DIV/0!</v>
      </c>
      <c r="J684" s="245" t="e">
        <f t="shared" si="975"/>
        <v>#DIV/0!</v>
      </c>
      <c r="K684" s="245" t="e">
        <f t="shared" si="975"/>
        <v>#DIV/0!</v>
      </c>
      <c r="L684" s="245" t="e">
        <f t="shared" si="975"/>
        <v>#DIV/0!</v>
      </c>
      <c r="M684" s="245" t="e">
        <f t="shared" si="975"/>
        <v>#DIV/0!</v>
      </c>
      <c r="N684" s="245" t="e">
        <f t="shared" si="975"/>
        <v>#DIV/0!</v>
      </c>
      <c r="O684" s="245" t="e">
        <f t="shared" si="975"/>
        <v>#DIV/0!</v>
      </c>
      <c r="P684" s="245" t="e">
        <f t="shared" si="975"/>
        <v>#DIV/0!</v>
      </c>
      <c r="Q684" s="245" t="e">
        <f t="shared" si="975"/>
        <v>#DIV/0!</v>
      </c>
      <c r="R684" s="245" t="e">
        <f t="shared" si="975"/>
        <v>#DIV/0!</v>
      </c>
      <c r="S684" s="245" t="e">
        <f t="shared" si="975"/>
        <v>#DIV/0!</v>
      </c>
      <c r="T684" s="245" t="e">
        <f t="shared" si="975"/>
        <v>#DIV/0!</v>
      </c>
      <c r="U684" s="245" t="e">
        <f t="shared" si="975"/>
        <v>#DIV/0!</v>
      </c>
      <c r="V684" s="245" t="e">
        <f t="shared" si="975"/>
        <v>#DIV/0!</v>
      </c>
      <c r="W684" s="245" t="e">
        <f t="shared" si="975"/>
        <v>#DIV/0!</v>
      </c>
      <c r="X684" s="245" t="e">
        <f t="shared" si="975"/>
        <v>#DIV/0!</v>
      </c>
      <c r="Y684" s="245" t="e">
        <f t="shared" si="975"/>
        <v>#DIV/0!</v>
      </c>
      <c r="Z684" s="245" t="e">
        <f t="shared" si="975"/>
        <v>#DIV/0!</v>
      </c>
      <c r="AA684" s="245" t="e">
        <f t="shared" si="975"/>
        <v>#DIV/0!</v>
      </c>
      <c r="AB684" s="245" t="e">
        <f t="shared" si="975"/>
        <v>#DIV/0!</v>
      </c>
      <c r="AC684" s="245" t="e">
        <f t="shared" si="975"/>
        <v>#DIV/0!</v>
      </c>
      <c r="AD684" s="245" t="e">
        <f t="shared" si="975"/>
        <v>#DIV/0!</v>
      </c>
      <c r="AF684" s="580" t="e">
        <f t="shared" si="974"/>
        <v>#DIV/0!</v>
      </c>
      <c r="AG684" s="580" t="e">
        <f t="shared" si="974"/>
        <v>#DIV/0!</v>
      </c>
      <c r="AH684" s="580" t="e">
        <f t="shared" si="974"/>
        <v>#DIV/0!</v>
      </c>
      <c r="AI684" s="580" t="e">
        <f t="shared" si="974"/>
        <v>#DIV/0!</v>
      </c>
      <c r="AJ684" s="580" t="e">
        <f t="shared" si="974"/>
        <v>#DIV/0!</v>
      </c>
      <c r="AK684" s="580" t="e">
        <f t="shared" si="974"/>
        <v>#DIV/0!</v>
      </c>
      <c r="AL684" s="580" t="e">
        <f t="shared" si="974"/>
        <v>#DIV/0!</v>
      </c>
      <c r="AM684" s="580" t="e">
        <f>AM645/AM$669</f>
        <v>#DIV/0!</v>
      </c>
      <c r="AN684" s="580" t="e">
        <f t="shared" si="974"/>
        <v>#DIV/0!</v>
      </c>
      <c r="AO684" s="580" t="e">
        <f t="shared" si="974"/>
        <v>#DIV/0!</v>
      </c>
      <c r="AP684" s="580" t="e">
        <f t="shared" si="974"/>
        <v>#DIV/0!</v>
      </c>
      <c r="AQ684" s="580" t="e">
        <f t="shared" si="974"/>
        <v>#DIV/0!</v>
      </c>
      <c r="AR684" s="580" t="e">
        <f t="shared" si="974"/>
        <v>#DIV/0!</v>
      </c>
      <c r="AS684" s="580" t="e">
        <f t="shared" si="974"/>
        <v>#DIV/0!</v>
      </c>
      <c r="AT684" s="580" t="e">
        <f t="shared" si="974"/>
        <v>#DIV/0!</v>
      </c>
      <c r="AU684" s="580" t="e">
        <f t="shared" si="974"/>
        <v>#DIV/0!</v>
      </c>
      <c r="AV684" s="580" t="e">
        <f t="shared" si="974"/>
        <v>#DIV/0!</v>
      </c>
      <c r="AW684" s="580" t="e">
        <f t="shared" si="974"/>
        <v>#DIV/0!</v>
      </c>
      <c r="AX684" s="580" t="e">
        <f t="shared" si="974"/>
        <v>#DIV/0!</v>
      </c>
      <c r="AY684" s="580" t="e">
        <f t="shared" si="974"/>
        <v>#DIV/0!</v>
      </c>
      <c r="AZ684" s="580" t="e">
        <f t="shared" si="974"/>
        <v>#DIV/0!</v>
      </c>
      <c r="BA684" s="580" t="e">
        <f t="shared" si="974"/>
        <v>#DIV/0!</v>
      </c>
      <c r="BB684" s="580" t="e">
        <f t="shared" si="974"/>
        <v>#DIV/0!</v>
      </c>
      <c r="BC684" s="580" t="e">
        <f t="shared" si="974"/>
        <v>#DIV/0!</v>
      </c>
      <c r="BD684" s="580" t="e">
        <f t="shared" si="974"/>
        <v>#DIV/0!</v>
      </c>
      <c r="BE684" s="580" t="e">
        <f t="shared" si="974"/>
        <v>#DIV/0!</v>
      </c>
      <c r="BF684" s="580" t="e">
        <f t="shared" si="974"/>
        <v>#DIV/0!</v>
      </c>
      <c r="BG684" s="580" t="e">
        <f t="shared" si="974"/>
        <v>#DIV/0!</v>
      </c>
      <c r="BH684" s="580" t="e">
        <f t="shared" si="974"/>
        <v>#DIV/0!</v>
      </c>
      <c r="BI684" s="580" t="e">
        <f t="shared" si="974"/>
        <v>#DIV/0!</v>
      </c>
      <c r="BJ684" s="580" t="e">
        <f t="shared" si="974"/>
        <v>#DIV/0!</v>
      </c>
      <c r="BK684" s="580" t="e">
        <f t="shared" si="974"/>
        <v>#DIV/0!</v>
      </c>
    </row>
    <row r="685" spans="1:63" s="245" customFormat="1">
      <c r="A685" s="243"/>
      <c r="B685" s="243" t="s">
        <v>2158</v>
      </c>
      <c r="C685" s="243" t="str">
        <f>IF(ISBLANK($E$21),"Please enter name of segment above", $E$21)</f>
        <v>Please enter name of segment above</v>
      </c>
      <c r="D685" s="243"/>
      <c r="F685" s="245" t="e">
        <f t="shared" ref="F685:AD685" si="976">F646/F$669</f>
        <v>#DIV/0!</v>
      </c>
      <c r="G685" s="245" t="e">
        <f t="shared" si="976"/>
        <v>#DIV/0!</v>
      </c>
      <c r="H685" s="245" t="e">
        <f t="shared" si="976"/>
        <v>#DIV/0!</v>
      </c>
      <c r="I685" s="245" t="e">
        <f t="shared" si="976"/>
        <v>#DIV/0!</v>
      </c>
      <c r="J685" s="245" t="e">
        <f t="shared" si="976"/>
        <v>#DIV/0!</v>
      </c>
      <c r="K685" s="245" t="e">
        <f t="shared" si="976"/>
        <v>#DIV/0!</v>
      </c>
      <c r="L685" s="245" t="e">
        <f t="shared" si="976"/>
        <v>#DIV/0!</v>
      </c>
      <c r="M685" s="245" t="e">
        <f t="shared" si="976"/>
        <v>#DIV/0!</v>
      </c>
      <c r="N685" s="245" t="e">
        <f t="shared" si="976"/>
        <v>#DIV/0!</v>
      </c>
      <c r="O685" s="245" t="e">
        <f t="shared" si="976"/>
        <v>#DIV/0!</v>
      </c>
      <c r="P685" s="245" t="e">
        <f t="shared" si="976"/>
        <v>#DIV/0!</v>
      </c>
      <c r="Q685" s="245" t="e">
        <f t="shared" si="976"/>
        <v>#DIV/0!</v>
      </c>
      <c r="R685" s="245" t="e">
        <f t="shared" si="976"/>
        <v>#DIV/0!</v>
      </c>
      <c r="S685" s="245" t="e">
        <f t="shared" si="976"/>
        <v>#DIV/0!</v>
      </c>
      <c r="T685" s="245" t="e">
        <f t="shared" si="976"/>
        <v>#DIV/0!</v>
      </c>
      <c r="U685" s="245" t="e">
        <f t="shared" si="976"/>
        <v>#DIV/0!</v>
      </c>
      <c r="V685" s="245" t="e">
        <f t="shared" si="976"/>
        <v>#DIV/0!</v>
      </c>
      <c r="W685" s="245" t="e">
        <f t="shared" si="976"/>
        <v>#DIV/0!</v>
      </c>
      <c r="X685" s="245" t="e">
        <f t="shared" si="976"/>
        <v>#DIV/0!</v>
      </c>
      <c r="Y685" s="245" t="e">
        <f t="shared" si="976"/>
        <v>#DIV/0!</v>
      </c>
      <c r="Z685" s="245" t="e">
        <f t="shared" si="976"/>
        <v>#DIV/0!</v>
      </c>
      <c r="AA685" s="245" t="e">
        <f t="shared" si="976"/>
        <v>#DIV/0!</v>
      </c>
      <c r="AB685" s="245" t="e">
        <f t="shared" si="976"/>
        <v>#DIV/0!</v>
      </c>
      <c r="AC685" s="245" t="e">
        <f t="shared" si="976"/>
        <v>#DIV/0!</v>
      </c>
      <c r="AD685" s="245" t="e">
        <f t="shared" si="976"/>
        <v>#DIV/0!</v>
      </c>
      <c r="AF685" s="580" t="e">
        <f t="shared" si="974"/>
        <v>#DIV/0!</v>
      </c>
      <c r="AG685" s="580" t="e">
        <f t="shared" si="974"/>
        <v>#DIV/0!</v>
      </c>
      <c r="AH685" s="580" t="e">
        <f t="shared" si="974"/>
        <v>#DIV/0!</v>
      </c>
      <c r="AI685" s="580" t="e">
        <f t="shared" si="974"/>
        <v>#DIV/0!</v>
      </c>
      <c r="AJ685" s="580" t="e">
        <f t="shared" si="974"/>
        <v>#DIV/0!</v>
      </c>
      <c r="AK685" s="580" t="e">
        <f t="shared" si="974"/>
        <v>#DIV/0!</v>
      </c>
      <c r="AL685" s="580" t="e">
        <f t="shared" si="974"/>
        <v>#DIV/0!</v>
      </c>
      <c r="AM685" s="580" t="e">
        <f>AM646/AM$669</f>
        <v>#DIV/0!</v>
      </c>
      <c r="AN685" s="580" t="e">
        <f t="shared" si="974"/>
        <v>#DIV/0!</v>
      </c>
      <c r="AO685" s="580" t="e">
        <f t="shared" si="974"/>
        <v>#DIV/0!</v>
      </c>
      <c r="AP685" s="580" t="e">
        <f t="shared" si="974"/>
        <v>#DIV/0!</v>
      </c>
      <c r="AQ685" s="580" t="e">
        <f t="shared" si="974"/>
        <v>#DIV/0!</v>
      </c>
      <c r="AR685" s="580" t="e">
        <f t="shared" si="974"/>
        <v>#DIV/0!</v>
      </c>
      <c r="AS685" s="580" t="e">
        <f t="shared" si="974"/>
        <v>#DIV/0!</v>
      </c>
      <c r="AT685" s="580" t="e">
        <f t="shared" si="974"/>
        <v>#DIV/0!</v>
      </c>
      <c r="AU685" s="580" t="e">
        <f t="shared" si="974"/>
        <v>#DIV/0!</v>
      </c>
      <c r="AV685" s="580" t="e">
        <f t="shared" si="974"/>
        <v>#DIV/0!</v>
      </c>
      <c r="AW685" s="580" t="e">
        <f t="shared" si="974"/>
        <v>#DIV/0!</v>
      </c>
      <c r="AX685" s="580" t="e">
        <f t="shared" si="974"/>
        <v>#DIV/0!</v>
      </c>
      <c r="AY685" s="580" t="e">
        <f t="shared" si="974"/>
        <v>#DIV/0!</v>
      </c>
      <c r="AZ685" s="580" t="e">
        <f t="shared" si="974"/>
        <v>#DIV/0!</v>
      </c>
      <c r="BA685" s="580" t="e">
        <f t="shared" si="974"/>
        <v>#DIV/0!</v>
      </c>
      <c r="BB685" s="580" t="e">
        <f t="shared" si="974"/>
        <v>#DIV/0!</v>
      </c>
      <c r="BC685" s="580" t="e">
        <f t="shared" si="974"/>
        <v>#DIV/0!</v>
      </c>
      <c r="BD685" s="580" t="e">
        <f t="shared" si="974"/>
        <v>#DIV/0!</v>
      </c>
      <c r="BE685" s="580" t="e">
        <f t="shared" si="974"/>
        <v>#DIV/0!</v>
      </c>
      <c r="BF685" s="580" t="e">
        <f t="shared" si="974"/>
        <v>#DIV/0!</v>
      </c>
      <c r="BG685" s="580" t="e">
        <f t="shared" si="974"/>
        <v>#DIV/0!</v>
      </c>
      <c r="BH685" s="580" t="e">
        <f t="shared" si="974"/>
        <v>#DIV/0!</v>
      </c>
      <c r="BI685" s="580" t="e">
        <f t="shared" si="974"/>
        <v>#DIV/0!</v>
      </c>
      <c r="BJ685" s="580" t="e">
        <f t="shared" si="974"/>
        <v>#DIV/0!</v>
      </c>
      <c r="BK685" s="580" t="e">
        <f t="shared" si="974"/>
        <v>#DIV/0!</v>
      </c>
    </row>
    <row r="686" spans="1:63" s="245" customFormat="1">
      <c r="A686" s="243"/>
      <c r="B686" s="243" t="s">
        <v>2159</v>
      </c>
      <c r="C686" s="243" t="str">
        <f>IF(ISBLANK($E$22),"Please enter name of segment above", $E$22)</f>
        <v>Please enter name of segment above</v>
      </c>
      <c r="D686" s="243"/>
      <c r="F686" s="245" t="e">
        <f t="shared" ref="F686:AD686" si="977">F647/F$669</f>
        <v>#DIV/0!</v>
      </c>
      <c r="G686" s="245" t="e">
        <f t="shared" si="977"/>
        <v>#DIV/0!</v>
      </c>
      <c r="H686" s="245" t="e">
        <f t="shared" si="977"/>
        <v>#DIV/0!</v>
      </c>
      <c r="I686" s="245" t="e">
        <f t="shared" si="977"/>
        <v>#DIV/0!</v>
      </c>
      <c r="J686" s="245" t="e">
        <f t="shared" si="977"/>
        <v>#DIV/0!</v>
      </c>
      <c r="K686" s="245" t="e">
        <f t="shared" si="977"/>
        <v>#DIV/0!</v>
      </c>
      <c r="L686" s="245" t="e">
        <f t="shared" si="977"/>
        <v>#DIV/0!</v>
      </c>
      <c r="M686" s="245" t="e">
        <f t="shared" si="977"/>
        <v>#DIV/0!</v>
      </c>
      <c r="N686" s="245" t="e">
        <f t="shared" si="977"/>
        <v>#DIV/0!</v>
      </c>
      <c r="O686" s="245" t="e">
        <f t="shared" si="977"/>
        <v>#DIV/0!</v>
      </c>
      <c r="P686" s="245" t="e">
        <f t="shared" si="977"/>
        <v>#DIV/0!</v>
      </c>
      <c r="Q686" s="245" t="e">
        <f t="shared" si="977"/>
        <v>#DIV/0!</v>
      </c>
      <c r="R686" s="245" t="e">
        <f t="shared" si="977"/>
        <v>#DIV/0!</v>
      </c>
      <c r="S686" s="245" t="e">
        <f t="shared" si="977"/>
        <v>#DIV/0!</v>
      </c>
      <c r="T686" s="245" t="e">
        <f t="shared" si="977"/>
        <v>#DIV/0!</v>
      </c>
      <c r="U686" s="245" t="e">
        <f t="shared" si="977"/>
        <v>#DIV/0!</v>
      </c>
      <c r="V686" s="245" t="e">
        <f t="shared" si="977"/>
        <v>#DIV/0!</v>
      </c>
      <c r="W686" s="245" t="e">
        <f t="shared" si="977"/>
        <v>#DIV/0!</v>
      </c>
      <c r="X686" s="245" t="e">
        <f t="shared" si="977"/>
        <v>#DIV/0!</v>
      </c>
      <c r="Y686" s="245" t="e">
        <f t="shared" si="977"/>
        <v>#DIV/0!</v>
      </c>
      <c r="Z686" s="245" t="e">
        <f t="shared" si="977"/>
        <v>#DIV/0!</v>
      </c>
      <c r="AA686" s="245" t="e">
        <f t="shared" si="977"/>
        <v>#DIV/0!</v>
      </c>
      <c r="AB686" s="245" t="e">
        <f t="shared" si="977"/>
        <v>#DIV/0!</v>
      </c>
      <c r="AC686" s="245" t="e">
        <f t="shared" si="977"/>
        <v>#DIV/0!</v>
      </c>
      <c r="AD686" s="245" t="e">
        <f t="shared" si="977"/>
        <v>#DIV/0!</v>
      </c>
      <c r="AF686" s="580" t="e">
        <f t="shared" si="974"/>
        <v>#DIV/0!</v>
      </c>
      <c r="AG686" s="580" t="e">
        <f t="shared" si="974"/>
        <v>#DIV/0!</v>
      </c>
      <c r="AH686" s="580" t="e">
        <f t="shared" si="974"/>
        <v>#DIV/0!</v>
      </c>
      <c r="AI686" s="580" t="e">
        <f t="shared" si="974"/>
        <v>#DIV/0!</v>
      </c>
      <c r="AJ686" s="580" t="e">
        <f t="shared" si="974"/>
        <v>#DIV/0!</v>
      </c>
      <c r="AK686" s="580" t="e">
        <f t="shared" si="974"/>
        <v>#DIV/0!</v>
      </c>
      <c r="AL686" s="580" t="e">
        <f t="shared" si="974"/>
        <v>#DIV/0!</v>
      </c>
      <c r="AM686" s="580" t="e">
        <f>AM647/AM$669</f>
        <v>#DIV/0!</v>
      </c>
      <c r="AN686" s="580" t="e">
        <f t="shared" si="974"/>
        <v>#DIV/0!</v>
      </c>
      <c r="AO686" s="580" t="e">
        <f t="shared" si="974"/>
        <v>#DIV/0!</v>
      </c>
      <c r="AP686" s="580" t="e">
        <f t="shared" si="974"/>
        <v>#DIV/0!</v>
      </c>
      <c r="AQ686" s="580" t="e">
        <f t="shared" si="974"/>
        <v>#DIV/0!</v>
      </c>
      <c r="AR686" s="580" t="e">
        <f t="shared" si="974"/>
        <v>#DIV/0!</v>
      </c>
      <c r="AS686" s="580" t="e">
        <f t="shared" si="974"/>
        <v>#DIV/0!</v>
      </c>
      <c r="AT686" s="580" t="e">
        <f t="shared" si="974"/>
        <v>#DIV/0!</v>
      </c>
      <c r="AU686" s="580" t="e">
        <f t="shared" si="974"/>
        <v>#DIV/0!</v>
      </c>
      <c r="AV686" s="580" t="e">
        <f t="shared" si="974"/>
        <v>#DIV/0!</v>
      </c>
      <c r="AW686" s="580" t="e">
        <f t="shared" si="974"/>
        <v>#DIV/0!</v>
      </c>
      <c r="AX686" s="580" t="e">
        <f t="shared" si="974"/>
        <v>#DIV/0!</v>
      </c>
      <c r="AY686" s="580" t="e">
        <f t="shared" si="974"/>
        <v>#DIV/0!</v>
      </c>
      <c r="AZ686" s="580" t="e">
        <f t="shared" si="974"/>
        <v>#DIV/0!</v>
      </c>
      <c r="BA686" s="580" t="e">
        <f t="shared" si="974"/>
        <v>#DIV/0!</v>
      </c>
      <c r="BB686" s="580" t="e">
        <f t="shared" si="974"/>
        <v>#DIV/0!</v>
      </c>
      <c r="BC686" s="580" t="e">
        <f t="shared" si="974"/>
        <v>#DIV/0!</v>
      </c>
      <c r="BD686" s="580" t="e">
        <f t="shared" si="974"/>
        <v>#DIV/0!</v>
      </c>
      <c r="BE686" s="580" t="e">
        <f t="shared" si="974"/>
        <v>#DIV/0!</v>
      </c>
      <c r="BF686" s="580" t="e">
        <f t="shared" si="974"/>
        <v>#DIV/0!</v>
      </c>
      <c r="BG686" s="580" t="e">
        <f t="shared" si="974"/>
        <v>#DIV/0!</v>
      </c>
      <c r="BH686" s="580" t="e">
        <f t="shared" si="974"/>
        <v>#DIV/0!</v>
      </c>
      <c r="BI686" s="580" t="e">
        <f t="shared" si="974"/>
        <v>#DIV/0!</v>
      </c>
      <c r="BJ686" s="580" t="e">
        <f t="shared" si="974"/>
        <v>#DIV/0!</v>
      </c>
      <c r="BK686" s="580" t="e">
        <f t="shared" si="974"/>
        <v>#DIV/0!</v>
      </c>
    </row>
    <row r="687" spans="1:63" s="245" customFormat="1">
      <c r="A687" s="243"/>
      <c r="B687" s="243" t="s">
        <v>2160</v>
      </c>
      <c r="C687" s="243" t="str">
        <f>IF(ISBLANK($E$23),"Please enter name of segment above", $E$23)</f>
        <v>Please enter name of segment above</v>
      </c>
      <c r="D687" s="243"/>
      <c r="F687" s="245" t="e">
        <f t="shared" ref="F687:AD687" si="978">F648/F$669</f>
        <v>#DIV/0!</v>
      </c>
      <c r="G687" s="245" t="e">
        <f t="shared" si="978"/>
        <v>#DIV/0!</v>
      </c>
      <c r="H687" s="245" t="e">
        <f t="shared" si="978"/>
        <v>#DIV/0!</v>
      </c>
      <c r="I687" s="245" t="e">
        <f t="shared" si="978"/>
        <v>#DIV/0!</v>
      </c>
      <c r="J687" s="245" t="e">
        <f t="shared" si="978"/>
        <v>#DIV/0!</v>
      </c>
      <c r="K687" s="245" t="e">
        <f t="shared" si="978"/>
        <v>#DIV/0!</v>
      </c>
      <c r="L687" s="245" t="e">
        <f t="shared" si="978"/>
        <v>#DIV/0!</v>
      </c>
      <c r="M687" s="245" t="e">
        <f t="shared" si="978"/>
        <v>#DIV/0!</v>
      </c>
      <c r="N687" s="245" t="e">
        <f t="shared" si="978"/>
        <v>#DIV/0!</v>
      </c>
      <c r="O687" s="245" t="e">
        <f t="shared" si="978"/>
        <v>#DIV/0!</v>
      </c>
      <c r="P687" s="245" t="e">
        <f t="shared" si="978"/>
        <v>#DIV/0!</v>
      </c>
      <c r="Q687" s="245" t="e">
        <f t="shared" si="978"/>
        <v>#DIV/0!</v>
      </c>
      <c r="R687" s="245" t="e">
        <f t="shared" si="978"/>
        <v>#DIV/0!</v>
      </c>
      <c r="S687" s="245" t="e">
        <f t="shared" si="978"/>
        <v>#DIV/0!</v>
      </c>
      <c r="T687" s="245" t="e">
        <f t="shared" si="978"/>
        <v>#DIV/0!</v>
      </c>
      <c r="U687" s="245" t="e">
        <f t="shared" si="978"/>
        <v>#DIV/0!</v>
      </c>
      <c r="V687" s="245" t="e">
        <f t="shared" si="978"/>
        <v>#DIV/0!</v>
      </c>
      <c r="W687" s="245" t="e">
        <f t="shared" si="978"/>
        <v>#DIV/0!</v>
      </c>
      <c r="X687" s="245" t="e">
        <f t="shared" si="978"/>
        <v>#DIV/0!</v>
      </c>
      <c r="Y687" s="245" t="e">
        <f t="shared" si="978"/>
        <v>#DIV/0!</v>
      </c>
      <c r="Z687" s="245" t="e">
        <f t="shared" si="978"/>
        <v>#DIV/0!</v>
      </c>
      <c r="AA687" s="245" t="e">
        <f t="shared" si="978"/>
        <v>#DIV/0!</v>
      </c>
      <c r="AB687" s="245" t="e">
        <f t="shared" si="978"/>
        <v>#DIV/0!</v>
      </c>
      <c r="AC687" s="245" t="e">
        <f t="shared" si="978"/>
        <v>#DIV/0!</v>
      </c>
      <c r="AD687" s="245" t="e">
        <f t="shared" si="978"/>
        <v>#DIV/0!</v>
      </c>
      <c r="AF687" s="580" t="e">
        <f t="shared" si="974"/>
        <v>#DIV/0!</v>
      </c>
      <c r="AG687" s="580" t="e">
        <f t="shared" si="974"/>
        <v>#DIV/0!</v>
      </c>
      <c r="AH687" s="580" t="e">
        <f t="shared" si="974"/>
        <v>#DIV/0!</v>
      </c>
      <c r="AI687" s="580" t="e">
        <f t="shared" si="974"/>
        <v>#DIV/0!</v>
      </c>
      <c r="AJ687" s="580" t="e">
        <f t="shared" si="974"/>
        <v>#DIV/0!</v>
      </c>
      <c r="AK687" s="580" t="e">
        <f t="shared" si="974"/>
        <v>#DIV/0!</v>
      </c>
      <c r="AL687" s="580" t="e">
        <f t="shared" si="974"/>
        <v>#DIV/0!</v>
      </c>
      <c r="AM687" s="580" t="e">
        <f>AM648/AM$669</f>
        <v>#DIV/0!</v>
      </c>
      <c r="AN687" s="580" t="e">
        <f t="shared" si="974"/>
        <v>#DIV/0!</v>
      </c>
      <c r="AO687" s="580" t="e">
        <f t="shared" si="974"/>
        <v>#DIV/0!</v>
      </c>
      <c r="AP687" s="580" t="e">
        <f t="shared" si="974"/>
        <v>#DIV/0!</v>
      </c>
      <c r="AQ687" s="580" t="e">
        <f t="shared" si="974"/>
        <v>#DIV/0!</v>
      </c>
      <c r="AR687" s="580" t="e">
        <f t="shared" si="974"/>
        <v>#DIV/0!</v>
      </c>
      <c r="AS687" s="580" t="e">
        <f t="shared" si="974"/>
        <v>#DIV/0!</v>
      </c>
      <c r="AT687" s="580" t="e">
        <f t="shared" si="974"/>
        <v>#DIV/0!</v>
      </c>
      <c r="AU687" s="580" t="e">
        <f t="shared" si="974"/>
        <v>#DIV/0!</v>
      </c>
      <c r="AV687" s="580" t="e">
        <f t="shared" si="974"/>
        <v>#DIV/0!</v>
      </c>
      <c r="AW687" s="580" t="e">
        <f t="shared" si="974"/>
        <v>#DIV/0!</v>
      </c>
      <c r="AX687" s="580" t="e">
        <f t="shared" si="974"/>
        <v>#DIV/0!</v>
      </c>
      <c r="AY687" s="580" t="e">
        <f t="shared" si="974"/>
        <v>#DIV/0!</v>
      </c>
      <c r="AZ687" s="580" t="e">
        <f t="shared" si="974"/>
        <v>#DIV/0!</v>
      </c>
      <c r="BA687" s="580" t="e">
        <f t="shared" si="974"/>
        <v>#DIV/0!</v>
      </c>
      <c r="BB687" s="580" t="e">
        <f t="shared" si="974"/>
        <v>#DIV/0!</v>
      </c>
      <c r="BC687" s="580" t="e">
        <f t="shared" si="974"/>
        <v>#DIV/0!</v>
      </c>
      <c r="BD687" s="580" t="e">
        <f t="shared" si="974"/>
        <v>#DIV/0!</v>
      </c>
      <c r="BE687" s="580" t="e">
        <f t="shared" si="974"/>
        <v>#DIV/0!</v>
      </c>
      <c r="BF687" s="580" t="e">
        <f t="shared" si="974"/>
        <v>#DIV/0!</v>
      </c>
      <c r="BG687" s="580" t="e">
        <f t="shared" si="974"/>
        <v>#DIV/0!</v>
      </c>
      <c r="BH687" s="580" t="e">
        <f t="shared" si="974"/>
        <v>#DIV/0!</v>
      </c>
      <c r="BI687" s="580" t="e">
        <f t="shared" si="974"/>
        <v>#DIV/0!</v>
      </c>
      <c r="BJ687" s="580" t="e">
        <f t="shared" si="974"/>
        <v>#DIV/0!</v>
      </c>
      <c r="BK687" s="580" t="e">
        <f t="shared" si="974"/>
        <v>#DIV/0!</v>
      </c>
    </row>
    <row r="688" spans="1:63" s="245" customFormat="1">
      <c r="A688" s="243"/>
      <c r="B688" s="243"/>
      <c r="C688" s="250" t="s">
        <v>663</v>
      </c>
      <c r="D688" s="243"/>
      <c r="F688" s="279" t="e">
        <f t="shared" ref="F688:AD688" si="979">SUM(F690:F694)</f>
        <v>#DIV/0!</v>
      </c>
      <c r="G688" s="245" t="e">
        <f t="shared" si="979"/>
        <v>#DIV/0!</v>
      </c>
      <c r="H688" s="245" t="e">
        <f t="shared" si="979"/>
        <v>#DIV/0!</v>
      </c>
      <c r="I688" s="245" t="e">
        <f t="shared" si="979"/>
        <v>#DIV/0!</v>
      </c>
      <c r="J688" s="245" t="e">
        <f t="shared" si="979"/>
        <v>#DIV/0!</v>
      </c>
      <c r="K688" s="245" t="e">
        <f t="shared" si="979"/>
        <v>#DIV/0!</v>
      </c>
      <c r="L688" s="245" t="e">
        <f t="shared" si="979"/>
        <v>#DIV/0!</v>
      </c>
      <c r="M688" s="245" t="e">
        <f t="shared" si="979"/>
        <v>#DIV/0!</v>
      </c>
      <c r="N688" s="245" t="e">
        <f t="shared" si="979"/>
        <v>#DIV/0!</v>
      </c>
      <c r="O688" s="245" t="e">
        <f t="shared" si="979"/>
        <v>#DIV/0!</v>
      </c>
      <c r="P688" s="245" t="e">
        <f t="shared" si="979"/>
        <v>#DIV/0!</v>
      </c>
      <c r="Q688" s="245" t="e">
        <f t="shared" si="979"/>
        <v>#DIV/0!</v>
      </c>
      <c r="R688" s="245" t="e">
        <f t="shared" si="979"/>
        <v>#DIV/0!</v>
      </c>
      <c r="S688" s="245" t="e">
        <f t="shared" si="979"/>
        <v>#DIV/0!</v>
      </c>
      <c r="T688" s="245" t="e">
        <f t="shared" si="979"/>
        <v>#DIV/0!</v>
      </c>
      <c r="U688" s="245" t="e">
        <f t="shared" si="979"/>
        <v>#DIV/0!</v>
      </c>
      <c r="V688" s="245" t="e">
        <f t="shared" si="979"/>
        <v>#DIV/0!</v>
      </c>
      <c r="W688" s="245" t="e">
        <f t="shared" si="979"/>
        <v>#DIV/0!</v>
      </c>
      <c r="X688" s="245" t="e">
        <f t="shared" si="979"/>
        <v>#DIV/0!</v>
      </c>
      <c r="Y688" s="245" t="e">
        <f t="shared" si="979"/>
        <v>#DIV/0!</v>
      </c>
      <c r="Z688" s="245" t="e">
        <f t="shared" si="979"/>
        <v>#DIV/0!</v>
      </c>
      <c r="AA688" s="245" t="e">
        <f t="shared" si="979"/>
        <v>#DIV/0!</v>
      </c>
      <c r="AB688" s="245" t="e">
        <f t="shared" si="979"/>
        <v>#DIV/0!</v>
      </c>
      <c r="AC688" s="245" t="e">
        <f t="shared" si="979"/>
        <v>#DIV/0!</v>
      </c>
      <c r="AD688" s="245" t="e">
        <f t="shared" si="979"/>
        <v>#DIV/0!</v>
      </c>
      <c r="AF688" s="580" t="e">
        <f t="shared" ref="AF688:BK688" si="980">SUM(AF690:AF694)</f>
        <v>#DIV/0!</v>
      </c>
      <c r="AG688" s="580" t="e">
        <f t="shared" si="980"/>
        <v>#DIV/0!</v>
      </c>
      <c r="AH688" s="580" t="e">
        <f t="shared" si="980"/>
        <v>#DIV/0!</v>
      </c>
      <c r="AI688" s="580" t="e">
        <f t="shared" si="980"/>
        <v>#DIV/0!</v>
      </c>
      <c r="AJ688" s="580" t="e">
        <f t="shared" si="980"/>
        <v>#DIV/0!</v>
      </c>
      <c r="AK688" s="580" t="e">
        <f t="shared" si="980"/>
        <v>#DIV/0!</v>
      </c>
      <c r="AL688" s="580" t="e">
        <f t="shared" si="980"/>
        <v>#DIV/0!</v>
      </c>
      <c r="AM688" s="580" t="e">
        <f>SUM(AM690:AM694)</f>
        <v>#DIV/0!</v>
      </c>
      <c r="AN688" s="580" t="e">
        <f t="shared" si="980"/>
        <v>#DIV/0!</v>
      </c>
      <c r="AO688" s="580" t="e">
        <f t="shared" si="980"/>
        <v>#DIV/0!</v>
      </c>
      <c r="AP688" s="580" t="e">
        <f t="shared" si="980"/>
        <v>#DIV/0!</v>
      </c>
      <c r="AQ688" s="580" t="e">
        <f t="shared" si="980"/>
        <v>#DIV/0!</v>
      </c>
      <c r="AR688" s="580" t="e">
        <f t="shared" si="980"/>
        <v>#DIV/0!</v>
      </c>
      <c r="AS688" s="580" t="e">
        <f t="shared" si="980"/>
        <v>#DIV/0!</v>
      </c>
      <c r="AT688" s="580" t="e">
        <f t="shared" si="980"/>
        <v>#DIV/0!</v>
      </c>
      <c r="AU688" s="580" t="e">
        <f t="shared" si="980"/>
        <v>#DIV/0!</v>
      </c>
      <c r="AV688" s="580" t="e">
        <f t="shared" si="980"/>
        <v>#DIV/0!</v>
      </c>
      <c r="AW688" s="580" t="e">
        <f t="shared" si="980"/>
        <v>#DIV/0!</v>
      </c>
      <c r="AX688" s="580" t="e">
        <f t="shared" si="980"/>
        <v>#DIV/0!</v>
      </c>
      <c r="AY688" s="580" t="e">
        <f t="shared" si="980"/>
        <v>#DIV/0!</v>
      </c>
      <c r="AZ688" s="580" t="e">
        <f t="shared" si="980"/>
        <v>#DIV/0!</v>
      </c>
      <c r="BA688" s="580" t="e">
        <f t="shared" si="980"/>
        <v>#DIV/0!</v>
      </c>
      <c r="BB688" s="580" t="e">
        <f t="shared" si="980"/>
        <v>#DIV/0!</v>
      </c>
      <c r="BC688" s="580" t="e">
        <f t="shared" si="980"/>
        <v>#DIV/0!</v>
      </c>
      <c r="BD688" s="580" t="e">
        <f t="shared" si="980"/>
        <v>#DIV/0!</v>
      </c>
      <c r="BE688" s="580" t="e">
        <f t="shared" si="980"/>
        <v>#DIV/0!</v>
      </c>
      <c r="BF688" s="580" t="e">
        <f t="shared" si="980"/>
        <v>#DIV/0!</v>
      </c>
      <c r="BG688" s="580" t="e">
        <f t="shared" si="980"/>
        <v>#DIV/0!</v>
      </c>
      <c r="BH688" s="580" t="e">
        <f t="shared" si="980"/>
        <v>#DIV/0!</v>
      </c>
      <c r="BI688" s="580" t="e">
        <f t="shared" si="980"/>
        <v>#DIV/0!</v>
      </c>
      <c r="BJ688" s="580" t="e">
        <f t="shared" si="980"/>
        <v>#DIV/0!</v>
      </c>
      <c r="BK688" s="580" t="e">
        <f t="shared" si="980"/>
        <v>#DIV/0!</v>
      </c>
    </row>
    <row r="689" spans="1:63" s="240" customFormat="1">
      <c r="A689" s="209"/>
      <c r="B689" s="209"/>
      <c r="C689" s="209" t="s">
        <v>2125</v>
      </c>
      <c r="D689" s="209"/>
      <c r="AF689" s="579"/>
      <c r="AG689" s="579"/>
      <c r="AH689" s="579"/>
      <c r="AI689" s="579"/>
      <c r="AJ689" s="579"/>
      <c r="AK689" s="579"/>
      <c r="AL689" s="579"/>
      <c r="AM689" s="579"/>
      <c r="AN689" s="579"/>
      <c r="AO689" s="579"/>
      <c r="AP689" s="579"/>
      <c r="AQ689" s="579"/>
      <c r="AR689" s="579"/>
      <c r="AS689" s="579"/>
      <c r="AT689" s="579"/>
      <c r="AU689" s="579"/>
      <c r="AV689" s="579"/>
      <c r="AW689" s="579"/>
      <c r="AX689" s="579"/>
      <c r="AY689" s="579"/>
      <c r="AZ689" s="579"/>
      <c r="BA689" s="579"/>
      <c r="BB689" s="579"/>
      <c r="BC689" s="579"/>
      <c r="BD689" s="579"/>
      <c r="BE689" s="579"/>
      <c r="BF689" s="579"/>
      <c r="BG689" s="579"/>
      <c r="BH689" s="579"/>
      <c r="BI689" s="579"/>
      <c r="BJ689" s="579"/>
      <c r="BK689" s="579"/>
    </row>
    <row r="690" spans="1:63" s="245" customFormat="1">
      <c r="A690" s="243"/>
      <c r="B690" s="243" t="s">
        <v>2161</v>
      </c>
      <c r="C690" s="243" t="str">
        <f>IF(ISBLANK($E$19),"Please enter name of segment above", $E$19)</f>
        <v>Please enter name of segment above</v>
      </c>
      <c r="D690" s="243"/>
      <c r="F690" s="245" t="e">
        <f t="shared" ref="F690:AD690" si="981">F653/F$671</f>
        <v>#DIV/0!</v>
      </c>
      <c r="G690" s="245" t="e">
        <f t="shared" si="981"/>
        <v>#DIV/0!</v>
      </c>
      <c r="H690" s="245" t="e">
        <f t="shared" si="981"/>
        <v>#DIV/0!</v>
      </c>
      <c r="I690" s="245" t="e">
        <f t="shared" si="981"/>
        <v>#DIV/0!</v>
      </c>
      <c r="J690" s="245" t="e">
        <f t="shared" si="981"/>
        <v>#DIV/0!</v>
      </c>
      <c r="K690" s="245" t="e">
        <f t="shared" si="981"/>
        <v>#DIV/0!</v>
      </c>
      <c r="L690" s="245" t="e">
        <f t="shared" si="981"/>
        <v>#DIV/0!</v>
      </c>
      <c r="M690" s="245" t="e">
        <f t="shared" si="981"/>
        <v>#DIV/0!</v>
      </c>
      <c r="N690" s="245" t="e">
        <f t="shared" si="981"/>
        <v>#DIV/0!</v>
      </c>
      <c r="O690" s="245" t="e">
        <f t="shared" si="981"/>
        <v>#DIV/0!</v>
      </c>
      <c r="P690" s="245" t="e">
        <f t="shared" si="981"/>
        <v>#DIV/0!</v>
      </c>
      <c r="Q690" s="245" t="e">
        <f t="shared" si="981"/>
        <v>#DIV/0!</v>
      </c>
      <c r="R690" s="245" t="e">
        <f t="shared" si="981"/>
        <v>#DIV/0!</v>
      </c>
      <c r="S690" s="245" t="e">
        <f t="shared" si="981"/>
        <v>#DIV/0!</v>
      </c>
      <c r="T690" s="245" t="e">
        <f t="shared" si="981"/>
        <v>#DIV/0!</v>
      </c>
      <c r="U690" s="245" t="e">
        <f t="shared" si="981"/>
        <v>#DIV/0!</v>
      </c>
      <c r="V690" s="245" t="e">
        <f t="shared" si="981"/>
        <v>#DIV/0!</v>
      </c>
      <c r="W690" s="245" t="e">
        <f t="shared" si="981"/>
        <v>#DIV/0!</v>
      </c>
      <c r="X690" s="245" t="e">
        <f t="shared" si="981"/>
        <v>#DIV/0!</v>
      </c>
      <c r="Y690" s="245" t="e">
        <f t="shared" si="981"/>
        <v>#DIV/0!</v>
      </c>
      <c r="Z690" s="245" t="e">
        <f t="shared" si="981"/>
        <v>#DIV/0!</v>
      </c>
      <c r="AA690" s="245" t="e">
        <f t="shared" si="981"/>
        <v>#DIV/0!</v>
      </c>
      <c r="AB690" s="245" t="e">
        <f t="shared" si="981"/>
        <v>#DIV/0!</v>
      </c>
      <c r="AC690" s="245" t="e">
        <f t="shared" si="981"/>
        <v>#DIV/0!</v>
      </c>
      <c r="AD690" s="245" t="e">
        <f t="shared" si="981"/>
        <v>#DIV/0!</v>
      </c>
      <c r="AF690" s="580" t="e">
        <f t="shared" ref="AF690:BK694" si="982">AF653/AF$671</f>
        <v>#DIV/0!</v>
      </c>
      <c r="AG690" s="580" t="e">
        <f t="shared" si="982"/>
        <v>#DIV/0!</v>
      </c>
      <c r="AH690" s="580" t="e">
        <f t="shared" si="982"/>
        <v>#DIV/0!</v>
      </c>
      <c r="AI690" s="580" t="e">
        <f t="shared" si="982"/>
        <v>#DIV/0!</v>
      </c>
      <c r="AJ690" s="580" t="e">
        <f t="shared" si="982"/>
        <v>#DIV/0!</v>
      </c>
      <c r="AK690" s="580" t="e">
        <f t="shared" si="982"/>
        <v>#DIV/0!</v>
      </c>
      <c r="AL690" s="580" t="e">
        <f t="shared" si="982"/>
        <v>#DIV/0!</v>
      </c>
      <c r="AM690" s="580" t="e">
        <f>AM653/AM$671</f>
        <v>#DIV/0!</v>
      </c>
      <c r="AN690" s="580" t="e">
        <f t="shared" si="982"/>
        <v>#DIV/0!</v>
      </c>
      <c r="AO690" s="580" t="e">
        <f t="shared" si="982"/>
        <v>#DIV/0!</v>
      </c>
      <c r="AP690" s="580" t="e">
        <f t="shared" si="982"/>
        <v>#DIV/0!</v>
      </c>
      <c r="AQ690" s="580" t="e">
        <f t="shared" si="982"/>
        <v>#DIV/0!</v>
      </c>
      <c r="AR690" s="580" t="e">
        <f t="shared" si="982"/>
        <v>#DIV/0!</v>
      </c>
      <c r="AS690" s="580" t="e">
        <f t="shared" si="982"/>
        <v>#DIV/0!</v>
      </c>
      <c r="AT690" s="580" t="e">
        <f t="shared" si="982"/>
        <v>#DIV/0!</v>
      </c>
      <c r="AU690" s="580" t="e">
        <f t="shared" si="982"/>
        <v>#DIV/0!</v>
      </c>
      <c r="AV690" s="580" t="e">
        <f t="shared" si="982"/>
        <v>#DIV/0!</v>
      </c>
      <c r="AW690" s="580" t="e">
        <f t="shared" si="982"/>
        <v>#DIV/0!</v>
      </c>
      <c r="AX690" s="580" t="e">
        <f t="shared" si="982"/>
        <v>#DIV/0!</v>
      </c>
      <c r="AY690" s="580" t="e">
        <f t="shared" si="982"/>
        <v>#DIV/0!</v>
      </c>
      <c r="AZ690" s="580" t="e">
        <f t="shared" si="982"/>
        <v>#DIV/0!</v>
      </c>
      <c r="BA690" s="580" t="e">
        <f t="shared" si="982"/>
        <v>#DIV/0!</v>
      </c>
      <c r="BB690" s="580" t="e">
        <f t="shared" si="982"/>
        <v>#DIV/0!</v>
      </c>
      <c r="BC690" s="580" t="e">
        <f t="shared" si="982"/>
        <v>#DIV/0!</v>
      </c>
      <c r="BD690" s="580" t="e">
        <f t="shared" si="982"/>
        <v>#DIV/0!</v>
      </c>
      <c r="BE690" s="580" t="e">
        <f t="shared" si="982"/>
        <v>#DIV/0!</v>
      </c>
      <c r="BF690" s="580" t="e">
        <f t="shared" si="982"/>
        <v>#DIV/0!</v>
      </c>
      <c r="BG690" s="580" t="e">
        <f t="shared" si="982"/>
        <v>#DIV/0!</v>
      </c>
      <c r="BH690" s="580" t="e">
        <f t="shared" si="982"/>
        <v>#DIV/0!</v>
      </c>
      <c r="BI690" s="580" t="e">
        <f t="shared" si="982"/>
        <v>#DIV/0!</v>
      </c>
      <c r="BJ690" s="580" t="e">
        <f t="shared" si="982"/>
        <v>#DIV/0!</v>
      </c>
      <c r="BK690" s="580" t="e">
        <f t="shared" si="982"/>
        <v>#DIV/0!</v>
      </c>
    </row>
    <row r="691" spans="1:63" s="245" customFormat="1">
      <c r="A691" s="243"/>
      <c r="B691" s="243" t="s">
        <v>2162</v>
      </c>
      <c r="C691" s="243" t="str">
        <f>IF(ISBLANK($E$20),"Please enter name of segment above", $E$20)</f>
        <v>Please enter name of segment above</v>
      </c>
      <c r="D691" s="243"/>
      <c r="F691" s="245" t="e">
        <f t="shared" ref="F691:AD691" si="983">F654/F$671</f>
        <v>#DIV/0!</v>
      </c>
      <c r="G691" s="245" t="e">
        <f t="shared" si="983"/>
        <v>#DIV/0!</v>
      </c>
      <c r="H691" s="245" t="e">
        <f t="shared" si="983"/>
        <v>#DIV/0!</v>
      </c>
      <c r="I691" s="245" t="e">
        <f t="shared" si="983"/>
        <v>#DIV/0!</v>
      </c>
      <c r="J691" s="245" t="e">
        <f t="shared" si="983"/>
        <v>#DIV/0!</v>
      </c>
      <c r="K691" s="245" t="e">
        <f t="shared" si="983"/>
        <v>#DIV/0!</v>
      </c>
      <c r="L691" s="245" t="e">
        <f t="shared" si="983"/>
        <v>#DIV/0!</v>
      </c>
      <c r="M691" s="245" t="e">
        <f t="shared" si="983"/>
        <v>#DIV/0!</v>
      </c>
      <c r="N691" s="245" t="e">
        <f t="shared" si="983"/>
        <v>#DIV/0!</v>
      </c>
      <c r="O691" s="245" t="e">
        <f t="shared" si="983"/>
        <v>#DIV/0!</v>
      </c>
      <c r="P691" s="245" t="e">
        <f t="shared" si="983"/>
        <v>#DIV/0!</v>
      </c>
      <c r="Q691" s="245" t="e">
        <f t="shared" si="983"/>
        <v>#DIV/0!</v>
      </c>
      <c r="R691" s="245" t="e">
        <f t="shared" si="983"/>
        <v>#DIV/0!</v>
      </c>
      <c r="S691" s="245" t="e">
        <f t="shared" si="983"/>
        <v>#DIV/0!</v>
      </c>
      <c r="T691" s="245" t="e">
        <f t="shared" si="983"/>
        <v>#DIV/0!</v>
      </c>
      <c r="U691" s="245" t="e">
        <f t="shared" si="983"/>
        <v>#DIV/0!</v>
      </c>
      <c r="V691" s="245" t="e">
        <f t="shared" si="983"/>
        <v>#DIV/0!</v>
      </c>
      <c r="W691" s="245" t="e">
        <f t="shared" si="983"/>
        <v>#DIV/0!</v>
      </c>
      <c r="X691" s="245" t="e">
        <f t="shared" si="983"/>
        <v>#DIV/0!</v>
      </c>
      <c r="Y691" s="245" t="e">
        <f t="shared" si="983"/>
        <v>#DIV/0!</v>
      </c>
      <c r="Z691" s="245" t="e">
        <f t="shared" si="983"/>
        <v>#DIV/0!</v>
      </c>
      <c r="AA691" s="245" t="e">
        <f t="shared" si="983"/>
        <v>#DIV/0!</v>
      </c>
      <c r="AB691" s="245" t="e">
        <f t="shared" si="983"/>
        <v>#DIV/0!</v>
      </c>
      <c r="AC691" s="245" t="e">
        <f t="shared" si="983"/>
        <v>#DIV/0!</v>
      </c>
      <c r="AD691" s="245" t="e">
        <f t="shared" si="983"/>
        <v>#DIV/0!</v>
      </c>
      <c r="AF691" s="580" t="e">
        <f t="shared" si="982"/>
        <v>#DIV/0!</v>
      </c>
      <c r="AG691" s="580" t="e">
        <f t="shared" si="982"/>
        <v>#DIV/0!</v>
      </c>
      <c r="AH691" s="580" t="e">
        <f t="shared" si="982"/>
        <v>#DIV/0!</v>
      </c>
      <c r="AI691" s="580" t="e">
        <f t="shared" si="982"/>
        <v>#DIV/0!</v>
      </c>
      <c r="AJ691" s="580" t="e">
        <f t="shared" si="982"/>
        <v>#DIV/0!</v>
      </c>
      <c r="AK691" s="580" t="e">
        <f t="shared" si="982"/>
        <v>#DIV/0!</v>
      </c>
      <c r="AL691" s="580" t="e">
        <f t="shared" si="982"/>
        <v>#DIV/0!</v>
      </c>
      <c r="AM691" s="580" t="e">
        <f>AM654/AM$671</f>
        <v>#DIV/0!</v>
      </c>
      <c r="AN691" s="580" t="e">
        <f t="shared" si="982"/>
        <v>#DIV/0!</v>
      </c>
      <c r="AO691" s="580" t="e">
        <f t="shared" si="982"/>
        <v>#DIV/0!</v>
      </c>
      <c r="AP691" s="580" t="e">
        <f t="shared" si="982"/>
        <v>#DIV/0!</v>
      </c>
      <c r="AQ691" s="580" t="e">
        <f t="shared" si="982"/>
        <v>#DIV/0!</v>
      </c>
      <c r="AR691" s="580" t="e">
        <f t="shared" si="982"/>
        <v>#DIV/0!</v>
      </c>
      <c r="AS691" s="580" t="e">
        <f t="shared" si="982"/>
        <v>#DIV/0!</v>
      </c>
      <c r="AT691" s="580" t="e">
        <f t="shared" si="982"/>
        <v>#DIV/0!</v>
      </c>
      <c r="AU691" s="580" t="e">
        <f t="shared" si="982"/>
        <v>#DIV/0!</v>
      </c>
      <c r="AV691" s="580" t="e">
        <f t="shared" si="982"/>
        <v>#DIV/0!</v>
      </c>
      <c r="AW691" s="580" t="e">
        <f t="shared" si="982"/>
        <v>#DIV/0!</v>
      </c>
      <c r="AX691" s="580" t="e">
        <f t="shared" si="982"/>
        <v>#DIV/0!</v>
      </c>
      <c r="AY691" s="580" t="e">
        <f t="shared" si="982"/>
        <v>#DIV/0!</v>
      </c>
      <c r="AZ691" s="580" t="e">
        <f t="shared" si="982"/>
        <v>#DIV/0!</v>
      </c>
      <c r="BA691" s="580" t="e">
        <f t="shared" si="982"/>
        <v>#DIV/0!</v>
      </c>
      <c r="BB691" s="580" t="e">
        <f t="shared" si="982"/>
        <v>#DIV/0!</v>
      </c>
      <c r="BC691" s="580" t="e">
        <f t="shared" si="982"/>
        <v>#DIV/0!</v>
      </c>
      <c r="BD691" s="580" t="e">
        <f t="shared" si="982"/>
        <v>#DIV/0!</v>
      </c>
      <c r="BE691" s="580" t="e">
        <f t="shared" si="982"/>
        <v>#DIV/0!</v>
      </c>
      <c r="BF691" s="580" t="e">
        <f t="shared" si="982"/>
        <v>#DIV/0!</v>
      </c>
      <c r="BG691" s="580" t="e">
        <f t="shared" si="982"/>
        <v>#DIV/0!</v>
      </c>
      <c r="BH691" s="580" t="e">
        <f t="shared" si="982"/>
        <v>#DIV/0!</v>
      </c>
      <c r="BI691" s="580" t="e">
        <f t="shared" si="982"/>
        <v>#DIV/0!</v>
      </c>
      <c r="BJ691" s="580" t="e">
        <f t="shared" si="982"/>
        <v>#DIV/0!</v>
      </c>
      <c r="BK691" s="580" t="e">
        <f t="shared" si="982"/>
        <v>#DIV/0!</v>
      </c>
    </row>
    <row r="692" spans="1:63" s="245" customFormat="1">
      <c r="A692" s="243"/>
      <c r="B692" s="243" t="s">
        <v>2163</v>
      </c>
      <c r="C692" s="243" t="str">
        <f>IF(ISBLANK($E$21),"Please enter name of segment above", $E$21)</f>
        <v>Please enter name of segment above</v>
      </c>
      <c r="D692" s="243"/>
      <c r="F692" s="245" t="e">
        <f t="shared" ref="F692:AD692" si="984">F655/F$671</f>
        <v>#DIV/0!</v>
      </c>
      <c r="G692" s="245" t="e">
        <f t="shared" si="984"/>
        <v>#DIV/0!</v>
      </c>
      <c r="H692" s="245" t="e">
        <f t="shared" si="984"/>
        <v>#DIV/0!</v>
      </c>
      <c r="I692" s="245" t="e">
        <f t="shared" si="984"/>
        <v>#DIV/0!</v>
      </c>
      <c r="J692" s="245" t="e">
        <f t="shared" si="984"/>
        <v>#DIV/0!</v>
      </c>
      <c r="K692" s="245" t="e">
        <f t="shared" si="984"/>
        <v>#DIV/0!</v>
      </c>
      <c r="L692" s="245" t="e">
        <f t="shared" si="984"/>
        <v>#DIV/0!</v>
      </c>
      <c r="M692" s="245" t="e">
        <f t="shared" si="984"/>
        <v>#DIV/0!</v>
      </c>
      <c r="N692" s="245" t="e">
        <f t="shared" si="984"/>
        <v>#DIV/0!</v>
      </c>
      <c r="O692" s="245" t="e">
        <f t="shared" si="984"/>
        <v>#DIV/0!</v>
      </c>
      <c r="P692" s="245" t="e">
        <f t="shared" si="984"/>
        <v>#DIV/0!</v>
      </c>
      <c r="Q692" s="245" t="e">
        <f t="shared" si="984"/>
        <v>#DIV/0!</v>
      </c>
      <c r="R692" s="245" t="e">
        <f t="shared" si="984"/>
        <v>#DIV/0!</v>
      </c>
      <c r="S692" s="245" t="e">
        <f t="shared" si="984"/>
        <v>#DIV/0!</v>
      </c>
      <c r="T692" s="245" t="e">
        <f t="shared" si="984"/>
        <v>#DIV/0!</v>
      </c>
      <c r="U692" s="245" t="e">
        <f t="shared" si="984"/>
        <v>#DIV/0!</v>
      </c>
      <c r="V692" s="245" t="e">
        <f t="shared" si="984"/>
        <v>#DIV/0!</v>
      </c>
      <c r="W692" s="245" t="e">
        <f t="shared" si="984"/>
        <v>#DIV/0!</v>
      </c>
      <c r="X692" s="245" t="e">
        <f t="shared" si="984"/>
        <v>#DIV/0!</v>
      </c>
      <c r="Y692" s="245" t="e">
        <f t="shared" si="984"/>
        <v>#DIV/0!</v>
      </c>
      <c r="Z692" s="245" t="e">
        <f t="shared" si="984"/>
        <v>#DIV/0!</v>
      </c>
      <c r="AA692" s="245" t="e">
        <f t="shared" si="984"/>
        <v>#DIV/0!</v>
      </c>
      <c r="AB692" s="245" t="e">
        <f t="shared" si="984"/>
        <v>#DIV/0!</v>
      </c>
      <c r="AC692" s="245" t="e">
        <f t="shared" si="984"/>
        <v>#DIV/0!</v>
      </c>
      <c r="AD692" s="245" t="e">
        <f t="shared" si="984"/>
        <v>#DIV/0!</v>
      </c>
      <c r="AF692" s="580" t="e">
        <f t="shared" si="982"/>
        <v>#DIV/0!</v>
      </c>
      <c r="AG692" s="580" t="e">
        <f t="shared" si="982"/>
        <v>#DIV/0!</v>
      </c>
      <c r="AH692" s="580" t="e">
        <f t="shared" si="982"/>
        <v>#DIV/0!</v>
      </c>
      <c r="AI692" s="580" t="e">
        <f t="shared" si="982"/>
        <v>#DIV/0!</v>
      </c>
      <c r="AJ692" s="580" t="e">
        <f t="shared" si="982"/>
        <v>#DIV/0!</v>
      </c>
      <c r="AK692" s="580" t="e">
        <f t="shared" si="982"/>
        <v>#DIV/0!</v>
      </c>
      <c r="AL692" s="580" t="e">
        <f t="shared" si="982"/>
        <v>#DIV/0!</v>
      </c>
      <c r="AM692" s="580" t="e">
        <f>AM655/AM$671</f>
        <v>#DIV/0!</v>
      </c>
      <c r="AN692" s="580" t="e">
        <f t="shared" si="982"/>
        <v>#DIV/0!</v>
      </c>
      <c r="AO692" s="580" t="e">
        <f t="shared" si="982"/>
        <v>#DIV/0!</v>
      </c>
      <c r="AP692" s="580" t="e">
        <f t="shared" si="982"/>
        <v>#DIV/0!</v>
      </c>
      <c r="AQ692" s="580" t="e">
        <f t="shared" si="982"/>
        <v>#DIV/0!</v>
      </c>
      <c r="AR692" s="580" t="e">
        <f t="shared" si="982"/>
        <v>#DIV/0!</v>
      </c>
      <c r="AS692" s="580" t="e">
        <f t="shared" si="982"/>
        <v>#DIV/0!</v>
      </c>
      <c r="AT692" s="580" t="e">
        <f t="shared" si="982"/>
        <v>#DIV/0!</v>
      </c>
      <c r="AU692" s="580" t="e">
        <f t="shared" si="982"/>
        <v>#DIV/0!</v>
      </c>
      <c r="AV692" s="580" t="e">
        <f t="shared" si="982"/>
        <v>#DIV/0!</v>
      </c>
      <c r="AW692" s="580" t="e">
        <f t="shared" si="982"/>
        <v>#DIV/0!</v>
      </c>
      <c r="AX692" s="580" t="e">
        <f t="shared" si="982"/>
        <v>#DIV/0!</v>
      </c>
      <c r="AY692" s="580" t="e">
        <f t="shared" si="982"/>
        <v>#DIV/0!</v>
      </c>
      <c r="AZ692" s="580" t="e">
        <f t="shared" si="982"/>
        <v>#DIV/0!</v>
      </c>
      <c r="BA692" s="580" t="e">
        <f t="shared" si="982"/>
        <v>#DIV/0!</v>
      </c>
      <c r="BB692" s="580" t="e">
        <f t="shared" si="982"/>
        <v>#DIV/0!</v>
      </c>
      <c r="BC692" s="580" t="e">
        <f t="shared" si="982"/>
        <v>#DIV/0!</v>
      </c>
      <c r="BD692" s="580" t="e">
        <f t="shared" si="982"/>
        <v>#DIV/0!</v>
      </c>
      <c r="BE692" s="580" t="e">
        <f t="shared" si="982"/>
        <v>#DIV/0!</v>
      </c>
      <c r="BF692" s="580" t="e">
        <f t="shared" si="982"/>
        <v>#DIV/0!</v>
      </c>
      <c r="BG692" s="580" t="e">
        <f t="shared" si="982"/>
        <v>#DIV/0!</v>
      </c>
      <c r="BH692" s="580" t="e">
        <f t="shared" si="982"/>
        <v>#DIV/0!</v>
      </c>
      <c r="BI692" s="580" t="e">
        <f t="shared" si="982"/>
        <v>#DIV/0!</v>
      </c>
      <c r="BJ692" s="580" t="e">
        <f t="shared" si="982"/>
        <v>#DIV/0!</v>
      </c>
      <c r="BK692" s="580" t="e">
        <f t="shared" si="982"/>
        <v>#DIV/0!</v>
      </c>
    </row>
    <row r="693" spans="1:63" s="245" customFormat="1">
      <c r="A693" s="243"/>
      <c r="B693" s="243" t="s">
        <v>2164</v>
      </c>
      <c r="C693" s="243" t="str">
        <f>IF(ISBLANK($E$22),"Please enter name of segment above", $E$22)</f>
        <v>Please enter name of segment above</v>
      </c>
      <c r="D693" s="243"/>
      <c r="F693" s="245" t="e">
        <f t="shared" ref="F693:AD693" si="985">F656/F$671</f>
        <v>#DIV/0!</v>
      </c>
      <c r="G693" s="245" t="e">
        <f t="shared" si="985"/>
        <v>#DIV/0!</v>
      </c>
      <c r="H693" s="245" t="e">
        <f t="shared" si="985"/>
        <v>#DIV/0!</v>
      </c>
      <c r="I693" s="245" t="e">
        <f t="shared" si="985"/>
        <v>#DIV/0!</v>
      </c>
      <c r="J693" s="245" t="e">
        <f t="shared" si="985"/>
        <v>#DIV/0!</v>
      </c>
      <c r="K693" s="245" t="e">
        <f t="shared" si="985"/>
        <v>#DIV/0!</v>
      </c>
      <c r="L693" s="245" t="e">
        <f t="shared" si="985"/>
        <v>#DIV/0!</v>
      </c>
      <c r="M693" s="245" t="e">
        <f t="shared" si="985"/>
        <v>#DIV/0!</v>
      </c>
      <c r="N693" s="245" t="e">
        <f t="shared" si="985"/>
        <v>#DIV/0!</v>
      </c>
      <c r="O693" s="245" t="e">
        <f t="shared" si="985"/>
        <v>#DIV/0!</v>
      </c>
      <c r="P693" s="245" t="e">
        <f t="shared" si="985"/>
        <v>#DIV/0!</v>
      </c>
      <c r="Q693" s="245" t="e">
        <f t="shared" si="985"/>
        <v>#DIV/0!</v>
      </c>
      <c r="R693" s="245" t="e">
        <f t="shared" si="985"/>
        <v>#DIV/0!</v>
      </c>
      <c r="S693" s="245" t="e">
        <f t="shared" si="985"/>
        <v>#DIV/0!</v>
      </c>
      <c r="T693" s="245" t="e">
        <f t="shared" si="985"/>
        <v>#DIV/0!</v>
      </c>
      <c r="U693" s="245" t="e">
        <f t="shared" si="985"/>
        <v>#DIV/0!</v>
      </c>
      <c r="V693" s="245" t="e">
        <f t="shared" si="985"/>
        <v>#DIV/0!</v>
      </c>
      <c r="W693" s="245" t="e">
        <f t="shared" si="985"/>
        <v>#DIV/0!</v>
      </c>
      <c r="X693" s="245" t="e">
        <f t="shared" si="985"/>
        <v>#DIV/0!</v>
      </c>
      <c r="Y693" s="245" t="e">
        <f t="shared" si="985"/>
        <v>#DIV/0!</v>
      </c>
      <c r="Z693" s="245" t="e">
        <f t="shared" si="985"/>
        <v>#DIV/0!</v>
      </c>
      <c r="AA693" s="245" t="e">
        <f t="shared" si="985"/>
        <v>#DIV/0!</v>
      </c>
      <c r="AB693" s="245" t="e">
        <f t="shared" si="985"/>
        <v>#DIV/0!</v>
      </c>
      <c r="AC693" s="245" t="e">
        <f t="shared" si="985"/>
        <v>#DIV/0!</v>
      </c>
      <c r="AD693" s="245" t="e">
        <f t="shared" si="985"/>
        <v>#DIV/0!</v>
      </c>
      <c r="AF693" s="580" t="e">
        <f t="shared" si="982"/>
        <v>#DIV/0!</v>
      </c>
      <c r="AG693" s="580" t="e">
        <f t="shared" si="982"/>
        <v>#DIV/0!</v>
      </c>
      <c r="AH693" s="580" t="e">
        <f t="shared" si="982"/>
        <v>#DIV/0!</v>
      </c>
      <c r="AI693" s="580" t="e">
        <f t="shared" si="982"/>
        <v>#DIV/0!</v>
      </c>
      <c r="AJ693" s="580" t="e">
        <f t="shared" si="982"/>
        <v>#DIV/0!</v>
      </c>
      <c r="AK693" s="580" t="e">
        <f t="shared" si="982"/>
        <v>#DIV/0!</v>
      </c>
      <c r="AL693" s="580" t="e">
        <f t="shared" si="982"/>
        <v>#DIV/0!</v>
      </c>
      <c r="AM693" s="580" t="e">
        <f>AM656/AM$671</f>
        <v>#DIV/0!</v>
      </c>
      <c r="AN693" s="580" t="e">
        <f t="shared" si="982"/>
        <v>#DIV/0!</v>
      </c>
      <c r="AO693" s="580" t="e">
        <f t="shared" si="982"/>
        <v>#DIV/0!</v>
      </c>
      <c r="AP693" s="580" t="e">
        <f t="shared" si="982"/>
        <v>#DIV/0!</v>
      </c>
      <c r="AQ693" s="580" t="e">
        <f t="shared" si="982"/>
        <v>#DIV/0!</v>
      </c>
      <c r="AR693" s="580" t="e">
        <f t="shared" si="982"/>
        <v>#DIV/0!</v>
      </c>
      <c r="AS693" s="580" t="e">
        <f t="shared" si="982"/>
        <v>#DIV/0!</v>
      </c>
      <c r="AT693" s="580" t="e">
        <f t="shared" si="982"/>
        <v>#DIV/0!</v>
      </c>
      <c r="AU693" s="580" t="e">
        <f t="shared" si="982"/>
        <v>#DIV/0!</v>
      </c>
      <c r="AV693" s="580" t="e">
        <f t="shared" si="982"/>
        <v>#DIV/0!</v>
      </c>
      <c r="AW693" s="580" t="e">
        <f t="shared" si="982"/>
        <v>#DIV/0!</v>
      </c>
      <c r="AX693" s="580" t="e">
        <f t="shared" si="982"/>
        <v>#DIV/0!</v>
      </c>
      <c r="AY693" s="580" t="e">
        <f t="shared" si="982"/>
        <v>#DIV/0!</v>
      </c>
      <c r="AZ693" s="580" t="e">
        <f t="shared" si="982"/>
        <v>#DIV/0!</v>
      </c>
      <c r="BA693" s="580" t="e">
        <f t="shared" si="982"/>
        <v>#DIV/0!</v>
      </c>
      <c r="BB693" s="580" t="e">
        <f t="shared" si="982"/>
        <v>#DIV/0!</v>
      </c>
      <c r="BC693" s="580" t="e">
        <f t="shared" si="982"/>
        <v>#DIV/0!</v>
      </c>
      <c r="BD693" s="580" t="e">
        <f t="shared" si="982"/>
        <v>#DIV/0!</v>
      </c>
      <c r="BE693" s="580" t="e">
        <f t="shared" si="982"/>
        <v>#DIV/0!</v>
      </c>
      <c r="BF693" s="580" t="e">
        <f t="shared" si="982"/>
        <v>#DIV/0!</v>
      </c>
      <c r="BG693" s="580" t="e">
        <f t="shared" si="982"/>
        <v>#DIV/0!</v>
      </c>
      <c r="BH693" s="580" t="e">
        <f t="shared" si="982"/>
        <v>#DIV/0!</v>
      </c>
      <c r="BI693" s="580" t="e">
        <f t="shared" si="982"/>
        <v>#DIV/0!</v>
      </c>
      <c r="BJ693" s="580" t="e">
        <f t="shared" si="982"/>
        <v>#DIV/0!</v>
      </c>
      <c r="BK693" s="580" t="e">
        <f t="shared" si="982"/>
        <v>#DIV/0!</v>
      </c>
    </row>
    <row r="694" spans="1:63" s="245" customFormat="1">
      <c r="A694" s="243"/>
      <c r="B694" s="243" t="s">
        <v>2165</v>
      </c>
      <c r="C694" s="243" t="str">
        <f>IF(ISBLANK($E$23),"Please enter name of segment above", $E$23)</f>
        <v>Please enter name of segment above</v>
      </c>
      <c r="D694" s="243"/>
      <c r="F694" s="245" t="e">
        <f t="shared" ref="F694:AD694" si="986">F657/F$671</f>
        <v>#DIV/0!</v>
      </c>
      <c r="G694" s="245" t="e">
        <f t="shared" si="986"/>
        <v>#DIV/0!</v>
      </c>
      <c r="H694" s="245" t="e">
        <f t="shared" si="986"/>
        <v>#DIV/0!</v>
      </c>
      <c r="I694" s="245" t="e">
        <f t="shared" si="986"/>
        <v>#DIV/0!</v>
      </c>
      <c r="J694" s="245" t="e">
        <f t="shared" si="986"/>
        <v>#DIV/0!</v>
      </c>
      <c r="K694" s="245" t="e">
        <f t="shared" si="986"/>
        <v>#DIV/0!</v>
      </c>
      <c r="L694" s="245" t="e">
        <f t="shared" si="986"/>
        <v>#DIV/0!</v>
      </c>
      <c r="M694" s="245" t="e">
        <f t="shared" si="986"/>
        <v>#DIV/0!</v>
      </c>
      <c r="N694" s="245" t="e">
        <f t="shared" si="986"/>
        <v>#DIV/0!</v>
      </c>
      <c r="O694" s="245" t="e">
        <f t="shared" si="986"/>
        <v>#DIV/0!</v>
      </c>
      <c r="P694" s="245" t="e">
        <f t="shared" si="986"/>
        <v>#DIV/0!</v>
      </c>
      <c r="Q694" s="245" t="e">
        <f t="shared" si="986"/>
        <v>#DIV/0!</v>
      </c>
      <c r="R694" s="245" t="e">
        <f t="shared" si="986"/>
        <v>#DIV/0!</v>
      </c>
      <c r="S694" s="245" t="e">
        <f t="shared" si="986"/>
        <v>#DIV/0!</v>
      </c>
      <c r="T694" s="245" t="e">
        <f t="shared" si="986"/>
        <v>#DIV/0!</v>
      </c>
      <c r="U694" s="245" t="e">
        <f t="shared" si="986"/>
        <v>#DIV/0!</v>
      </c>
      <c r="V694" s="245" t="e">
        <f t="shared" si="986"/>
        <v>#DIV/0!</v>
      </c>
      <c r="W694" s="245" t="e">
        <f t="shared" si="986"/>
        <v>#DIV/0!</v>
      </c>
      <c r="X694" s="245" t="e">
        <f t="shared" si="986"/>
        <v>#DIV/0!</v>
      </c>
      <c r="Y694" s="245" t="e">
        <f t="shared" si="986"/>
        <v>#DIV/0!</v>
      </c>
      <c r="Z694" s="245" t="e">
        <f t="shared" si="986"/>
        <v>#DIV/0!</v>
      </c>
      <c r="AA694" s="245" t="e">
        <f t="shared" si="986"/>
        <v>#DIV/0!</v>
      </c>
      <c r="AB694" s="245" t="e">
        <f t="shared" si="986"/>
        <v>#DIV/0!</v>
      </c>
      <c r="AC694" s="245" t="e">
        <f t="shared" si="986"/>
        <v>#DIV/0!</v>
      </c>
      <c r="AD694" s="245" t="e">
        <f t="shared" si="986"/>
        <v>#DIV/0!</v>
      </c>
      <c r="AF694" s="580" t="e">
        <f t="shared" si="982"/>
        <v>#DIV/0!</v>
      </c>
      <c r="AG694" s="580" t="e">
        <f t="shared" si="982"/>
        <v>#DIV/0!</v>
      </c>
      <c r="AH694" s="580" t="e">
        <f t="shared" si="982"/>
        <v>#DIV/0!</v>
      </c>
      <c r="AI694" s="580" t="e">
        <f t="shared" si="982"/>
        <v>#DIV/0!</v>
      </c>
      <c r="AJ694" s="580" t="e">
        <f t="shared" si="982"/>
        <v>#DIV/0!</v>
      </c>
      <c r="AK694" s="580" t="e">
        <f t="shared" si="982"/>
        <v>#DIV/0!</v>
      </c>
      <c r="AL694" s="580" t="e">
        <f t="shared" si="982"/>
        <v>#DIV/0!</v>
      </c>
      <c r="AM694" s="580" t="e">
        <f>AM657/AM$671</f>
        <v>#DIV/0!</v>
      </c>
      <c r="AN694" s="580" t="e">
        <f t="shared" si="982"/>
        <v>#DIV/0!</v>
      </c>
      <c r="AO694" s="580" t="e">
        <f t="shared" si="982"/>
        <v>#DIV/0!</v>
      </c>
      <c r="AP694" s="580" t="e">
        <f t="shared" si="982"/>
        <v>#DIV/0!</v>
      </c>
      <c r="AQ694" s="580" t="e">
        <f t="shared" si="982"/>
        <v>#DIV/0!</v>
      </c>
      <c r="AR694" s="580" t="e">
        <f t="shared" si="982"/>
        <v>#DIV/0!</v>
      </c>
      <c r="AS694" s="580" t="e">
        <f t="shared" si="982"/>
        <v>#DIV/0!</v>
      </c>
      <c r="AT694" s="580" t="e">
        <f t="shared" si="982"/>
        <v>#DIV/0!</v>
      </c>
      <c r="AU694" s="580" t="e">
        <f t="shared" si="982"/>
        <v>#DIV/0!</v>
      </c>
      <c r="AV694" s="580" t="e">
        <f t="shared" si="982"/>
        <v>#DIV/0!</v>
      </c>
      <c r="AW694" s="580" t="e">
        <f t="shared" si="982"/>
        <v>#DIV/0!</v>
      </c>
      <c r="AX694" s="580" t="e">
        <f t="shared" si="982"/>
        <v>#DIV/0!</v>
      </c>
      <c r="AY694" s="580" t="e">
        <f t="shared" si="982"/>
        <v>#DIV/0!</v>
      </c>
      <c r="AZ694" s="580" t="e">
        <f t="shared" si="982"/>
        <v>#DIV/0!</v>
      </c>
      <c r="BA694" s="580" t="e">
        <f t="shared" si="982"/>
        <v>#DIV/0!</v>
      </c>
      <c r="BB694" s="580" t="e">
        <f t="shared" si="982"/>
        <v>#DIV/0!</v>
      </c>
      <c r="BC694" s="580" t="e">
        <f t="shared" si="982"/>
        <v>#DIV/0!</v>
      </c>
      <c r="BD694" s="580" t="e">
        <f t="shared" si="982"/>
        <v>#DIV/0!</v>
      </c>
      <c r="BE694" s="580" t="e">
        <f t="shared" si="982"/>
        <v>#DIV/0!</v>
      </c>
      <c r="BF694" s="580" t="e">
        <f t="shared" si="982"/>
        <v>#DIV/0!</v>
      </c>
      <c r="BG694" s="580" t="e">
        <f t="shared" si="982"/>
        <v>#DIV/0!</v>
      </c>
      <c r="BH694" s="580" t="e">
        <f t="shared" si="982"/>
        <v>#DIV/0!</v>
      </c>
      <c r="BI694" s="580" t="e">
        <f t="shared" si="982"/>
        <v>#DIV/0!</v>
      </c>
      <c r="BJ694" s="580" t="e">
        <f t="shared" si="982"/>
        <v>#DIV/0!</v>
      </c>
      <c r="BK694" s="580" t="e">
        <f t="shared" si="982"/>
        <v>#DIV/0!</v>
      </c>
    </row>
    <row r="695" spans="1:63" s="245" customFormat="1">
      <c r="A695" s="243"/>
      <c r="B695" s="243"/>
      <c r="C695" s="250" t="s">
        <v>742</v>
      </c>
      <c r="D695" s="243"/>
      <c r="F695" s="245" t="e">
        <f t="shared" ref="F695:AD695" si="987">SUM(F697:F701)</f>
        <v>#DIV/0!</v>
      </c>
      <c r="G695" s="245" t="e">
        <f t="shared" si="987"/>
        <v>#DIV/0!</v>
      </c>
      <c r="H695" s="245" t="e">
        <f t="shared" si="987"/>
        <v>#DIV/0!</v>
      </c>
      <c r="I695" s="245" t="e">
        <f t="shared" si="987"/>
        <v>#DIV/0!</v>
      </c>
      <c r="J695" s="245" t="e">
        <f t="shared" si="987"/>
        <v>#DIV/0!</v>
      </c>
      <c r="K695" s="245" t="e">
        <f t="shared" si="987"/>
        <v>#DIV/0!</v>
      </c>
      <c r="L695" s="245" t="e">
        <f t="shared" si="987"/>
        <v>#DIV/0!</v>
      </c>
      <c r="M695" s="245" t="e">
        <f t="shared" si="987"/>
        <v>#DIV/0!</v>
      </c>
      <c r="N695" s="245" t="e">
        <f t="shared" si="987"/>
        <v>#DIV/0!</v>
      </c>
      <c r="O695" s="245" t="e">
        <f t="shared" si="987"/>
        <v>#DIV/0!</v>
      </c>
      <c r="P695" s="245" t="e">
        <f t="shared" si="987"/>
        <v>#DIV/0!</v>
      </c>
      <c r="Q695" s="245" t="e">
        <f t="shared" si="987"/>
        <v>#DIV/0!</v>
      </c>
      <c r="R695" s="245" t="e">
        <f t="shared" si="987"/>
        <v>#DIV/0!</v>
      </c>
      <c r="S695" s="245" t="e">
        <f t="shared" si="987"/>
        <v>#DIV/0!</v>
      </c>
      <c r="T695" s="245" t="e">
        <f t="shared" si="987"/>
        <v>#DIV/0!</v>
      </c>
      <c r="U695" s="245" t="e">
        <f t="shared" si="987"/>
        <v>#DIV/0!</v>
      </c>
      <c r="V695" s="245" t="e">
        <f t="shared" si="987"/>
        <v>#DIV/0!</v>
      </c>
      <c r="W695" s="245" t="e">
        <f t="shared" si="987"/>
        <v>#DIV/0!</v>
      </c>
      <c r="X695" s="245" t="e">
        <f t="shared" si="987"/>
        <v>#DIV/0!</v>
      </c>
      <c r="Y695" s="245" t="e">
        <f t="shared" si="987"/>
        <v>#DIV/0!</v>
      </c>
      <c r="Z695" s="245" t="e">
        <f t="shared" si="987"/>
        <v>#DIV/0!</v>
      </c>
      <c r="AA695" s="245" t="e">
        <f t="shared" si="987"/>
        <v>#DIV/0!</v>
      </c>
      <c r="AB695" s="245" t="e">
        <f t="shared" si="987"/>
        <v>#DIV/0!</v>
      </c>
      <c r="AC695" s="245" t="e">
        <f t="shared" si="987"/>
        <v>#DIV/0!</v>
      </c>
      <c r="AD695" s="245" t="e">
        <f t="shared" si="987"/>
        <v>#DIV/0!</v>
      </c>
      <c r="AF695" s="580" t="e">
        <f t="shared" ref="AF695:BK695" si="988">SUM(AF697:AF701)</f>
        <v>#DIV/0!</v>
      </c>
      <c r="AG695" s="580" t="e">
        <f t="shared" si="988"/>
        <v>#DIV/0!</v>
      </c>
      <c r="AH695" s="580" t="e">
        <f t="shared" si="988"/>
        <v>#DIV/0!</v>
      </c>
      <c r="AI695" s="580" t="e">
        <f t="shared" si="988"/>
        <v>#DIV/0!</v>
      </c>
      <c r="AJ695" s="580" t="e">
        <f t="shared" si="988"/>
        <v>#DIV/0!</v>
      </c>
      <c r="AK695" s="580" t="e">
        <f t="shared" si="988"/>
        <v>#DIV/0!</v>
      </c>
      <c r="AL695" s="580" t="e">
        <f t="shared" si="988"/>
        <v>#DIV/0!</v>
      </c>
      <c r="AM695" s="580" t="e">
        <f>SUM(AM697:AM701)</f>
        <v>#DIV/0!</v>
      </c>
      <c r="AN695" s="580" t="e">
        <f t="shared" si="988"/>
        <v>#DIV/0!</v>
      </c>
      <c r="AO695" s="580" t="e">
        <f t="shared" si="988"/>
        <v>#DIV/0!</v>
      </c>
      <c r="AP695" s="580" t="e">
        <f t="shared" si="988"/>
        <v>#DIV/0!</v>
      </c>
      <c r="AQ695" s="580" t="e">
        <f t="shared" si="988"/>
        <v>#DIV/0!</v>
      </c>
      <c r="AR695" s="580" t="e">
        <f t="shared" si="988"/>
        <v>#DIV/0!</v>
      </c>
      <c r="AS695" s="580" t="e">
        <f t="shared" si="988"/>
        <v>#DIV/0!</v>
      </c>
      <c r="AT695" s="580" t="e">
        <f t="shared" si="988"/>
        <v>#DIV/0!</v>
      </c>
      <c r="AU695" s="580" t="e">
        <f t="shared" si="988"/>
        <v>#DIV/0!</v>
      </c>
      <c r="AV695" s="580" t="e">
        <f t="shared" si="988"/>
        <v>#DIV/0!</v>
      </c>
      <c r="AW695" s="580" t="e">
        <f t="shared" si="988"/>
        <v>#DIV/0!</v>
      </c>
      <c r="AX695" s="580" t="e">
        <f t="shared" si="988"/>
        <v>#DIV/0!</v>
      </c>
      <c r="AY695" s="580" t="e">
        <f t="shared" si="988"/>
        <v>#DIV/0!</v>
      </c>
      <c r="AZ695" s="580" t="e">
        <f t="shared" si="988"/>
        <v>#DIV/0!</v>
      </c>
      <c r="BA695" s="580" t="e">
        <f t="shared" si="988"/>
        <v>#DIV/0!</v>
      </c>
      <c r="BB695" s="580" t="e">
        <f t="shared" si="988"/>
        <v>#DIV/0!</v>
      </c>
      <c r="BC695" s="580" t="e">
        <f t="shared" si="988"/>
        <v>#DIV/0!</v>
      </c>
      <c r="BD695" s="580" t="e">
        <f t="shared" si="988"/>
        <v>#DIV/0!</v>
      </c>
      <c r="BE695" s="580" t="e">
        <f t="shared" si="988"/>
        <v>#DIV/0!</v>
      </c>
      <c r="BF695" s="580" t="e">
        <f t="shared" si="988"/>
        <v>#DIV/0!</v>
      </c>
      <c r="BG695" s="580" t="e">
        <f t="shared" si="988"/>
        <v>#DIV/0!</v>
      </c>
      <c r="BH695" s="580" t="e">
        <f t="shared" si="988"/>
        <v>#DIV/0!</v>
      </c>
      <c r="BI695" s="580" t="e">
        <f t="shared" si="988"/>
        <v>#DIV/0!</v>
      </c>
      <c r="BJ695" s="580" t="e">
        <f t="shared" si="988"/>
        <v>#DIV/0!</v>
      </c>
      <c r="BK695" s="580" t="e">
        <f t="shared" si="988"/>
        <v>#DIV/0!</v>
      </c>
    </row>
    <row r="696" spans="1:63" s="248" customFormat="1">
      <c r="A696" s="247"/>
      <c r="B696" s="247"/>
      <c r="C696" s="247" t="s">
        <v>2125</v>
      </c>
      <c r="D696" s="247"/>
      <c r="AF696" s="581"/>
      <c r="AG696" s="581"/>
      <c r="AH696" s="581"/>
      <c r="AI696" s="581"/>
      <c r="AJ696" s="581"/>
      <c r="AK696" s="581"/>
      <c r="AL696" s="581"/>
      <c r="AM696" s="581"/>
      <c r="AN696" s="581"/>
      <c r="AO696" s="581"/>
      <c r="AP696" s="581"/>
      <c r="AQ696" s="581"/>
      <c r="AR696" s="581"/>
      <c r="AS696" s="581"/>
      <c r="AT696" s="581"/>
      <c r="AU696" s="581"/>
      <c r="AV696" s="581"/>
      <c r="AW696" s="581"/>
      <c r="AX696" s="581"/>
      <c r="AY696" s="581"/>
      <c r="AZ696" s="581"/>
      <c r="BA696" s="581"/>
      <c r="BB696" s="581"/>
      <c r="BC696" s="581"/>
      <c r="BD696" s="581"/>
      <c r="BE696" s="581"/>
      <c r="BF696" s="581"/>
      <c r="BG696" s="581"/>
      <c r="BH696" s="581"/>
      <c r="BI696" s="581"/>
      <c r="BJ696" s="581"/>
      <c r="BK696" s="581"/>
    </row>
    <row r="697" spans="1:63" s="245" customFormat="1">
      <c r="A697" s="243"/>
      <c r="B697" s="243" t="s">
        <v>2166</v>
      </c>
      <c r="C697" s="243" t="str">
        <f>IF(ISBLANK($E$19),"Please enter name of segment above", $E$19)</f>
        <v>Please enter name of segment above</v>
      </c>
      <c r="D697" s="243"/>
      <c r="F697" s="245" t="e">
        <f t="shared" ref="F697:AD697" si="989">F673/F$692</f>
        <v>#DIV/0!</v>
      </c>
      <c r="G697" s="245" t="e">
        <f t="shared" si="989"/>
        <v>#DIV/0!</v>
      </c>
      <c r="H697" s="245" t="e">
        <f t="shared" si="989"/>
        <v>#DIV/0!</v>
      </c>
      <c r="I697" s="245" t="e">
        <f t="shared" si="989"/>
        <v>#DIV/0!</v>
      </c>
      <c r="J697" s="245" t="e">
        <f t="shared" si="989"/>
        <v>#DIV/0!</v>
      </c>
      <c r="K697" s="245" t="e">
        <f t="shared" si="989"/>
        <v>#DIV/0!</v>
      </c>
      <c r="L697" s="245" t="e">
        <f t="shared" si="989"/>
        <v>#DIV/0!</v>
      </c>
      <c r="M697" s="245" t="e">
        <f t="shared" si="989"/>
        <v>#DIV/0!</v>
      </c>
      <c r="N697" s="245" t="e">
        <f t="shared" si="989"/>
        <v>#DIV/0!</v>
      </c>
      <c r="O697" s="245" t="e">
        <f t="shared" si="989"/>
        <v>#DIV/0!</v>
      </c>
      <c r="P697" s="245" t="e">
        <f t="shared" si="989"/>
        <v>#DIV/0!</v>
      </c>
      <c r="Q697" s="245" t="e">
        <f t="shared" si="989"/>
        <v>#DIV/0!</v>
      </c>
      <c r="R697" s="245" t="e">
        <f t="shared" si="989"/>
        <v>#DIV/0!</v>
      </c>
      <c r="S697" s="245" t="e">
        <f t="shared" si="989"/>
        <v>#DIV/0!</v>
      </c>
      <c r="T697" s="245" t="e">
        <f t="shared" si="989"/>
        <v>#DIV/0!</v>
      </c>
      <c r="U697" s="245" t="e">
        <f t="shared" si="989"/>
        <v>#DIV/0!</v>
      </c>
      <c r="V697" s="245" t="e">
        <f t="shared" si="989"/>
        <v>#DIV/0!</v>
      </c>
      <c r="W697" s="245" t="e">
        <f t="shared" si="989"/>
        <v>#DIV/0!</v>
      </c>
      <c r="X697" s="245" t="e">
        <f t="shared" si="989"/>
        <v>#DIV/0!</v>
      </c>
      <c r="Y697" s="245" t="e">
        <f t="shared" si="989"/>
        <v>#DIV/0!</v>
      </c>
      <c r="Z697" s="245" t="e">
        <f t="shared" si="989"/>
        <v>#DIV/0!</v>
      </c>
      <c r="AA697" s="245" t="e">
        <f t="shared" si="989"/>
        <v>#DIV/0!</v>
      </c>
      <c r="AB697" s="245" t="e">
        <f t="shared" si="989"/>
        <v>#DIV/0!</v>
      </c>
      <c r="AC697" s="245" t="e">
        <f t="shared" si="989"/>
        <v>#DIV/0!</v>
      </c>
      <c r="AD697" s="245" t="e">
        <f t="shared" si="989"/>
        <v>#DIV/0!</v>
      </c>
      <c r="AF697" s="580" t="e">
        <f t="shared" ref="AF697:BK701" si="990">AF673/AF$692</f>
        <v>#DIV/0!</v>
      </c>
      <c r="AG697" s="580" t="e">
        <f t="shared" si="990"/>
        <v>#DIV/0!</v>
      </c>
      <c r="AH697" s="580" t="e">
        <f t="shared" si="990"/>
        <v>#DIV/0!</v>
      </c>
      <c r="AI697" s="580" t="e">
        <f t="shared" si="990"/>
        <v>#DIV/0!</v>
      </c>
      <c r="AJ697" s="580" t="e">
        <f t="shared" si="990"/>
        <v>#DIV/0!</v>
      </c>
      <c r="AK697" s="580" t="e">
        <f t="shared" si="990"/>
        <v>#DIV/0!</v>
      </c>
      <c r="AL697" s="580" t="e">
        <f t="shared" si="990"/>
        <v>#DIV/0!</v>
      </c>
      <c r="AM697" s="580" t="e">
        <f>AM673/AM$692</f>
        <v>#DIV/0!</v>
      </c>
      <c r="AN697" s="580" t="e">
        <f t="shared" si="990"/>
        <v>#DIV/0!</v>
      </c>
      <c r="AO697" s="580" t="e">
        <f t="shared" si="990"/>
        <v>#DIV/0!</v>
      </c>
      <c r="AP697" s="580" t="e">
        <f t="shared" si="990"/>
        <v>#DIV/0!</v>
      </c>
      <c r="AQ697" s="580" t="e">
        <f t="shared" si="990"/>
        <v>#DIV/0!</v>
      </c>
      <c r="AR697" s="580" t="e">
        <f t="shared" si="990"/>
        <v>#DIV/0!</v>
      </c>
      <c r="AS697" s="580" t="e">
        <f t="shared" si="990"/>
        <v>#DIV/0!</v>
      </c>
      <c r="AT697" s="580" t="e">
        <f t="shared" si="990"/>
        <v>#DIV/0!</v>
      </c>
      <c r="AU697" s="580" t="e">
        <f t="shared" si="990"/>
        <v>#DIV/0!</v>
      </c>
      <c r="AV697" s="580" t="e">
        <f t="shared" si="990"/>
        <v>#DIV/0!</v>
      </c>
      <c r="AW697" s="580" t="e">
        <f t="shared" si="990"/>
        <v>#DIV/0!</v>
      </c>
      <c r="AX697" s="580" t="e">
        <f t="shared" si="990"/>
        <v>#DIV/0!</v>
      </c>
      <c r="AY697" s="580" t="e">
        <f t="shared" si="990"/>
        <v>#DIV/0!</v>
      </c>
      <c r="AZ697" s="580" t="e">
        <f t="shared" si="990"/>
        <v>#DIV/0!</v>
      </c>
      <c r="BA697" s="580" t="e">
        <f t="shared" si="990"/>
        <v>#DIV/0!</v>
      </c>
      <c r="BB697" s="580" t="e">
        <f t="shared" si="990"/>
        <v>#DIV/0!</v>
      </c>
      <c r="BC697" s="580" t="e">
        <f t="shared" si="990"/>
        <v>#DIV/0!</v>
      </c>
      <c r="BD697" s="580" t="e">
        <f t="shared" si="990"/>
        <v>#DIV/0!</v>
      </c>
      <c r="BE697" s="580" t="e">
        <f t="shared" si="990"/>
        <v>#DIV/0!</v>
      </c>
      <c r="BF697" s="580" t="e">
        <f t="shared" si="990"/>
        <v>#DIV/0!</v>
      </c>
      <c r="BG697" s="580" t="e">
        <f t="shared" si="990"/>
        <v>#DIV/0!</v>
      </c>
      <c r="BH697" s="580" t="e">
        <f t="shared" si="990"/>
        <v>#DIV/0!</v>
      </c>
      <c r="BI697" s="580" t="e">
        <f t="shared" si="990"/>
        <v>#DIV/0!</v>
      </c>
      <c r="BJ697" s="580" t="e">
        <f t="shared" si="990"/>
        <v>#DIV/0!</v>
      </c>
      <c r="BK697" s="580" t="e">
        <f t="shared" si="990"/>
        <v>#DIV/0!</v>
      </c>
    </row>
    <row r="698" spans="1:63" s="245" customFormat="1">
      <c r="A698" s="243"/>
      <c r="B698" s="243" t="s">
        <v>2167</v>
      </c>
      <c r="C698" s="243" t="str">
        <f>IF(ISBLANK($E$20),"Please enter name of segment above", $E$20)</f>
        <v>Please enter name of segment above</v>
      </c>
      <c r="D698" s="243"/>
      <c r="F698" s="245" t="e">
        <f t="shared" ref="F698:AD698" si="991">F674/F$692</f>
        <v>#DIV/0!</v>
      </c>
      <c r="G698" s="245" t="e">
        <f t="shared" si="991"/>
        <v>#DIV/0!</v>
      </c>
      <c r="H698" s="245" t="e">
        <f t="shared" si="991"/>
        <v>#DIV/0!</v>
      </c>
      <c r="I698" s="245" t="e">
        <f t="shared" si="991"/>
        <v>#DIV/0!</v>
      </c>
      <c r="J698" s="245" t="e">
        <f t="shared" si="991"/>
        <v>#DIV/0!</v>
      </c>
      <c r="K698" s="245" t="e">
        <f t="shared" si="991"/>
        <v>#DIV/0!</v>
      </c>
      <c r="L698" s="245" t="e">
        <f t="shared" si="991"/>
        <v>#DIV/0!</v>
      </c>
      <c r="M698" s="245" t="e">
        <f t="shared" si="991"/>
        <v>#DIV/0!</v>
      </c>
      <c r="N698" s="245" t="e">
        <f t="shared" si="991"/>
        <v>#DIV/0!</v>
      </c>
      <c r="O698" s="245" t="e">
        <f t="shared" si="991"/>
        <v>#DIV/0!</v>
      </c>
      <c r="P698" s="245" t="e">
        <f t="shared" si="991"/>
        <v>#DIV/0!</v>
      </c>
      <c r="Q698" s="245" t="e">
        <f t="shared" si="991"/>
        <v>#DIV/0!</v>
      </c>
      <c r="R698" s="245" t="e">
        <f t="shared" si="991"/>
        <v>#DIV/0!</v>
      </c>
      <c r="S698" s="245" t="e">
        <f t="shared" si="991"/>
        <v>#DIV/0!</v>
      </c>
      <c r="T698" s="245" t="e">
        <f t="shared" si="991"/>
        <v>#DIV/0!</v>
      </c>
      <c r="U698" s="245" t="e">
        <f t="shared" si="991"/>
        <v>#DIV/0!</v>
      </c>
      <c r="V698" s="245" t="e">
        <f t="shared" si="991"/>
        <v>#DIV/0!</v>
      </c>
      <c r="W698" s="245" t="e">
        <f t="shared" si="991"/>
        <v>#DIV/0!</v>
      </c>
      <c r="X698" s="245" t="e">
        <f t="shared" si="991"/>
        <v>#DIV/0!</v>
      </c>
      <c r="Y698" s="245" t="e">
        <f t="shared" si="991"/>
        <v>#DIV/0!</v>
      </c>
      <c r="Z698" s="245" t="e">
        <f t="shared" si="991"/>
        <v>#DIV/0!</v>
      </c>
      <c r="AA698" s="245" t="e">
        <f t="shared" si="991"/>
        <v>#DIV/0!</v>
      </c>
      <c r="AB698" s="245" t="e">
        <f t="shared" si="991"/>
        <v>#DIV/0!</v>
      </c>
      <c r="AC698" s="245" t="e">
        <f t="shared" si="991"/>
        <v>#DIV/0!</v>
      </c>
      <c r="AD698" s="245" t="e">
        <f t="shared" si="991"/>
        <v>#DIV/0!</v>
      </c>
      <c r="AF698" s="580" t="e">
        <f t="shared" si="990"/>
        <v>#DIV/0!</v>
      </c>
      <c r="AG698" s="580" t="e">
        <f t="shared" si="990"/>
        <v>#DIV/0!</v>
      </c>
      <c r="AH698" s="580" t="e">
        <f t="shared" si="990"/>
        <v>#DIV/0!</v>
      </c>
      <c r="AI698" s="580" t="e">
        <f t="shared" si="990"/>
        <v>#DIV/0!</v>
      </c>
      <c r="AJ698" s="580" t="e">
        <f t="shared" si="990"/>
        <v>#DIV/0!</v>
      </c>
      <c r="AK698" s="580" t="e">
        <f t="shared" si="990"/>
        <v>#DIV/0!</v>
      </c>
      <c r="AL698" s="580" t="e">
        <f t="shared" si="990"/>
        <v>#DIV/0!</v>
      </c>
      <c r="AM698" s="580" t="e">
        <f>AM674/AM$692</f>
        <v>#DIV/0!</v>
      </c>
      <c r="AN698" s="580" t="e">
        <f t="shared" si="990"/>
        <v>#DIV/0!</v>
      </c>
      <c r="AO698" s="580" t="e">
        <f t="shared" si="990"/>
        <v>#DIV/0!</v>
      </c>
      <c r="AP698" s="580" t="e">
        <f t="shared" si="990"/>
        <v>#DIV/0!</v>
      </c>
      <c r="AQ698" s="580" t="e">
        <f t="shared" si="990"/>
        <v>#DIV/0!</v>
      </c>
      <c r="AR698" s="580" t="e">
        <f t="shared" si="990"/>
        <v>#DIV/0!</v>
      </c>
      <c r="AS698" s="580" t="e">
        <f t="shared" si="990"/>
        <v>#DIV/0!</v>
      </c>
      <c r="AT698" s="580" t="e">
        <f t="shared" si="990"/>
        <v>#DIV/0!</v>
      </c>
      <c r="AU698" s="580" t="e">
        <f t="shared" si="990"/>
        <v>#DIV/0!</v>
      </c>
      <c r="AV698" s="580" t="e">
        <f t="shared" si="990"/>
        <v>#DIV/0!</v>
      </c>
      <c r="AW698" s="580" t="e">
        <f t="shared" si="990"/>
        <v>#DIV/0!</v>
      </c>
      <c r="AX698" s="580" t="e">
        <f t="shared" si="990"/>
        <v>#DIV/0!</v>
      </c>
      <c r="AY698" s="580" t="e">
        <f t="shared" si="990"/>
        <v>#DIV/0!</v>
      </c>
      <c r="AZ698" s="580" t="e">
        <f t="shared" si="990"/>
        <v>#DIV/0!</v>
      </c>
      <c r="BA698" s="580" t="e">
        <f t="shared" si="990"/>
        <v>#DIV/0!</v>
      </c>
      <c r="BB698" s="580" t="e">
        <f t="shared" si="990"/>
        <v>#DIV/0!</v>
      </c>
      <c r="BC698" s="580" t="e">
        <f t="shared" si="990"/>
        <v>#DIV/0!</v>
      </c>
      <c r="BD698" s="580" t="e">
        <f t="shared" si="990"/>
        <v>#DIV/0!</v>
      </c>
      <c r="BE698" s="580" t="e">
        <f t="shared" si="990"/>
        <v>#DIV/0!</v>
      </c>
      <c r="BF698" s="580" t="e">
        <f t="shared" si="990"/>
        <v>#DIV/0!</v>
      </c>
      <c r="BG698" s="580" t="e">
        <f t="shared" si="990"/>
        <v>#DIV/0!</v>
      </c>
      <c r="BH698" s="580" t="e">
        <f t="shared" si="990"/>
        <v>#DIV/0!</v>
      </c>
      <c r="BI698" s="580" t="e">
        <f t="shared" si="990"/>
        <v>#DIV/0!</v>
      </c>
      <c r="BJ698" s="580" t="e">
        <f t="shared" si="990"/>
        <v>#DIV/0!</v>
      </c>
      <c r="BK698" s="580" t="e">
        <f t="shared" si="990"/>
        <v>#DIV/0!</v>
      </c>
    </row>
    <row r="699" spans="1:63" s="245" customFormat="1">
      <c r="A699" s="243"/>
      <c r="B699" s="243" t="s">
        <v>2168</v>
      </c>
      <c r="C699" s="243" t="str">
        <f>IF(ISBLANK($E$21),"Please enter name of segment above", $E$21)</f>
        <v>Please enter name of segment above</v>
      </c>
      <c r="D699" s="243"/>
      <c r="F699" s="245" t="e">
        <f t="shared" ref="F699:AD699" si="992">F675/F$692</f>
        <v>#DIV/0!</v>
      </c>
      <c r="G699" s="245" t="e">
        <f t="shared" si="992"/>
        <v>#DIV/0!</v>
      </c>
      <c r="H699" s="245" t="e">
        <f t="shared" si="992"/>
        <v>#DIV/0!</v>
      </c>
      <c r="I699" s="245" t="e">
        <f t="shared" si="992"/>
        <v>#DIV/0!</v>
      </c>
      <c r="J699" s="245" t="e">
        <f t="shared" si="992"/>
        <v>#DIV/0!</v>
      </c>
      <c r="K699" s="245" t="e">
        <f t="shared" si="992"/>
        <v>#DIV/0!</v>
      </c>
      <c r="L699" s="245" t="e">
        <f t="shared" si="992"/>
        <v>#DIV/0!</v>
      </c>
      <c r="M699" s="245" t="e">
        <f t="shared" si="992"/>
        <v>#DIV/0!</v>
      </c>
      <c r="N699" s="245" t="e">
        <f t="shared" si="992"/>
        <v>#DIV/0!</v>
      </c>
      <c r="O699" s="245" t="e">
        <f t="shared" si="992"/>
        <v>#DIV/0!</v>
      </c>
      <c r="P699" s="245" t="e">
        <f t="shared" si="992"/>
        <v>#DIV/0!</v>
      </c>
      <c r="Q699" s="245" t="e">
        <f t="shared" si="992"/>
        <v>#DIV/0!</v>
      </c>
      <c r="R699" s="245" t="e">
        <f t="shared" si="992"/>
        <v>#DIV/0!</v>
      </c>
      <c r="S699" s="245" t="e">
        <f t="shared" si="992"/>
        <v>#DIV/0!</v>
      </c>
      <c r="T699" s="245" t="e">
        <f t="shared" si="992"/>
        <v>#DIV/0!</v>
      </c>
      <c r="U699" s="245" t="e">
        <f t="shared" si="992"/>
        <v>#DIV/0!</v>
      </c>
      <c r="V699" s="245" t="e">
        <f t="shared" si="992"/>
        <v>#DIV/0!</v>
      </c>
      <c r="W699" s="245" t="e">
        <f t="shared" si="992"/>
        <v>#DIV/0!</v>
      </c>
      <c r="X699" s="245" t="e">
        <f t="shared" si="992"/>
        <v>#DIV/0!</v>
      </c>
      <c r="Y699" s="245" t="e">
        <f t="shared" si="992"/>
        <v>#DIV/0!</v>
      </c>
      <c r="Z699" s="245" t="e">
        <f t="shared" si="992"/>
        <v>#DIV/0!</v>
      </c>
      <c r="AA699" s="245" t="e">
        <f t="shared" si="992"/>
        <v>#DIV/0!</v>
      </c>
      <c r="AB699" s="245" t="e">
        <f t="shared" si="992"/>
        <v>#DIV/0!</v>
      </c>
      <c r="AC699" s="245" t="e">
        <f t="shared" si="992"/>
        <v>#DIV/0!</v>
      </c>
      <c r="AD699" s="245" t="e">
        <f t="shared" si="992"/>
        <v>#DIV/0!</v>
      </c>
      <c r="AF699" s="580" t="e">
        <f t="shared" si="990"/>
        <v>#DIV/0!</v>
      </c>
      <c r="AG699" s="580" t="e">
        <f t="shared" si="990"/>
        <v>#DIV/0!</v>
      </c>
      <c r="AH699" s="580" t="e">
        <f t="shared" si="990"/>
        <v>#DIV/0!</v>
      </c>
      <c r="AI699" s="580" t="e">
        <f t="shared" si="990"/>
        <v>#DIV/0!</v>
      </c>
      <c r="AJ699" s="580" t="e">
        <f t="shared" si="990"/>
        <v>#DIV/0!</v>
      </c>
      <c r="AK699" s="580" t="e">
        <f t="shared" si="990"/>
        <v>#DIV/0!</v>
      </c>
      <c r="AL699" s="580" t="e">
        <f t="shared" si="990"/>
        <v>#DIV/0!</v>
      </c>
      <c r="AM699" s="580" t="e">
        <f>AM675/AM$692</f>
        <v>#DIV/0!</v>
      </c>
      <c r="AN699" s="580" t="e">
        <f t="shared" si="990"/>
        <v>#DIV/0!</v>
      </c>
      <c r="AO699" s="580" t="e">
        <f t="shared" si="990"/>
        <v>#DIV/0!</v>
      </c>
      <c r="AP699" s="580" t="e">
        <f t="shared" si="990"/>
        <v>#DIV/0!</v>
      </c>
      <c r="AQ699" s="580" t="e">
        <f t="shared" si="990"/>
        <v>#DIV/0!</v>
      </c>
      <c r="AR699" s="580" t="e">
        <f t="shared" si="990"/>
        <v>#DIV/0!</v>
      </c>
      <c r="AS699" s="580" t="e">
        <f t="shared" si="990"/>
        <v>#DIV/0!</v>
      </c>
      <c r="AT699" s="580" t="e">
        <f t="shared" si="990"/>
        <v>#DIV/0!</v>
      </c>
      <c r="AU699" s="580" t="e">
        <f t="shared" si="990"/>
        <v>#DIV/0!</v>
      </c>
      <c r="AV699" s="580" t="e">
        <f t="shared" si="990"/>
        <v>#DIV/0!</v>
      </c>
      <c r="AW699" s="580" t="e">
        <f t="shared" si="990"/>
        <v>#DIV/0!</v>
      </c>
      <c r="AX699" s="580" t="e">
        <f t="shared" si="990"/>
        <v>#DIV/0!</v>
      </c>
      <c r="AY699" s="580" t="e">
        <f t="shared" si="990"/>
        <v>#DIV/0!</v>
      </c>
      <c r="AZ699" s="580" t="e">
        <f t="shared" si="990"/>
        <v>#DIV/0!</v>
      </c>
      <c r="BA699" s="580" t="e">
        <f t="shared" si="990"/>
        <v>#DIV/0!</v>
      </c>
      <c r="BB699" s="580" t="e">
        <f t="shared" si="990"/>
        <v>#DIV/0!</v>
      </c>
      <c r="BC699" s="580" t="e">
        <f t="shared" si="990"/>
        <v>#DIV/0!</v>
      </c>
      <c r="BD699" s="580" t="e">
        <f t="shared" si="990"/>
        <v>#DIV/0!</v>
      </c>
      <c r="BE699" s="580" t="e">
        <f t="shared" si="990"/>
        <v>#DIV/0!</v>
      </c>
      <c r="BF699" s="580" t="e">
        <f t="shared" si="990"/>
        <v>#DIV/0!</v>
      </c>
      <c r="BG699" s="580" t="e">
        <f t="shared" si="990"/>
        <v>#DIV/0!</v>
      </c>
      <c r="BH699" s="580" t="e">
        <f t="shared" si="990"/>
        <v>#DIV/0!</v>
      </c>
      <c r="BI699" s="580" t="e">
        <f t="shared" si="990"/>
        <v>#DIV/0!</v>
      </c>
      <c r="BJ699" s="580" t="e">
        <f t="shared" si="990"/>
        <v>#DIV/0!</v>
      </c>
      <c r="BK699" s="580" t="e">
        <f t="shared" si="990"/>
        <v>#DIV/0!</v>
      </c>
    </row>
    <row r="700" spans="1:63" s="245" customFormat="1">
      <c r="A700" s="243"/>
      <c r="B700" s="243" t="s">
        <v>2169</v>
      </c>
      <c r="C700" s="243" t="str">
        <f>IF(ISBLANK($E$22),"Please enter name of segment above", $E$22)</f>
        <v>Please enter name of segment above</v>
      </c>
      <c r="D700" s="243"/>
      <c r="F700" s="245" t="e">
        <f t="shared" ref="F700:AD700" si="993">F676/F$692</f>
        <v>#DIV/0!</v>
      </c>
      <c r="G700" s="245" t="e">
        <f t="shared" si="993"/>
        <v>#DIV/0!</v>
      </c>
      <c r="H700" s="245" t="e">
        <f t="shared" si="993"/>
        <v>#DIV/0!</v>
      </c>
      <c r="I700" s="245" t="e">
        <f t="shared" si="993"/>
        <v>#DIV/0!</v>
      </c>
      <c r="J700" s="245" t="e">
        <f t="shared" si="993"/>
        <v>#DIV/0!</v>
      </c>
      <c r="K700" s="245" t="e">
        <f t="shared" si="993"/>
        <v>#DIV/0!</v>
      </c>
      <c r="L700" s="245" t="e">
        <f t="shared" si="993"/>
        <v>#DIV/0!</v>
      </c>
      <c r="M700" s="245" t="e">
        <f t="shared" si="993"/>
        <v>#DIV/0!</v>
      </c>
      <c r="N700" s="245" t="e">
        <f t="shared" si="993"/>
        <v>#DIV/0!</v>
      </c>
      <c r="O700" s="245" t="e">
        <f t="shared" si="993"/>
        <v>#DIV/0!</v>
      </c>
      <c r="P700" s="245" t="e">
        <f t="shared" si="993"/>
        <v>#DIV/0!</v>
      </c>
      <c r="Q700" s="245" t="e">
        <f t="shared" si="993"/>
        <v>#DIV/0!</v>
      </c>
      <c r="R700" s="245" t="e">
        <f t="shared" si="993"/>
        <v>#DIV/0!</v>
      </c>
      <c r="S700" s="245" t="e">
        <f t="shared" si="993"/>
        <v>#DIV/0!</v>
      </c>
      <c r="T700" s="245" t="e">
        <f t="shared" si="993"/>
        <v>#DIV/0!</v>
      </c>
      <c r="U700" s="245" t="e">
        <f t="shared" si="993"/>
        <v>#DIV/0!</v>
      </c>
      <c r="V700" s="245" t="e">
        <f t="shared" si="993"/>
        <v>#DIV/0!</v>
      </c>
      <c r="W700" s="245" t="e">
        <f t="shared" si="993"/>
        <v>#DIV/0!</v>
      </c>
      <c r="X700" s="245" t="e">
        <f t="shared" si="993"/>
        <v>#DIV/0!</v>
      </c>
      <c r="Y700" s="245" t="e">
        <f t="shared" si="993"/>
        <v>#DIV/0!</v>
      </c>
      <c r="Z700" s="245" t="e">
        <f t="shared" si="993"/>
        <v>#DIV/0!</v>
      </c>
      <c r="AA700" s="245" t="e">
        <f t="shared" si="993"/>
        <v>#DIV/0!</v>
      </c>
      <c r="AB700" s="245" t="e">
        <f t="shared" si="993"/>
        <v>#DIV/0!</v>
      </c>
      <c r="AC700" s="245" t="e">
        <f t="shared" si="993"/>
        <v>#DIV/0!</v>
      </c>
      <c r="AD700" s="245" t="e">
        <f t="shared" si="993"/>
        <v>#DIV/0!</v>
      </c>
      <c r="AF700" s="580" t="e">
        <f t="shared" si="990"/>
        <v>#DIV/0!</v>
      </c>
      <c r="AG700" s="580" t="e">
        <f t="shared" si="990"/>
        <v>#DIV/0!</v>
      </c>
      <c r="AH700" s="580" t="e">
        <f t="shared" si="990"/>
        <v>#DIV/0!</v>
      </c>
      <c r="AI700" s="580" t="e">
        <f t="shared" si="990"/>
        <v>#DIV/0!</v>
      </c>
      <c r="AJ700" s="580" t="e">
        <f t="shared" si="990"/>
        <v>#DIV/0!</v>
      </c>
      <c r="AK700" s="580" t="e">
        <f t="shared" si="990"/>
        <v>#DIV/0!</v>
      </c>
      <c r="AL700" s="580" t="e">
        <f t="shared" si="990"/>
        <v>#DIV/0!</v>
      </c>
      <c r="AM700" s="580" t="e">
        <f>AM676/AM$692</f>
        <v>#DIV/0!</v>
      </c>
      <c r="AN700" s="580" t="e">
        <f t="shared" si="990"/>
        <v>#DIV/0!</v>
      </c>
      <c r="AO700" s="580" t="e">
        <f t="shared" si="990"/>
        <v>#DIV/0!</v>
      </c>
      <c r="AP700" s="580" t="e">
        <f t="shared" si="990"/>
        <v>#DIV/0!</v>
      </c>
      <c r="AQ700" s="580" t="e">
        <f t="shared" si="990"/>
        <v>#DIV/0!</v>
      </c>
      <c r="AR700" s="580" t="e">
        <f t="shared" si="990"/>
        <v>#DIV/0!</v>
      </c>
      <c r="AS700" s="580" t="e">
        <f t="shared" si="990"/>
        <v>#DIV/0!</v>
      </c>
      <c r="AT700" s="580" t="e">
        <f t="shared" si="990"/>
        <v>#DIV/0!</v>
      </c>
      <c r="AU700" s="580" t="e">
        <f t="shared" si="990"/>
        <v>#DIV/0!</v>
      </c>
      <c r="AV700" s="580" t="e">
        <f t="shared" si="990"/>
        <v>#DIV/0!</v>
      </c>
      <c r="AW700" s="580" t="e">
        <f t="shared" si="990"/>
        <v>#DIV/0!</v>
      </c>
      <c r="AX700" s="580" t="e">
        <f t="shared" si="990"/>
        <v>#DIV/0!</v>
      </c>
      <c r="AY700" s="580" t="e">
        <f t="shared" si="990"/>
        <v>#DIV/0!</v>
      </c>
      <c r="AZ700" s="580" t="e">
        <f t="shared" si="990"/>
        <v>#DIV/0!</v>
      </c>
      <c r="BA700" s="580" t="e">
        <f t="shared" si="990"/>
        <v>#DIV/0!</v>
      </c>
      <c r="BB700" s="580" t="e">
        <f t="shared" si="990"/>
        <v>#DIV/0!</v>
      </c>
      <c r="BC700" s="580" t="e">
        <f t="shared" si="990"/>
        <v>#DIV/0!</v>
      </c>
      <c r="BD700" s="580" t="e">
        <f t="shared" si="990"/>
        <v>#DIV/0!</v>
      </c>
      <c r="BE700" s="580" t="e">
        <f t="shared" si="990"/>
        <v>#DIV/0!</v>
      </c>
      <c r="BF700" s="580" t="e">
        <f t="shared" si="990"/>
        <v>#DIV/0!</v>
      </c>
      <c r="BG700" s="580" t="e">
        <f t="shared" si="990"/>
        <v>#DIV/0!</v>
      </c>
      <c r="BH700" s="580" t="e">
        <f t="shared" si="990"/>
        <v>#DIV/0!</v>
      </c>
      <c r="BI700" s="580" t="e">
        <f t="shared" si="990"/>
        <v>#DIV/0!</v>
      </c>
      <c r="BJ700" s="580" t="e">
        <f t="shared" si="990"/>
        <v>#DIV/0!</v>
      </c>
      <c r="BK700" s="580" t="e">
        <f t="shared" si="990"/>
        <v>#DIV/0!</v>
      </c>
    </row>
    <row r="701" spans="1:63" s="245" customFormat="1">
      <c r="A701" s="243"/>
      <c r="B701" s="243" t="s">
        <v>2170</v>
      </c>
      <c r="C701" s="243" t="str">
        <f>IF(ISBLANK($E$23),"Please enter name of segment above", $E$23)</f>
        <v>Please enter name of segment above</v>
      </c>
      <c r="D701" s="243"/>
      <c r="F701" s="245" t="e">
        <f t="shared" ref="F701:AD701" si="994">F677/F$692</f>
        <v>#DIV/0!</v>
      </c>
      <c r="G701" s="245" t="e">
        <f t="shared" si="994"/>
        <v>#DIV/0!</v>
      </c>
      <c r="H701" s="245" t="e">
        <f t="shared" si="994"/>
        <v>#DIV/0!</v>
      </c>
      <c r="I701" s="245" t="e">
        <f t="shared" si="994"/>
        <v>#DIV/0!</v>
      </c>
      <c r="J701" s="245" t="e">
        <f t="shared" si="994"/>
        <v>#DIV/0!</v>
      </c>
      <c r="K701" s="245" t="e">
        <f t="shared" si="994"/>
        <v>#DIV/0!</v>
      </c>
      <c r="L701" s="245" t="e">
        <f t="shared" si="994"/>
        <v>#DIV/0!</v>
      </c>
      <c r="M701" s="245" t="e">
        <f t="shared" si="994"/>
        <v>#DIV/0!</v>
      </c>
      <c r="N701" s="245" t="e">
        <f t="shared" si="994"/>
        <v>#DIV/0!</v>
      </c>
      <c r="O701" s="245" t="e">
        <f t="shared" si="994"/>
        <v>#DIV/0!</v>
      </c>
      <c r="P701" s="245" t="e">
        <f t="shared" si="994"/>
        <v>#DIV/0!</v>
      </c>
      <c r="Q701" s="245" t="e">
        <f t="shared" si="994"/>
        <v>#DIV/0!</v>
      </c>
      <c r="R701" s="245" t="e">
        <f t="shared" si="994"/>
        <v>#DIV/0!</v>
      </c>
      <c r="S701" s="245" t="e">
        <f t="shared" si="994"/>
        <v>#DIV/0!</v>
      </c>
      <c r="T701" s="245" t="e">
        <f t="shared" si="994"/>
        <v>#DIV/0!</v>
      </c>
      <c r="U701" s="245" t="e">
        <f t="shared" si="994"/>
        <v>#DIV/0!</v>
      </c>
      <c r="V701" s="245" t="e">
        <f t="shared" si="994"/>
        <v>#DIV/0!</v>
      </c>
      <c r="W701" s="245" t="e">
        <f t="shared" si="994"/>
        <v>#DIV/0!</v>
      </c>
      <c r="X701" s="245" t="e">
        <f t="shared" si="994"/>
        <v>#DIV/0!</v>
      </c>
      <c r="Y701" s="245" t="e">
        <f t="shared" si="994"/>
        <v>#DIV/0!</v>
      </c>
      <c r="Z701" s="245" t="e">
        <f t="shared" si="994"/>
        <v>#DIV/0!</v>
      </c>
      <c r="AA701" s="245" t="e">
        <f t="shared" si="994"/>
        <v>#DIV/0!</v>
      </c>
      <c r="AB701" s="245" t="e">
        <f t="shared" si="994"/>
        <v>#DIV/0!</v>
      </c>
      <c r="AC701" s="245" t="e">
        <f t="shared" si="994"/>
        <v>#DIV/0!</v>
      </c>
      <c r="AD701" s="245" t="e">
        <f t="shared" si="994"/>
        <v>#DIV/0!</v>
      </c>
      <c r="AF701" s="580" t="e">
        <f t="shared" si="990"/>
        <v>#DIV/0!</v>
      </c>
      <c r="AG701" s="580" t="e">
        <f t="shared" si="990"/>
        <v>#DIV/0!</v>
      </c>
      <c r="AH701" s="580" t="e">
        <f t="shared" si="990"/>
        <v>#DIV/0!</v>
      </c>
      <c r="AI701" s="580" t="e">
        <f t="shared" si="990"/>
        <v>#DIV/0!</v>
      </c>
      <c r="AJ701" s="580" t="e">
        <f t="shared" si="990"/>
        <v>#DIV/0!</v>
      </c>
      <c r="AK701" s="580" t="e">
        <f t="shared" si="990"/>
        <v>#DIV/0!</v>
      </c>
      <c r="AL701" s="580" t="e">
        <f t="shared" si="990"/>
        <v>#DIV/0!</v>
      </c>
      <c r="AM701" s="580" t="e">
        <f>AM677/AM$692</f>
        <v>#DIV/0!</v>
      </c>
      <c r="AN701" s="580" t="e">
        <f t="shared" si="990"/>
        <v>#DIV/0!</v>
      </c>
      <c r="AO701" s="580" t="e">
        <f t="shared" si="990"/>
        <v>#DIV/0!</v>
      </c>
      <c r="AP701" s="580" t="e">
        <f t="shared" si="990"/>
        <v>#DIV/0!</v>
      </c>
      <c r="AQ701" s="580" t="e">
        <f t="shared" si="990"/>
        <v>#DIV/0!</v>
      </c>
      <c r="AR701" s="580" t="e">
        <f t="shared" si="990"/>
        <v>#DIV/0!</v>
      </c>
      <c r="AS701" s="580" t="e">
        <f t="shared" si="990"/>
        <v>#DIV/0!</v>
      </c>
      <c r="AT701" s="580" t="e">
        <f t="shared" si="990"/>
        <v>#DIV/0!</v>
      </c>
      <c r="AU701" s="580" t="e">
        <f t="shared" si="990"/>
        <v>#DIV/0!</v>
      </c>
      <c r="AV701" s="580" t="e">
        <f t="shared" si="990"/>
        <v>#DIV/0!</v>
      </c>
      <c r="AW701" s="580" t="e">
        <f t="shared" si="990"/>
        <v>#DIV/0!</v>
      </c>
      <c r="AX701" s="580" t="e">
        <f t="shared" si="990"/>
        <v>#DIV/0!</v>
      </c>
      <c r="AY701" s="580" t="e">
        <f t="shared" si="990"/>
        <v>#DIV/0!</v>
      </c>
      <c r="AZ701" s="580" t="e">
        <f t="shared" si="990"/>
        <v>#DIV/0!</v>
      </c>
      <c r="BA701" s="580" t="e">
        <f t="shared" si="990"/>
        <v>#DIV/0!</v>
      </c>
      <c r="BB701" s="580" t="e">
        <f t="shared" si="990"/>
        <v>#DIV/0!</v>
      </c>
      <c r="BC701" s="580" t="e">
        <f t="shared" si="990"/>
        <v>#DIV/0!</v>
      </c>
      <c r="BD701" s="580" t="e">
        <f t="shared" si="990"/>
        <v>#DIV/0!</v>
      </c>
      <c r="BE701" s="580" t="e">
        <f t="shared" si="990"/>
        <v>#DIV/0!</v>
      </c>
      <c r="BF701" s="580" t="e">
        <f t="shared" si="990"/>
        <v>#DIV/0!</v>
      </c>
      <c r="BG701" s="580" t="e">
        <f t="shared" si="990"/>
        <v>#DIV/0!</v>
      </c>
      <c r="BH701" s="580" t="e">
        <f t="shared" si="990"/>
        <v>#DIV/0!</v>
      </c>
      <c r="BI701" s="580" t="e">
        <f t="shared" si="990"/>
        <v>#DIV/0!</v>
      </c>
      <c r="BJ701" s="580" t="e">
        <f t="shared" si="990"/>
        <v>#DIV/0!</v>
      </c>
      <c r="BK701" s="580" t="e">
        <f t="shared" si="990"/>
        <v>#DIV/0!</v>
      </c>
    </row>
    <row r="702" spans="1:63" s="248" customFormat="1">
      <c r="A702" s="247"/>
      <c r="B702" s="247"/>
      <c r="C702" s="247"/>
      <c r="D702" s="247"/>
      <c r="AF702" s="581"/>
      <c r="AG702" s="581"/>
      <c r="AH702" s="581"/>
      <c r="AI702" s="581"/>
      <c r="AJ702" s="581"/>
      <c r="AK702" s="581"/>
      <c r="AL702" s="581"/>
      <c r="AM702" s="581"/>
      <c r="AN702" s="581"/>
      <c r="AO702" s="581"/>
      <c r="AP702" s="581"/>
      <c r="AQ702" s="581"/>
      <c r="AR702" s="581"/>
      <c r="AS702" s="581"/>
      <c r="AT702" s="581"/>
      <c r="AU702" s="581"/>
      <c r="AV702" s="581"/>
      <c r="AW702" s="581"/>
      <c r="AX702" s="581"/>
      <c r="AY702" s="581"/>
      <c r="AZ702" s="581"/>
      <c r="BA702" s="581"/>
      <c r="BB702" s="581"/>
      <c r="BC702" s="581"/>
      <c r="BD702" s="581"/>
      <c r="BE702" s="581"/>
      <c r="BF702" s="581"/>
      <c r="BG702" s="581"/>
      <c r="BH702" s="581"/>
      <c r="BI702" s="581"/>
      <c r="BJ702" s="581"/>
      <c r="BK702" s="581"/>
    </row>
    <row r="703" spans="1:63" s="240" customFormat="1">
      <c r="A703" s="209"/>
      <c r="B703" s="209"/>
      <c r="C703" s="209"/>
      <c r="D703" s="209"/>
      <c r="AF703" s="579"/>
      <c r="AG703" s="579"/>
      <c r="AH703" s="579"/>
      <c r="AI703" s="579"/>
      <c r="AJ703" s="579"/>
      <c r="AK703" s="579"/>
      <c r="AL703" s="579"/>
      <c r="AM703" s="579"/>
      <c r="AN703" s="579"/>
      <c r="AO703" s="579"/>
      <c r="AP703" s="579"/>
      <c r="AQ703" s="579"/>
      <c r="AR703" s="579"/>
      <c r="AS703" s="579"/>
      <c r="AT703" s="579"/>
      <c r="AU703" s="579"/>
      <c r="AV703" s="579"/>
      <c r="AW703" s="579"/>
      <c r="AX703" s="579"/>
      <c r="AY703" s="579"/>
      <c r="AZ703" s="579"/>
      <c r="BA703" s="579"/>
      <c r="BB703" s="579"/>
      <c r="BC703" s="579"/>
      <c r="BD703" s="579"/>
      <c r="BE703" s="579"/>
      <c r="BF703" s="579"/>
      <c r="BG703" s="579"/>
      <c r="BH703" s="579"/>
      <c r="BI703" s="579"/>
      <c r="BJ703" s="579"/>
      <c r="BK703" s="579"/>
    </row>
    <row r="704" spans="1:63" s="240" customFormat="1">
      <c r="A704" s="209"/>
      <c r="B704" s="209"/>
      <c r="C704" s="275" t="s">
        <v>2171</v>
      </c>
      <c r="D704" s="209"/>
      <c r="AF704" s="579"/>
      <c r="AG704" s="579"/>
      <c r="AH704" s="579"/>
      <c r="AI704" s="579"/>
      <c r="AJ704" s="579"/>
      <c r="AK704" s="579"/>
      <c r="AL704" s="579"/>
      <c r="AM704" s="579"/>
      <c r="AN704" s="579"/>
      <c r="AO704" s="579"/>
      <c r="AP704" s="579"/>
      <c r="AQ704" s="579"/>
      <c r="AR704" s="579"/>
      <c r="AS704" s="579"/>
      <c r="AT704" s="579"/>
      <c r="AU704" s="579"/>
      <c r="AV704" s="579"/>
      <c r="AW704" s="579"/>
      <c r="AX704" s="579"/>
      <c r="AY704" s="579"/>
      <c r="AZ704" s="579"/>
      <c r="BA704" s="579"/>
      <c r="BB704" s="579"/>
      <c r="BC704" s="579"/>
      <c r="BD704" s="579"/>
      <c r="BE704" s="579"/>
      <c r="BF704" s="579"/>
      <c r="BG704" s="579"/>
      <c r="BH704" s="579"/>
      <c r="BI704" s="579"/>
      <c r="BJ704" s="579"/>
      <c r="BK704" s="579"/>
    </row>
    <row r="705" spans="1:63" s="240" customFormat="1">
      <c r="A705" s="209"/>
      <c r="B705" s="209"/>
      <c r="C705" s="209" t="s">
        <v>2125</v>
      </c>
      <c r="D705" s="209"/>
      <c r="AF705" s="579"/>
      <c r="AG705" s="579"/>
      <c r="AH705" s="579"/>
      <c r="AI705" s="579"/>
      <c r="AJ705" s="579"/>
      <c r="AK705" s="579"/>
      <c r="AL705" s="579"/>
      <c r="AM705" s="579"/>
      <c r="AN705" s="579"/>
      <c r="AO705" s="579"/>
      <c r="AP705" s="579"/>
      <c r="AQ705" s="579"/>
      <c r="AR705" s="579"/>
      <c r="AS705" s="579"/>
      <c r="AT705" s="579"/>
      <c r="AU705" s="579"/>
      <c r="AV705" s="579"/>
      <c r="AW705" s="579"/>
      <c r="AX705" s="579"/>
      <c r="AY705" s="579"/>
      <c r="AZ705" s="579"/>
      <c r="BA705" s="579"/>
      <c r="BB705" s="579"/>
      <c r="BC705" s="579"/>
      <c r="BD705" s="579"/>
      <c r="BE705" s="579"/>
      <c r="BF705" s="579"/>
      <c r="BG705" s="579"/>
      <c r="BH705" s="579"/>
      <c r="BI705" s="579"/>
      <c r="BJ705" s="579"/>
      <c r="BK705" s="579"/>
    </row>
    <row r="706" spans="1:63" s="245" customFormat="1">
      <c r="A706" s="243"/>
      <c r="B706" s="243" t="s">
        <v>2172</v>
      </c>
      <c r="C706" s="243" t="str">
        <f>IF(ISBLANK($E$19),"Please enter name of segment above", $E$19)</f>
        <v>Please enter name of segment above</v>
      </c>
      <c r="D706" s="243"/>
      <c r="F706" s="245" t="e">
        <f t="shared" ref="F706:O710" si="995">(F644/B644-1)*100</f>
        <v>#VALUE!</v>
      </c>
      <c r="G706" s="245" t="e">
        <f t="shared" si="995"/>
        <v>#VALUE!</v>
      </c>
      <c r="H706" s="245" t="e">
        <f t="shared" si="995"/>
        <v>#DIV/0!</v>
      </c>
      <c r="I706" s="245" t="e">
        <f t="shared" si="995"/>
        <v>#DIV/0!</v>
      </c>
      <c r="J706" s="245" t="e">
        <f t="shared" si="995"/>
        <v>#DIV/0!</v>
      </c>
      <c r="K706" s="245" t="e">
        <f t="shared" si="995"/>
        <v>#DIV/0!</v>
      </c>
      <c r="L706" s="245" t="e">
        <f t="shared" si="995"/>
        <v>#DIV/0!</v>
      </c>
      <c r="M706" s="245" t="e">
        <f t="shared" si="995"/>
        <v>#DIV/0!</v>
      </c>
      <c r="N706" s="245" t="e">
        <f t="shared" si="995"/>
        <v>#DIV/0!</v>
      </c>
      <c r="O706" s="245" t="e">
        <f t="shared" si="995"/>
        <v>#DIV/0!</v>
      </c>
      <c r="P706" s="245" t="e">
        <f t="shared" ref="P706:Y710" si="996">(P644/L644-1)*100</f>
        <v>#DIV/0!</v>
      </c>
      <c r="Q706" s="245" t="e">
        <f t="shared" si="996"/>
        <v>#DIV/0!</v>
      </c>
      <c r="R706" s="245" t="e">
        <f t="shared" si="996"/>
        <v>#DIV/0!</v>
      </c>
      <c r="S706" s="245" t="e">
        <f t="shared" si="996"/>
        <v>#DIV/0!</v>
      </c>
      <c r="T706" s="245" t="e">
        <f t="shared" si="996"/>
        <v>#DIV/0!</v>
      </c>
      <c r="U706" s="245" t="e">
        <f t="shared" si="996"/>
        <v>#DIV/0!</v>
      </c>
      <c r="V706" s="245" t="e">
        <f t="shared" si="996"/>
        <v>#DIV/0!</v>
      </c>
      <c r="W706" s="245" t="e">
        <f t="shared" si="996"/>
        <v>#DIV/0!</v>
      </c>
      <c r="X706" s="245" t="e">
        <f t="shared" si="996"/>
        <v>#DIV/0!</v>
      </c>
      <c r="Y706" s="245" t="e">
        <f t="shared" si="996"/>
        <v>#DIV/0!</v>
      </c>
      <c r="Z706" s="245" t="e">
        <f t="shared" ref="Z706:AD710" si="997">(Z644/V644-1)*100</f>
        <v>#DIV/0!</v>
      </c>
      <c r="AA706" s="245" t="e">
        <f t="shared" si="997"/>
        <v>#DIV/0!</v>
      </c>
      <c r="AB706" s="245" t="e">
        <f t="shared" si="997"/>
        <v>#DIV/0!</v>
      </c>
      <c r="AC706" s="245" t="e">
        <f t="shared" si="997"/>
        <v>#DIV/0!</v>
      </c>
      <c r="AD706" s="245" t="e">
        <f t="shared" si="997"/>
        <v>#DIV/0!</v>
      </c>
      <c r="AF706" s="580" t="e">
        <f t="shared" ref="AF706:BJ710" si="998">(AF644/AB644-1)*100</f>
        <v>#DIV/0!</v>
      </c>
      <c r="AG706" s="580" t="e">
        <f t="shared" si="998"/>
        <v>#DIV/0!</v>
      </c>
      <c r="AH706" s="580" t="e">
        <f t="shared" si="998"/>
        <v>#DIV/0!</v>
      </c>
      <c r="AI706" s="580" t="e">
        <f t="shared" si="998"/>
        <v>#DIV/0!</v>
      </c>
      <c r="AJ706" s="580" t="e">
        <f t="shared" si="998"/>
        <v>#DIV/0!</v>
      </c>
      <c r="AK706" s="580" t="e">
        <f t="shared" si="998"/>
        <v>#DIV/0!</v>
      </c>
      <c r="AL706" s="580" t="e">
        <f t="shared" si="998"/>
        <v>#DIV/0!</v>
      </c>
      <c r="AM706" s="580" t="e">
        <f t="shared" si="998"/>
        <v>#DIV/0!</v>
      </c>
      <c r="AN706" s="580" t="e">
        <f t="shared" si="998"/>
        <v>#DIV/0!</v>
      </c>
      <c r="AO706" s="580" t="e">
        <f t="shared" si="998"/>
        <v>#DIV/0!</v>
      </c>
      <c r="AP706" s="580" t="e">
        <f t="shared" si="998"/>
        <v>#DIV/0!</v>
      </c>
      <c r="AQ706" s="580" t="e">
        <f t="shared" si="998"/>
        <v>#DIV/0!</v>
      </c>
      <c r="AR706" s="580" t="e">
        <f t="shared" si="998"/>
        <v>#DIV/0!</v>
      </c>
      <c r="AS706" s="580" t="e">
        <f t="shared" si="998"/>
        <v>#DIV/0!</v>
      </c>
      <c r="AT706" s="580" t="e">
        <f t="shared" si="998"/>
        <v>#DIV/0!</v>
      </c>
      <c r="AU706" s="580" t="e">
        <f t="shared" si="998"/>
        <v>#DIV/0!</v>
      </c>
      <c r="AV706" s="580" t="e">
        <f t="shared" si="998"/>
        <v>#DIV/0!</v>
      </c>
      <c r="AW706" s="580" t="e">
        <f t="shared" si="998"/>
        <v>#DIV/0!</v>
      </c>
      <c r="AX706" s="580" t="e">
        <f t="shared" si="998"/>
        <v>#DIV/0!</v>
      </c>
      <c r="AY706" s="580" t="e">
        <f t="shared" si="998"/>
        <v>#DIV/0!</v>
      </c>
      <c r="AZ706" s="580" t="e">
        <f t="shared" si="998"/>
        <v>#DIV/0!</v>
      </c>
      <c r="BA706" s="580" t="e">
        <f t="shared" si="998"/>
        <v>#DIV/0!</v>
      </c>
      <c r="BB706" s="580" t="e">
        <f t="shared" si="998"/>
        <v>#DIV/0!</v>
      </c>
      <c r="BC706" s="580" t="e">
        <f t="shared" si="998"/>
        <v>#DIV/0!</v>
      </c>
      <c r="BD706" s="580" t="e">
        <f t="shared" si="998"/>
        <v>#DIV/0!</v>
      </c>
      <c r="BE706" s="580" t="e">
        <f t="shared" si="998"/>
        <v>#DIV/0!</v>
      </c>
      <c r="BF706" s="580" t="e">
        <f t="shared" si="998"/>
        <v>#DIV/0!</v>
      </c>
      <c r="BG706" s="580" t="e">
        <f t="shared" si="998"/>
        <v>#DIV/0!</v>
      </c>
      <c r="BH706" s="580" t="e">
        <f t="shared" si="998"/>
        <v>#DIV/0!</v>
      </c>
      <c r="BI706" s="580" t="e">
        <f t="shared" si="998"/>
        <v>#DIV/0!</v>
      </c>
      <c r="BJ706" s="580" t="e">
        <f t="shared" si="998"/>
        <v>#DIV/0!</v>
      </c>
      <c r="BK706" s="580" t="e">
        <f>(BK644/BG644-1)*100</f>
        <v>#DIV/0!</v>
      </c>
    </row>
    <row r="707" spans="1:63" s="245" customFormat="1">
      <c r="A707" s="243"/>
      <c r="B707" s="243" t="s">
        <v>2173</v>
      </c>
      <c r="C707" s="243" t="str">
        <f>IF(ISBLANK($E$20),"Please enter name of segment above", $E$20)</f>
        <v>Please enter name of segment above</v>
      </c>
      <c r="D707" s="243"/>
      <c r="F707" s="245" t="e">
        <f t="shared" si="995"/>
        <v>#VALUE!</v>
      </c>
      <c r="G707" s="245" t="e">
        <f t="shared" si="995"/>
        <v>#VALUE!</v>
      </c>
      <c r="H707" s="245" t="e">
        <f t="shared" si="995"/>
        <v>#DIV/0!</v>
      </c>
      <c r="I707" s="245" t="e">
        <f t="shared" si="995"/>
        <v>#DIV/0!</v>
      </c>
      <c r="J707" s="245" t="e">
        <f t="shared" si="995"/>
        <v>#DIV/0!</v>
      </c>
      <c r="K707" s="245" t="e">
        <f t="shared" si="995"/>
        <v>#DIV/0!</v>
      </c>
      <c r="L707" s="245" t="e">
        <f t="shared" si="995"/>
        <v>#DIV/0!</v>
      </c>
      <c r="M707" s="245" t="e">
        <f t="shared" si="995"/>
        <v>#DIV/0!</v>
      </c>
      <c r="N707" s="245" t="e">
        <f t="shared" si="995"/>
        <v>#DIV/0!</v>
      </c>
      <c r="O707" s="245" t="e">
        <f t="shared" si="995"/>
        <v>#DIV/0!</v>
      </c>
      <c r="P707" s="245" t="e">
        <f t="shared" si="996"/>
        <v>#DIV/0!</v>
      </c>
      <c r="Q707" s="245" t="e">
        <f t="shared" si="996"/>
        <v>#DIV/0!</v>
      </c>
      <c r="R707" s="245" t="e">
        <f t="shared" si="996"/>
        <v>#DIV/0!</v>
      </c>
      <c r="S707" s="245" t="e">
        <f t="shared" si="996"/>
        <v>#DIV/0!</v>
      </c>
      <c r="T707" s="245" t="e">
        <f t="shared" si="996"/>
        <v>#DIV/0!</v>
      </c>
      <c r="U707" s="245" t="e">
        <f t="shared" si="996"/>
        <v>#DIV/0!</v>
      </c>
      <c r="V707" s="245" t="e">
        <f t="shared" si="996"/>
        <v>#DIV/0!</v>
      </c>
      <c r="W707" s="245" t="e">
        <f t="shared" si="996"/>
        <v>#DIV/0!</v>
      </c>
      <c r="X707" s="245" t="e">
        <f t="shared" si="996"/>
        <v>#DIV/0!</v>
      </c>
      <c r="Y707" s="245" t="e">
        <f t="shared" si="996"/>
        <v>#DIV/0!</v>
      </c>
      <c r="Z707" s="245" t="e">
        <f t="shared" si="997"/>
        <v>#DIV/0!</v>
      </c>
      <c r="AA707" s="245" t="e">
        <f t="shared" si="997"/>
        <v>#DIV/0!</v>
      </c>
      <c r="AB707" s="245" t="e">
        <f t="shared" si="997"/>
        <v>#DIV/0!</v>
      </c>
      <c r="AC707" s="245" t="e">
        <f t="shared" si="997"/>
        <v>#DIV/0!</v>
      </c>
      <c r="AD707" s="245" t="e">
        <f t="shared" si="997"/>
        <v>#DIV/0!</v>
      </c>
      <c r="AF707" s="580" t="e">
        <f t="shared" si="998"/>
        <v>#DIV/0!</v>
      </c>
      <c r="AG707" s="580" t="e">
        <f t="shared" si="998"/>
        <v>#DIV/0!</v>
      </c>
      <c r="AH707" s="580" t="e">
        <f t="shared" si="998"/>
        <v>#DIV/0!</v>
      </c>
      <c r="AI707" s="580" t="e">
        <f t="shared" si="998"/>
        <v>#DIV/0!</v>
      </c>
      <c r="AJ707" s="580" t="e">
        <f t="shared" si="998"/>
        <v>#DIV/0!</v>
      </c>
      <c r="AK707" s="580" t="e">
        <f t="shared" si="998"/>
        <v>#DIV/0!</v>
      </c>
      <c r="AL707" s="580" t="e">
        <f t="shared" si="998"/>
        <v>#DIV/0!</v>
      </c>
      <c r="AM707" s="580" t="e">
        <f t="shared" si="998"/>
        <v>#DIV/0!</v>
      </c>
      <c r="AN707" s="580" t="e">
        <f t="shared" si="998"/>
        <v>#DIV/0!</v>
      </c>
      <c r="AO707" s="580" t="e">
        <f t="shared" si="998"/>
        <v>#DIV/0!</v>
      </c>
      <c r="AP707" s="580" t="e">
        <f t="shared" si="998"/>
        <v>#DIV/0!</v>
      </c>
      <c r="AQ707" s="580" t="e">
        <f t="shared" si="998"/>
        <v>#DIV/0!</v>
      </c>
      <c r="AR707" s="580" t="e">
        <f t="shared" si="998"/>
        <v>#DIV/0!</v>
      </c>
      <c r="AS707" s="580" t="e">
        <f t="shared" si="998"/>
        <v>#DIV/0!</v>
      </c>
      <c r="AT707" s="580" t="e">
        <f t="shared" si="998"/>
        <v>#DIV/0!</v>
      </c>
      <c r="AU707" s="580" t="e">
        <f t="shared" si="998"/>
        <v>#DIV/0!</v>
      </c>
      <c r="AV707" s="580" t="e">
        <f t="shared" si="998"/>
        <v>#DIV/0!</v>
      </c>
      <c r="AW707" s="580" t="e">
        <f t="shared" si="998"/>
        <v>#DIV/0!</v>
      </c>
      <c r="AX707" s="580" t="e">
        <f t="shared" si="998"/>
        <v>#DIV/0!</v>
      </c>
      <c r="AY707" s="580" t="e">
        <f t="shared" si="998"/>
        <v>#DIV/0!</v>
      </c>
      <c r="AZ707" s="580" t="e">
        <f t="shared" si="998"/>
        <v>#DIV/0!</v>
      </c>
      <c r="BA707" s="580" t="e">
        <f t="shared" si="998"/>
        <v>#DIV/0!</v>
      </c>
      <c r="BB707" s="580" t="e">
        <f t="shared" si="998"/>
        <v>#DIV/0!</v>
      </c>
      <c r="BC707" s="580" t="e">
        <f t="shared" si="998"/>
        <v>#DIV/0!</v>
      </c>
      <c r="BD707" s="580" t="e">
        <f t="shared" si="998"/>
        <v>#DIV/0!</v>
      </c>
      <c r="BE707" s="580" t="e">
        <f t="shared" si="998"/>
        <v>#DIV/0!</v>
      </c>
      <c r="BF707" s="580" t="e">
        <f t="shared" si="998"/>
        <v>#DIV/0!</v>
      </c>
      <c r="BG707" s="580" t="e">
        <f t="shared" si="998"/>
        <v>#DIV/0!</v>
      </c>
      <c r="BH707" s="580" t="e">
        <f t="shared" si="998"/>
        <v>#DIV/0!</v>
      </c>
      <c r="BI707" s="580" t="e">
        <f t="shared" si="998"/>
        <v>#DIV/0!</v>
      </c>
      <c r="BJ707" s="580" t="e">
        <f t="shared" si="998"/>
        <v>#DIV/0!</v>
      </c>
      <c r="BK707" s="580" t="e">
        <f>(BK645/BG645-1)*100</f>
        <v>#DIV/0!</v>
      </c>
    </row>
    <row r="708" spans="1:63" s="245" customFormat="1">
      <c r="A708" s="243"/>
      <c r="B708" s="243" t="s">
        <v>2174</v>
      </c>
      <c r="C708" s="243" t="str">
        <f>IF(ISBLANK($E$21),"Please enter name of segment above", $E$21)</f>
        <v>Please enter name of segment above</v>
      </c>
      <c r="D708" s="243"/>
      <c r="F708" s="245" t="e">
        <f t="shared" si="995"/>
        <v>#VALUE!</v>
      </c>
      <c r="G708" s="245" t="e">
        <f t="shared" si="995"/>
        <v>#VALUE!</v>
      </c>
      <c r="H708" s="245" t="e">
        <f t="shared" si="995"/>
        <v>#DIV/0!</v>
      </c>
      <c r="I708" s="245" t="e">
        <f t="shared" si="995"/>
        <v>#DIV/0!</v>
      </c>
      <c r="J708" s="245" t="e">
        <f t="shared" si="995"/>
        <v>#DIV/0!</v>
      </c>
      <c r="K708" s="245" t="e">
        <f t="shared" si="995"/>
        <v>#DIV/0!</v>
      </c>
      <c r="L708" s="245" t="e">
        <f t="shared" si="995"/>
        <v>#DIV/0!</v>
      </c>
      <c r="M708" s="245" t="e">
        <f t="shared" si="995"/>
        <v>#DIV/0!</v>
      </c>
      <c r="N708" s="245" t="e">
        <f t="shared" si="995"/>
        <v>#DIV/0!</v>
      </c>
      <c r="O708" s="245" t="e">
        <f t="shared" si="995"/>
        <v>#DIV/0!</v>
      </c>
      <c r="P708" s="245" t="e">
        <f t="shared" si="996"/>
        <v>#DIV/0!</v>
      </c>
      <c r="Q708" s="245" t="e">
        <f t="shared" si="996"/>
        <v>#DIV/0!</v>
      </c>
      <c r="R708" s="245" t="e">
        <f t="shared" si="996"/>
        <v>#DIV/0!</v>
      </c>
      <c r="S708" s="245" t="e">
        <f t="shared" si="996"/>
        <v>#DIV/0!</v>
      </c>
      <c r="T708" s="245" t="e">
        <f t="shared" si="996"/>
        <v>#DIV/0!</v>
      </c>
      <c r="U708" s="245" t="e">
        <f t="shared" si="996"/>
        <v>#DIV/0!</v>
      </c>
      <c r="V708" s="245" t="e">
        <f t="shared" si="996"/>
        <v>#DIV/0!</v>
      </c>
      <c r="W708" s="245" t="e">
        <f t="shared" si="996"/>
        <v>#DIV/0!</v>
      </c>
      <c r="X708" s="245" t="e">
        <f t="shared" si="996"/>
        <v>#DIV/0!</v>
      </c>
      <c r="Y708" s="245" t="e">
        <f t="shared" si="996"/>
        <v>#DIV/0!</v>
      </c>
      <c r="Z708" s="245" t="e">
        <f t="shared" si="997"/>
        <v>#DIV/0!</v>
      </c>
      <c r="AA708" s="245" t="e">
        <f t="shared" si="997"/>
        <v>#DIV/0!</v>
      </c>
      <c r="AB708" s="245" t="e">
        <f t="shared" si="997"/>
        <v>#DIV/0!</v>
      </c>
      <c r="AC708" s="245" t="e">
        <f t="shared" si="997"/>
        <v>#DIV/0!</v>
      </c>
      <c r="AD708" s="245" t="e">
        <f t="shared" si="997"/>
        <v>#DIV/0!</v>
      </c>
      <c r="AF708" s="580" t="e">
        <f t="shared" si="998"/>
        <v>#DIV/0!</v>
      </c>
      <c r="AG708" s="580" t="e">
        <f t="shared" si="998"/>
        <v>#DIV/0!</v>
      </c>
      <c r="AH708" s="580" t="e">
        <f t="shared" si="998"/>
        <v>#DIV/0!</v>
      </c>
      <c r="AI708" s="580" t="e">
        <f t="shared" si="998"/>
        <v>#DIV/0!</v>
      </c>
      <c r="AJ708" s="580" t="e">
        <f t="shared" si="998"/>
        <v>#DIV/0!</v>
      </c>
      <c r="AK708" s="580" t="e">
        <f t="shared" si="998"/>
        <v>#DIV/0!</v>
      </c>
      <c r="AL708" s="580" t="e">
        <f t="shared" si="998"/>
        <v>#DIV/0!</v>
      </c>
      <c r="AM708" s="580" t="e">
        <f t="shared" si="998"/>
        <v>#DIV/0!</v>
      </c>
      <c r="AN708" s="580" t="e">
        <f t="shared" si="998"/>
        <v>#DIV/0!</v>
      </c>
      <c r="AO708" s="580" t="e">
        <f t="shared" si="998"/>
        <v>#DIV/0!</v>
      </c>
      <c r="AP708" s="580" t="e">
        <f t="shared" si="998"/>
        <v>#DIV/0!</v>
      </c>
      <c r="AQ708" s="580" t="e">
        <f t="shared" si="998"/>
        <v>#DIV/0!</v>
      </c>
      <c r="AR708" s="580" t="e">
        <f t="shared" si="998"/>
        <v>#DIV/0!</v>
      </c>
      <c r="AS708" s="580" t="e">
        <f t="shared" si="998"/>
        <v>#DIV/0!</v>
      </c>
      <c r="AT708" s="580" t="e">
        <f t="shared" si="998"/>
        <v>#DIV/0!</v>
      </c>
      <c r="AU708" s="580" t="e">
        <f t="shared" si="998"/>
        <v>#DIV/0!</v>
      </c>
      <c r="AV708" s="580" t="e">
        <f t="shared" si="998"/>
        <v>#DIV/0!</v>
      </c>
      <c r="AW708" s="580" t="e">
        <f t="shared" si="998"/>
        <v>#DIV/0!</v>
      </c>
      <c r="AX708" s="580" t="e">
        <f t="shared" si="998"/>
        <v>#DIV/0!</v>
      </c>
      <c r="AY708" s="580" t="e">
        <f t="shared" si="998"/>
        <v>#DIV/0!</v>
      </c>
      <c r="AZ708" s="580" t="e">
        <f t="shared" si="998"/>
        <v>#DIV/0!</v>
      </c>
      <c r="BA708" s="580" t="e">
        <f t="shared" si="998"/>
        <v>#DIV/0!</v>
      </c>
      <c r="BB708" s="580" t="e">
        <f t="shared" si="998"/>
        <v>#DIV/0!</v>
      </c>
      <c r="BC708" s="580" t="e">
        <f t="shared" si="998"/>
        <v>#DIV/0!</v>
      </c>
      <c r="BD708" s="580" t="e">
        <f t="shared" si="998"/>
        <v>#DIV/0!</v>
      </c>
      <c r="BE708" s="580" t="e">
        <f t="shared" si="998"/>
        <v>#DIV/0!</v>
      </c>
      <c r="BF708" s="580" t="e">
        <f t="shared" si="998"/>
        <v>#DIV/0!</v>
      </c>
      <c r="BG708" s="580" t="e">
        <f t="shared" si="998"/>
        <v>#DIV/0!</v>
      </c>
      <c r="BH708" s="580" t="e">
        <f t="shared" si="998"/>
        <v>#DIV/0!</v>
      </c>
      <c r="BI708" s="580" t="e">
        <f t="shared" si="998"/>
        <v>#DIV/0!</v>
      </c>
      <c r="BJ708" s="580" t="e">
        <f t="shared" si="998"/>
        <v>#DIV/0!</v>
      </c>
      <c r="BK708" s="580" t="e">
        <f>(BK646/BG646-1)*100</f>
        <v>#DIV/0!</v>
      </c>
    </row>
    <row r="709" spans="1:63" s="245" customFormat="1">
      <c r="A709" s="243"/>
      <c r="B709" s="243" t="s">
        <v>2175</v>
      </c>
      <c r="C709" s="243" t="str">
        <f>IF(ISBLANK($E$22),"Please enter name of segment above", $E$22)</f>
        <v>Please enter name of segment above</v>
      </c>
      <c r="D709" s="243"/>
      <c r="F709" s="245" t="e">
        <f t="shared" si="995"/>
        <v>#VALUE!</v>
      </c>
      <c r="G709" s="245" t="e">
        <f t="shared" si="995"/>
        <v>#VALUE!</v>
      </c>
      <c r="H709" s="245" t="e">
        <f t="shared" si="995"/>
        <v>#DIV/0!</v>
      </c>
      <c r="I709" s="245" t="e">
        <f t="shared" si="995"/>
        <v>#DIV/0!</v>
      </c>
      <c r="J709" s="245" t="e">
        <f t="shared" si="995"/>
        <v>#DIV/0!</v>
      </c>
      <c r="K709" s="245" t="e">
        <f t="shared" si="995"/>
        <v>#DIV/0!</v>
      </c>
      <c r="L709" s="245" t="e">
        <f t="shared" si="995"/>
        <v>#DIV/0!</v>
      </c>
      <c r="M709" s="245" t="e">
        <f t="shared" si="995"/>
        <v>#DIV/0!</v>
      </c>
      <c r="N709" s="245" t="e">
        <f t="shared" si="995"/>
        <v>#DIV/0!</v>
      </c>
      <c r="O709" s="245" t="e">
        <f t="shared" si="995"/>
        <v>#DIV/0!</v>
      </c>
      <c r="P709" s="245" t="e">
        <f t="shared" si="996"/>
        <v>#DIV/0!</v>
      </c>
      <c r="Q709" s="245" t="e">
        <f t="shared" si="996"/>
        <v>#DIV/0!</v>
      </c>
      <c r="R709" s="245" t="e">
        <f t="shared" si="996"/>
        <v>#DIV/0!</v>
      </c>
      <c r="S709" s="245" t="e">
        <f t="shared" si="996"/>
        <v>#DIV/0!</v>
      </c>
      <c r="T709" s="245" t="e">
        <f t="shared" si="996"/>
        <v>#DIV/0!</v>
      </c>
      <c r="U709" s="245" t="e">
        <f t="shared" si="996"/>
        <v>#DIV/0!</v>
      </c>
      <c r="V709" s="245" t="e">
        <f t="shared" si="996"/>
        <v>#DIV/0!</v>
      </c>
      <c r="W709" s="245" t="e">
        <f t="shared" si="996"/>
        <v>#DIV/0!</v>
      </c>
      <c r="X709" s="245" t="e">
        <f t="shared" si="996"/>
        <v>#DIV/0!</v>
      </c>
      <c r="Y709" s="245" t="e">
        <f t="shared" si="996"/>
        <v>#DIV/0!</v>
      </c>
      <c r="Z709" s="245" t="e">
        <f t="shared" si="997"/>
        <v>#DIV/0!</v>
      </c>
      <c r="AA709" s="245" t="e">
        <f t="shared" si="997"/>
        <v>#DIV/0!</v>
      </c>
      <c r="AB709" s="245" t="e">
        <f t="shared" si="997"/>
        <v>#DIV/0!</v>
      </c>
      <c r="AC709" s="245" t="e">
        <f t="shared" si="997"/>
        <v>#DIV/0!</v>
      </c>
      <c r="AD709" s="245" t="e">
        <f t="shared" si="997"/>
        <v>#DIV/0!</v>
      </c>
      <c r="AF709" s="580" t="e">
        <f t="shared" si="998"/>
        <v>#DIV/0!</v>
      </c>
      <c r="AG709" s="580" t="e">
        <f t="shared" si="998"/>
        <v>#DIV/0!</v>
      </c>
      <c r="AH709" s="580" t="e">
        <f t="shared" si="998"/>
        <v>#DIV/0!</v>
      </c>
      <c r="AI709" s="580" t="e">
        <f t="shared" si="998"/>
        <v>#DIV/0!</v>
      </c>
      <c r="AJ709" s="580" t="e">
        <f t="shared" si="998"/>
        <v>#DIV/0!</v>
      </c>
      <c r="AK709" s="580" t="e">
        <f t="shared" si="998"/>
        <v>#DIV/0!</v>
      </c>
      <c r="AL709" s="580" t="e">
        <f t="shared" si="998"/>
        <v>#DIV/0!</v>
      </c>
      <c r="AM709" s="580" t="e">
        <f t="shared" si="998"/>
        <v>#DIV/0!</v>
      </c>
      <c r="AN709" s="580" t="e">
        <f t="shared" si="998"/>
        <v>#DIV/0!</v>
      </c>
      <c r="AO709" s="580" t="e">
        <f t="shared" si="998"/>
        <v>#DIV/0!</v>
      </c>
      <c r="AP709" s="580" t="e">
        <f t="shared" si="998"/>
        <v>#DIV/0!</v>
      </c>
      <c r="AQ709" s="580" t="e">
        <f t="shared" si="998"/>
        <v>#DIV/0!</v>
      </c>
      <c r="AR709" s="580" t="e">
        <f t="shared" si="998"/>
        <v>#DIV/0!</v>
      </c>
      <c r="AS709" s="580" t="e">
        <f t="shared" si="998"/>
        <v>#DIV/0!</v>
      </c>
      <c r="AT709" s="580" t="e">
        <f t="shared" si="998"/>
        <v>#DIV/0!</v>
      </c>
      <c r="AU709" s="580" t="e">
        <f t="shared" si="998"/>
        <v>#DIV/0!</v>
      </c>
      <c r="AV709" s="580" t="e">
        <f t="shared" si="998"/>
        <v>#DIV/0!</v>
      </c>
      <c r="AW709" s="580" t="e">
        <f t="shared" si="998"/>
        <v>#DIV/0!</v>
      </c>
      <c r="AX709" s="580" t="e">
        <f t="shared" si="998"/>
        <v>#DIV/0!</v>
      </c>
      <c r="AY709" s="580" t="e">
        <f t="shared" si="998"/>
        <v>#DIV/0!</v>
      </c>
      <c r="AZ709" s="580" t="e">
        <f t="shared" si="998"/>
        <v>#DIV/0!</v>
      </c>
      <c r="BA709" s="580" t="e">
        <f t="shared" si="998"/>
        <v>#DIV/0!</v>
      </c>
      <c r="BB709" s="580" t="e">
        <f t="shared" si="998"/>
        <v>#DIV/0!</v>
      </c>
      <c r="BC709" s="580" t="e">
        <f t="shared" si="998"/>
        <v>#DIV/0!</v>
      </c>
      <c r="BD709" s="580" t="e">
        <f t="shared" si="998"/>
        <v>#DIV/0!</v>
      </c>
      <c r="BE709" s="580" t="e">
        <f t="shared" si="998"/>
        <v>#DIV/0!</v>
      </c>
      <c r="BF709" s="580" t="e">
        <f t="shared" si="998"/>
        <v>#DIV/0!</v>
      </c>
      <c r="BG709" s="580" t="e">
        <f t="shared" si="998"/>
        <v>#DIV/0!</v>
      </c>
      <c r="BH709" s="580" t="e">
        <f t="shared" si="998"/>
        <v>#DIV/0!</v>
      </c>
      <c r="BI709" s="580" t="e">
        <f t="shared" si="998"/>
        <v>#DIV/0!</v>
      </c>
      <c r="BJ709" s="580" t="e">
        <f t="shared" si="998"/>
        <v>#DIV/0!</v>
      </c>
      <c r="BK709" s="580" t="e">
        <f>(BK647/BG647-1)*100</f>
        <v>#DIV/0!</v>
      </c>
    </row>
    <row r="710" spans="1:63" s="245" customFormat="1">
      <c r="A710" s="243"/>
      <c r="B710" s="243" t="s">
        <v>2176</v>
      </c>
      <c r="C710" s="243" t="str">
        <f>IF(ISBLANK($E$23),"Please enter name of segment above", $E$23)</f>
        <v>Please enter name of segment above</v>
      </c>
      <c r="D710" s="243"/>
      <c r="F710" s="245" t="e">
        <f t="shared" si="995"/>
        <v>#VALUE!</v>
      </c>
      <c r="G710" s="245" t="e">
        <f t="shared" si="995"/>
        <v>#VALUE!</v>
      </c>
      <c r="H710" s="245" t="e">
        <f t="shared" si="995"/>
        <v>#DIV/0!</v>
      </c>
      <c r="I710" s="245" t="e">
        <f t="shared" si="995"/>
        <v>#DIV/0!</v>
      </c>
      <c r="J710" s="245" t="e">
        <f t="shared" si="995"/>
        <v>#DIV/0!</v>
      </c>
      <c r="K710" s="245" t="e">
        <f t="shared" si="995"/>
        <v>#DIV/0!</v>
      </c>
      <c r="L710" s="245" t="e">
        <f t="shared" si="995"/>
        <v>#DIV/0!</v>
      </c>
      <c r="M710" s="245" t="e">
        <f t="shared" si="995"/>
        <v>#DIV/0!</v>
      </c>
      <c r="N710" s="245" t="e">
        <f t="shared" si="995"/>
        <v>#DIV/0!</v>
      </c>
      <c r="O710" s="245" t="e">
        <f t="shared" si="995"/>
        <v>#DIV/0!</v>
      </c>
      <c r="P710" s="245" t="e">
        <f t="shared" si="996"/>
        <v>#DIV/0!</v>
      </c>
      <c r="Q710" s="245" t="e">
        <f t="shared" si="996"/>
        <v>#DIV/0!</v>
      </c>
      <c r="R710" s="245" t="e">
        <f t="shared" si="996"/>
        <v>#DIV/0!</v>
      </c>
      <c r="S710" s="245" t="e">
        <f t="shared" si="996"/>
        <v>#DIV/0!</v>
      </c>
      <c r="T710" s="245" t="e">
        <f t="shared" si="996"/>
        <v>#DIV/0!</v>
      </c>
      <c r="U710" s="245" t="e">
        <f t="shared" si="996"/>
        <v>#DIV/0!</v>
      </c>
      <c r="V710" s="245" t="e">
        <f t="shared" si="996"/>
        <v>#DIV/0!</v>
      </c>
      <c r="W710" s="245" t="e">
        <f t="shared" si="996"/>
        <v>#DIV/0!</v>
      </c>
      <c r="X710" s="245" t="e">
        <f t="shared" si="996"/>
        <v>#DIV/0!</v>
      </c>
      <c r="Y710" s="245" t="e">
        <f t="shared" si="996"/>
        <v>#DIV/0!</v>
      </c>
      <c r="Z710" s="245" t="e">
        <f t="shared" si="997"/>
        <v>#DIV/0!</v>
      </c>
      <c r="AA710" s="245" t="e">
        <f t="shared" si="997"/>
        <v>#DIV/0!</v>
      </c>
      <c r="AB710" s="245" t="e">
        <f t="shared" si="997"/>
        <v>#DIV/0!</v>
      </c>
      <c r="AC710" s="245" t="e">
        <f t="shared" si="997"/>
        <v>#DIV/0!</v>
      </c>
      <c r="AD710" s="245" t="e">
        <f t="shared" si="997"/>
        <v>#DIV/0!</v>
      </c>
      <c r="AF710" s="580" t="e">
        <f t="shared" si="998"/>
        <v>#DIV/0!</v>
      </c>
      <c r="AG710" s="580" t="e">
        <f t="shared" si="998"/>
        <v>#DIV/0!</v>
      </c>
      <c r="AH710" s="580" t="e">
        <f t="shared" si="998"/>
        <v>#DIV/0!</v>
      </c>
      <c r="AI710" s="580" t="e">
        <f t="shared" si="998"/>
        <v>#DIV/0!</v>
      </c>
      <c r="AJ710" s="580" t="e">
        <f t="shared" si="998"/>
        <v>#DIV/0!</v>
      </c>
      <c r="AK710" s="580" t="e">
        <f t="shared" si="998"/>
        <v>#DIV/0!</v>
      </c>
      <c r="AL710" s="580" t="e">
        <f t="shared" si="998"/>
        <v>#DIV/0!</v>
      </c>
      <c r="AM710" s="580" t="e">
        <f t="shared" si="998"/>
        <v>#DIV/0!</v>
      </c>
      <c r="AN710" s="580" t="e">
        <f t="shared" si="998"/>
        <v>#DIV/0!</v>
      </c>
      <c r="AO710" s="580" t="e">
        <f t="shared" si="998"/>
        <v>#DIV/0!</v>
      </c>
      <c r="AP710" s="580" t="e">
        <f t="shared" si="998"/>
        <v>#DIV/0!</v>
      </c>
      <c r="AQ710" s="580" t="e">
        <f t="shared" si="998"/>
        <v>#DIV/0!</v>
      </c>
      <c r="AR710" s="580" t="e">
        <f t="shared" si="998"/>
        <v>#DIV/0!</v>
      </c>
      <c r="AS710" s="580" t="e">
        <f t="shared" si="998"/>
        <v>#DIV/0!</v>
      </c>
      <c r="AT710" s="580" t="e">
        <f t="shared" si="998"/>
        <v>#DIV/0!</v>
      </c>
      <c r="AU710" s="580" t="e">
        <f t="shared" si="998"/>
        <v>#DIV/0!</v>
      </c>
      <c r="AV710" s="580" t="e">
        <f t="shared" si="998"/>
        <v>#DIV/0!</v>
      </c>
      <c r="AW710" s="580" t="e">
        <f t="shared" si="998"/>
        <v>#DIV/0!</v>
      </c>
      <c r="AX710" s="580" t="e">
        <f t="shared" si="998"/>
        <v>#DIV/0!</v>
      </c>
      <c r="AY710" s="580" t="e">
        <f t="shared" si="998"/>
        <v>#DIV/0!</v>
      </c>
      <c r="AZ710" s="580" t="e">
        <f t="shared" si="998"/>
        <v>#DIV/0!</v>
      </c>
      <c r="BA710" s="580" t="e">
        <f t="shared" si="998"/>
        <v>#DIV/0!</v>
      </c>
      <c r="BB710" s="580" t="e">
        <f t="shared" si="998"/>
        <v>#DIV/0!</v>
      </c>
      <c r="BC710" s="580" t="e">
        <f t="shared" si="998"/>
        <v>#DIV/0!</v>
      </c>
      <c r="BD710" s="580" t="e">
        <f t="shared" si="998"/>
        <v>#DIV/0!</v>
      </c>
      <c r="BE710" s="580" t="e">
        <f t="shared" si="998"/>
        <v>#DIV/0!</v>
      </c>
      <c r="BF710" s="580" t="e">
        <f t="shared" si="998"/>
        <v>#DIV/0!</v>
      </c>
      <c r="BG710" s="580" t="e">
        <f t="shared" si="998"/>
        <v>#DIV/0!</v>
      </c>
      <c r="BH710" s="580" t="e">
        <f t="shared" si="998"/>
        <v>#DIV/0!</v>
      </c>
      <c r="BI710" s="580" t="e">
        <f t="shared" si="998"/>
        <v>#DIV/0!</v>
      </c>
      <c r="BJ710" s="580" t="e">
        <f t="shared" si="998"/>
        <v>#DIV/0!</v>
      </c>
      <c r="BK710" s="580" t="e">
        <f>(BK648/BG648-1)*100</f>
        <v>#DIV/0!</v>
      </c>
    </row>
    <row r="711" spans="1:63" s="240" customFormat="1">
      <c r="A711" s="209"/>
      <c r="B711" s="209"/>
      <c r="C711" s="275" t="s">
        <v>2177</v>
      </c>
      <c r="D711" s="209"/>
      <c r="AF711" s="579"/>
      <c r="AG711" s="579"/>
      <c r="AH711" s="579"/>
      <c r="AI711" s="579"/>
      <c r="AJ711" s="579"/>
      <c r="AK711" s="579"/>
      <c r="AL711" s="579"/>
      <c r="AM711" s="579"/>
      <c r="AN711" s="579"/>
      <c r="AO711" s="579"/>
      <c r="AP711" s="579"/>
      <c r="AQ711" s="579"/>
      <c r="AR711" s="579"/>
      <c r="AS711" s="579"/>
      <c r="AT711" s="579"/>
      <c r="AU711" s="579"/>
      <c r="AV711" s="579"/>
      <c r="AW711" s="579"/>
      <c r="AX711" s="579"/>
      <c r="AY711" s="579"/>
      <c r="AZ711" s="579"/>
      <c r="BA711" s="579"/>
      <c r="BB711" s="579"/>
      <c r="BC711" s="579"/>
      <c r="BD711" s="579"/>
      <c r="BE711" s="579"/>
      <c r="BF711" s="579"/>
      <c r="BG711" s="579"/>
      <c r="BH711" s="579"/>
      <c r="BI711" s="579"/>
      <c r="BJ711" s="579"/>
      <c r="BK711" s="579"/>
    </row>
    <row r="712" spans="1:63" s="240" customFormat="1">
      <c r="A712" s="209"/>
      <c r="B712" s="209"/>
      <c r="C712" s="209" t="s">
        <v>2125</v>
      </c>
      <c r="D712" s="209"/>
      <c r="AF712" s="579"/>
      <c r="AG712" s="579"/>
      <c r="AH712" s="579"/>
      <c r="AI712" s="579"/>
      <c r="AJ712" s="579"/>
      <c r="AK712" s="579"/>
      <c r="AL712" s="579"/>
      <c r="AM712" s="579"/>
      <c r="AN712" s="579"/>
      <c r="AO712" s="579"/>
      <c r="AP712" s="579"/>
      <c r="AQ712" s="579"/>
      <c r="AR712" s="579"/>
      <c r="AS712" s="579"/>
      <c r="AT712" s="579"/>
      <c r="AU712" s="579"/>
      <c r="AV712" s="579"/>
      <c r="AW712" s="579"/>
      <c r="AX712" s="579"/>
      <c r="AY712" s="579"/>
      <c r="AZ712" s="579"/>
      <c r="BA712" s="579"/>
      <c r="BB712" s="579"/>
      <c r="BC712" s="579"/>
      <c r="BD712" s="579"/>
      <c r="BE712" s="579"/>
      <c r="BF712" s="579"/>
      <c r="BG712" s="579"/>
      <c r="BH712" s="579"/>
      <c r="BI712" s="579"/>
      <c r="BJ712" s="579"/>
      <c r="BK712" s="579"/>
    </row>
    <row r="713" spans="1:63" s="245" customFormat="1">
      <c r="A713" s="243"/>
      <c r="B713" s="243" t="s">
        <v>2178</v>
      </c>
      <c r="C713" s="243" t="str">
        <f>IF(ISBLANK($E$19),"Please enter name of segment above", $E$19)</f>
        <v>Please enter name of segment above</v>
      </c>
      <c r="D713" s="243"/>
      <c r="F713" s="245" t="e">
        <f t="shared" ref="F713:O717" si="999">(F653/B653-1)*100</f>
        <v>#VALUE!</v>
      </c>
      <c r="G713" s="245" t="e">
        <f t="shared" si="999"/>
        <v>#VALUE!</v>
      </c>
      <c r="H713" s="245" t="e">
        <f t="shared" si="999"/>
        <v>#DIV/0!</v>
      </c>
      <c r="I713" s="245" t="e">
        <f t="shared" si="999"/>
        <v>#DIV/0!</v>
      </c>
      <c r="J713" s="245" t="e">
        <f t="shared" si="999"/>
        <v>#DIV/0!</v>
      </c>
      <c r="K713" s="245" t="e">
        <f t="shared" si="999"/>
        <v>#DIV/0!</v>
      </c>
      <c r="L713" s="245" t="e">
        <f t="shared" si="999"/>
        <v>#DIV/0!</v>
      </c>
      <c r="M713" s="245" t="e">
        <f t="shared" si="999"/>
        <v>#DIV/0!</v>
      </c>
      <c r="N713" s="245" t="e">
        <f t="shared" si="999"/>
        <v>#DIV/0!</v>
      </c>
      <c r="O713" s="245" t="e">
        <f t="shared" si="999"/>
        <v>#DIV/0!</v>
      </c>
      <c r="P713" s="245" t="e">
        <f t="shared" ref="P713:Y717" si="1000">(P653/L653-1)*100</f>
        <v>#DIV/0!</v>
      </c>
      <c r="Q713" s="245" t="e">
        <f t="shared" si="1000"/>
        <v>#DIV/0!</v>
      </c>
      <c r="R713" s="245" t="e">
        <f t="shared" si="1000"/>
        <v>#DIV/0!</v>
      </c>
      <c r="S713" s="245" t="e">
        <f t="shared" si="1000"/>
        <v>#DIV/0!</v>
      </c>
      <c r="T713" s="245" t="e">
        <f t="shared" si="1000"/>
        <v>#DIV/0!</v>
      </c>
      <c r="U713" s="245" t="e">
        <f t="shared" si="1000"/>
        <v>#DIV/0!</v>
      </c>
      <c r="V713" s="245" t="e">
        <f t="shared" si="1000"/>
        <v>#DIV/0!</v>
      </c>
      <c r="W713" s="245" t="e">
        <f t="shared" si="1000"/>
        <v>#DIV/0!</v>
      </c>
      <c r="X713" s="245" t="e">
        <f t="shared" si="1000"/>
        <v>#DIV/0!</v>
      </c>
      <c r="Y713" s="245" t="e">
        <f t="shared" si="1000"/>
        <v>#DIV/0!</v>
      </c>
      <c r="Z713" s="245" t="e">
        <f t="shared" ref="Z713:AD717" si="1001">(Z653/V653-1)*100</f>
        <v>#DIV/0!</v>
      </c>
      <c r="AA713" s="245" t="e">
        <f t="shared" si="1001"/>
        <v>#DIV/0!</v>
      </c>
      <c r="AB713" s="245" t="e">
        <f t="shared" si="1001"/>
        <v>#DIV/0!</v>
      </c>
      <c r="AC713" s="245" t="e">
        <f t="shared" si="1001"/>
        <v>#DIV/0!</v>
      </c>
      <c r="AD713" s="245" t="e">
        <f t="shared" si="1001"/>
        <v>#DIV/0!</v>
      </c>
      <c r="AF713" s="580" t="e">
        <f t="shared" ref="AF713:BJ717" si="1002">(AF653/AB653-1)*100</f>
        <v>#DIV/0!</v>
      </c>
      <c r="AG713" s="580" t="e">
        <f t="shared" si="1002"/>
        <v>#DIV/0!</v>
      </c>
      <c r="AH713" s="580" t="e">
        <f t="shared" si="1002"/>
        <v>#DIV/0!</v>
      </c>
      <c r="AI713" s="580" t="e">
        <f t="shared" si="1002"/>
        <v>#DIV/0!</v>
      </c>
      <c r="AJ713" s="580" t="e">
        <f t="shared" si="1002"/>
        <v>#DIV/0!</v>
      </c>
      <c r="AK713" s="580" t="e">
        <f t="shared" si="1002"/>
        <v>#DIV/0!</v>
      </c>
      <c r="AL713" s="580" t="e">
        <f t="shared" si="1002"/>
        <v>#DIV/0!</v>
      </c>
      <c r="AM713" s="580" t="e">
        <f t="shared" si="1002"/>
        <v>#DIV/0!</v>
      </c>
      <c r="AN713" s="580" t="e">
        <f t="shared" si="1002"/>
        <v>#DIV/0!</v>
      </c>
      <c r="AO713" s="580" t="e">
        <f t="shared" si="1002"/>
        <v>#DIV/0!</v>
      </c>
      <c r="AP713" s="580" t="e">
        <f t="shared" si="1002"/>
        <v>#DIV/0!</v>
      </c>
      <c r="AQ713" s="580" t="e">
        <f t="shared" si="1002"/>
        <v>#DIV/0!</v>
      </c>
      <c r="AR713" s="580" t="e">
        <f t="shared" si="1002"/>
        <v>#DIV/0!</v>
      </c>
      <c r="AS713" s="580" t="e">
        <f t="shared" si="1002"/>
        <v>#DIV/0!</v>
      </c>
      <c r="AT713" s="580" t="e">
        <f t="shared" si="1002"/>
        <v>#DIV/0!</v>
      </c>
      <c r="AU713" s="580" t="e">
        <f t="shared" si="1002"/>
        <v>#DIV/0!</v>
      </c>
      <c r="AV713" s="580" t="e">
        <f t="shared" si="1002"/>
        <v>#DIV/0!</v>
      </c>
      <c r="AW713" s="580" t="e">
        <f t="shared" si="1002"/>
        <v>#DIV/0!</v>
      </c>
      <c r="AX713" s="580" t="e">
        <f t="shared" si="1002"/>
        <v>#DIV/0!</v>
      </c>
      <c r="AY713" s="580" t="e">
        <f t="shared" si="1002"/>
        <v>#DIV/0!</v>
      </c>
      <c r="AZ713" s="580" t="e">
        <f t="shared" si="1002"/>
        <v>#DIV/0!</v>
      </c>
      <c r="BA713" s="580" t="e">
        <f t="shared" si="1002"/>
        <v>#DIV/0!</v>
      </c>
      <c r="BB713" s="580" t="e">
        <f t="shared" si="1002"/>
        <v>#DIV/0!</v>
      </c>
      <c r="BC713" s="580" t="e">
        <f t="shared" si="1002"/>
        <v>#DIV/0!</v>
      </c>
      <c r="BD713" s="580" t="e">
        <f t="shared" si="1002"/>
        <v>#DIV/0!</v>
      </c>
      <c r="BE713" s="580" t="e">
        <f t="shared" si="1002"/>
        <v>#DIV/0!</v>
      </c>
      <c r="BF713" s="580" t="e">
        <f t="shared" si="1002"/>
        <v>#DIV/0!</v>
      </c>
      <c r="BG713" s="580" t="e">
        <f t="shared" si="1002"/>
        <v>#DIV/0!</v>
      </c>
      <c r="BH713" s="580" t="e">
        <f t="shared" si="1002"/>
        <v>#DIV/0!</v>
      </c>
      <c r="BI713" s="580" t="e">
        <f t="shared" si="1002"/>
        <v>#DIV/0!</v>
      </c>
      <c r="BJ713" s="580" t="e">
        <f t="shared" si="1002"/>
        <v>#DIV/0!</v>
      </c>
      <c r="BK713" s="580" t="e">
        <f>(BK653/BG653-1)*100</f>
        <v>#DIV/0!</v>
      </c>
    </row>
    <row r="714" spans="1:63" s="245" customFormat="1">
      <c r="A714" s="243"/>
      <c r="B714" s="243" t="s">
        <v>2179</v>
      </c>
      <c r="C714" s="243" t="str">
        <f>IF(ISBLANK($E$20),"Please enter name of segment above", $E$20)</f>
        <v>Please enter name of segment above</v>
      </c>
      <c r="D714" s="243"/>
      <c r="F714" s="245" t="e">
        <f t="shared" si="999"/>
        <v>#VALUE!</v>
      </c>
      <c r="G714" s="245" t="e">
        <f t="shared" si="999"/>
        <v>#VALUE!</v>
      </c>
      <c r="H714" s="245" t="e">
        <f t="shared" si="999"/>
        <v>#DIV/0!</v>
      </c>
      <c r="I714" s="245" t="e">
        <f t="shared" si="999"/>
        <v>#DIV/0!</v>
      </c>
      <c r="J714" s="245" t="e">
        <f t="shared" si="999"/>
        <v>#DIV/0!</v>
      </c>
      <c r="K714" s="245" t="e">
        <f t="shared" si="999"/>
        <v>#DIV/0!</v>
      </c>
      <c r="L714" s="245" t="e">
        <f t="shared" si="999"/>
        <v>#DIV/0!</v>
      </c>
      <c r="M714" s="245" t="e">
        <f t="shared" si="999"/>
        <v>#DIV/0!</v>
      </c>
      <c r="N714" s="245" t="e">
        <f t="shared" si="999"/>
        <v>#DIV/0!</v>
      </c>
      <c r="O714" s="245" t="e">
        <f t="shared" si="999"/>
        <v>#DIV/0!</v>
      </c>
      <c r="P714" s="245" t="e">
        <f t="shared" si="1000"/>
        <v>#DIV/0!</v>
      </c>
      <c r="Q714" s="245" t="e">
        <f t="shared" si="1000"/>
        <v>#DIV/0!</v>
      </c>
      <c r="R714" s="245" t="e">
        <f t="shared" si="1000"/>
        <v>#DIV/0!</v>
      </c>
      <c r="S714" s="245" t="e">
        <f t="shared" si="1000"/>
        <v>#DIV/0!</v>
      </c>
      <c r="T714" s="245" t="e">
        <f t="shared" si="1000"/>
        <v>#DIV/0!</v>
      </c>
      <c r="U714" s="245" t="e">
        <f t="shared" si="1000"/>
        <v>#DIV/0!</v>
      </c>
      <c r="V714" s="245" t="e">
        <f t="shared" si="1000"/>
        <v>#DIV/0!</v>
      </c>
      <c r="W714" s="245" t="e">
        <f t="shared" si="1000"/>
        <v>#DIV/0!</v>
      </c>
      <c r="X714" s="245" t="e">
        <f t="shared" si="1000"/>
        <v>#DIV/0!</v>
      </c>
      <c r="Y714" s="245" t="e">
        <f t="shared" si="1000"/>
        <v>#DIV/0!</v>
      </c>
      <c r="Z714" s="245" t="e">
        <f t="shared" si="1001"/>
        <v>#DIV/0!</v>
      </c>
      <c r="AA714" s="245" t="e">
        <f t="shared" si="1001"/>
        <v>#DIV/0!</v>
      </c>
      <c r="AB714" s="245" t="e">
        <f t="shared" si="1001"/>
        <v>#DIV/0!</v>
      </c>
      <c r="AC714" s="245" t="e">
        <f t="shared" si="1001"/>
        <v>#DIV/0!</v>
      </c>
      <c r="AD714" s="245" t="e">
        <f t="shared" si="1001"/>
        <v>#DIV/0!</v>
      </c>
      <c r="AF714" s="580" t="e">
        <f t="shared" si="1002"/>
        <v>#DIV/0!</v>
      </c>
      <c r="AG714" s="580" t="e">
        <f t="shared" si="1002"/>
        <v>#DIV/0!</v>
      </c>
      <c r="AH714" s="580" t="e">
        <f t="shared" si="1002"/>
        <v>#DIV/0!</v>
      </c>
      <c r="AI714" s="580" t="e">
        <f t="shared" si="1002"/>
        <v>#DIV/0!</v>
      </c>
      <c r="AJ714" s="580" t="e">
        <f t="shared" si="1002"/>
        <v>#DIV/0!</v>
      </c>
      <c r="AK714" s="580" t="e">
        <f t="shared" si="1002"/>
        <v>#DIV/0!</v>
      </c>
      <c r="AL714" s="580" t="e">
        <f t="shared" si="1002"/>
        <v>#DIV/0!</v>
      </c>
      <c r="AM714" s="580" t="e">
        <f t="shared" si="1002"/>
        <v>#DIV/0!</v>
      </c>
      <c r="AN714" s="580" t="e">
        <f t="shared" si="1002"/>
        <v>#DIV/0!</v>
      </c>
      <c r="AO714" s="580" t="e">
        <f t="shared" si="1002"/>
        <v>#DIV/0!</v>
      </c>
      <c r="AP714" s="580" t="e">
        <f t="shared" si="1002"/>
        <v>#DIV/0!</v>
      </c>
      <c r="AQ714" s="580" t="e">
        <f t="shared" si="1002"/>
        <v>#DIV/0!</v>
      </c>
      <c r="AR714" s="580" t="e">
        <f t="shared" si="1002"/>
        <v>#DIV/0!</v>
      </c>
      <c r="AS714" s="580" t="e">
        <f t="shared" si="1002"/>
        <v>#DIV/0!</v>
      </c>
      <c r="AT714" s="580" t="e">
        <f t="shared" si="1002"/>
        <v>#DIV/0!</v>
      </c>
      <c r="AU714" s="580" t="e">
        <f t="shared" si="1002"/>
        <v>#DIV/0!</v>
      </c>
      <c r="AV714" s="580" t="e">
        <f t="shared" si="1002"/>
        <v>#DIV/0!</v>
      </c>
      <c r="AW714" s="580" t="e">
        <f t="shared" si="1002"/>
        <v>#DIV/0!</v>
      </c>
      <c r="AX714" s="580" t="e">
        <f t="shared" si="1002"/>
        <v>#DIV/0!</v>
      </c>
      <c r="AY714" s="580" t="e">
        <f t="shared" si="1002"/>
        <v>#DIV/0!</v>
      </c>
      <c r="AZ714" s="580" t="e">
        <f t="shared" si="1002"/>
        <v>#DIV/0!</v>
      </c>
      <c r="BA714" s="580" t="e">
        <f t="shared" si="1002"/>
        <v>#DIV/0!</v>
      </c>
      <c r="BB714" s="580" t="e">
        <f t="shared" si="1002"/>
        <v>#DIV/0!</v>
      </c>
      <c r="BC714" s="580" t="e">
        <f t="shared" si="1002"/>
        <v>#DIV/0!</v>
      </c>
      <c r="BD714" s="580" t="e">
        <f t="shared" si="1002"/>
        <v>#DIV/0!</v>
      </c>
      <c r="BE714" s="580" t="e">
        <f t="shared" si="1002"/>
        <v>#DIV/0!</v>
      </c>
      <c r="BF714" s="580" t="e">
        <f t="shared" si="1002"/>
        <v>#DIV/0!</v>
      </c>
      <c r="BG714" s="580" t="e">
        <f t="shared" si="1002"/>
        <v>#DIV/0!</v>
      </c>
      <c r="BH714" s="580" t="e">
        <f t="shared" si="1002"/>
        <v>#DIV/0!</v>
      </c>
      <c r="BI714" s="580" t="e">
        <f t="shared" si="1002"/>
        <v>#DIV/0!</v>
      </c>
      <c r="BJ714" s="580" t="e">
        <f t="shared" si="1002"/>
        <v>#DIV/0!</v>
      </c>
      <c r="BK714" s="580" t="e">
        <f>(BK654/BG654-1)*100</f>
        <v>#DIV/0!</v>
      </c>
    </row>
    <row r="715" spans="1:63" s="245" customFormat="1">
      <c r="A715" s="243"/>
      <c r="B715" s="243" t="s">
        <v>2180</v>
      </c>
      <c r="C715" s="243" t="str">
        <f>IF(ISBLANK($E$21),"Please enter name of segment above", $E$21)</f>
        <v>Please enter name of segment above</v>
      </c>
      <c r="D715" s="243"/>
      <c r="F715" s="245" t="e">
        <f t="shared" si="999"/>
        <v>#VALUE!</v>
      </c>
      <c r="G715" s="245" t="e">
        <f t="shared" si="999"/>
        <v>#VALUE!</v>
      </c>
      <c r="H715" s="245" t="e">
        <f t="shared" si="999"/>
        <v>#DIV/0!</v>
      </c>
      <c r="I715" s="245" t="e">
        <f t="shared" si="999"/>
        <v>#DIV/0!</v>
      </c>
      <c r="J715" s="245" t="e">
        <f t="shared" si="999"/>
        <v>#DIV/0!</v>
      </c>
      <c r="K715" s="245" t="e">
        <f t="shared" si="999"/>
        <v>#DIV/0!</v>
      </c>
      <c r="L715" s="245" t="e">
        <f t="shared" si="999"/>
        <v>#DIV/0!</v>
      </c>
      <c r="M715" s="245" t="e">
        <f t="shared" si="999"/>
        <v>#DIV/0!</v>
      </c>
      <c r="N715" s="245" t="e">
        <f t="shared" si="999"/>
        <v>#DIV/0!</v>
      </c>
      <c r="O715" s="245" t="e">
        <f t="shared" si="999"/>
        <v>#DIV/0!</v>
      </c>
      <c r="P715" s="245" t="e">
        <f t="shared" si="1000"/>
        <v>#DIV/0!</v>
      </c>
      <c r="Q715" s="245" t="e">
        <f t="shared" si="1000"/>
        <v>#DIV/0!</v>
      </c>
      <c r="R715" s="245" t="e">
        <f t="shared" si="1000"/>
        <v>#DIV/0!</v>
      </c>
      <c r="S715" s="245" t="e">
        <f t="shared" si="1000"/>
        <v>#DIV/0!</v>
      </c>
      <c r="T715" s="245" t="e">
        <f t="shared" si="1000"/>
        <v>#DIV/0!</v>
      </c>
      <c r="U715" s="245" t="e">
        <f t="shared" si="1000"/>
        <v>#DIV/0!</v>
      </c>
      <c r="V715" s="245" t="e">
        <f t="shared" si="1000"/>
        <v>#DIV/0!</v>
      </c>
      <c r="W715" s="245" t="e">
        <f t="shared" si="1000"/>
        <v>#DIV/0!</v>
      </c>
      <c r="X715" s="245" t="e">
        <f t="shared" si="1000"/>
        <v>#DIV/0!</v>
      </c>
      <c r="Y715" s="245" t="e">
        <f t="shared" si="1000"/>
        <v>#DIV/0!</v>
      </c>
      <c r="Z715" s="245" t="e">
        <f t="shared" si="1001"/>
        <v>#DIV/0!</v>
      </c>
      <c r="AA715" s="245" t="e">
        <f t="shared" si="1001"/>
        <v>#DIV/0!</v>
      </c>
      <c r="AB715" s="245" t="e">
        <f t="shared" si="1001"/>
        <v>#DIV/0!</v>
      </c>
      <c r="AC715" s="245" t="e">
        <f t="shared" si="1001"/>
        <v>#DIV/0!</v>
      </c>
      <c r="AD715" s="245" t="e">
        <f t="shared" si="1001"/>
        <v>#DIV/0!</v>
      </c>
      <c r="AF715" s="580" t="e">
        <f t="shared" si="1002"/>
        <v>#DIV/0!</v>
      </c>
      <c r="AG715" s="580" t="e">
        <f t="shared" si="1002"/>
        <v>#DIV/0!</v>
      </c>
      <c r="AH715" s="580" t="e">
        <f t="shared" si="1002"/>
        <v>#DIV/0!</v>
      </c>
      <c r="AI715" s="580" t="e">
        <f t="shared" si="1002"/>
        <v>#DIV/0!</v>
      </c>
      <c r="AJ715" s="580" t="e">
        <f t="shared" si="1002"/>
        <v>#DIV/0!</v>
      </c>
      <c r="AK715" s="580" t="e">
        <f t="shared" si="1002"/>
        <v>#DIV/0!</v>
      </c>
      <c r="AL715" s="580" t="e">
        <f t="shared" si="1002"/>
        <v>#DIV/0!</v>
      </c>
      <c r="AM715" s="580" t="e">
        <f t="shared" si="1002"/>
        <v>#DIV/0!</v>
      </c>
      <c r="AN715" s="580" t="e">
        <f t="shared" si="1002"/>
        <v>#DIV/0!</v>
      </c>
      <c r="AO715" s="580" t="e">
        <f t="shared" si="1002"/>
        <v>#DIV/0!</v>
      </c>
      <c r="AP715" s="580" t="e">
        <f t="shared" si="1002"/>
        <v>#DIV/0!</v>
      </c>
      <c r="AQ715" s="580" t="e">
        <f t="shared" si="1002"/>
        <v>#DIV/0!</v>
      </c>
      <c r="AR715" s="580" t="e">
        <f t="shared" si="1002"/>
        <v>#DIV/0!</v>
      </c>
      <c r="AS715" s="580" t="e">
        <f t="shared" si="1002"/>
        <v>#DIV/0!</v>
      </c>
      <c r="AT715" s="580" t="e">
        <f t="shared" si="1002"/>
        <v>#DIV/0!</v>
      </c>
      <c r="AU715" s="580" t="e">
        <f t="shared" si="1002"/>
        <v>#DIV/0!</v>
      </c>
      <c r="AV715" s="580" t="e">
        <f t="shared" si="1002"/>
        <v>#DIV/0!</v>
      </c>
      <c r="AW715" s="580" t="e">
        <f t="shared" si="1002"/>
        <v>#DIV/0!</v>
      </c>
      <c r="AX715" s="580" t="e">
        <f t="shared" si="1002"/>
        <v>#DIV/0!</v>
      </c>
      <c r="AY715" s="580" t="e">
        <f t="shared" si="1002"/>
        <v>#DIV/0!</v>
      </c>
      <c r="AZ715" s="580" t="e">
        <f t="shared" si="1002"/>
        <v>#DIV/0!</v>
      </c>
      <c r="BA715" s="580" t="e">
        <f t="shared" si="1002"/>
        <v>#DIV/0!</v>
      </c>
      <c r="BB715" s="580" t="e">
        <f t="shared" si="1002"/>
        <v>#DIV/0!</v>
      </c>
      <c r="BC715" s="580" t="e">
        <f t="shared" si="1002"/>
        <v>#DIV/0!</v>
      </c>
      <c r="BD715" s="580" t="e">
        <f t="shared" si="1002"/>
        <v>#DIV/0!</v>
      </c>
      <c r="BE715" s="580" t="e">
        <f t="shared" si="1002"/>
        <v>#DIV/0!</v>
      </c>
      <c r="BF715" s="580" t="e">
        <f t="shared" si="1002"/>
        <v>#DIV/0!</v>
      </c>
      <c r="BG715" s="580" t="e">
        <f t="shared" si="1002"/>
        <v>#DIV/0!</v>
      </c>
      <c r="BH715" s="580" t="e">
        <f t="shared" si="1002"/>
        <v>#DIV/0!</v>
      </c>
      <c r="BI715" s="580" t="e">
        <f t="shared" si="1002"/>
        <v>#DIV/0!</v>
      </c>
      <c r="BJ715" s="580" t="e">
        <f t="shared" si="1002"/>
        <v>#DIV/0!</v>
      </c>
      <c r="BK715" s="580" t="e">
        <f>(BK655/BG655-1)*100</f>
        <v>#DIV/0!</v>
      </c>
    </row>
    <row r="716" spans="1:63" s="245" customFormat="1">
      <c r="A716" s="243"/>
      <c r="B716" s="243" t="s">
        <v>2181</v>
      </c>
      <c r="C716" s="243" t="str">
        <f>IF(ISBLANK($E$22),"Please enter name of segment above", $E$22)</f>
        <v>Please enter name of segment above</v>
      </c>
      <c r="D716" s="243"/>
      <c r="F716" s="245" t="e">
        <f t="shared" si="999"/>
        <v>#VALUE!</v>
      </c>
      <c r="G716" s="245" t="e">
        <f t="shared" si="999"/>
        <v>#VALUE!</v>
      </c>
      <c r="H716" s="245" t="e">
        <f t="shared" si="999"/>
        <v>#DIV/0!</v>
      </c>
      <c r="I716" s="245" t="e">
        <f t="shared" si="999"/>
        <v>#DIV/0!</v>
      </c>
      <c r="J716" s="245" t="e">
        <f t="shared" si="999"/>
        <v>#DIV/0!</v>
      </c>
      <c r="K716" s="245" t="e">
        <f t="shared" si="999"/>
        <v>#DIV/0!</v>
      </c>
      <c r="L716" s="245" t="e">
        <f t="shared" si="999"/>
        <v>#DIV/0!</v>
      </c>
      <c r="M716" s="245" t="e">
        <f t="shared" si="999"/>
        <v>#DIV/0!</v>
      </c>
      <c r="N716" s="245" t="e">
        <f t="shared" si="999"/>
        <v>#DIV/0!</v>
      </c>
      <c r="O716" s="245" t="e">
        <f t="shared" si="999"/>
        <v>#DIV/0!</v>
      </c>
      <c r="P716" s="245" t="e">
        <f t="shared" si="1000"/>
        <v>#DIV/0!</v>
      </c>
      <c r="Q716" s="245" t="e">
        <f t="shared" si="1000"/>
        <v>#DIV/0!</v>
      </c>
      <c r="R716" s="245" t="e">
        <f t="shared" si="1000"/>
        <v>#DIV/0!</v>
      </c>
      <c r="S716" s="245" t="e">
        <f t="shared" si="1000"/>
        <v>#DIV/0!</v>
      </c>
      <c r="T716" s="245" t="e">
        <f t="shared" si="1000"/>
        <v>#DIV/0!</v>
      </c>
      <c r="U716" s="245" t="e">
        <f t="shared" si="1000"/>
        <v>#DIV/0!</v>
      </c>
      <c r="V716" s="245" t="e">
        <f t="shared" si="1000"/>
        <v>#DIV/0!</v>
      </c>
      <c r="W716" s="245" t="e">
        <f t="shared" si="1000"/>
        <v>#DIV/0!</v>
      </c>
      <c r="X716" s="245" t="e">
        <f t="shared" si="1000"/>
        <v>#DIV/0!</v>
      </c>
      <c r="Y716" s="245" t="e">
        <f t="shared" si="1000"/>
        <v>#DIV/0!</v>
      </c>
      <c r="Z716" s="245" t="e">
        <f t="shared" si="1001"/>
        <v>#DIV/0!</v>
      </c>
      <c r="AA716" s="245" t="e">
        <f t="shared" si="1001"/>
        <v>#DIV/0!</v>
      </c>
      <c r="AB716" s="245" t="e">
        <f t="shared" si="1001"/>
        <v>#DIV/0!</v>
      </c>
      <c r="AC716" s="245" t="e">
        <f t="shared" si="1001"/>
        <v>#DIV/0!</v>
      </c>
      <c r="AD716" s="245" t="e">
        <f t="shared" si="1001"/>
        <v>#DIV/0!</v>
      </c>
      <c r="AF716" s="580" t="e">
        <f t="shared" si="1002"/>
        <v>#DIV/0!</v>
      </c>
      <c r="AG716" s="580" t="e">
        <f t="shared" si="1002"/>
        <v>#DIV/0!</v>
      </c>
      <c r="AH716" s="580" t="e">
        <f t="shared" si="1002"/>
        <v>#DIV/0!</v>
      </c>
      <c r="AI716" s="580" t="e">
        <f t="shared" si="1002"/>
        <v>#DIV/0!</v>
      </c>
      <c r="AJ716" s="580" t="e">
        <f t="shared" si="1002"/>
        <v>#DIV/0!</v>
      </c>
      <c r="AK716" s="580" t="e">
        <f t="shared" si="1002"/>
        <v>#DIV/0!</v>
      </c>
      <c r="AL716" s="580" t="e">
        <f t="shared" si="1002"/>
        <v>#DIV/0!</v>
      </c>
      <c r="AM716" s="580" t="e">
        <f t="shared" si="1002"/>
        <v>#DIV/0!</v>
      </c>
      <c r="AN716" s="580" t="e">
        <f t="shared" si="1002"/>
        <v>#DIV/0!</v>
      </c>
      <c r="AO716" s="580" t="e">
        <f t="shared" si="1002"/>
        <v>#DIV/0!</v>
      </c>
      <c r="AP716" s="580" t="e">
        <f t="shared" si="1002"/>
        <v>#DIV/0!</v>
      </c>
      <c r="AQ716" s="580" t="e">
        <f t="shared" si="1002"/>
        <v>#DIV/0!</v>
      </c>
      <c r="AR716" s="580" t="e">
        <f t="shared" si="1002"/>
        <v>#DIV/0!</v>
      </c>
      <c r="AS716" s="580" t="e">
        <f t="shared" si="1002"/>
        <v>#DIV/0!</v>
      </c>
      <c r="AT716" s="580" t="e">
        <f t="shared" si="1002"/>
        <v>#DIV/0!</v>
      </c>
      <c r="AU716" s="580" t="e">
        <f t="shared" si="1002"/>
        <v>#DIV/0!</v>
      </c>
      <c r="AV716" s="580" t="e">
        <f t="shared" si="1002"/>
        <v>#DIV/0!</v>
      </c>
      <c r="AW716" s="580" t="e">
        <f t="shared" si="1002"/>
        <v>#DIV/0!</v>
      </c>
      <c r="AX716" s="580" t="e">
        <f t="shared" si="1002"/>
        <v>#DIV/0!</v>
      </c>
      <c r="AY716" s="580" t="e">
        <f t="shared" si="1002"/>
        <v>#DIV/0!</v>
      </c>
      <c r="AZ716" s="580" t="e">
        <f t="shared" si="1002"/>
        <v>#DIV/0!</v>
      </c>
      <c r="BA716" s="580" t="e">
        <f t="shared" si="1002"/>
        <v>#DIV/0!</v>
      </c>
      <c r="BB716" s="580" t="e">
        <f t="shared" si="1002"/>
        <v>#DIV/0!</v>
      </c>
      <c r="BC716" s="580" t="e">
        <f t="shared" si="1002"/>
        <v>#DIV/0!</v>
      </c>
      <c r="BD716" s="580" t="e">
        <f t="shared" si="1002"/>
        <v>#DIV/0!</v>
      </c>
      <c r="BE716" s="580" t="e">
        <f t="shared" si="1002"/>
        <v>#DIV/0!</v>
      </c>
      <c r="BF716" s="580" t="e">
        <f t="shared" si="1002"/>
        <v>#DIV/0!</v>
      </c>
      <c r="BG716" s="580" t="e">
        <f t="shared" si="1002"/>
        <v>#DIV/0!</v>
      </c>
      <c r="BH716" s="580" t="e">
        <f t="shared" si="1002"/>
        <v>#DIV/0!</v>
      </c>
      <c r="BI716" s="580" t="e">
        <f t="shared" si="1002"/>
        <v>#DIV/0!</v>
      </c>
      <c r="BJ716" s="580" t="e">
        <f t="shared" si="1002"/>
        <v>#DIV/0!</v>
      </c>
      <c r="BK716" s="580" t="e">
        <f>(BK656/BG656-1)*100</f>
        <v>#DIV/0!</v>
      </c>
    </row>
    <row r="717" spans="1:63" s="245" customFormat="1">
      <c r="A717" s="243"/>
      <c r="B717" s="243" t="s">
        <v>2182</v>
      </c>
      <c r="C717" s="243" t="str">
        <f>IF(ISBLANK($E$23),"Please enter name of segment above", $E$23)</f>
        <v>Please enter name of segment above</v>
      </c>
      <c r="D717" s="243"/>
      <c r="F717" s="245" t="e">
        <f t="shared" si="999"/>
        <v>#VALUE!</v>
      </c>
      <c r="G717" s="245" t="e">
        <f t="shared" si="999"/>
        <v>#VALUE!</v>
      </c>
      <c r="H717" s="245" t="e">
        <f t="shared" si="999"/>
        <v>#DIV/0!</v>
      </c>
      <c r="I717" s="245" t="e">
        <f t="shared" si="999"/>
        <v>#DIV/0!</v>
      </c>
      <c r="J717" s="245" t="e">
        <f t="shared" si="999"/>
        <v>#DIV/0!</v>
      </c>
      <c r="K717" s="245" t="e">
        <f t="shared" si="999"/>
        <v>#DIV/0!</v>
      </c>
      <c r="L717" s="245" t="e">
        <f t="shared" si="999"/>
        <v>#DIV/0!</v>
      </c>
      <c r="M717" s="245" t="e">
        <f t="shared" si="999"/>
        <v>#DIV/0!</v>
      </c>
      <c r="N717" s="245" t="e">
        <f t="shared" si="999"/>
        <v>#DIV/0!</v>
      </c>
      <c r="O717" s="245" t="e">
        <f t="shared" si="999"/>
        <v>#DIV/0!</v>
      </c>
      <c r="P717" s="245" t="e">
        <f t="shared" si="1000"/>
        <v>#DIV/0!</v>
      </c>
      <c r="Q717" s="245" t="e">
        <f t="shared" si="1000"/>
        <v>#DIV/0!</v>
      </c>
      <c r="R717" s="245" t="e">
        <f t="shared" si="1000"/>
        <v>#DIV/0!</v>
      </c>
      <c r="S717" s="245" t="e">
        <f t="shared" si="1000"/>
        <v>#DIV/0!</v>
      </c>
      <c r="T717" s="245" t="e">
        <f t="shared" si="1000"/>
        <v>#DIV/0!</v>
      </c>
      <c r="U717" s="245" t="e">
        <f t="shared" si="1000"/>
        <v>#DIV/0!</v>
      </c>
      <c r="V717" s="245" t="e">
        <f t="shared" si="1000"/>
        <v>#DIV/0!</v>
      </c>
      <c r="W717" s="245" t="e">
        <f t="shared" si="1000"/>
        <v>#DIV/0!</v>
      </c>
      <c r="X717" s="245" t="e">
        <f t="shared" si="1000"/>
        <v>#DIV/0!</v>
      </c>
      <c r="Y717" s="245" t="e">
        <f t="shared" si="1000"/>
        <v>#DIV/0!</v>
      </c>
      <c r="Z717" s="245" t="e">
        <f t="shared" si="1001"/>
        <v>#DIV/0!</v>
      </c>
      <c r="AA717" s="245" t="e">
        <f t="shared" si="1001"/>
        <v>#DIV/0!</v>
      </c>
      <c r="AB717" s="245" t="e">
        <f t="shared" si="1001"/>
        <v>#DIV/0!</v>
      </c>
      <c r="AC717" s="245" t="e">
        <f t="shared" si="1001"/>
        <v>#DIV/0!</v>
      </c>
      <c r="AD717" s="245" t="e">
        <f t="shared" si="1001"/>
        <v>#DIV/0!</v>
      </c>
      <c r="AF717" s="580" t="e">
        <f t="shared" si="1002"/>
        <v>#DIV/0!</v>
      </c>
      <c r="AG717" s="580" t="e">
        <f t="shared" si="1002"/>
        <v>#DIV/0!</v>
      </c>
      <c r="AH717" s="580" t="e">
        <f t="shared" si="1002"/>
        <v>#DIV/0!</v>
      </c>
      <c r="AI717" s="580" t="e">
        <f t="shared" si="1002"/>
        <v>#DIV/0!</v>
      </c>
      <c r="AJ717" s="580" t="e">
        <f t="shared" si="1002"/>
        <v>#DIV/0!</v>
      </c>
      <c r="AK717" s="580" t="e">
        <f t="shared" si="1002"/>
        <v>#DIV/0!</v>
      </c>
      <c r="AL717" s="580" t="e">
        <f t="shared" si="1002"/>
        <v>#DIV/0!</v>
      </c>
      <c r="AM717" s="580" t="e">
        <f t="shared" si="1002"/>
        <v>#DIV/0!</v>
      </c>
      <c r="AN717" s="580" t="e">
        <f t="shared" si="1002"/>
        <v>#DIV/0!</v>
      </c>
      <c r="AO717" s="580" t="e">
        <f t="shared" si="1002"/>
        <v>#DIV/0!</v>
      </c>
      <c r="AP717" s="580" t="e">
        <f t="shared" si="1002"/>
        <v>#DIV/0!</v>
      </c>
      <c r="AQ717" s="580" t="e">
        <f t="shared" si="1002"/>
        <v>#DIV/0!</v>
      </c>
      <c r="AR717" s="580" t="e">
        <f t="shared" si="1002"/>
        <v>#DIV/0!</v>
      </c>
      <c r="AS717" s="580" t="e">
        <f t="shared" si="1002"/>
        <v>#DIV/0!</v>
      </c>
      <c r="AT717" s="580" t="e">
        <f t="shared" si="1002"/>
        <v>#DIV/0!</v>
      </c>
      <c r="AU717" s="580" t="e">
        <f t="shared" si="1002"/>
        <v>#DIV/0!</v>
      </c>
      <c r="AV717" s="580" t="e">
        <f t="shared" si="1002"/>
        <v>#DIV/0!</v>
      </c>
      <c r="AW717" s="580" t="e">
        <f t="shared" si="1002"/>
        <v>#DIV/0!</v>
      </c>
      <c r="AX717" s="580" t="e">
        <f t="shared" si="1002"/>
        <v>#DIV/0!</v>
      </c>
      <c r="AY717" s="580" t="e">
        <f t="shared" si="1002"/>
        <v>#DIV/0!</v>
      </c>
      <c r="AZ717" s="580" t="e">
        <f t="shared" si="1002"/>
        <v>#DIV/0!</v>
      </c>
      <c r="BA717" s="580" t="e">
        <f t="shared" si="1002"/>
        <v>#DIV/0!</v>
      </c>
      <c r="BB717" s="580" t="e">
        <f t="shared" si="1002"/>
        <v>#DIV/0!</v>
      </c>
      <c r="BC717" s="580" t="e">
        <f t="shared" si="1002"/>
        <v>#DIV/0!</v>
      </c>
      <c r="BD717" s="580" t="e">
        <f t="shared" si="1002"/>
        <v>#DIV/0!</v>
      </c>
      <c r="BE717" s="580" t="e">
        <f t="shared" si="1002"/>
        <v>#DIV/0!</v>
      </c>
      <c r="BF717" s="580" t="e">
        <f t="shared" si="1002"/>
        <v>#DIV/0!</v>
      </c>
      <c r="BG717" s="580" t="e">
        <f t="shared" si="1002"/>
        <v>#DIV/0!</v>
      </c>
      <c r="BH717" s="580" t="e">
        <f t="shared" si="1002"/>
        <v>#DIV/0!</v>
      </c>
      <c r="BI717" s="580" t="e">
        <f t="shared" si="1002"/>
        <v>#DIV/0!</v>
      </c>
      <c r="BJ717" s="580" t="e">
        <f t="shared" si="1002"/>
        <v>#DIV/0!</v>
      </c>
      <c r="BK717" s="580" t="e">
        <f>(BK657/BG657-1)*100</f>
        <v>#DIV/0!</v>
      </c>
    </row>
    <row r="718" spans="1:63" s="248" customFormat="1">
      <c r="A718" s="247"/>
      <c r="B718" s="247"/>
      <c r="C718" s="216" t="s">
        <v>2183</v>
      </c>
      <c r="D718" s="247"/>
      <c r="AF718" s="581"/>
      <c r="AG718" s="581"/>
      <c r="AH718" s="581"/>
      <c r="AI718" s="581"/>
      <c r="AJ718" s="581"/>
      <c r="AK718" s="581"/>
      <c r="AL718" s="581"/>
      <c r="AM718" s="581"/>
      <c r="AN718" s="581"/>
      <c r="AO718" s="581"/>
      <c r="AP718" s="581"/>
      <c r="AQ718" s="581"/>
      <c r="AR718" s="581"/>
      <c r="AS718" s="581"/>
      <c r="AT718" s="581"/>
      <c r="AU718" s="581"/>
      <c r="AV718" s="581"/>
      <c r="AW718" s="581"/>
      <c r="AX718" s="581"/>
      <c r="AY718" s="581"/>
      <c r="AZ718" s="581"/>
      <c r="BA718" s="581"/>
      <c r="BB718" s="581"/>
      <c r="BC718" s="581"/>
      <c r="BD718" s="581"/>
      <c r="BE718" s="581"/>
      <c r="BF718" s="581"/>
      <c r="BG718" s="581"/>
      <c r="BH718" s="581"/>
      <c r="BI718" s="581"/>
      <c r="BJ718" s="581"/>
      <c r="BK718" s="581"/>
    </row>
    <row r="719" spans="1:63" s="240" customFormat="1">
      <c r="A719" s="209"/>
      <c r="B719" s="209"/>
      <c r="C719" s="209" t="s">
        <v>2125</v>
      </c>
      <c r="D719" s="209"/>
      <c r="AF719" s="579"/>
      <c r="AG719" s="579"/>
      <c r="AH719" s="579"/>
      <c r="AI719" s="579"/>
      <c r="AJ719" s="579"/>
      <c r="AK719" s="579"/>
      <c r="AL719" s="579"/>
      <c r="AM719" s="579"/>
      <c r="AN719" s="579"/>
      <c r="AO719" s="579"/>
      <c r="AP719" s="579"/>
      <c r="AQ719" s="579"/>
      <c r="AR719" s="579"/>
      <c r="AS719" s="579"/>
      <c r="AT719" s="579"/>
      <c r="AU719" s="579"/>
      <c r="AV719" s="579"/>
      <c r="AW719" s="579"/>
      <c r="AX719" s="579"/>
      <c r="AY719" s="579"/>
      <c r="AZ719" s="579"/>
      <c r="BA719" s="579"/>
      <c r="BB719" s="579"/>
      <c r="BC719" s="579"/>
      <c r="BD719" s="579"/>
      <c r="BE719" s="579"/>
      <c r="BF719" s="579"/>
      <c r="BG719" s="579"/>
      <c r="BH719" s="579"/>
      <c r="BI719" s="579"/>
      <c r="BJ719" s="579"/>
      <c r="BK719" s="579"/>
    </row>
    <row r="720" spans="1:63" s="245" customFormat="1">
      <c r="A720" s="243"/>
      <c r="B720" s="243" t="s">
        <v>2184</v>
      </c>
      <c r="C720" s="243" t="str">
        <f>IF(ISBLANK($E$19),"Please enter name of segment above", $E$19)</f>
        <v>Please enter name of segment above</v>
      </c>
      <c r="D720" s="243"/>
      <c r="F720" s="245" t="e">
        <f t="shared" ref="F720:AD720" si="1003">(F644/E644-1)*100</f>
        <v>#DIV/0!</v>
      </c>
      <c r="G720" s="245" t="e">
        <f t="shared" si="1003"/>
        <v>#DIV/0!</v>
      </c>
      <c r="H720" s="245" t="e">
        <f t="shared" si="1003"/>
        <v>#DIV/0!</v>
      </c>
      <c r="I720" s="245" t="e">
        <f t="shared" si="1003"/>
        <v>#DIV/0!</v>
      </c>
      <c r="J720" s="245" t="e">
        <f t="shared" si="1003"/>
        <v>#DIV/0!</v>
      </c>
      <c r="K720" s="245" t="e">
        <f t="shared" si="1003"/>
        <v>#DIV/0!</v>
      </c>
      <c r="L720" s="245" t="e">
        <f t="shared" si="1003"/>
        <v>#DIV/0!</v>
      </c>
      <c r="M720" s="245" t="e">
        <f t="shared" si="1003"/>
        <v>#DIV/0!</v>
      </c>
      <c r="N720" s="245" t="e">
        <f t="shared" si="1003"/>
        <v>#DIV/0!</v>
      </c>
      <c r="O720" s="245" t="e">
        <f t="shared" si="1003"/>
        <v>#DIV/0!</v>
      </c>
      <c r="P720" s="245" t="e">
        <f t="shared" si="1003"/>
        <v>#DIV/0!</v>
      </c>
      <c r="Q720" s="245" t="e">
        <f t="shared" si="1003"/>
        <v>#DIV/0!</v>
      </c>
      <c r="R720" s="245" t="e">
        <f t="shared" si="1003"/>
        <v>#DIV/0!</v>
      </c>
      <c r="S720" s="245" t="e">
        <f t="shared" si="1003"/>
        <v>#DIV/0!</v>
      </c>
      <c r="T720" s="245" t="e">
        <f t="shared" si="1003"/>
        <v>#DIV/0!</v>
      </c>
      <c r="U720" s="245" t="e">
        <f t="shared" si="1003"/>
        <v>#DIV/0!</v>
      </c>
      <c r="V720" s="245" t="e">
        <f t="shared" si="1003"/>
        <v>#DIV/0!</v>
      </c>
      <c r="W720" s="245" t="e">
        <f t="shared" si="1003"/>
        <v>#DIV/0!</v>
      </c>
      <c r="X720" s="245" t="e">
        <f t="shared" si="1003"/>
        <v>#DIV/0!</v>
      </c>
      <c r="Y720" s="245" t="e">
        <f t="shared" si="1003"/>
        <v>#DIV/0!</v>
      </c>
      <c r="Z720" s="245" t="e">
        <f t="shared" si="1003"/>
        <v>#DIV/0!</v>
      </c>
      <c r="AA720" s="245" t="e">
        <f t="shared" si="1003"/>
        <v>#DIV/0!</v>
      </c>
      <c r="AB720" s="245" t="e">
        <f t="shared" si="1003"/>
        <v>#DIV/0!</v>
      </c>
      <c r="AC720" s="245" t="e">
        <f t="shared" si="1003"/>
        <v>#DIV/0!</v>
      </c>
      <c r="AD720" s="245" t="e">
        <f t="shared" si="1003"/>
        <v>#DIV/0!</v>
      </c>
      <c r="AF720" s="580" t="e">
        <f t="shared" ref="AF720:BK724" si="1004">(AF644/AE644-1)*100</f>
        <v>#DIV/0!</v>
      </c>
      <c r="AG720" s="580" t="e">
        <f t="shared" si="1004"/>
        <v>#DIV/0!</v>
      </c>
      <c r="AH720" s="580" t="e">
        <f t="shared" si="1004"/>
        <v>#DIV/0!</v>
      </c>
      <c r="AI720" s="580" t="e">
        <f t="shared" si="1004"/>
        <v>#DIV/0!</v>
      </c>
      <c r="AJ720" s="580" t="e">
        <f t="shared" si="1004"/>
        <v>#DIV/0!</v>
      </c>
      <c r="AK720" s="580" t="e">
        <f t="shared" si="1004"/>
        <v>#DIV/0!</v>
      </c>
      <c r="AL720" s="580" t="e">
        <f t="shared" si="1004"/>
        <v>#DIV/0!</v>
      </c>
      <c r="AM720" s="580" t="e">
        <f t="shared" si="1004"/>
        <v>#DIV/0!</v>
      </c>
      <c r="AN720" s="580" t="e">
        <f t="shared" si="1004"/>
        <v>#DIV/0!</v>
      </c>
      <c r="AO720" s="580" t="e">
        <f t="shared" si="1004"/>
        <v>#DIV/0!</v>
      </c>
      <c r="AP720" s="580" t="e">
        <f t="shared" si="1004"/>
        <v>#DIV/0!</v>
      </c>
      <c r="AQ720" s="580" t="e">
        <f t="shared" si="1004"/>
        <v>#DIV/0!</v>
      </c>
      <c r="AR720" s="580" t="e">
        <f t="shared" si="1004"/>
        <v>#DIV/0!</v>
      </c>
      <c r="AS720" s="580" t="e">
        <f t="shared" si="1004"/>
        <v>#DIV/0!</v>
      </c>
      <c r="AT720" s="580" t="e">
        <f t="shared" si="1004"/>
        <v>#DIV/0!</v>
      </c>
      <c r="AU720" s="580" t="e">
        <f t="shared" si="1004"/>
        <v>#DIV/0!</v>
      </c>
      <c r="AV720" s="580" t="e">
        <f t="shared" si="1004"/>
        <v>#DIV/0!</v>
      </c>
      <c r="AW720" s="580" t="e">
        <f t="shared" si="1004"/>
        <v>#DIV/0!</v>
      </c>
      <c r="AX720" s="580" t="e">
        <f t="shared" si="1004"/>
        <v>#DIV/0!</v>
      </c>
      <c r="AY720" s="580" t="e">
        <f t="shared" si="1004"/>
        <v>#DIV/0!</v>
      </c>
      <c r="AZ720" s="580" t="e">
        <f t="shared" si="1004"/>
        <v>#DIV/0!</v>
      </c>
      <c r="BA720" s="580" t="e">
        <f t="shared" si="1004"/>
        <v>#DIV/0!</v>
      </c>
      <c r="BB720" s="580" t="e">
        <f t="shared" si="1004"/>
        <v>#DIV/0!</v>
      </c>
      <c r="BC720" s="580" t="e">
        <f t="shared" si="1004"/>
        <v>#DIV/0!</v>
      </c>
      <c r="BD720" s="580" t="e">
        <f t="shared" si="1004"/>
        <v>#DIV/0!</v>
      </c>
      <c r="BE720" s="580" t="e">
        <f t="shared" si="1004"/>
        <v>#DIV/0!</v>
      </c>
      <c r="BF720" s="580" t="e">
        <f t="shared" si="1004"/>
        <v>#DIV/0!</v>
      </c>
      <c r="BG720" s="580" t="e">
        <f t="shared" si="1004"/>
        <v>#DIV/0!</v>
      </c>
      <c r="BH720" s="580" t="e">
        <f t="shared" si="1004"/>
        <v>#DIV/0!</v>
      </c>
      <c r="BI720" s="580" t="e">
        <f t="shared" si="1004"/>
        <v>#DIV/0!</v>
      </c>
      <c r="BJ720" s="580" t="e">
        <f t="shared" si="1004"/>
        <v>#DIV/0!</v>
      </c>
      <c r="BK720" s="580" t="e">
        <f t="shared" si="1004"/>
        <v>#DIV/0!</v>
      </c>
    </row>
    <row r="721" spans="1:63" s="245" customFormat="1">
      <c r="A721" s="243"/>
      <c r="B721" s="243" t="s">
        <v>2185</v>
      </c>
      <c r="C721" s="243" t="str">
        <f>IF(ISBLANK($E$20),"Please enter name of segment above", $E$20)</f>
        <v>Please enter name of segment above</v>
      </c>
      <c r="D721" s="243"/>
      <c r="F721" s="245" t="e">
        <f t="shared" ref="F721:AD721" si="1005">(F645/E645-1)*100</f>
        <v>#DIV/0!</v>
      </c>
      <c r="G721" s="245" t="e">
        <f t="shared" si="1005"/>
        <v>#DIV/0!</v>
      </c>
      <c r="H721" s="245" t="e">
        <f t="shared" si="1005"/>
        <v>#DIV/0!</v>
      </c>
      <c r="I721" s="245" t="e">
        <f t="shared" si="1005"/>
        <v>#DIV/0!</v>
      </c>
      <c r="J721" s="245" t="e">
        <f t="shared" si="1005"/>
        <v>#DIV/0!</v>
      </c>
      <c r="K721" s="245" t="e">
        <f t="shared" si="1005"/>
        <v>#DIV/0!</v>
      </c>
      <c r="L721" s="245" t="e">
        <f t="shared" si="1005"/>
        <v>#DIV/0!</v>
      </c>
      <c r="M721" s="245" t="e">
        <f t="shared" si="1005"/>
        <v>#DIV/0!</v>
      </c>
      <c r="N721" s="245" t="e">
        <f t="shared" si="1005"/>
        <v>#DIV/0!</v>
      </c>
      <c r="O721" s="245" t="e">
        <f t="shared" si="1005"/>
        <v>#DIV/0!</v>
      </c>
      <c r="P721" s="245" t="e">
        <f t="shared" si="1005"/>
        <v>#DIV/0!</v>
      </c>
      <c r="Q721" s="245" t="e">
        <f t="shared" si="1005"/>
        <v>#DIV/0!</v>
      </c>
      <c r="R721" s="245" t="e">
        <f t="shared" si="1005"/>
        <v>#DIV/0!</v>
      </c>
      <c r="S721" s="245" t="e">
        <f t="shared" si="1005"/>
        <v>#DIV/0!</v>
      </c>
      <c r="T721" s="245" t="e">
        <f t="shared" si="1005"/>
        <v>#DIV/0!</v>
      </c>
      <c r="U721" s="245" t="e">
        <f t="shared" si="1005"/>
        <v>#DIV/0!</v>
      </c>
      <c r="V721" s="245" t="e">
        <f t="shared" si="1005"/>
        <v>#DIV/0!</v>
      </c>
      <c r="W721" s="245" t="e">
        <f t="shared" si="1005"/>
        <v>#DIV/0!</v>
      </c>
      <c r="X721" s="245" t="e">
        <f t="shared" si="1005"/>
        <v>#DIV/0!</v>
      </c>
      <c r="Y721" s="245" t="e">
        <f t="shared" si="1005"/>
        <v>#DIV/0!</v>
      </c>
      <c r="Z721" s="245" t="e">
        <f t="shared" si="1005"/>
        <v>#DIV/0!</v>
      </c>
      <c r="AA721" s="245" t="e">
        <f t="shared" si="1005"/>
        <v>#DIV/0!</v>
      </c>
      <c r="AB721" s="245" t="e">
        <f t="shared" si="1005"/>
        <v>#DIV/0!</v>
      </c>
      <c r="AC721" s="245" t="e">
        <f t="shared" si="1005"/>
        <v>#DIV/0!</v>
      </c>
      <c r="AD721" s="245" t="e">
        <f t="shared" si="1005"/>
        <v>#DIV/0!</v>
      </c>
      <c r="AF721" s="580" t="e">
        <f t="shared" si="1004"/>
        <v>#DIV/0!</v>
      </c>
      <c r="AG721" s="580" t="e">
        <f t="shared" si="1004"/>
        <v>#DIV/0!</v>
      </c>
      <c r="AH721" s="580" t="e">
        <f t="shared" si="1004"/>
        <v>#DIV/0!</v>
      </c>
      <c r="AI721" s="580" t="e">
        <f t="shared" si="1004"/>
        <v>#DIV/0!</v>
      </c>
      <c r="AJ721" s="580" t="e">
        <f t="shared" si="1004"/>
        <v>#DIV/0!</v>
      </c>
      <c r="AK721" s="580" t="e">
        <f t="shared" si="1004"/>
        <v>#DIV/0!</v>
      </c>
      <c r="AL721" s="580" t="e">
        <f t="shared" si="1004"/>
        <v>#DIV/0!</v>
      </c>
      <c r="AM721" s="580" t="e">
        <f t="shared" si="1004"/>
        <v>#DIV/0!</v>
      </c>
      <c r="AN721" s="580" t="e">
        <f t="shared" si="1004"/>
        <v>#DIV/0!</v>
      </c>
      <c r="AO721" s="580" t="e">
        <f t="shared" si="1004"/>
        <v>#DIV/0!</v>
      </c>
      <c r="AP721" s="580" t="e">
        <f t="shared" si="1004"/>
        <v>#DIV/0!</v>
      </c>
      <c r="AQ721" s="580" t="e">
        <f t="shared" si="1004"/>
        <v>#DIV/0!</v>
      </c>
      <c r="AR721" s="580" t="e">
        <f t="shared" si="1004"/>
        <v>#DIV/0!</v>
      </c>
      <c r="AS721" s="580" t="e">
        <f t="shared" si="1004"/>
        <v>#DIV/0!</v>
      </c>
      <c r="AT721" s="580" t="e">
        <f t="shared" si="1004"/>
        <v>#DIV/0!</v>
      </c>
      <c r="AU721" s="580" t="e">
        <f t="shared" si="1004"/>
        <v>#DIV/0!</v>
      </c>
      <c r="AV721" s="580" t="e">
        <f t="shared" si="1004"/>
        <v>#DIV/0!</v>
      </c>
      <c r="AW721" s="580" t="e">
        <f t="shared" si="1004"/>
        <v>#DIV/0!</v>
      </c>
      <c r="AX721" s="580" t="e">
        <f t="shared" si="1004"/>
        <v>#DIV/0!</v>
      </c>
      <c r="AY721" s="580" t="e">
        <f t="shared" si="1004"/>
        <v>#DIV/0!</v>
      </c>
      <c r="AZ721" s="580" t="e">
        <f t="shared" si="1004"/>
        <v>#DIV/0!</v>
      </c>
      <c r="BA721" s="580" t="e">
        <f t="shared" si="1004"/>
        <v>#DIV/0!</v>
      </c>
      <c r="BB721" s="580" t="e">
        <f t="shared" si="1004"/>
        <v>#DIV/0!</v>
      </c>
      <c r="BC721" s="580" t="e">
        <f t="shared" si="1004"/>
        <v>#DIV/0!</v>
      </c>
      <c r="BD721" s="580" t="e">
        <f t="shared" si="1004"/>
        <v>#DIV/0!</v>
      </c>
      <c r="BE721" s="580" t="e">
        <f t="shared" si="1004"/>
        <v>#DIV/0!</v>
      </c>
      <c r="BF721" s="580" t="e">
        <f t="shared" si="1004"/>
        <v>#DIV/0!</v>
      </c>
      <c r="BG721" s="580" t="e">
        <f t="shared" si="1004"/>
        <v>#DIV/0!</v>
      </c>
      <c r="BH721" s="580" t="e">
        <f t="shared" si="1004"/>
        <v>#DIV/0!</v>
      </c>
      <c r="BI721" s="580" t="e">
        <f t="shared" si="1004"/>
        <v>#DIV/0!</v>
      </c>
      <c r="BJ721" s="580" t="e">
        <f t="shared" si="1004"/>
        <v>#DIV/0!</v>
      </c>
      <c r="BK721" s="580" t="e">
        <f t="shared" si="1004"/>
        <v>#DIV/0!</v>
      </c>
    </row>
    <row r="722" spans="1:63" s="245" customFormat="1">
      <c r="A722" s="243"/>
      <c r="B722" s="243" t="s">
        <v>2186</v>
      </c>
      <c r="C722" s="243" t="str">
        <f>IF(ISBLANK($E$21),"Please enter name of segment above", $E$21)</f>
        <v>Please enter name of segment above</v>
      </c>
      <c r="D722" s="243"/>
      <c r="F722" s="245" t="e">
        <f t="shared" ref="F722:AD722" si="1006">(F646/E646-1)*100</f>
        <v>#DIV/0!</v>
      </c>
      <c r="G722" s="245" t="e">
        <f t="shared" si="1006"/>
        <v>#DIV/0!</v>
      </c>
      <c r="H722" s="245" t="e">
        <f t="shared" si="1006"/>
        <v>#DIV/0!</v>
      </c>
      <c r="I722" s="245" t="e">
        <f t="shared" si="1006"/>
        <v>#DIV/0!</v>
      </c>
      <c r="J722" s="245" t="e">
        <f t="shared" si="1006"/>
        <v>#DIV/0!</v>
      </c>
      <c r="K722" s="245" t="e">
        <f t="shared" si="1006"/>
        <v>#DIV/0!</v>
      </c>
      <c r="L722" s="245" t="e">
        <f t="shared" si="1006"/>
        <v>#DIV/0!</v>
      </c>
      <c r="M722" s="245" t="e">
        <f t="shared" si="1006"/>
        <v>#DIV/0!</v>
      </c>
      <c r="N722" s="245" t="e">
        <f t="shared" si="1006"/>
        <v>#DIV/0!</v>
      </c>
      <c r="O722" s="245" t="e">
        <f t="shared" si="1006"/>
        <v>#DIV/0!</v>
      </c>
      <c r="P722" s="245" t="e">
        <f t="shared" si="1006"/>
        <v>#DIV/0!</v>
      </c>
      <c r="Q722" s="245" t="e">
        <f t="shared" si="1006"/>
        <v>#DIV/0!</v>
      </c>
      <c r="R722" s="245" t="e">
        <f t="shared" si="1006"/>
        <v>#DIV/0!</v>
      </c>
      <c r="S722" s="245" t="e">
        <f t="shared" si="1006"/>
        <v>#DIV/0!</v>
      </c>
      <c r="T722" s="245" t="e">
        <f t="shared" si="1006"/>
        <v>#DIV/0!</v>
      </c>
      <c r="U722" s="245" t="e">
        <f t="shared" si="1006"/>
        <v>#DIV/0!</v>
      </c>
      <c r="V722" s="245" t="e">
        <f t="shared" si="1006"/>
        <v>#DIV/0!</v>
      </c>
      <c r="W722" s="245" t="e">
        <f t="shared" si="1006"/>
        <v>#DIV/0!</v>
      </c>
      <c r="X722" s="245" t="e">
        <f t="shared" si="1006"/>
        <v>#DIV/0!</v>
      </c>
      <c r="Y722" s="245" t="e">
        <f t="shared" si="1006"/>
        <v>#DIV/0!</v>
      </c>
      <c r="Z722" s="245" t="e">
        <f t="shared" si="1006"/>
        <v>#DIV/0!</v>
      </c>
      <c r="AA722" s="245" t="e">
        <f t="shared" si="1006"/>
        <v>#DIV/0!</v>
      </c>
      <c r="AB722" s="245" t="e">
        <f t="shared" si="1006"/>
        <v>#DIV/0!</v>
      </c>
      <c r="AC722" s="245" t="e">
        <f t="shared" si="1006"/>
        <v>#DIV/0!</v>
      </c>
      <c r="AD722" s="245" t="e">
        <f t="shared" si="1006"/>
        <v>#DIV/0!</v>
      </c>
      <c r="AF722" s="580" t="e">
        <f t="shared" si="1004"/>
        <v>#DIV/0!</v>
      </c>
      <c r="AG722" s="580" t="e">
        <f t="shared" si="1004"/>
        <v>#DIV/0!</v>
      </c>
      <c r="AH722" s="580" t="e">
        <f t="shared" si="1004"/>
        <v>#DIV/0!</v>
      </c>
      <c r="AI722" s="580" t="e">
        <f t="shared" si="1004"/>
        <v>#DIV/0!</v>
      </c>
      <c r="AJ722" s="580" t="e">
        <f t="shared" si="1004"/>
        <v>#DIV/0!</v>
      </c>
      <c r="AK722" s="580" t="e">
        <f t="shared" si="1004"/>
        <v>#DIV/0!</v>
      </c>
      <c r="AL722" s="580" t="e">
        <f t="shared" si="1004"/>
        <v>#DIV/0!</v>
      </c>
      <c r="AM722" s="580" t="e">
        <f t="shared" si="1004"/>
        <v>#DIV/0!</v>
      </c>
      <c r="AN722" s="580" t="e">
        <f t="shared" si="1004"/>
        <v>#DIV/0!</v>
      </c>
      <c r="AO722" s="580" t="e">
        <f t="shared" si="1004"/>
        <v>#DIV/0!</v>
      </c>
      <c r="AP722" s="580" t="e">
        <f t="shared" si="1004"/>
        <v>#DIV/0!</v>
      </c>
      <c r="AQ722" s="580" t="e">
        <f t="shared" si="1004"/>
        <v>#DIV/0!</v>
      </c>
      <c r="AR722" s="580" t="e">
        <f t="shared" si="1004"/>
        <v>#DIV/0!</v>
      </c>
      <c r="AS722" s="580" t="e">
        <f t="shared" si="1004"/>
        <v>#DIV/0!</v>
      </c>
      <c r="AT722" s="580" t="e">
        <f t="shared" si="1004"/>
        <v>#DIV/0!</v>
      </c>
      <c r="AU722" s="580" t="e">
        <f t="shared" si="1004"/>
        <v>#DIV/0!</v>
      </c>
      <c r="AV722" s="580" t="e">
        <f t="shared" si="1004"/>
        <v>#DIV/0!</v>
      </c>
      <c r="AW722" s="580" t="e">
        <f t="shared" si="1004"/>
        <v>#DIV/0!</v>
      </c>
      <c r="AX722" s="580" t="e">
        <f t="shared" si="1004"/>
        <v>#DIV/0!</v>
      </c>
      <c r="AY722" s="580" t="e">
        <f t="shared" si="1004"/>
        <v>#DIV/0!</v>
      </c>
      <c r="AZ722" s="580" t="e">
        <f t="shared" si="1004"/>
        <v>#DIV/0!</v>
      </c>
      <c r="BA722" s="580" t="e">
        <f t="shared" si="1004"/>
        <v>#DIV/0!</v>
      </c>
      <c r="BB722" s="580" t="e">
        <f t="shared" si="1004"/>
        <v>#DIV/0!</v>
      </c>
      <c r="BC722" s="580" t="e">
        <f t="shared" si="1004"/>
        <v>#DIV/0!</v>
      </c>
      <c r="BD722" s="580" t="e">
        <f t="shared" si="1004"/>
        <v>#DIV/0!</v>
      </c>
      <c r="BE722" s="580" t="e">
        <f t="shared" si="1004"/>
        <v>#DIV/0!</v>
      </c>
      <c r="BF722" s="580" t="e">
        <f t="shared" si="1004"/>
        <v>#DIV/0!</v>
      </c>
      <c r="BG722" s="580" t="e">
        <f t="shared" si="1004"/>
        <v>#DIV/0!</v>
      </c>
      <c r="BH722" s="580" t="e">
        <f t="shared" si="1004"/>
        <v>#DIV/0!</v>
      </c>
      <c r="BI722" s="580" t="e">
        <f t="shared" si="1004"/>
        <v>#DIV/0!</v>
      </c>
      <c r="BJ722" s="580" t="e">
        <f t="shared" si="1004"/>
        <v>#DIV/0!</v>
      </c>
      <c r="BK722" s="580" t="e">
        <f t="shared" si="1004"/>
        <v>#DIV/0!</v>
      </c>
    </row>
    <row r="723" spans="1:63" s="245" customFormat="1">
      <c r="A723" s="243"/>
      <c r="B723" s="243" t="s">
        <v>2187</v>
      </c>
      <c r="C723" s="243" t="str">
        <f>IF(ISBLANK($E$22),"Please enter name of segment above", $E$22)</f>
        <v>Please enter name of segment above</v>
      </c>
      <c r="D723" s="243"/>
      <c r="F723" s="245" t="e">
        <f t="shared" ref="F723:AD723" si="1007">(F647/E647-1)*100</f>
        <v>#DIV/0!</v>
      </c>
      <c r="G723" s="245" t="e">
        <f t="shared" si="1007"/>
        <v>#DIV/0!</v>
      </c>
      <c r="H723" s="245" t="e">
        <f t="shared" si="1007"/>
        <v>#DIV/0!</v>
      </c>
      <c r="I723" s="245" t="e">
        <f t="shared" si="1007"/>
        <v>#DIV/0!</v>
      </c>
      <c r="J723" s="245" t="e">
        <f t="shared" si="1007"/>
        <v>#DIV/0!</v>
      </c>
      <c r="K723" s="245" t="e">
        <f t="shared" si="1007"/>
        <v>#DIV/0!</v>
      </c>
      <c r="L723" s="245" t="e">
        <f t="shared" si="1007"/>
        <v>#DIV/0!</v>
      </c>
      <c r="M723" s="245" t="e">
        <f t="shared" si="1007"/>
        <v>#DIV/0!</v>
      </c>
      <c r="N723" s="245" t="e">
        <f t="shared" si="1007"/>
        <v>#DIV/0!</v>
      </c>
      <c r="O723" s="245" t="e">
        <f t="shared" si="1007"/>
        <v>#DIV/0!</v>
      </c>
      <c r="P723" s="245" t="e">
        <f t="shared" si="1007"/>
        <v>#DIV/0!</v>
      </c>
      <c r="Q723" s="245" t="e">
        <f t="shared" si="1007"/>
        <v>#DIV/0!</v>
      </c>
      <c r="R723" s="245" t="e">
        <f t="shared" si="1007"/>
        <v>#DIV/0!</v>
      </c>
      <c r="S723" s="245" t="e">
        <f t="shared" si="1007"/>
        <v>#DIV/0!</v>
      </c>
      <c r="T723" s="245" t="e">
        <f t="shared" si="1007"/>
        <v>#DIV/0!</v>
      </c>
      <c r="U723" s="245" t="e">
        <f t="shared" si="1007"/>
        <v>#DIV/0!</v>
      </c>
      <c r="V723" s="245" t="e">
        <f t="shared" si="1007"/>
        <v>#DIV/0!</v>
      </c>
      <c r="W723" s="245" t="e">
        <f t="shared" si="1007"/>
        <v>#DIV/0!</v>
      </c>
      <c r="X723" s="245" t="e">
        <f t="shared" si="1007"/>
        <v>#DIV/0!</v>
      </c>
      <c r="Y723" s="245" t="e">
        <f t="shared" si="1007"/>
        <v>#DIV/0!</v>
      </c>
      <c r="Z723" s="245" t="e">
        <f t="shared" si="1007"/>
        <v>#DIV/0!</v>
      </c>
      <c r="AA723" s="245" t="e">
        <f t="shared" si="1007"/>
        <v>#DIV/0!</v>
      </c>
      <c r="AB723" s="245" t="e">
        <f t="shared" si="1007"/>
        <v>#DIV/0!</v>
      </c>
      <c r="AC723" s="245" t="e">
        <f t="shared" si="1007"/>
        <v>#DIV/0!</v>
      </c>
      <c r="AD723" s="245" t="e">
        <f t="shared" si="1007"/>
        <v>#DIV/0!</v>
      </c>
      <c r="AF723" s="580" t="e">
        <f t="shared" si="1004"/>
        <v>#DIV/0!</v>
      </c>
      <c r="AG723" s="580" t="e">
        <f t="shared" si="1004"/>
        <v>#DIV/0!</v>
      </c>
      <c r="AH723" s="580" t="e">
        <f t="shared" si="1004"/>
        <v>#DIV/0!</v>
      </c>
      <c r="AI723" s="580" t="e">
        <f t="shared" si="1004"/>
        <v>#DIV/0!</v>
      </c>
      <c r="AJ723" s="580" t="e">
        <f t="shared" si="1004"/>
        <v>#DIV/0!</v>
      </c>
      <c r="AK723" s="580" t="e">
        <f t="shared" si="1004"/>
        <v>#DIV/0!</v>
      </c>
      <c r="AL723" s="580" t="e">
        <f t="shared" si="1004"/>
        <v>#DIV/0!</v>
      </c>
      <c r="AM723" s="580" t="e">
        <f t="shared" si="1004"/>
        <v>#DIV/0!</v>
      </c>
      <c r="AN723" s="580" t="e">
        <f t="shared" si="1004"/>
        <v>#DIV/0!</v>
      </c>
      <c r="AO723" s="580" t="e">
        <f t="shared" si="1004"/>
        <v>#DIV/0!</v>
      </c>
      <c r="AP723" s="580" t="e">
        <f t="shared" si="1004"/>
        <v>#DIV/0!</v>
      </c>
      <c r="AQ723" s="580" t="e">
        <f t="shared" si="1004"/>
        <v>#DIV/0!</v>
      </c>
      <c r="AR723" s="580" t="e">
        <f t="shared" si="1004"/>
        <v>#DIV/0!</v>
      </c>
      <c r="AS723" s="580" t="e">
        <f t="shared" si="1004"/>
        <v>#DIV/0!</v>
      </c>
      <c r="AT723" s="580" t="e">
        <f t="shared" si="1004"/>
        <v>#DIV/0!</v>
      </c>
      <c r="AU723" s="580" t="e">
        <f t="shared" si="1004"/>
        <v>#DIV/0!</v>
      </c>
      <c r="AV723" s="580" t="e">
        <f t="shared" si="1004"/>
        <v>#DIV/0!</v>
      </c>
      <c r="AW723" s="580" t="e">
        <f t="shared" si="1004"/>
        <v>#DIV/0!</v>
      </c>
      <c r="AX723" s="580" t="e">
        <f t="shared" si="1004"/>
        <v>#DIV/0!</v>
      </c>
      <c r="AY723" s="580" t="e">
        <f t="shared" si="1004"/>
        <v>#DIV/0!</v>
      </c>
      <c r="AZ723" s="580" t="e">
        <f t="shared" si="1004"/>
        <v>#DIV/0!</v>
      </c>
      <c r="BA723" s="580" t="e">
        <f t="shared" si="1004"/>
        <v>#DIV/0!</v>
      </c>
      <c r="BB723" s="580" t="e">
        <f t="shared" si="1004"/>
        <v>#DIV/0!</v>
      </c>
      <c r="BC723" s="580" t="e">
        <f t="shared" si="1004"/>
        <v>#DIV/0!</v>
      </c>
      <c r="BD723" s="580" t="e">
        <f t="shared" si="1004"/>
        <v>#DIV/0!</v>
      </c>
      <c r="BE723" s="580" t="e">
        <f t="shared" si="1004"/>
        <v>#DIV/0!</v>
      </c>
      <c r="BF723" s="580" t="e">
        <f t="shared" si="1004"/>
        <v>#DIV/0!</v>
      </c>
      <c r="BG723" s="580" t="e">
        <f t="shared" si="1004"/>
        <v>#DIV/0!</v>
      </c>
      <c r="BH723" s="580" t="e">
        <f t="shared" si="1004"/>
        <v>#DIV/0!</v>
      </c>
      <c r="BI723" s="580" t="e">
        <f t="shared" si="1004"/>
        <v>#DIV/0!</v>
      </c>
      <c r="BJ723" s="580" t="e">
        <f t="shared" si="1004"/>
        <v>#DIV/0!</v>
      </c>
      <c r="BK723" s="580" t="e">
        <f t="shared" si="1004"/>
        <v>#DIV/0!</v>
      </c>
    </row>
    <row r="724" spans="1:63" s="245" customFormat="1">
      <c r="A724" s="243"/>
      <c r="B724" s="243" t="s">
        <v>2188</v>
      </c>
      <c r="C724" s="243" t="str">
        <f>IF(ISBLANK($E$23),"Please enter name of segment above", $E$23)</f>
        <v>Please enter name of segment above</v>
      </c>
      <c r="D724" s="243"/>
      <c r="F724" s="245" t="e">
        <f t="shared" ref="F724:AD724" si="1008">(F648/E648-1)*100</f>
        <v>#DIV/0!</v>
      </c>
      <c r="G724" s="245" t="e">
        <f t="shared" si="1008"/>
        <v>#DIV/0!</v>
      </c>
      <c r="H724" s="245" t="e">
        <f t="shared" si="1008"/>
        <v>#DIV/0!</v>
      </c>
      <c r="I724" s="245" t="e">
        <f t="shared" si="1008"/>
        <v>#DIV/0!</v>
      </c>
      <c r="J724" s="245" t="e">
        <f t="shared" si="1008"/>
        <v>#DIV/0!</v>
      </c>
      <c r="K724" s="245" t="e">
        <f t="shared" si="1008"/>
        <v>#DIV/0!</v>
      </c>
      <c r="L724" s="245" t="e">
        <f t="shared" si="1008"/>
        <v>#DIV/0!</v>
      </c>
      <c r="M724" s="245" t="e">
        <f t="shared" si="1008"/>
        <v>#DIV/0!</v>
      </c>
      <c r="N724" s="245" t="e">
        <f t="shared" si="1008"/>
        <v>#DIV/0!</v>
      </c>
      <c r="O724" s="245" t="e">
        <f t="shared" si="1008"/>
        <v>#DIV/0!</v>
      </c>
      <c r="P724" s="245" t="e">
        <f t="shared" si="1008"/>
        <v>#DIV/0!</v>
      </c>
      <c r="Q724" s="245" t="e">
        <f t="shared" si="1008"/>
        <v>#DIV/0!</v>
      </c>
      <c r="R724" s="245" t="e">
        <f t="shared" si="1008"/>
        <v>#DIV/0!</v>
      </c>
      <c r="S724" s="245" t="e">
        <f t="shared" si="1008"/>
        <v>#DIV/0!</v>
      </c>
      <c r="T724" s="245" t="e">
        <f t="shared" si="1008"/>
        <v>#DIV/0!</v>
      </c>
      <c r="U724" s="245" t="e">
        <f t="shared" si="1008"/>
        <v>#DIV/0!</v>
      </c>
      <c r="V724" s="245" t="e">
        <f t="shared" si="1008"/>
        <v>#DIV/0!</v>
      </c>
      <c r="W724" s="245" t="e">
        <f t="shared" si="1008"/>
        <v>#DIV/0!</v>
      </c>
      <c r="X724" s="245" t="e">
        <f t="shared" si="1008"/>
        <v>#DIV/0!</v>
      </c>
      <c r="Y724" s="245" t="e">
        <f t="shared" si="1008"/>
        <v>#DIV/0!</v>
      </c>
      <c r="Z724" s="245" t="e">
        <f t="shared" si="1008"/>
        <v>#DIV/0!</v>
      </c>
      <c r="AA724" s="245" t="e">
        <f t="shared" si="1008"/>
        <v>#DIV/0!</v>
      </c>
      <c r="AB724" s="245" t="e">
        <f t="shared" si="1008"/>
        <v>#DIV/0!</v>
      </c>
      <c r="AC724" s="245" t="e">
        <f t="shared" si="1008"/>
        <v>#DIV/0!</v>
      </c>
      <c r="AD724" s="245" t="e">
        <f t="shared" si="1008"/>
        <v>#DIV/0!</v>
      </c>
      <c r="AF724" s="580" t="e">
        <f t="shared" si="1004"/>
        <v>#DIV/0!</v>
      </c>
      <c r="AG724" s="580" t="e">
        <f t="shared" si="1004"/>
        <v>#DIV/0!</v>
      </c>
      <c r="AH724" s="580" t="e">
        <f t="shared" si="1004"/>
        <v>#DIV/0!</v>
      </c>
      <c r="AI724" s="580" t="e">
        <f t="shared" si="1004"/>
        <v>#DIV/0!</v>
      </c>
      <c r="AJ724" s="580" t="e">
        <f t="shared" si="1004"/>
        <v>#DIV/0!</v>
      </c>
      <c r="AK724" s="580" t="e">
        <f t="shared" si="1004"/>
        <v>#DIV/0!</v>
      </c>
      <c r="AL724" s="580" t="e">
        <f t="shared" si="1004"/>
        <v>#DIV/0!</v>
      </c>
      <c r="AM724" s="580" t="e">
        <f t="shared" si="1004"/>
        <v>#DIV/0!</v>
      </c>
      <c r="AN724" s="580" t="e">
        <f t="shared" si="1004"/>
        <v>#DIV/0!</v>
      </c>
      <c r="AO724" s="580" t="e">
        <f t="shared" si="1004"/>
        <v>#DIV/0!</v>
      </c>
      <c r="AP724" s="580" t="e">
        <f t="shared" si="1004"/>
        <v>#DIV/0!</v>
      </c>
      <c r="AQ724" s="580" t="e">
        <f t="shared" si="1004"/>
        <v>#DIV/0!</v>
      </c>
      <c r="AR724" s="580" t="e">
        <f t="shared" si="1004"/>
        <v>#DIV/0!</v>
      </c>
      <c r="AS724" s="580" t="e">
        <f t="shared" si="1004"/>
        <v>#DIV/0!</v>
      </c>
      <c r="AT724" s="580" t="e">
        <f t="shared" si="1004"/>
        <v>#DIV/0!</v>
      </c>
      <c r="AU724" s="580" t="e">
        <f t="shared" si="1004"/>
        <v>#DIV/0!</v>
      </c>
      <c r="AV724" s="580" t="e">
        <f t="shared" si="1004"/>
        <v>#DIV/0!</v>
      </c>
      <c r="AW724" s="580" t="e">
        <f t="shared" si="1004"/>
        <v>#DIV/0!</v>
      </c>
      <c r="AX724" s="580" t="e">
        <f t="shared" si="1004"/>
        <v>#DIV/0!</v>
      </c>
      <c r="AY724" s="580" t="e">
        <f t="shared" si="1004"/>
        <v>#DIV/0!</v>
      </c>
      <c r="AZ724" s="580" t="e">
        <f t="shared" si="1004"/>
        <v>#DIV/0!</v>
      </c>
      <c r="BA724" s="580" t="e">
        <f t="shared" si="1004"/>
        <v>#DIV/0!</v>
      </c>
      <c r="BB724" s="580" t="e">
        <f t="shared" si="1004"/>
        <v>#DIV/0!</v>
      </c>
      <c r="BC724" s="580" t="e">
        <f t="shared" si="1004"/>
        <v>#DIV/0!</v>
      </c>
      <c r="BD724" s="580" t="e">
        <f t="shared" si="1004"/>
        <v>#DIV/0!</v>
      </c>
      <c r="BE724" s="580" t="e">
        <f t="shared" si="1004"/>
        <v>#DIV/0!</v>
      </c>
      <c r="BF724" s="580" t="e">
        <f t="shared" si="1004"/>
        <v>#DIV/0!</v>
      </c>
      <c r="BG724" s="580" t="e">
        <f t="shared" si="1004"/>
        <v>#DIV/0!</v>
      </c>
      <c r="BH724" s="580" t="e">
        <f t="shared" si="1004"/>
        <v>#DIV/0!</v>
      </c>
      <c r="BI724" s="580" t="e">
        <f t="shared" si="1004"/>
        <v>#DIV/0!</v>
      </c>
      <c r="BJ724" s="580" t="e">
        <f t="shared" si="1004"/>
        <v>#DIV/0!</v>
      </c>
      <c r="BK724" s="580" t="e">
        <f t="shared" si="1004"/>
        <v>#DIV/0!</v>
      </c>
    </row>
    <row r="725" spans="1:63" s="248" customFormat="1">
      <c r="A725" s="247"/>
      <c r="B725" s="247"/>
      <c r="C725" s="216" t="s">
        <v>2189</v>
      </c>
      <c r="D725" s="247"/>
      <c r="AF725" s="581"/>
      <c r="AG725" s="581"/>
      <c r="AH725" s="581"/>
      <c r="AI725" s="581"/>
      <c r="AJ725" s="581"/>
      <c r="AK725" s="581"/>
      <c r="AL725" s="581"/>
      <c r="AM725" s="581"/>
      <c r="AN725" s="581"/>
      <c r="AO725" s="581"/>
      <c r="AP725" s="581"/>
      <c r="AQ725" s="581"/>
      <c r="AR725" s="581"/>
      <c r="AS725" s="581"/>
      <c r="AT725" s="581"/>
      <c r="AU725" s="581"/>
      <c r="AV725" s="581"/>
      <c r="AW725" s="581"/>
      <c r="AX725" s="581"/>
      <c r="AY725" s="581"/>
      <c r="AZ725" s="581"/>
      <c r="BA725" s="581"/>
      <c r="BB725" s="581"/>
      <c r="BC725" s="581"/>
      <c r="BD725" s="581"/>
      <c r="BE725" s="581"/>
      <c r="BF725" s="581"/>
      <c r="BG725" s="581"/>
      <c r="BH725" s="581"/>
      <c r="BI725" s="581"/>
      <c r="BJ725" s="581"/>
      <c r="BK725" s="581"/>
    </row>
    <row r="726" spans="1:63" s="240" customFormat="1">
      <c r="A726" s="209"/>
      <c r="B726" s="209"/>
      <c r="C726" s="209" t="s">
        <v>2125</v>
      </c>
      <c r="D726" s="209"/>
      <c r="AF726" s="579"/>
      <c r="AG726" s="579"/>
      <c r="AH726" s="579"/>
      <c r="AI726" s="579"/>
      <c r="AJ726" s="579"/>
      <c r="AK726" s="579"/>
      <c r="AL726" s="579"/>
      <c r="AM726" s="579"/>
      <c r="AN726" s="579"/>
      <c r="AO726" s="579"/>
      <c r="AP726" s="579"/>
      <c r="AQ726" s="579"/>
      <c r="AR726" s="579"/>
      <c r="AS726" s="579"/>
      <c r="AT726" s="579"/>
      <c r="AU726" s="579"/>
      <c r="AV726" s="579"/>
      <c r="AW726" s="579"/>
      <c r="AX726" s="579"/>
      <c r="AY726" s="579"/>
      <c r="AZ726" s="579"/>
      <c r="BA726" s="579"/>
      <c r="BB726" s="579"/>
      <c r="BC726" s="579"/>
      <c r="BD726" s="579"/>
      <c r="BE726" s="579"/>
      <c r="BF726" s="579"/>
      <c r="BG726" s="579"/>
      <c r="BH726" s="579"/>
      <c r="BI726" s="579"/>
      <c r="BJ726" s="579"/>
      <c r="BK726" s="579"/>
    </row>
    <row r="727" spans="1:63" s="245" customFormat="1">
      <c r="A727" s="243"/>
      <c r="B727" s="243" t="s">
        <v>2190</v>
      </c>
      <c r="C727" s="243" t="str">
        <f>IF(ISBLANK($E$19),"Please enter name of segment above", $E$19)</f>
        <v>Please enter name of segment above</v>
      </c>
      <c r="D727" s="243"/>
      <c r="F727" s="245" t="e">
        <f t="shared" ref="F727:AD727" si="1009">(F653/E653-1)*100</f>
        <v>#DIV/0!</v>
      </c>
      <c r="G727" s="245" t="e">
        <f t="shared" si="1009"/>
        <v>#DIV/0!</v>
      </c>
      <c r="H727" s="245" t="e">
        <f t="shared" si="1009"/>
        <v>#DIV/0!</v>
      </c>
      <c r="I727" s="245" t="e">
        <f t="shared" si="1009"/>
        <v>#DIV/0!</v>
      </c>
      <c r="J727" s="245" t="e">
        <f t="shared" si="1009"/>
        <v>#DIV/0!</v>
      </c>
      <c r="K727" s="245" t="e">
        <f t="shared" si="1009"/>
        <v>#DIV/0!</v>
      </c>
      <c r="L727" s="245" t="e">
        <f t="shared" si="1009"/>
        <v>#DIV/0!</v>
      </c>
      <c r="M727" s="245" t="e">
        <f t="shared" si="1009"/>
        <v>#DIV/0!</v>
      </c>
      <c r="N727" s="245" t="e">
        <f t="shared" si="1009"/>
        <v>#DIV/0!</v>
      </c>
      <c r="O727" s="245" t="e">
        <f t="shared" si="1009"/>
        <v>#DIV/0!</v>
      </c>
      <c r="P727" s="245" t="e">
        <f t="shared" si="1009"/>
        <v>#DIV/0!</v>
      </c>
      <c r="Q727" s="245" t="e">
        <f t="shared" si="1009"/>
        <v>#DIV/0!</v>
      </c>
      <c r="R727" s="245" t="e">
        <f t="shared" si="1009"/>
        <v>#DIV/0!</v>
      </c>
      <c r="S727" s="245" t="e">
        <f t="shared" si="1009"/>
        <v>#DIV/0!</v>
      </c>
      <c r="T727" s="245" t="e">
        <f t="shared" si="1009"/>
        <v>#DIV/0!</v>
      </c>
      <c r="U727" s="245" t="e">
        <f t="shared" si="1009"/>
        <v>#DIV/0!</v>
      </c>
      <c r="V727" s="245" t="e">
        <f t="shared" si="1009"/>
        <v>#DIV/0!</v>
      </c>
      <c r="W727" s="245" t="e">
        <f t="shared" si="1009"/>
        <v>#DIV/0!</v>
      </c>
      <c r="X727" s="245" t="e">
        <f t="shared" si="1009"/>
        <v>#DIV/0!</v>
      </c>
      <c r="Y727" s="245" t="e">
        <f t="shared" si="1009"/>
        <v>#DIV/0!</v>
      </c>
      <c r="Z727" s="245" t="e">
        <f t="shared" si="1009"/>
        <v>#DIV/0!</v>
      </c>
      <c r="AA727" s="245" t="e">
        <f t="shared" si="1009"/>
        <v>#DIV/0!</v>
      </c>
      <c r="AB727" s="245" t="e">
        <f t="shared" si="1009"/>
        <v>#DIV/0!</v>
      </c>
      <c r="AC727" s="245" t="e">
        <f t="shared" si="1009"/>
        <v>#DIV/0!</v>
      </c>
      <c r="AD727" s="245" t="e">
        <f t="shared" si="1009"/>
        <v>#DIV/0!</v>
      </c>
      <c r="AF727" s="580" t="e">
        <f t="shared" ref="AF727:BK731" si="1010">(AF653/AE653-1)*100</f>
        <v>#DIV/0!</v>
      </c>
      <c r="AG727" s="580" t="e">
        <f t="shared" si="1010"/>
        <v>#DIV/0!</v>
      </c>
      <c r="AH727" s="580" t="e">
        <f t="shared" si="1010"/>
        <v>#DIV/0!</v>
      </c>
      <c r="AI727" s="580" t="e">
        <f t="shared" si="1010"/>
        <v>#DIV/0!</v>
      </c>
      <c r="AJ727" s="580" t="e">
        <f t="shared" si="1010"/>
        <v>#DIV/0!</v>
      </c>
      <c r="AK727" s="580" t="e">
        <f t="shared" si="1010"/>
        <v>#DIV/0!</v>
      </c>
      <c r="AL727" s="580" t="e">
        <f t="shared" si="1010"/>
        <v>#DIV/0!</v>
      </c>
      <c r="AM727" s="580" t="e">
        <f t="shared" si="1010"/>
        <v>#DIV/0!</v>
      </c>
      <c r="AN727" s="580" t="e">
        <f t="shared" si="1010"/>
        <v>#DIV/0!</v>
      </c>
      <c r="AO727" s="580" t="e">
        <f t="shared" si="1010"/>
        <v>#DIV/0!</v>
      </c>
      <c r="AP727" s="580" t="e">
        <f t="shared" si="1010"/>
        <v>#DIV/0!</v>
      </c>
      <c r="AQ727" s="580" t="e">
        <f t="shared" si="1010"/>
        <v>#DIV/0!</v>
      </c>
      <c r="AR727" s="580" t="e">
        <f t="shared" si="1010"/>
        <v>#DIV/0!</v>
      </c>
      <c r="AS727" s="580" t="e">
        <f t="shared" si="1010"/>
        <v>#DIV/0!</v>
      </c>
      <c r="AT727" s="580" t="e">
        <f t="shared" si="1010"/>
        <v>#DIV/0!</v>
      </c>
      <c r="AU727" s="580" t="e">
        <f t="shared" si="1010"/>
        <v>#DIV/0!</v>
      </c>
      <c r="AV727" s="580" t="e">
        <f t="shared" si="1010"/>
        <v>#DIV/0!</v>
      </c>
      <c r="AW727" s="580" t="e">
        <f t="shared" si="1010"/>
        <v>#DIV/0!</v>
      </c>
      <c r="AX727" s="580" t="e">
        <f t="shared" si="1010"/>
        <v>#DIV/0!</v>
      </c>
      <c r="AY727" s="580" t="e">
        <f t="shared" si="1010"/>
        <v>#DIV/0!</v>
      </c>
      <c r="AZ727" s="580" t="e">
        <f t="shared" si="1010"/>
        <v>#DIV/0!</v>
      </c>
      <c r="BA727" s="580" t="e">
        <f t="shared" si="1010"/>
        <v>#DIV/0!</v>
      </c>
      <c r="BB727" s="580" t="e">
        <f t="shared" si="1010"/>
        <v>#DIV/0!</v>
      </c>
      <c r="BC727" s="580" t="e">
        <f t="shared" si="1010"/>
        <v>#DIV/0!</v>
      </c>
      <c r="BD727" s="580" t="e">
        <f t="shared" si="1010"/>
        <v>#DIV/0!</v>
      </c>
      <c r="BE727" s="580" t="e">
        <f t="shared" si="1010"/>
        <v>#DIV/0!</v>
      </c>
      <c r="BF727" s="580" t="e">
        <f t="shared" si="1010"/>
        <v>#DIV/0!</v>
      </c>
      <c r="BG727" s="580" t="e">
        <f t="shared" si="1010"/>
        <v>#DIV/0!</v>
      </c>
      <c r="BH727" s="580" t="e">
        <f t="shared" si="1010"/>
        <v>#DIV/0!</v>
      </c>
      <c r="BI727" s="580" t="e">
        <f t="shared" si="1010"/>
        <v>#DIV/0!</v>
      </c>
      <c r="BJ727" s="580" t="e">
        <f t="shared" si="1010"/>
        <v>#DIV/0!</v>
      </c>
      <c r="BK727" s="580" t="e">
        <f t="shared" si="1010"/>
        <v>#DIV/0!</v>
      </c>
    </row>
    <row r="728" spans="1:63" s="245" customFormat="1">
      <c r="A728" s="243"/>
      <c r="B728" s="243" t="s">
        <v>2191</v>
      </c>
      <c r="C728" s="243" t="str">
        <f>IF(ISBLANK($E$20),"Please enter name of segment above", $E$20)</f>
        <v>Please enter name of segment above</v>
      </c>
      <c r="D728" s="243"/>
      <c r="F728" s="245" t="e">
        <f t="shared" ref="F728:AD728" si="1011">(F654/E654-1)*100</f>
        <v>#DIV/0!</v>
      </c>
      <c r="G728" s="245" t="e">
        <f t="shared" si="1011"/>
        <v>#DIV/0!</v>
      </c>
      <c r="H728" s="245" t="e">
        <f t="shared" si="1011"/>
        <v>#DIV/0!</v>
      </c>
      <c r="I728" s="245" t="e">
        <f t="shared" si="1011"/>
        <v>#DIV/0!</v>
      </c>
      <c r="J728" s="245" t="e">
        <f t="shared" si="1011"/>
        <v>#DIV/0!</v>
      </c>
      <c r="K728" s="245" t="e">
        <f t="shared" si="1011"/>
        <v>#DIV/0!</v>
      </c>
      <c r="L728" s="245" t="e">
        <f t="shared" si="1011"/>
        <v>#DIV/0!</v>
      </c>
      <c r="M728" s="245" t="e">
        <f t="shared" si="1011"/>
        <v>#DIV/0!</v>
      </c>
      <c r="N728" s="245" t="e">
        <f t="shared" si="1011"/>
        <v>#DIV/0!</v>
      </c>
      <c r="O728" s="245" t="e">
        <f t="shared" si="1011"/>
        <v>#DIV/0!</v>
      </c>
      <c r="P728" s="245" t="e">
        <f t="shared" si="1011"/>
        <v>#DIV/0!</v>
      </c>
      <c r="Q728" s="245" t="e">
        <f t="shared" si="1011"/>
        <v>#DIV/0!</v>
      </c>
      <c r="R728" s="245" t="e">
        <f t="shared" si="1011"/>
        <v>#DIV/0!</v>
      </c>
      <c r="S728" s="245" t="e">
        <f t="shared" si="1011"/>
        <v>#DIV/0!</v>
      </c>
      <c r="T728" s="245" t="e">
        <f t="shared" si="1011"/>
        <v>#DIV/0!</v>
      </c>
      <c r="U728" s="245" t="e">
        <f t="shared" si="1011"/>
        <v>#DIV/0!</v>
      </c>
      <c r="V728" s="245" t="e">
        <f t="shared" si="1011"/>
        <v>#DIV/0!</v>
      </c>
      <c r="W728" s="245" t="e">
        <f t="shared" si="1011"/>
        <v>#DIV/0!</v>
      </c>
      <c r="X728" s="245" t="e">
        <f t="shared" si="1011"/>
        <v>#DIV/0!</v>
      </c>
      <c r="Y728" s="245" t="e">
        <f t="shared" si="1011"/>
        <v>#DIV/0!</v>
      </c>
      <c r="Z728" s="245" t="e">
        <f t="shared" si="1011"/>
        <v>#DIV/0!</v>
      </c>
      <c r="AA728" s="245" t="e">
        <f t="shared" si="1011"/>
        <v>#DIV/0!</v>
      </c>
      <c r="AB728" s="245" t="e">
        <f t="shared" si="1011"/>
        <v>#DIV/0!</v>
      </c>
      <c r="AC728" s="245" t="e">
        <f t="shared" si="1011"/>
        <v>#DIV/0!</v>
      </c>
      <c r="AD728" s="245" t="e">
        <f t="shared" si="1011"/>
        <v>#DIV/0!</v>
      </c>
      <c r="AF728" s="580" t="e">
        <f t="shared" si="1010"/>
        <v>#DIV/0!</v>
      </c>
      <c r="AG728" s="580" t="e">
        <f t="shared" si="1010"/>
        <v>#DIV/0!</v>
      </c>
      <c r="AH728" s="580" t="e">
        <f t="shared" si="1010"/>
        <v>#DIV/0!</v>
      </c>
      <c r="AI728" s="580" t="e">
        <f t="shared" si="1010"/>
        <v>#DIV/0!</v>
      </c>
      <c r="AJ728" s="580" t="e">
        <f t="shared" si="1010"/>
        <v>#DIV/0!</v>
      </c>
      <c r="AK728" s="580" t="e">
        <f t="shared" si="1010"/>
        <v>#DIV/0!</v>
      </c>
      <c r="AL728" s="580" t="e">
        <f t="shared" si="1010"/>
        <v>#DIV/0!</v>
      </c>
      <c r="AM728" s="580" t="e">
        <f t="shared" si="1010"/>
        <v>#DIV/0!</v>
      </c>
      <c r="AN728" s="580" t="e">
        <f t="shared" si="1010"/>
        <v>#DIV/0!</v>
      </c>
      <c r="AO728" s="580" t="e">
        <f t="shared" si="1010"/>
        <v>#DIV/0!</v>
      </c>
      <c r="AP728" s="580" t="e">
        <f t="shared" si="1010"/>
        <v>#DIV/0!</v>
      </c>
      <c r="AQ728" s="580" t="e">
        <f t="shared" si="1010"/>
        <v>#DIV/0!</v>
      </c>
      <c r="AR728" s="580" t="e">
        <f t="shared" si="1010"/>
        <v>#DIV/0!</v>
      </c>
      <c r="AS728" s="580" t="e">
        <f t="shared" si="1010"/>
        <v>#DIV/0!</v>
      </c>
      <c r="AT728" s="580" t="e">
        <f t="shared" si="1010"/>
        <v>#DIV/0!</v>
      </c>
      <c r="AU728" s="580" t="e">
        <f t="shared" si="1010"/>
        <v>#DIV/0!</v>
      </c>
      <c r="AV728" s="580" t="e">
        <f t="shared" si="1010"/>
        <v>#DIV/0!</v>
      </c>
      <c r="AW728" s="580" t="e">
        <f t="shared" si="1010"/>
        <v>#DIV/0!</v>
      </c>
      <c r="AX728" s="580" t="e">
        <f t="shared" si="1010"/>
        <v>#DIV/0!</v>
      </c>
      <c r="AY728" s="580" t="e">
        <f t="shared" si="1010"/>
        <v>#DIV/0!</v>
      </c>
      <c r="AZ728" s="580" t="e">
        <f t="shared" si="1010"/>
        <v>#DIV/0!</v>
      </c>
      <c r="BA728" s="580" t="e">
        <f t="shared" si="1010"/>
        <v>#DIV/0!</v>
      </c>
      <c r="BB728" s="580" t="e">
        <f t="shared" si="1010"/>
        <v>#DIV/0!</v>
      </c>
      <c r="BC728" s="580" t="e">
        <f t="shared" si="1010"/>
        <v>#DIV/0!</v>
      </c>
      <c r="BD728" s="580" t="e">
        <f t="shared" si="1010"/>
        <v>#DIV/0!</v>
      </c>
      <c r="BE728" s="580" t="e">
        <f t="shared" si="1010"/>
        <v>#DIV/0!</v>
      </c>
      <c r="BF728" s="580" t="e">
        <f t="shared" si="1010"/>
        <v>#DIV/0!</v>
      </c>
      <c r="BG728" s="580" t="e">
        <f t="shared" si="1010"/>
        <v>#DIV/0!</v>
      </c>
      <c r="BH728" s="580" t="e">
        <f t="shared" si="1010"/>
        <v>#DIV/0!</v>
      </c>
      <c r="BI728" s="580" t="e">
        <f t="shared" si="1010"/>
        <v>#DIV/0!</v>
      </c>
      <c r="BJ728" s="580" t="e">
        <f t="shared" si="1010"/>
        <v>#DIV/0!</v>
      </c>
      <c r="BK728" s="580" t="e">
        <f t="shared" si="1010"/>
        <v>#DIV/0!</v>
      </c>
    </row>
    <row r="729" spans="1:63" s="245" customFormat="1">
      <c r="A729" s="243"/>
      <c r="B729" s="243" t="s">
        <v>2192</v>
      </c>
      <c r="C729" s="243" t="str">
        <f>IF(ISBLANK($E$21),"Please enter name of segment above", $E$21)</f>
        <v>Please enter name of segment above</v>
      </c>
      <c r="D729" s="243"/>
      <c r="F729" s="245" t="e">
        <f t="shared" ref="F729:AD729" si="1012">(F655/E655-1)*100</f>
        <v>#DIV/0!</v>
      </c>
      <c r="G729" s="245" t="e">
        <f t="shared" si="1012"/>
        <v>#DIV/0!</v>
      </c>
      <c r="H729" s="245" t="e">
        <f t="shared" si="1012"/>
        <v>#DIV/0!</v>
      </c>
      <c r="I729" s="245" t="e">
        <f t="shared" si="1012"/>
        <v>#DIV/0!</v>
      </c>
      <c r="J729" s="245" t="e">
        <f t="shared" si="1012"/>
        <v>#DIV/0!</v>
      </c>
      <c r="K729" s="245" t="e">
        <f t="shared" si="1012"/>
        <v>#DIV/0!</v>
      </c>
      <c r="L729" s="245" t="e">
        <f t="shared" si="1012"/>
        <v>#DIV/0!</v>
      </c>
      <c r="M729" s="245" t="e">
        <f t="shared" si="1012"/>
        <v>#DIV/0!</v>
      </c>
      <c r="N729" s="245" t="e">
        <f t="shared" si="1012"/>
        <v>#DIV/0!</v>
      </c>
      <c r="O729" s="245" t="e">
        <f t="shared" si="1012"/>
        <v>#DIV/0!</v>
      </c>
      <c r="P729" s="245" t="e">
        <f t="shared" si="1012"/>
        <v>#DIV/0!</v>
      </c>
      <c r="Q729" s="245" t="e">
        <f t="shared" si="1012"/>
        <v>#DIV/0!</v>
      </c>
      <c r="R729" s="245" t="e">
        <f t="shared" si="1012"/>
        <v>#DIV/0!</v>
      </c>
      <c r="S729" s="245" t="e">
        <f t="shared" si="1012"/>
        <v>#DIV/0!</v>
      </c>
      <c r="T729" s="245" t="e">
        <f t="shared" si="1012"/>
        <v>#DIV/0!</v>
      </c>
      <c r="U729" s="245" t="e">
        <f t="shared" si="1012"/>
        <v>#DIV/0!</v>
      </c>
      <c r="V729" s="245" t="e">
        <f t="shared" si="1012"/>
        <v>#DIV/0!</v>
      </c>
      <c r="W729" s="245" t="e">
        <f t="shared" si="1012"/>
        <v>#DIV/0!</v>
      </c>
      <c r="X729" s="245" t="e">
        <f t="shared" si="1012"/>
        <v>#DIV/0!</v>
      </c>
      <c r="Y729" s="245" t="e">
        <f t="shared" si="1012"/>
        <v>#DIV/0!</v>
      </c>
      <c r="Z729" s="245" t="e">
        <f t="shared" si="1012"/>
        <v>#DIV/0!</v>
      </c>
      <c r="AA729" s="245" t="e">
        <f t="shared" si="1012"/>
        <v>#DIV/0!</v>
      </c>
      <c r="AB729" s="245" t="e">
        <f t="shared" si="1012"/>
        <v>#DIV/0!</v>
      </c>
      <c r="AC729" s="245" t="e">
        <f t="shared" si="1012"/>
        <v>#DIV/0!</v>
      </c>
      <c r="AD729" s="245" t="e">
        <f t="shared" si="1012"/>
        <v>#DIV/0!</v>
      </c>
      <c r="AF729" s="580" t="e">
        <f t="shared" si="1010"/>
        <v>#DIV/0!</v>
      </c>
      <c r="AG729" s="580" t="e">
        <f t="shared" si="1010"/>
        <v>#DIV/0!</v>
      </c>
      <c r="AH729" s="580" t="e">
        <f t="shared" si="1010"/>
        <v>#DIV/0!</v>
      </c>
      <c r="AI729" s="580" t="e">
        <f t="shared" si="1010"/>
        <v>#DIV/0!</v>
      </c>
      <c r="AJ729" s="580" t="e">
        <f t="shared" si="1010"/>
        <v>#DIV/0!</v>
      </c>
      <c r="AK729" s="580" t="e">
        <f t="shared" si="1010"/>
        <v>#DIV/0!</v>
      </c>
      <c r="AL729" s="580" t="e">
        <f t="shared" si="1010"/>
        <v>#DIV/0!</v>
      </c>
      <c r="AM729" s="580" t="e">
        <f t="shared" si="1010"/>
        <v>#DIV/0!</v>
      </c>
      <c r="AN729" s="580" t="e">
        <f t="shared" si="1010"/>
        <v>#DIV/0!</v>
      </c>
      <c r="AO729" s="580" t="e">
        <f t="shared" si="1010"/>
        <v>#DIV/0!</v>
      </c>
      <c r="AP729" s="580" t="e">
        <f t="shared" si="1010"/>
        <v>#DIV/0!</v>
      </c>
      <c r="AQ729" s="580" t="e">
        <f t="shared" si="1010"/>
        <v>#DIV/0!</v>
      </c>
      <c r="AR729" s="580" t="e">
        <f t="shared" si="1010"/>
        <v>#DIV/0!</v>
      </c>
      <c r="AS729" s="580" t="e">
        <f t="shared" si="1010"/>
        <v>#DIV/0!</v>
      </c>
      <c r="AT729" s="580" t="e">
        <f t="shared" si="1010"/>
        <v>#DIV/0!</v>
      </c>
      <c r="AU729" s="580" t="e">
        <f t="shared" si="1010"/>
        <v>#DIV/0!</v>
      </c>
      <c r="AV729" s="580" t="e">
        <f t="shared" si="1010"/>
        <v>#DIV/0!</v>
      </c>
      <c r="AW729" s="580" t="e">
        <f t="shared" si="1010"/>
        <v>#DIV/0!</v>
      </c>
      <c r="AX729" s="580" t="e">
        <f t="shared" si="1010"/>
        <v>#DIV/0!</v>
      </c>
      <c r="AY729" s="580" t="e">
        <f t="shared" si="1010"/>
        <v>#DIV/0!</v>
      </c>
      <c r="AZ729" s="580" t="e">
        <f t="shared" si="1010"/>
        <v>#DIV/0!</v>
      </c>
      <c r="BA729" s="580" t="e">
        <f t="shared" si="1010"/>
        <v>#DIV/0!</v>
      </c>
      <c r="BB729" s="580" t="e">
        <f t="shared" si="1010"/>
        <v>#DIV/0!</v>
      </c>
      <c r="BC729" s="580" t="e">
        <f t="shared" si="1010"/>
        <v>#DIV/0!</v>
      </c>
      <c r="BD729" s="580" t="e">
        <f t="shared" si="1010"/>
        <v>#DIV/0!</v>
      </c>
      <c r="BE729" s="580" t="e">
        <f t="shared" si="1010"/>
        <v>#DIV/0!</v>
      </c>
      <c r="BF729" s="580" t="e">
        <f t="shared" si="1010"/>
        <v>#DIV/0!</v>
      </c>
      <c r="BG729" s="580" t="e">
        <f t="shared" si="1010"/>
        <v>#DIV/0!</v>
      </c>
      <c r="BH729" s="580" t="e">
        <f t="shared" si="1010"/>
        <v>#DIV/0!</v>
      </c>
      <c r="BI729" s="580" t="e">
        <f t="shared" si="1010"/>
        <v>#DIV/0!</v>
      </c>
      <c r="BJ729" s="580" t="e">
        <f t="shared" si="1010"/>
        <v>#DIV/0!</v>
      </c>
      <c r="BK729" s="580" t="e">
        <f t="shared" si="1010"/>
        <v>#DIV/0!</v>
      </c>
    </row>
    <row r="730" spans="1:63" s="245" customFormat="1">
      <c r="A730" s="243"/>
      <c r="B730" s="243" t="s">
        <v>2193</v>
      </c>
      <c r="C730" s="243" t="str">
        <f>IF(ISBLANK($E$22),"Please enter name of segment above", $E$22)</f>
        <v>Please enter name of segment above</v>
      </c>
      <c r="D730" s="243"/>
      <c r="F730" s="245" t="e">
        <f t="shared" ref="F730:AD730" si="1013">(F656/E656-1)*100</f>
        <v>#DIV/0!</v>
      </c>
      <c r="G730" s="245" t="e">
        <f t="shared" si="1013"/>
        <v>#DIV/0!</v>
      </c>
      <c r="H730" s="245" t="e">
        <f t="shared" si="1013"/>
        <v>#DIV/0!</v>
      </c>
      <c r="I730" s="245" t="e">
        <f t="shared" si="1013"/>
        <v>#DIV/0!</v>
      </c>
      <c r="J730" s="245" t="e">
        <f t="shared" si="1013"/>
        <v>#DIV/0!</v>
      </c>
      <c r="K730" s="245" t="e">
        <f t="shared" si="1013"/>
        <v>#DIV/0!</v>
      </c>
      <c r="L730" s="245" t="e">
        <f t="shared" si="1013"/>
        <v>#DIV/0!</v>
      </c>
      <c r="M730" s="245" t="e">
        <f t="shared" si="1013"/>
        <v>#DIV/0!</v>
      </c>
      <c r="N730" s="245" t="e">
        <f t="shared" si="1013"/>
        <v>#DIV/0!</v>
      </c>
      <c r="O730" s="245" t="e">
        <f t="shared" si="1013"/>
        <v>#DIV/0!</v>
      </c>
      <c r="P730" s="245" t="e">
        <f t="shared" si="1013"/>
        <v>#DIV/0!</v>
      </c>
      <c r="Q730" s="245" t="e">
        <f t="shared" si="1013"/>
        <v>#DIV/0!</v>
      </c>
      <c r="R730" s="245" t="e">
        <f t="shared" si="1013"/>
        <v>#DIV/0!</v>
      </c>
      <c r="S730" s="245" t="e">
        <f t="shared" si="1013"/>
        <v>#DIV/0!</v>
      </c>
      <c r="T730" s="245" t="e">
        <f t="shared" si="1013"/>
        <v>#DIV/0!</v>
      </c>
      <c r="U730" s="245" t="e">
        <f t="shared" si="1013"/>
        <v>#DIV/0!</v>
      </c>
      <c r="V730" s="245" t="e">
        <f t="shared" si="1013"/>
        <v>#DIV/0!</v>
      </c>
      <c r="W730" s="245" t="e">
        <f t="shared" si="1013"/>
        <v>#DIV/0!</v>
      </c>
      <c r="X730" s="245" t="e">
        <f t="shared" si="1013"/>
        <v>#DIV/0!</v>
      </c>
      <c r="Y730" s="245" t="e">
        <f t="shared" si="1013"/>
        <v>#DIV/0!</v>
      </c>
      <c r="Z730" s="245" t="e">
        <f t="shared" si="1013"/>
        <v>#DIV/0!</v>
      </c>
      <c r="AA730" s="245" t="e">
        <f t="shared" si="1013"/>
        <v>#DIV/0!</v>
      </c>
      <c r="AB730" s="245" t="e">
        <f t="shared" si="1013"/>
        <v>#DIV/0!</v>
      </c>
      <c r="AC730" s="245" t="e">
        <f t="shared" si="1013"/>
        <v>#DIV/0!</v>
      </c>
      <c r="AD730" s="245" t="e">
        <f t="shared" si="1013"/>
        <v>#DIV/0!</v>
      </c>
      <c r="AF730" s="580" t="e">
        <f t="shared" si="1010"/>
        <v>#DIV/0!</v>
      </c>
      <c r="AG730" s="580" t="e">
        <f t="shared" si="1010"/>
        <v>#DIV/0!</v>
      </c>
      <c r="AH730" s="580" t="e">
        <f t="shared" si="1010"/>
        <v>#DIV/0!</v>
      </c>
      <c r="AI730" s="580" t="e">
        <f t="shared" si="1010"/>
        <v>#DIV/0!</v>
      </c>
      <c r="AJ730" s="580" t="e">
        <f t="shared" si="1010"/>
        <v>#DIV/0!</v>
      </c>
      <c r="AK730" s="580" t="e">
        <f t="shared" si="1010"/>
        <v>#DIV/0!</v>
      </c>
      <c r="AL730" s="580" t="e">
        <f t="shared" si="1010"/>
        <v>#DIV/0!</v>
      </c>
      <c r="AM730" s="580" t="e">
        <f t="shared" si="1010"/>
        <v>#DIV/0!</v>
      </c>
      <c r="AN730" s="580" t="e">
        <f t="shared" si="1010"/>
        <v>#DIV/0!</v>
      </c>
      <c r="AO730" s="580" t="e">
        <f t="shared" si="1010"/>
        <v>#DIV/0!</v>
      </c>
      <c r="AP730" s="580" t="e">
        <f t="shared" si="1010"/>
        <v>#DIV/0!</v>
      </c>
      <c r="AQ730" s="580" t="e">
        <f t="shared" si="1010"/>
        <v>#DIV/0!</v>
      </c>
      <c r="AR730" s="580" t="e">
        <f t="shared" si="1010"/>
        <v>#DIV/0!</v>
      </c>
      <c r="AS730" s="580" t="e">
        <f t="shared" si="1010"/>
        <v>#DIV/0!</v>
      </c>
      <c r="AT730" s="580" t="e">
        <f t="shared" si="1010"/>
        <v>#DIV/0!</v>
      </c>
      <c r="AU730" s="580" t="e">
        <f t="shared" si="1010"/>
        <v>#DIV/0!</v>
      </c>
      <c r="AV730" s="580" t="e">
        <f t="shared" si="1010"/>
        <v>#DIV/0!</v>
      </c>
      <c r="AW730" s="580" t="e">
        <f t="shared" si="1010"/>
        <v>#DIV/0!</v>
      </c>
      <c r="AX730" s="580" t="e">
        <f t="shared" si="1010"/>
        <v>#DIV/0!</v>
      </c>
      <c r="AY730" s="580" t="e">
        <f t="shared" si="1010"/>
        <v>#DIV/0!</v>
      </c>
      <c r="AZ730" s="580" t="e">
        <f t="shared" si="1010"/>
        <v>#DIV/0!</v>
      </c>
      <c r="BA730" s="580" t="e">
        <f t="shared" si="1010"/>
        <v>#DIV/0!</v>
      </c>
      <c r="BB730" s="580" t="e">
        <f t="shared" si="1010"/>
        <v>#DIV/0!</v>
      </c>
      <c r="BC730" s="580" t="e">
        <f t="shared" si="1010"/>
        <v>#DIV/0!</v>
      </c>
      <c r="BD730" s="580" t="e">
        <f t="shared" si="1010"/>
        <v>#DIV/0!</v>
      </c>
      <c r="BE730" s="580" t="e">
        <f t="shared" si="1010"/>
        <v>#DIV/0!</v>
      </c>
      <c r="BF730" s="580" t="e">
        <f t="shared" si="1010"/>
        <v>#DIV/0!</v>
      </c>
      <c r="BG730" s="580" t="e">
        <f t="shared" si="1010"/>
        <v>#DIV/0!</v>
      </c>
      <c r="BH730" s="580" t="e">
        <f t="shared" si="1010"/>
        <v>#DIV/0!</v>
      </c>
      <c r="BI730" s="580" t="e">
        <f t="shared" si="1010"/>
        <v>#DIV/0!</v>
      </c>
      <c r="BJ730" s="580" t="e">
        <f t="shared" si="1010"/>
        <v>#DIV/0!</v>
      </c>
      <c r="BK730" s="580" t="e">
        <f t="shared" si="1010"/>
        <v>#DIV/0!</v>
      </c>
    </row>
    <row r="731" spans="1:63" s="245" customFormat="1">
      <c r="A731" s="243"/>
      <c r="B731" s="243" t="s">
        <v>2194</v>
      </c>
      <c r="C731" s="243" t="str">
        <f>IF(ISBLANK($E$23),"Please enter name of segment above", $E$23)</f>
        <v>Please enter name of segment above</v>
      </c>
      <c r="D731" s="243"/>
      <c r="F731" s="245" t="e">
        <f t="shared" ref="F731:AD731" si="1014">(F657/E657-1)*100</f>
        <v>#DIV/0!</v>
      </c>
      <c r="G731" s="245" t="e">
        <f t="shared" si="1014"/>
        <v>#DIV/0!</v>
      </c>
      <c r="H731" s="245" t="e">
        <f t="shared" si="1014"/>
        <v>#DIV/0!</v>
      </c>
      <c r="I731" s="245" t="e">
        <f t="shared" si="1014"/>
        <v>#DIV/0!</v>
      </c>
      <c r="J731" s="245" t="e">
        <f t="shared" si="1014"/>
        <v>#DIV/0!</v>
      </c>
      <c r="K731" s="245" t="e">
        <f t="shared" si="1014"/>
        <v>#DIV/0!</v>
      </c>
      <c r="L731" s="245" t="e">
        <f t="shared" si="1014"/>
        <v>#DIV/0!</v>
      </c>
      <c r="M731" s="245" t="e">
        <f t="shared" si="1014"/>
        <v>#DIV/0!</v>
      </c>
      <c r="N731" s="245" t="e">
        <f t="shared" si="1014"/>
        <v>#DIV/0!</v>
      </c>
      <c r="O731" s="245" t="e">
        <f t="shared" si="1014"/>
        <v>#DIV/0!</v>
      </c>
      <c r="P731" s="245" t="e">
        <f t="shared" si="1014"/>
        <v>#DIV/0!</v>
      </c>
      <c r="Q731" s="245" t="e">
        <f t="shared" si="1014"/>
        <v>#DIV/0!</v>
      </c>
      <c r="R731" s="245" t="e">
        <f t="shared" si="1014"/>
        <v>#DIV/0!</v>
      </c>
      <c r="S731" s="245" t="e">
        <f t="shared" si="1014"/>
        <v>#DIV/0!</v>
      </c>
      <c r="T731" s="245" t="e">
        <f t="shared" si="1014"/>
        <v>#DIV/0!</v>
      </c>
      <c r="U731" s="245" t="e">
        <f t="shared" si="1014"/>
        <v>#DIV/0!</v>
      </c>
      <c r="V731" s="245" t="e">
        <f t="shared" si="1014"/>
        <v>#DIV/0!</v>
      </c>
      <c r="W731" s="245" t="e">
        <f t="shared" si="1014"/>
        <v>#DIV/0!</v>
      </c>
      <c r="X731" s="245" t="e">
        <f t="shared" si="1014"/>
        <v>#DIV/0!</v>
      </c>
      <c r="Y731" s="245" t="e">
        <f t="shared" si="1014"/>
        <v>#DIV/0!</v>
      </c>
      <c r="Z731" s="245" t="e">
        <f t="shared" si="1014"/>
        <v>#DIV/0!</v>
      </c>
      <c r="AA731" s="245" t="e">
        <f t="shared" si="1014"/>
        <v>#DIV/0!</v>
      </c>
      <c r="AB731" s="245" t="e">
        <f t="shared" si="1014"/>
        <v>#DIV/0!</v>
      </c>
      <c r="AC731" s="245" t="e">
        <f t="shared" si="1014"/>
        <v>#DIV/0!</v>
      </c>
      <c r="AD731" s="245" t="e">
        <f t="shared" si="1014"/>
        <v>#DIV/0!</v>
      </c>
      <c r="AF731" s="580" t="e">
        <f t="shared" si="1010"/>
        <v>#DIV/0!</v>
      </c>
      <c r="AG731" s="580" t="e">
        <f t="shared" si="1010"/>
        <v>#DIV/0!</v>
      </c>
      <c r="AH731" s="580" t="e">
        <f t="shared" si="1010"/>
        <v>#DIV/0!</v>
      </c>
      <c r="AI731" s="580" t="e">
        <f t="shared" si="1010"/>
        <v>#DIV/0!</v>
      </c>
      <c r="AJ731" s="580" t="e">
        <f t="shared" si="1010"/>
        <v>#DIV/0!</v>
      </c>
      <c r="AK731" s="580" t="e">
        <f t="shared" si="1010"/>
        <v>#DIV/0!</v>
      </c>
      <c r="AL731" s="580" t="e">
        <f t="shared" si="1010"/>
        <v>#DIV/0!</v>
      </c>
      <c r="AM731" s="580" t="e">
        <f t="shared" si="1010"/>
        <v>#DIV/0!</v>
      </c>
      <c r="AN731" s="580" t="e">
        <f t="shared" si="1010"/>
        <v>#DIV/0!</v>
      </c>
      <c r="AO731" s="580" t="e">
        <f t="shared" si="1010"/>
        <v>#DIV/0!</v>
      </c>
      <c r="AP731" s="580" t="e">
        <f t="shared" si="1010"/>
        <v>#DIV/0!</v>
      </c>
      <c r="AQ731" s="580" t="e">
        <f t="shared" si="1010"/>
        <v>#DIV/0!</v>
      </c>
      <c r="AR731" s="580" t="e">
        <f t="shared" si="1010"/>
        <v>#DIV/0!</v>
      </c>
      <c r="AS731" s="580" t="e">
        <f t="shared" si="1010"/>
        <v>#DIV/0!</v>
      </c>
      <c r="AT731" s="580" t="e">
        <f t="shared" si="1010"/>
        <v>#DIV/0!</v>
      </c>
      <c r="AU731" s="580" t="e">
        <f t="shared" si="1010"/>
        <v>#DIV/0!</v>
      </c>
      <c r="AV731" s="580" t="e">
        <f t="shared" si="1010"/>
        <v>#DIV/0!</v>
      </c>
      <c r="AW731" s="580" t="e">
        <f t="shared" si="1010"/>
        <v>#DIV/0!</v>
      </c>
      <c r="AX731" s="580" t="e">
        <f t="shared" si="1010"/>
        <v>#DIV/0!</v>
      </c>
      <c r="AY731" s="580" t="e">
        <f t="shared" si="1010"/>
        <v>#DIV/0!</v>
      </c>
      <c r="AZ731" s="580" t="e">
        <f t="shared" si="1010"/>
        <v>#DIV/0!</v>
      </c>
      <c r="BA731" s="580" t="e">
        <f t="shared" si="1010"/>
        <v>#DIV/0!</v>
      </c>
      <c r="BB731" s="580" t="e">
        <f t="shared" si="1010"/>
        <v>#DIV/0!</v>
      </c>
      <c r="BC731" s="580" t="e">
        <f t="shared" si="1010"/>
        <v>#DIV/0!</v>
      </c>
      <c r="BD731" s="580" t="e">
        <f t="shared" si="1010"/>
        <v>#DIV/0!</v>
      </c>
      <c r="BE731" s="580" t="e">
        <f t="shared" si="1010"/>
        <v>#DIV/0!</v>
      </c>
      <c r="BF731" s="580" t="e">
        <f t="shared" si="1010"/>
        <v>#DIV/0!</v>
      </c>
      <c r="BG731" s="580" t="e">
        <f t="shared" si="1010"/>
        <v>#DIV/0!</v>
      </c>
      <c r="BH731" s="580" t="e">
        <f t="shared" si="1010"/>
        <v>#DIV/0!</v>
      </c>
      <c r="BI731" s="580" t="e">
        <f t="shared" si="1010"/>
        <v>#DIV/0!</v>
      </c>
      <c r="BJ731" s="580" t="e">
        <f t="shared" si="1010"/>
        <v>#DIV/0!</v>
      </c>
      <c r="BK731" s="580" t="e">
        <f t="shared" si="1010"/>
        <v>#DIV/0!</v>
      </c>
    </row>
    <row r="732" spans="1:63" s="248" customFormat="1">
      <c r="A732" s="247"/>
      <c r="B732" s="247"/>
      <c r="C732" s="247"/>
      <c r="D732" s="247"/>
      <c r="AF732" s="581"/>
      <c r="AG732" s="581"/>
      <c r="AH732" s="581"/>
      <c r="AI732" s="581"/>
      <c r="AJ732" s="581"/>
      <c r="AK732" s="581"/>
      <c r="AL732" s="581"/>
      <c r="AM732" s="581"/>
      <c r="AN732" s="581"/>
      <c r="AO732" s="581"/>
      <c r="AP732" s="581"/>
      <c r="AQ732" s="581"/>
      <c r="AR732" s="581"/>
      <c r="AS732" s="581"/>
      <c r="AT732" s="581"/>
      <c r="AU732" s="581"/>
      <c r="AV732" s="581"/>
      <c r="AW732" s="581"/>
      <c r="AX732" s="581"/>
      <c r="AY732" s="581"/>
      <c r="AZ732" s="581"/>
      <c r="BA732" s="581"/>
      <c r="BB732" s="581"/>
      <c r="BC732" s="581"/>
      <c r="BD732" s="581"/>
      <c r="BE732" s="581"/>
      <c r="BF732" s="581"/>
      <c r="BG732" s="581"/>
      <c r="BH732" s="581"/>
      <c r="BI732" s="581"/>
      <c r="BJ732" s="581"/>
      <c r="BK732" s="581"/>
    </row>
    <row r="733" spans="1:63" s="240" customFormat="1">
      <c r="A733" s="209"/>
      <c r="B733" s="209"/>
      <c r="C733" s="275" t="s">
        <v>2195</v>
      </c>
      <c r="D733" s="209"/>
      <c r="AF733" s="579"/>
      <c r="AG733" s="579"/>
      <c r="AH733" s="579"/>
      <c r="AI733" s="579"/>
      <c r="AJ733" s="579"/>
      <c r="AK733" s="579"/>
      <c r="AL733" s="579"/>
      <c r="AM733" s="579"/>
      <c r="AN733" s="579"/>
      <c r="AO733" s="579"/>
      <c r="AP733" s="579"/>
      <c r="AQ733" s="579"/>
      <c r="AR733" s="579"/>
      <c r="AS733" s="579"/>
      <c r="AT733" s="579"/>
      <c r="AU733" s="579"/>
      <c r="AV733" s="579"/>
      <c r="AW733" s="579"/>
      <c r="AX733" s="579"/>
      <c r="AY733" s="579"/>
      <c r="AZ733" s="579"/>
      <c r="BA733" s="579"/>
      <c r="BB733" s="579"/>
      <c r="BC733" s="579"/>
      <c r="BD733" s="579"/>
      <c r="BE733" s="579"/>
      <c r="BF733" s="579"/>
      <c r="BG733" s="579"/>
      <c r="BH733" s="579"/>
      <c r="BI733" s="579"/>
      <c r="BJ733" s="579"/>
      <c r="BK733" s="579"/>
    </row>
    <row r="734" spans="1:63" s="240" customFormat="1">
      <c r="A734" s="209"/>
      <c r="B734" s="209"/>
      <c r="C734" s="209" t="s">
        <v>2125</v>
      </c>
      <c r="D734" s="209"/>
      <c r="AF734" s="579"/>
      <c r="AG734" s="579"/>
      <c r="AH734" s="579"/>
      <c r="AI734" s="579"/>
      <c r="AJ734" s="579"/>
      <c r="AK734" s="579"/>
      <c r="AL734" s="579"/>
      <c r="AM734" s="579"/>
      <c r="AN734" s="579"/>
      <c r="AO734" s="579"/>
      <c r="AP734" s="579"/>
      <c r="AQ734" s="579"/>
      <c r="AR734" s="579"/>
      <c r="AS734" s="579"/>
      <c r="AT734" s="579"/>
      <c r="AU734" s="579"/>
      <c r="AV734" s="579"/>
      <c r="AW734" s="579"/>
      <c r="AX734" s="579"/>
      <c r="AY734" s="579"/>
      <c r="AZ734" s="579"/>
      <c r="BA734" s="579"/>
      <c r="BB734" s="579"/>
      <c r="BC734" s="579"/>
      <c r="BD734" s="579"/>
      <c r="BE734" s="579"/>
      <c r="BF734" s="579"/>
      <c r="BG734" s="579"/>
      <c r="BH734" s="579"/>
      <c r="BI734" s="579"/>
      <c r="BJ734" s="579"/>
      <c r="BK734" s="579"/>
    </row>
    <row r="735" spans="1:63" s="245" customFormat="1">
      <c r="A735" s="243"/>
      <c r="B735" s="243" t="s">
        <v>2196</v>
      </c>
      <c r="C735" s="243" t="str">
        <f>IF(ISBLANK($E$19),"Please enter name of segment above", $E$19)</f>
        <v>Please enter name of segment above</v>
      </c>
      <c r="D735" s="243"/>
      <c r="F735" s="245" t="e">
        <f t="shared" ref="F735:AD735" si="1015">F653/F644*100</f>
        <v>#DIV/0!</v>
      </c>
      <c r="G735" s="245" t="e">
        <f t="shared" si="1015"/>
        <v>#DIV/0!</v>
      </c>
      <c r="H735" s="245" t="e">
        <f t="shared" si="1015"/>
        <v>#DIV/0!</v>
      </c>
      <c r="I735" s="245" t="e">
        <f t="shared" si="1015"/>
        <v>#DIV/0!</v>
      </c>
      <c r="J735" s="245" t="e">
        <f t="shared" si="1015"/>
        <v>#DIV/0!</v>
      </c>
      <c r="K735" s="245" t="e">
        <f t="shared" si="1015"/>
        <v>#DIV/0!</v>
      </c>
      <c r="L735" s="245" t="e">
        <f t="shared" si="1015"/>
        <v>#DIV/0!</v>
      </c>
      <c r="M735" s="245" t="e">
        <f t="shared" si="1015"/>
        <v>#DIV/0!</v>
      </c>
      <c r="N735" s="245" t="e">
        <f t="shared" si="1015"/>
        <v>#DIV/0!</v>
      </c>
      <c r="O735" s="245" t="e">
        <f t="shared" si="1015"/>
        <v>#DIV/0!</v>
      </c>
      <c r="P735" s="245" t="e">
        <f t="shared" si="1015"/>
        <v>#DIV/0!</v>
      </c>
      <c r="Q735" s="245" t="e">
        <f t="shared" si="1015"/>
        <v>#DIV/0!</v>
      </c>
      <c r="R735" s="245" t="e">
        <f t="shared" si="1015"/>
        <v>#DIV/0!</v>
      </c>
      <c r="S735" s="245" t="e">
        <f t="shared" si="1015"/>
        <v>#DIV/0!</v>
      </c>
      <c r="T735" s="245" t="e">
        <f t="shared" si="1015"/>
        <v>#DIV/0!</v>
      </c>
      <c r="U735" s="245" t="e">
        <f t="shared" si="1015"/>
        <v>#DIV/0!</v>
      </c>
      <c r="V735" s="245" t="e">
        <f t="shared" si="1015"/>
        <v>#DIV/0!</v>
      </c>
      <c r="W735" s="245" t="e">
        <f t="shared" si="1015"/>
        <v>#DIV/0!</v>
      </c>
      <c r="X735" s="245" t="e">
        <f t="shared" si="1015"/>
        <v>#DIV/0!</v>
      </c>
      <c r="Y735" s="245" t="e">
        <f t="shared" si="1015"/>
        <v>#DIV/0!</v>
      </c>
      <c r="Z735" s="245" t="e">
        <f t="shared" si="1015"/>
        <v>#DIV/0!</v>
      </c>
      <c r="AA735" s="245" t="e">
        <f t="shared" si="1015"/>
        <v>#DIV/0!</v>
      </c>
      <c r="AB735" s="245" t="e">
        <f t="shared" si="1015"/>
        <v>#DIV/0!</v>
      </c>
      <c r="AC735" s="245" t="e">
        <f t="shared" si="1015"/>
        <v>#DIV/0!</v>
      </c>
      <c r="AD735" s="245" t="e">
        <f t="shared" si="1015"/>
        <v>#DIV/0!</v>
      </c>
      <c r="AF735" s="580" t="e">
        <f t="shared" ref="AF735:BK739" si="1016">AF653/AF644*100</f>
        <v>#DIV/0!</v>
      </c>
      <c r="AG735" s="580" t="e">
        <f t="shared" si="1016"/>
        <v>#DIV/0!</v>
      </c>
      <c r="AH735" s="580" t="e">
        <f t="shared" si="1016"/>
        <v>#DIV/0!</v>
      </c>
      <c r="AI735" s="580" t="e">
        <f t="shared" si="1016"/>
        <v>#DIV/0!</v>
      </c>
      <c r="AJ735" s="580" t="e">
        <f t="shared" si="1016"/>
        <v>#DIV/0!</v>
      </c>
      <c r="AK735" s="580" t="e">
        <f t="shared" si="1016"/>
        <v>#DIV/0!</v>
      </c>
      <c r="AL735" s="580" t="e">
        <f t="shared" si="1016"/>
        <v>#DIV/0!</v>
      </c>
      <c r="AM735" s="580" t="e">
        <f>AM653/AM644*100</f>
        <v>#DIV/0!</v>
      </c>
      <c r="AN735" s="580" t="e">
        <f t="shared" si="1016"/>
        <v>#DIV/0!</v>
      </c>
      <c r="AO735" s="580" t="e">
        <f t="shared" si="1016"/>
        <v>#DIV/0!</v>
      </c>
      <c r="AP735" s="580" t="e">
        <f t="shared" si="1016"/>
        <v>#DIV/0!</v>
      </c>
      <c r="AQ735" s="580" t="e">
        <f t="shared" si="1016"/>
        <v>#DIV/0!</v>
      </c>
      <c r="AR735" s="580" t="e">
        <f t="shared" si="1016"/>
        <v>#DIV/0!</v>
      </c>
      <c r="AS735" s="580" t="e">
        <f t="shared" si="1016"/>
        <v>#DIV/0!</v>
      </c>
      <c r="AT735" s="580" t="e">
        <f t="shared" si="1016"/>
        <v>#DIV/0!</v>
      </c>
      <c r="AU735" s="580" t="e">
        <f t="shared" si="1016"/>
        <v>#DIV/0!</v>
      </c>
      <c r="AV735" s="580" t="e">
        <f t="shared" si="1016"/>
        <v>#DIV/0!</v>
      </c>
      <c r="AW735" s="580" t="e">
        <f t="shared" si="1016"/>
        <v>#DIV/0!</v>
      </c>
      <c r="AX735" s="580" t="e">
        <f t="shared" si="1016"/>
        <v>#DIV/0!</v>
      </c>
      <c r="AY735" s="580" t="e">
        <f t="shared" si="1016"/>
        <v>#DIV/0!</v>
      </c>
      <c r="AZ735" s="580" t="e">
        <f t="shared" si="1016"/>
        <v>#DIV/0!</v>
      </c>
      <c r="BA735" s="580" t="e">
        <f t="shared" si="1016"/>
        <v>#DIV/0!</v>
      </c>
      <c r="BB735" s="580" t="e">
        <f t="shared" si="1016"/>
        <v>#DIV/0!</v>
      </c>
      <c r="BC735" s="580" t="e">
        <f t="shared" si="1016"/>
        <v>#DIV/0!</v>
      </c>
      <c r="BD735" s="580" t="e">
        <f t="shared" si="1016"/>
        <v>#DIV/0!</v>
      </c>
      <c r="BE735" s="580" t="e">
        <f t="shared" si="1016"/>
        <v>#DIV/0!</v>
      </c>
      <c r="BF735" s="580" t="e">
        <f t="shared" si="1016"/>
        <v>#DIV/0!</v>
      </c>
      <c r="BG735" s="580" t="e">
        <f t="shared" si="1016"/>
        <v>#DIV/0!</v>
      </c>
      <c r="BH735" s="580" t="e">
        <f t="shared" si="1016"/>
        <v>#DIV/0!</v>
      </c>
      <c r="BI735" s="580" t="e">
        <f t="shared" si="1016"/>
        <v>#DIV/0!</v>
      </c>
      <c r="BJ735" s="580" t="e">
        <f t="shared" si="1016"/>
        <v>#DIV/0!</v>
      </c>
      <c r="BK735" s="580" t="e">
        <f t="shared" si="1016"/>
        <v>#DIV/0!</v>
      </c>
    </row>
    <row r="736" spans="1:63" s="245" customFormat="1">
      <c r="A736" s="243"/>
      <c r="B736" s="243" t="s">
        <v>2197</v>
      </c>
      <c r="C736" s="243" t="str">
        <f>IF(ISBLANK($E$20),"Please enter name of segment above", $E$20)</f>
        <v>Please enter name of segment above</v>
      </c>
      <c r="D736" s="243"/>
      <c r="F736" s="245" t="e">
        <f t="shared" ref="F736:AD736" si="1017">F654/F645*100</f>
        <v>#DIV/0!</v>
      </c>
      <c r="G736" s="245" t="e">
        <f t="shared" si="1017"/>
        <v>#DIV/0!</v>
      </c>
      <c r="H736" s="245" t="e">
        <f t="shared" si="1017"/>
        <v>#DIV/0!</v>
      </c>
      <c r="I736" s="245" t="e">
        <f t="shared" si="1017"/>
        <v>#DIV/0!</v>
      </c>
      <c r="J736" s="245" t="e">
        <f t="shared" si="1017"/>
        <v>#DIV/0!</v>
      </c>
      <c r="K736" s="245" t="e">
        <f t="shared" si="1017"/>
        <v>#DIV/0!</v>
      </c>
      <c r="L736" s="245" t="e">
        <f t="shared" si="1017"/>
        <v>#DIV/0!</v>
      </c>
      <c r="M736" s="245" t="e">
        <f t="shared" si="1017"/>
        <v>#DIV/0!</v>
      </c>
      <c r="N736" s="245" t="e">
        <f t="shared" si="1017"/>
        <v>#DIV/0!</v>
      </c>
      <c r="O736" s="245" t="e">
        <f t="shared" si="1017"/>
        <v>#DIV/0!</v>
      </c>
      <c r="P736" s="245" t="e">
        <f t="shared" si="1017"/>
        <v>#DIV/0!</v>
      </c>
      <c r="Q736" s="245" t="e">
        <f t="shared" si="1017"/>
        <v>#DIV/0!</v>
      </c>
      <c r="R736" s="245" t="e">
        <f t="shared" si="1017"/>
        <v>#DIV/0!</v>
      </c>
      <c r="S736" s="245" t="e">
        <f t="shared" si="1017"/>
        <v>#DIV/0!</v>
      </c>
      <c r="T736" s="245" t="e">
        <f t="shared" si="1017"/>
        <v>#DIV/0!</v>
      </c>
      <c r="U736" s="245" t="e">
        <f t="shared" si="1017"/>
        <v>#DIV/0!</v>
      </c>
      <c r="V736" s="245" t="e">
        <f t="shared" si="1017"/>
        <v>#DIV/0!</v>
      </c>
      <c r="W736" s="245" t="e">
        <f t="shared" si="1017"/>
        <v>#DIV/0!</v>
      </c>
      <c r="X736" s="245" t="e">
        <f t="shared" si="1017"/>
        <v>#DIV/0!</v>
      </c>
      <c r="Y736" s="245" t="e">
        <f t="shared" si="1017"/>
        <v>#DIV/0!</v>
      </c>
      <c r="Z736" s="245" t="e">
        <f t="shared" si="1017"/>
        <v>#DIV/0!</v>
      </c>
      <c r="AA736" s="245" t="e">
        <f t="shared" si="1017"/>
        <v>#DIV/0!</v>
      </c>
      <c r="AB736" s="245" t="e">
        <f t="shared" si="1017"/>
        <v>#DIV/0!</v>
      </c>
      <c r="AC736" s="245" t="e">
        <f t="shared" si="1017"/>
        <v>#DIV/0!</v>
      </c>
      <c r="AD736" s="245" t="e">
        <f t="shared" si="1017"/>
        <v>#DIV/0!</v>
      </c>
      <c r="AF736" s="580" t="e">
        <f t="shared" si="1016"/>
        <v>#DIV/0!</v>
      </c>
      <c r="AG736" s="580" t="e">
        <f t="shared" si="1016"/>
        <v>#DIV/0!</v>
      </c>
      <c r="AH736" s="580" t="e">
        <f t="shared" si="1016"/>
        <v>#DIV/0!</v>
      </c>
      <c r="AI736" s="580" t="e">
        <f t="shared" si="1016"/>
        <v>#DIV/0!</v>
      </c>
      <c r="AJ736" s="580" t="e">
        <f t="shared" si="1016"/>
        <v>#DIV/0!</v>
      </c>
      <c r="AK736" s="580" t="e">
        <f t="shared" si="1016"/>
        <v>#DIV/0!</v>
      </c>
      <c r="AL736" s="580" t="e">
        <f t="shared" si="1016"/>
        <v>#DIV/0!</v>
      </c>
      <c r="AM736" s="580" t="e">
        <f>AM654/AM645*100</f>
        <v>#DIV/0!</v>
      </c>
      <c r="AN736" s="580" t="e">
        <f t="shared" si="1016"/>
        <v>#DIV/0!</v>
      </c>
      <c r="AO736" s="580" t="e">
        <f t="shared" si="1016"/>
        <v>#DIV/0!</v>
      </c>
      <c r="AP736" s="580" t="e">
        <f t="shared" si="1016"/>
        <v>#DIV/0!</v>
      </c>
      <c r="AQ736" s="580" t="e">
        <f t="shared" si="1016"/>
        <v>#DIV/0!</v>
      </c>
      <c r="AR736" s="580" t="e">
        <f t="shared" si="1016"/>
        <v>#DIV/0!</v>
      </c>
      <c r="AS736" s="580" t="e">
        <f t="shared" si="1016"/>
        <v>#DIV/0!</v>
      </c>
      <c r="AT736" s="580" t="e">
        <f t="shared" si="1016"/>
        <v>#DIV/0!</v>
      </c>
      <c r="AU736" s="580" t="e">
        <f t="shared" si="1016"/>
        <v>#DIV/0!</v>
      </c>
      <c r="AV736" s="580" t="e">
        <f t="shared" si="1016"/>
        <v>#DIV/0!</v>
      </c>
      <c r="AW736" s="580" t="e">
        <f t="shared" si="1016"/>
        <v>#DIV/0!</v>
      </c>
      <c r="AX736" s="580" t="e">
        <f t="shared" si="1016"/>
        <v>#DIV/0!</v>
      </c>
      <c r="AY736" s="580" t="e">
        <f t="shared" si="1016"/>
        <v>#DIV/0!</v>
      </c>
      <c r="AZ736" s="580" t="e">
        <f t="shared" si="1016"/>
        <v>#DIV/0!</v>
      </c>
      <c r="BA736" s="580" t="e">
        <f t="shared" si="1016"/>
        <v>#DIV/0!</v>
      </c>
      <c r="BB736" s="580" t="e">
        <f t="shared" si="1016"/>
        <v>#DIV/0!</v>
      </c>
      <c r="BC736" s="580" t="e">
        <f t="shared" si="1016"/>
        <v>#DIV/0!</v>
      </c>
      <c r="BD736" s="580" t="e">
        <f t="shared" si="1016"/>
        <v>#DIV/0!</v>
      </c>
      <c r="BE736" s="580" t="e">
        <f t="shared" si="1016"/>
        <v>#DIV/0!</v>
      </c>
      <c r="BF736" s="580" t="e">
        <f t="shared" si="1016"/>
        <v>#DIV/0!</v>
      </c>
      <c r="BG736" s="580" t="e">
        <f t="shared" si="1016"/>
        <v>#DIV/0!</v>
      </c>
      <c r="BH736" s="580" t="e">
        <f t="shared" si="1016"/>
        <v>#DIV/0!</v>
      </c>
      <c r="BI736" s="580" t="e">
        <f t="shared" si="1016"/>
        <v>#DIV/0!</v>
      </c>
      <c r="BJ736" s="580" t="e">
        <f t="shared" si="1016"/>
        <v>#DIV/0!</v>
      </c>
      <c r="BK736" s="580" t="e">
        <f t="shared" si="1016"/>
        <v>#DIV/0!</v>
      </c>
    </row>
    <row r="737" spans="1:63" s="245" customFormat="1">
      <c r="A737" s="243"/>
      <c r="B737" s="243" t="s">
        <v>2198</v>
      </c>
      <c r="C737" s="243" t="str">
        <f>IF(ISBLANK($E$21),"Please enter name of segment above", $E$21)</f>
        <v>Please enter name of segment above</v>
      </c>
      <c r="D737" s="243"/>
      <c r="F737" s="245" t="e">
        <f t="shared" ref="F737:AD737" si="1018">F655/F646*100</f>
        <v>#DIV/0!</v>
      </c>
      <c r="G737" s="245" t="e">
        <f t="shared" si="1018"/>
        <v>#DIV/0!</v>
      </c>
      <c r="H737" s="245" t="e">
        <f t="shared" si="1018"/>
        <v>#DIV/0!</v>
      </c>
      <c r="I737" s="245" t="e">
        <f t="shared" si="1018"/>
        <v>#DIV/0!</v>
      </c>
      <c r="J737" s="245" t="e">
        <f t="shared" si="1018"/>
        <v>#DIV/0!</v>
      </c>
      <c r="K737" s="245" t="e">
        <f t="shared" si="1018"/>
        <v>#DIV/0!</v>
      </c>
      <c r="L737" s="245" t="e">
        <f t="shared" si="1018"/>
        <v>#DIV/0!</v>
      </c>
      <c r="M737" s="245" t="e">
        <f t="shared" si="1018"/>
        <v>#DIV/0!</v>
      </c>
      <c r="N737" s="245" t="e">
        <f t="shared" si="1018"/>
        <v>#DIV/0!</v>
      </c>
      <c r="O737" s="245" t="e">
        <f t="shared" si="1018"/>
        <v>#DIV/0!</v>
      </c>
      <c r="P737" s="245" t="e">
        <f t="shared" si="1018"/>
        <v>#DIV/0!</v>
      </c>
      <c r="Q737" s="245" t="e">
        <f t="shared" si="1018"/>
        <v>#DIV/0!</v>
      </c>
      <c r="R737" s="245" t="e">
        <f t="shared" si="1018"/>
        <v>#DIV/0!</v>
      </c>
      <c r="S737" s="245" t="e">
        <f t="shared" si="1018"/>
        <v>#DIV/0!</v>
      </c>
      <c r="T737" s="245" t="e">
        <f t="shared" si="1018"/>
        <v>#DIV/0!</v>
      </c>
      <c r="U737" s="245" t="e">
        <f t="shared" si="1018"/>
        <v>#DIV/0!</v>
      </c>
      <c r="V737" s="245" t="e">
        <f t="shared" si="1018"/>
        <v>#DIV/0!</v>
      </c>
      <c r="W737" s="245" t="e">
        <f t="shared" si="1018"/>
        <v>#DIV/0!</v>
      </c>
      <c r="X737" s="245" t="e">
        <f t="shared" si="1018"/>
        <v>#DIV/0!</v>
      </c>
      <c r="Y737" s="245" t="e">
        <f t="shared" si="1018"/>
        <v>#DIV/0!</v>
      </c>
      <c r="Z737" s="245" t="e">
        <f t="shared" si="1018"/>
        <v>#DIV/0!</v>
      </c>
      <c r="AA737" s="245" t="e">
        <f t="shared" si="1018"/>
        <v>#DIV/0!</v>
      </c>
      <c r="AB737" s="245" t="e">
        <f t="shared" si="1018"/>
        <v>#DIV/0!</v>
      </c>
      <c r="AC737" s="245" t="e">
        <f t="shared" si="1018"/>
        <v>#DIV/0!</v>
      </c>
      <c r="AD737" s="245" t="e">
        <f t="shared" si="1018"/>
        <v>#DIV/0!</v>
      </c>
      <c r="AF737" s="580" t="e">
        <f t="shared" si="1016"/>
        <v>#DIV/0!</v>
      </c>
      <c r="AG737" s="580" t="e">
        <f t="shared" si="1016"/>
        <v>#DIV/0!</v>
      </c>
      <c r="AH737" s="580" t="e">
        <f t="shared" si="1016"/>
        <v>#DIV/0!</v>
      </c>
      <c r="AI737" s="580" t="e">
        <f t="shared" si="1016"/>
        <v>#DIV/0!</v>
      </c>
      <c r="AJ737" s="580" t="e">
        <f t="shared" si="1016"/>
        <v>#DIV/0!</v>
      </c>
      <c r="AK737" s="580" t="e">
        <f t="shared" si="1016"/>
        <v>#DIV/0!</v>
      </c>
      <c r="AL737" s="580" t="e">
        <f t="shared" si="1016"/>
        <v>#DIV/0!</v>
      </c>
      <c r="AM737" s="580" t="e">
        <f>AM655/AM646*100</f>
        <v>#DIV/0!</v>
      </c>
      <c r="AN737" s="580" t="e">
        <f t="shared" si="1016"/>
        <v>#DIV/0!</v>
      </c>
      <c r="AO737" s="580" t="e">
        <f t="shared" si="1016"/>
        <v>#DIV/0!</v>
      </c>
      <c r="AP737" s="580" t="e">
        <f t="shared" si="1016"/>
        <v>#DIV/0!</v>
      </c>
      <c r="AQ737" s="580" t="e">
        <f t="shared" si="1016"/>
        <v>#DIV/0!</v>
      </c>
      <c r="AR737" s="580" t="e">
        <f t="shared" si="1016"/>
        <v>#DIV/0!</v>
      </c>
      <c r="AS737" s="580" t="e">
        <f t="shared" si="1016"/>
        <v>#DIV/0!</v>
      </c>
      <c r="AT737" s="580" t="e">
        <f t="shared" si="1016"/>
        <v>#DIV/0!</v>
      </c>
      <c r="AU737" s="580" t="e">
        <f t="shared" si="1016"/>
        <v>#DIV/0!</v>
      </c>
      <c r="AV737" s="580" t="e">
        <f t="shared" si="1016"/>
        <v>#DIV/0!</v>
      </c>
      <c r="AW737" s="580" t="e">
        <f t="shared" si="1016"/>
        <v>#DIV/0!</v>
      </c>
      <c r="AX737" s="580" t="e">
        <f t="shared" si="1016"/>
        <v>#DIV/0!</v>
      </c>
      <c r="AY737" s="580" t="e">
        <f t="shared" si="1016"/>
        <v>#DIV/0!</v>
      </c>
      <c r="AZ737" s="580" t="e">
        <f t="shared" si="1016"/>
        <v>#DIV/0!</v>
      </c>
      <c r="BA737" s="580" t="e">
        <f t="shared" si="1016"/>
        <v>#DIV/0!</v>
      </c>
      <c r="BB737" s="580" t="e">
        <f t="shared" si="1016"/>
        <v>#DIV/0!</v>
      </c>
      <c r="BC737" s="580" t="e">
        <f t="shared" si="1016"/>
        <v>#DIV/0!</v>
      </c>
      <c r="BD737" s="580" t="e">
        <f t="shared" si="1016"/>
        <v>#DIV/0!</v>
      </c>
      <c r="BE737" s="580" t="e">
        <f t="shared" si="1016"/>
        <v>#DIV/0!</v>
      </c>
      <c r="BF737" s="580" t="e">
        <f t="shared" si="1016"/>
        <v>#DIV/0!</v>
      </c>
      <c r="BG737" s="580" t="e">
        <f t="shared" si="1016"/>
        <v>#DIV/0!</v>
      </c>
      <c r="BH737" s="580" t="e">
        <f t="shared" si="1016"/>
        <v>#DIV/0!</v>
      </c>
      <c r="BI737" s="580" t="e">
        <f t="shared" si="1016"/>
        <v>#DIV/0!</v>
      </c>
      <c r="BJ737" s="580" t="e">
        <f t="shared" si="1016"/>
        <v>#DIV/0!</v>
      </c>
      <c r="BK737" s="580" t="e">
        <f t="shared" si="1016"/>
        <v>#DIV/0!</v>
      </c>
    </row>
    <row r="738" spans="1:63" s="245" customFormat="1">
      <c r="A738" s="243"/>
      <c r="B738" s="243" t="s">
        <v>2199</v>
      </c>
      <c r="C738" s="243" t="str">
        <f>IF(ISBLANK($E$22),"Please enter name of segment above", $E$22)</f>
        <v>Please enter name of segment above</v>
      </c>
      <c r="D738" s="243"/>
      <c r="F738" s="245" t="e">
        <f t="shared" ref="F738:AD738" si="1019">F656/F647*100</f>
        <v>#DIV/0!</v>
      </c>
      <c r="G738" s="245" t="e">
        <f t="shared" si="1019"/>
        <v>#DIV/0!</v>
      </c>
      <c r="H738" s="245" t="e">
        <f t="shared" si="1019"/>
        <v>#DIV/0!</v>
      </c>
      <c r="I738" s="245" t="e">
        <f t="shared" si="1019"/>
        <v>#DIV/0!</v>
      </c>
      <c r="J738" s="245" t="e">
        <f t="shared" si="1019"/>
        <v>#DIV/0!</v>
      </c>
      <c r="K738" s="245" t="e">
        <f t="shared" si="1019"/>
        <v>#DIV/0!</v>
      </c>
      <c r="L738" s="245" t="e">
        <f t="shared" si="1019"/>
        <v>#DIV/0!</v>
      </c>
      <c r="M738" s="245" t="e">
        <f t="shared" si="1019"/>
        <v>#DIV/0!</v>
      </c>
      <c r="N738" s="245" t="e">
        <f t="shared" si="1019"/>
        <v>#DIV/0!</v>
      </c>
      <c r="O738" s="245" t="e">
        <f t="shared" si="1019"/>
        <v>#DIV/0!</v>
      </c>
      <c r="P738" s="245" t="e">
        <f t="shared" si="1019"/>
        <v>#DIV/0!</v>
      </c>
      <c r="Q738" s="245" t="e">
        <f t="shared" si="1019"/>
        <v>#DIV/0!</v>
      </c>
      <c r="R738" s="245" t="e">
        <f t="shared" si="1019"/>
        <v>#DIV/0!</v>
      </c>
      <c r="S738" s="245" t="e">
        <f t="shared" si="1019"/>
        <v>#DIV/0!</v>
      </c>
      <c r="T738" s="245" t="e">
        <f t="shared" si="1019"/>
        <v>#DIV/0!</v>
      </c>
      <c r="U738" s="245" t="e">
        <f t="shared" si="1019"/>
        <v>#DIV/0!</v>
      </c>
      <c r="V738" s="245" t="e">
        <f t="shared" si="1019"/>
        <v>#DIV/0!</v>
      </c>
      <c r="W738" s="245" t="e">
        <f t="shared" si="1019"/>
        <v>#DIV/0!</v>
      </c>
      <c r="X738" s="245" t="e">
        <f t="shared" si="1019"/>
        <v>#DIV/0!</v>
      </c>
      <c r="Y738" s="245" t="e">
        <f t="shared" si="1019"/>
        <v>#DIV/0!</v>
      </c>
      <c r="Z738" s="245" t="e">
        <f t="shared" si="1019"/>
        <v>#DIV/0!</v>
      </c>
      <c r="AA738" s="245" t="e">
        <f t="shared" si="1019"/>
        <v>#DIV/0!</v>
      </c>
      <c r="AB738" s="245" t="e">
        <f t="shared" si="1019"/>
        <v>#DIV/0!</v>
      </c>
      <c r="AC738" s="245" t="e">
        <f t="shared" si="1019"/>
        <v>#DIV/0!</v>
      </c>
      <c r="AD738" s="245" t="e">
        <f t="shared" si="1019"/>
        <v>#DIV/0!</v>
      </c>
      <c r="AF738" s="580" t="e">
        <f t="shared" si="1016"/>
        <v>#DIV/0!</v>
      </c>
      <c r="AG738" s="580" t="e">
        <f t="shared" si="1016"/>
        <v>#DIV/0!</v>
      </c>
      <c r="AH738" s="580" t="e">
        <f t="shared" si="1016"/>
        <v>#DIV/0!</v>
      </c>
      <c r="AI738" s="580" t="e">
        <f t="shared" si="1016"/>
        <v>#DIV/0!</v>
      </c>
      <c r="AJ738" s="580" t="e">
        <f t="shared" si="1016"/>
        <v>#DIV/0!</v>
      </c>
      <c r="AK738" s="580" t="e">
        <f t="shared" si="1016"/>
        <v>#DIV/0!</v>
      </c>
      <c r="AL738" s="580" t="e">
        <f t="shared" si="1016"/>
        <v>#DIV/0!</v>
      </c>
      <c r="AM738" s="580" t="e">
        <f>AM656/AM647*100</f>
        <v>#DIV/0!</v>
      </c>
      <c r="AN738" s="580" t="e">
        <f t="shared" si="1016"/>
        <v>#DIV/0!</v>
      </c>
      <c r="AO738" s="580" t="e">
        <f t="shared" si="1016"/>
        <v>#DIV/0!</v>
      </c>
      <c r="AP738" s="580" t="e">
        <f t="shared" si="1016"/>
        <v>#DIV/0!</v>
      </c>
      <c r="AQ738" s="580" t="e">
        <f t="shared" si="1016"/>
        <v>#DIV/0!</v>
      </c>
      <c r="AR738" s="580" t="e">
        <f t="shared" si="1016"/>
        <v>#DIV/0!</v>
      </c>
      <c r="AS738" s="580" t="e">
        <f t="shared" si="1016"/>
        <v>#DIV/0!</v>
      </c>
      <c r="AT738" s="580" t="e">
        <f t="shared" si="1016"/>
        <v>#DIV/0!</v>
      </c>
      <c r="AU738" s="580" t="e">
        <f t="shared" si="1016"/>
        <v>#DIV/0!</v>
      </c>
      <c r="AV738" s="580" t="e">
        <f t="shared" si="1016"/>
        <v>#DIV/0!</v>
      </c>
      <c r="AW738" s="580" t="e">
        <f t="shared" si="1016"/>
        <v>#DIV/0!</v>
      </c>
      <c r="AX738" s="580" t="e">
        <f t="shared" si="1016"/>
        <v>#DIV/0!</v>
      </c>
      <c r="AY738" s="580" t="e">
        <f t="shared" si="1016"/>
        <v>#DIV/0!</v>
      </c>
      <c r="AZ738" s="580" t="e">
        <f t="shared" si="1016"/>
        <v>#DIV/0!</v>
      </c>
      <c r="BA738" s="580" t="e">
        <f t="shared" si="1016"/>
        <v>#DIV/0!</v>
      </c>
      <c r="BB738" s="580" t="e">
        <f t="shared" si="1016"/>
        <v>#DIV/0!</v>
      </c>
      <c r="BC738" s="580" t="e">
        <f t="shared" si="1016"/>
        <v>#DIV/0!</v>
      </c>
      <c r="BD738" s="580" t="e">
        <f t="shared" si="1016"/>
        <v>#DIV/0!</v>
      </c>
      <c r="BE738" s="580" t="e">
        <f t="shared" si="1016"/>
        <v>#DIV/0!</v>
      </c>
      <c r="BF738" s="580" t="e">
        <f t="shared" si="1016"/>
        <v>#DIV/0!</v>
      </c>
      <c r="BG738" s="580" t="e">
        <f t="shared" si="1016"/>
        <v>#DIV/0!</v>
      </c>
      <c r="BH738" s="580" t="e">
        <f t="shared" si="1016"/>
        <v>#DIV/0!</v>
      </c>
      <c r="BI738" s="580" t="e">
        <f t="shared" si="1016"/>
        <v>#DIV/0!</v>
      </c>
      <c r="BJ738" s="580" t="e">
        <f t="shared" si="1016"/>
        <v>#DIV/0!</v>
      </c>
      <c r="BK738" s="580" t="e">
        <f t="shared" si="1016"/>
        <v>#DIV/0!</v>
      </c>
    </row>
    <row r="739" spans="1:63" s="245" customFormat="1">
      <c r="A739" s="243"/>
      <c r="B739" s="243" t="s">
        <v>2200</v>
      </c>
      <c r="C739" s="243" t="str">
        <f>IF(ISBLANK($E$23),"Please enter name of segment above", $E$23)</f>
        <v>Please enter name of segment above</v>
      </c>
      <c r="D739" s="243"/>
      <c r="F739" s="245" t="e">
        <f t="shared" ref="F739:AD739" si="1020">F657/F648*100</f>
        <v>#DIV/0!</v>
      </c>
      <c r="G739" s="245" t="e">
        <f t="shared" si="1020"/>
        <v>#DIV/0!</v>
      </c>
      <c r="H739" s="245" t="e">
        <f t="shared" si="1020"/>
        <v>#DIV/0!</v>
      </c>
      <c r="I739" s="245" t="e">
        <f t="shared" si="1020"/>
        <v>#DIV/0!</v>
      </c>
      <c r="J739" s="245" t="e">
        <f t="shared" si="1020"/>
        <v>#DIV/0!</v>
      </c>
      <c r="K739" s="245" t="e">
        <f t="shared" si="1020"/>
        <v>#DIV/0!</v>
      </c>
      <c r="L739" s="245" t="e">
        <f t="shared" si="1020"/>
        <v>#DIV/0!</v>
      </c>
      <c r="M739" s="245" t="e">
        <f t="shared" si="1020"/>
        <v>#DIV/0!</v>
      </c>
      <c r="N739" s="245" t="e">
        <f t="shared" si="1020"/>
        <v>#DIV/0!</v>
      </c>
      <c r="O739" s="245" t="e">
        <f t="shared" si="1020"/>
        <v>#DIV/0!</v>
      </c>
      <c r="P739" s="245" t="e">
        <f t="shared" si="1020"/>
        <v>#DIV/0!</v>
      </c>
      <c r="Q739" s="245" t="e">
        <f t="shared" si="1020"/>
        <v>#DIV/0!</v>
      </c>
      <c r="R739" s="245" t="e">
        <f t="shared" si="1020"/>
        <v>#DIV/0!</v>
      </c>
      <c r="S739" s="245" t="e">
        <f t="shared" si="1020"/>
        <v>#DIV/0!</v>
      </c>
      <c r="T739" s="245" t="e">
        <f t="shared" si="1020"/>
        <v>#DIV/0!</v>
      </c>
      <c r="U739" s="245" t="e">
        <f t="shared" si="1020"/>
        <v>#DIV/0!</v>
      </c>
      <c r="V739" s="245" t="e">
        <f t="shared" si="1020"/>
        <v>#DIV/0!</v>
      </c>
      <c r="W739" s="245" t="e">
        <f t="shared" si="1020"/>
        <v>#DIV/0!</v>
      </c>
      <c r="X739" s="245" t="e">
        <f t="shared" si="1020"/>
        <v>#DIV/0!</v>
      </c>
      <c r="Y739" s="245" t="e">
        <f t="shared" si="1020"/>
        <v>#DIV/0!</v>
      </c>
      <c r="Z739" s="245" t="e">
        <f t="shared" si="1020"/>
        <v>#DIV/0!</v>
      </c>
      <c r="AA739" s="245" t="e">
        <f t="shared" si="1020"/>
        <v>#DIV/0!</v>
      </c>
      <c r="AB739" s="245" t="e">
        <f t="shared" si="1020"/>
        <v>#DIV/0!</v>
      </c>
      <c r="AC739" s="245" t="e">
        <f t="shared" si="1020"/>
        <v>#DIV/0!</v>
      </c>
      <c r="AD739" s="245" t="e">
        <f t="shared" si="1020"/>
        <v>#DIV/0!</v>
      </c>
      <c r="AF739" s="580" t="e">
        <f t="shared" si="1016"/>
        <v>#DIV/0!</v>
      </c>
      <c r="AG739" s="580" t="e">
        <f t="shared" si="1016"/>
        <v>#DIV/0!</v>
      </c>
      <c r="AH739" s="580" t="e">
        <f t="shared" si="1016"/>
        <v>#DIV/0!</v>
      </c>
      <c r="AI739" s="580" t="e">
        <f t="shared" si="1016"/>
        <v>#DIV/0!</v>
      </c>
      <c r="AJ739" s="580" t="e">
        <f t="shared" si="1016"/>
        <v>#DIV/0!</v>
      </c>
      <c r="AK739" s="580" t="e">
        <f t="shared" si="1016"/>
        <v>#DIV/0!</v>
      </c>
      <c r="AL739" s="580" t="e">
        <f t="shared" si="1016"/>
        <v>#DIV/0!</v>
      </c>
      <c r="AM739" s="580" t="e">
        <f>AM657/AM648*100</f>
        <v>#DIV/0!</v>
      </c>
      <c r="AN739" s="580" t="e">
        <f t="shared" si="1016"/>
        <v>#DIV/0!</v>
      </c>
      <c r="AO739" s="580" t="e">
        <f t="shared" si="1016"/>
        <v>#DIV/0!</v>
      </c>
      <c r="AP739" s="580" t="e">
        <f t="shared" si="1016"/>
        <v>#DIV/0!</v>
      </c>
      <c r="AQ739" s="580" t="e">
        <f t="shared" si="1016"/>
        <v>#DIV/0!</v>
      </c>
      <c r="AR739" s="580" t="e">
        <f t="shared" si="1016"/>
        <v>#DIV/0!</v>
      </c>
      <c r="AS739" s="580" t="e">
        <f t="shared" si="1016"/>
        <v>#DIV/0!</v>
      </c>
      <c r="AT739" s="580" t="e">
        <f t="shared" si="1016"/>
        <v>#DIV/0!</v>
      </c>
      <c r="AU739" s="580" t="e">
        <f t="shared" si="1016"/>
        <v>#DIV/0!</v>
      </c>
      <c r="AV739" s="580" t="e">
        <f t="shared" si="1016"/>
        <v>#DIV/0!</v>
      </c>
      <c r="AW739" s="580" t="e">
        <f t="shared" si="1016"/>
        <v>#DIV/0!</v>
      </c>
      <c r="AX739" s="580" t="e">
        <f t="shared" si="1016"/>
        <v>#DIV/0!</v>
      </c>
      <c r="AY739" s="580" t="e">
        <f t="shared" si="1016"/>
        <v>#DIV/0!</v>
      </c>
      <c r="AZ739" s="580" t="e">
        <f t="shared" si="1016"/>
        <v>#DIV/0!</v>
      </c>
      <c r="BA739" s="580" t="e">
        <f t="shared" si="1016"/>
        <v>#DIV/0!</v>
      </c>
      <c r="BB739" s="580" t="e">
        <f t="shared" si="1016"/>
        <v>#DIV/0!</v>
      </c>
      <c r="BC739" s="580" t="e">
        <f t="shared" si="1016"/>
        <v>#DIV/0!</v>
      </c>
      <c r="BD739" s="580" t="e">
        <f t="shared" si="1016"/>
        <v>#DIV/0!</v>
      </c>
      <c r="BE739" s="580" t="e">
        <f t="shared" si="1016"/>
        <v>#DIV/0!</v>
      </c>
      <c r="BF739" s="580" t="e">
        <f t="shared" si="1016"/>
        <v>#DIV/0!</v>
      </c>
      <c r="BG739" s="580" t="e">
        <f t="shared" si="1016"/>
        <v>#DIV/0!</v>
      </c>
      <c r="BH739" s="580" t="e">
        <f t="shared" si="1016"/>
        <v>#DIV/0!</v>
      </c>
      <c r="BI739" s="580" t="e">
        <f t="shared" si="1016"/>
        <v>#DIV/0!</v>
      </c>
      <c r="BJ739" s="580" t="e">
        <f t="shared" si="1016"/>
        <v>#DIV/0!</v>
      </c>
      <c r="BK739" s="580" t="e">
        <f t="shared" si="1016"/>
        <v>#DIV/0!</v>
      </c>
    </row>
    <row r="740" spans="1:63" s="248" customFormat="1">
      <c r="A740" s="247"/>
      <c r="B740" s="247"/>
      <c r="C740" s="247"/>
      <c r="D740" s="247"/>
      <c r="AF740" s="581"/>
      <c r="AG740" s="581"/>
      <c r="AH740" s="581"/>
      <c r="AI740" s="581"/>
      <c r="AJ740" s="581"/>
      <c r="AK740" s="581"/>
      <c r="AL740" s="581"/>
      <c r="AM740" s="581"/>
      <c r="AN740" s="581"/>
      <c r="AO740" s="581"/>
      <c r="AP740" s="581"/>
      <c r="AQ740" s="581"/>
      <c r="AR740" s="581"/>
      <c r="AS740" s="581"/>
      <c r="AT740" s="581"/>
      <c r="AU740" s="581"/>
      <c r="AV740" s="581"/>
      <c r="AW740" s="581"/>
      <c r="AX740" s="581"/>
      <c r="AY740" s="581"/>
      <c r="AZ740" s="581"/>
      <c r="BA740" s="581"/>
      <c r="BB740" s="581"/>
      <c r="BC740" s="581"/>
      <c r="BD740" s="581"/>
      <c r="BE740" s="581"/>
      <c r="BF740" s="581"/>
      <c r="BG740" s="581"/>
      <c r="BH740" s="581"/>
      <c r="BI740" s="581"/>
      <c r="BJ740" s="581"/>
      <c r="BK740" s="581"/>
    </row>
    <row r="741" spans="1:63" s="240" customFormat="1">
      <c r="A741" s="209"/>
      <c r="B741" s="209"/>
      <c r="C741" s="275" t="s">
        <v>448</v>
      </c>
      <c r="D741" s="209"/>
      <c r="AF741" s="579"/>
      <c r="AG741" s="579"/>
      <c r="AH741" s="579"/>
      <c r="AI741" s="579"/>
      <c r="AJ741" s="579"/>
      <c r="AK741" s="579"/>
      <c r="AL741" s="579"/>
      <c r="AM741" s="579"/>
      <c r="AN741" s="579"/>
      <c r="AO741" s="579"/>
      <c r="AP741" s="579"/>
      <c r="AQ741" s="579"/>
      <c r="AR741" s="579"/>
      <c r="AS741" s="579"/>
      <c r="AT741" s="579"/>
      <c r="AU741" s="579"/>
      <c r="AV741" s="579"/>
      <c r="AW741" s="579"/>
      <c r="AX741" s="579"/>
      <c r="AY741" s="579"/>
      <c r="AZ741" s="579"/>
      <c r="BA741" s="579"/>
      <c r="BB741" s="579"/>
      <c r="BC741" s="579"/>
      <c r="BD741" s="579"/>
      <c r="BE741" s="579"/>
      <c r="BF741" s="579"/>
      <c r="BG741" s="579"/>
      <c r="BH741" s="579"/>
      <c r="BI741" s="579"/>
      <c r="BJ741" s="579"/>
      <c r="BK741" s="579"/>
    </row>
    <row r="742" spans="1:63" s="240" customFormat="1">
      <c r="A742" s="209"/>
      <c r="B742" s="209"/>
      <c r="C742" s="209" t="s">
        <v>2125</v>
      </c>
      <c r="D742" s="209"/>
      <c r="AF742" s="579"/>
      <c r="AG742" s="579"/>
      <c r="AH742" s="579"/>
      <c r="AI742" s="579"/>
      <c r="AJ742" s="579"/>
      <c r="AK742" s="579"/>
      <c r="AL742" s="579"/>
      <c r="AM742" s="579"/>
      <c r="AN742" s="579"/>
      <c r="AO742" s="579"/>
      <c r="AP742" s="579"/>
      <c r="AQ742" s="579"/>
      <c r="AR742" s="579"/>
      <c r="AS742" s="579"/>
      <c r="AT742" s="579"/>
      <c r="AU742" s="579"/>
      <c r="AV742" s="579"/>
      <c r="AW742" s="579"/>
      <c r="AX742" s="579"/>
      <c r="AY742" s="579"/>
      <c r="AZ742" s="579"/>
      <c r="BA742" s="579"/>
      <c r="BB742" s="579"/>
      <c r="BC742" s="579"/>
      <c r="BD742" s="579"/>
      <c r="BE742" s="579"/>
      <c r="BF742" s="579"/>
      <c r="BG742" s="579"/>
      <c r="BH742" s="579"/>
      <c r="BI742" s="579"/>
      <c r="BJ742" s="579"/>
      <c r="BK742" s="579"/>
    </row>
    <row r="743" spans="1:63" s="245" customFormat="1">
      <c r="A743" s="243"/>
      <c r="B743" s="243" t="s">
        <v>2201</v>
      </c>
      <c r="C743" s="243" t="str">
        <f>IF(ISBLANK($E$19),"Please enter name of segment above", $E$19)</f>
        <v>Please enter name of segment above</v>
      </c>
      <c r="D743" s="243"/>
      <c r="F743" s="245" t="e">
        <f t="shared" ref="F743:AD743" si="1021">F653/F673*100</f>
        <v>#DIV/0!</v>
      </c>
      <c r="G743" s="245" t="e">
        <f t="shared" si="1021"/>
        <v>#DIV/0!</v>
      </c>
      <c r="H743" s="245" t="e">
        <f t="shared" si="1021"/>
        <v>#DIV/0!</v>
      </c>
      <c r="I743" s="245" t="e">
        <f t="shared" si="1021"/>
        <v>#DIV/0!</v>
      </c>
      <c r="J743" s="245" t="e">
        <f t="shared" si="1021"/>
        <v>#DIV/0!</v>
      </c>
      <c r="K743" s="245" t="e">
        <f t="shared" si="1021"/>
        <v>#DIV/0!</v>
      </c>
      <c r="L743" s="245" t="e">
        <f t="shared" si="1021"/>
        <v>#DIV/0!</v>
      </c>
      <c r="M743" s="245" t="e">
        <f t="shared" si="1021"/>
        <v>#DIV/0!</v>
      </c>
      <c r="N743" s="245" t="e">
        <f t="shared" si="1021"/>
        <v>#DIV/0!</v>
      </c>
      <c r="O743" s="245" t="e">
        <f t="shared" si="1021"/>
        <v>#DIV/0!</v>
      </c>
      <c r="P743" s="245" t="e">
        <f t="shared" si="1021"/>
        <v>#DIV/0!</v>
      </c>
      <c r="Q743" s="245" t="e">
        <f t="shared" si="1021"/>
        <v>#DIV/0!</v>
      </c>
      <c r="R743" s="245" t="e">
        <f t="shared" si="1021"/>
        <v>#DIV/0!</v>
      </c>
      <c r="S743" s="245" t="e">
        <f t="shared" si="1021"/>
        <v>#DIV/0!</v>
      </c>
      <c r="T743" s="245" t="e">
        <f t="shared" si="1021"/>
        <v>#DIV/0!</v>
      </c>
      <c r="U743" s="245" t="e">
        <f t="shared" si="1021"/>
        <v>#DIV/0!</v>
      </c>
      <c r="V743" s="245" t="e">
        <f t="shared" si="1021"/>
        <v>#DIV/0!</v>
      </c>
      <c r="W743" s="245" t="e">
        <f t="shared" si="1021"/>
        <v>#DIV/0!</v>
      </c>
      <c r="X743" s="245" t="e">
        <f t="shared" si="1021"/>
        <v>#DIV/0!</v>
      </c>
      <c r="Y743" s="245" t="e">
        <f t="shared" si="1021"/>
        <v>#DIV/0!</v>
      </c>
      <c r="Z743" s="245" t="e">
        <f t="shared" si="1021"/>
        <v>#DIV/0!</v>
      </c>
      <c r="AA743" s="245" t="e">
        <f t="shared" si="1021"/>
        <v>#DIV/0!</v>
      </c>
      <c r="AB743" s="245" t="e">
        <f t="shared" si="1021"/>
        <v>#DIV/0!</v>
      </c>
      <c r="AC743" s="245" t="e">
        <f t="shared" si="1021"/>
        <v>#DIV/0!</v>
      </c>
      <c r="AD743" s="245" t="e">
        <f t="shared" si="1021"/>
        <v>#DIV/0!</v>
      </c>
      <c r="AF743" s="580" t="e">
        <f t="shared" ref="AF743:BK747" si="1022">AF653/AF673*100</f>
        <v>#DIV/0!</v>
      </c>
      <c r="AG743" s="580" t="e">
        <f t="shared" si="1022"/>
        <v>#DIV/0!</v>
      </c>
      <c r="AH743" s="580" t="e">
        <f t="shared" si="1022"/>
        <v>#DIV/0!</v>
      </c>
      <c r="AI743" s="580" t="e">
        <f t="shared" si="1022"/>
        <v>#DIV/0!</v>
      </c>
      <c r="AJ743" s="580" t="e">
        <f t="shared" si="1022"/>
        <v>#DIV/0!</v>
      </c>
      <c r="AK743" s="580" t="e">
        <f t="shared" si="1022"/>
        <v>#DIV/0!</v>
      </c>
      <c r="AL743" s="580" t="e">
        <f t="shared" si="1022"/>
        <v>#DIV/0!</v>
      </c>
      <c r="AM743" s="580" t="e">
        <f>AM653/AM673*100</f>
        <v>#DIV/0!</v>
      </c>
      <c r="AN743" s="580" t="e">
        <f t="shared" si="1022"/>
        <v>#DIV/0!</v>
      </c>
      <c r="AO743" s="580" t="e">
        <f t="shared" si="1022"/>
        <v>#DIV/0!</v>
      </c>
      <c r="AP743" s="580" t="e">
        <f t="shared" si="1022"/>
        <v>#DIV/0!</v>
      </c>
      <c r="AQ743" s="580" t="e">
        <f t="shared" si="1022"/>
        <v>#DIV/0!</v>
      </c>
      <c r="AR743" s="580" t="e">
        <f t="shared" si="1022"/>
        <v>#DIV/0!</v>
      </c>
      <c r="AS743" s="580" t="e">
        <f t="shared" si="1022"/>
        <v>#DIV/0!</v>
      </c>
      <c r="AT743" s="580" t="e">
        <f t="shared" si="1022"/>
        <v>#DIV/0!</v>
      </c>
      <c r="AU743" s="580" t="e">
        <f t="shared" si="1022"/>
        <v>#DIV/0!</v>
      </c>
      <c r="AV743" s="580" t="e">
        <f t="shared" si="1022"/>
        <v>#DIV/0!</v>
      </c>
      <c r="AW743" s="580" t="e">
        <f t="shared" si="1022"/>
        <v>#DIV/0!</v>
      </c>
      <c r="AX743" s="580" t="e">
        <f t="shared" si="1022"/>
        <v>#DIV/0!</v>
      </c>
      <c r="AY743" s="580" t="e">
        <f t="shared" si="1022"/>
        <v>#DIV/0!</v>
      </c>
      <c r="AZ743" s="580" t="e">
        <f t="shared" si="1022"/>
        <v>#DIV/0!</v>
      </c>
      <c r="BA743" s="580" t="e">
        <f t="shared" si="1022"/>
        <v>#DIV/0!</v>
      </c>
      <c r="BB743" s="580" t="e">
        <f t="shared" si="1022"/>
        <v>#DIV/0!</v>
      </c>
      <c r="BC743" s="580" t="e">
        <f t="shared" si="1022"/>
        <v>#DIV/0!</v>
      </c>
      <c r="BD743" s="580" t="e">
        <f t="shared" si="1022"/>
        <v>#DIV/0!</v>
      </c>
      <c r="BE743" s="580" t="e">
        <f t="shared" si="1022"/>
        <v>#DIV/0!</v>
      </c>
      <c r="BF743" s="580" t="e">
        <f t="shared" si="1022"/>
        <v>#DIV/0!</v>
      </c>
      <c r="BG743" s="580" t="e">
        <f t="shared" si="1022"/>
        <v>#DIV/0!</v>
      </c>
      <c r="BH743" s="580" t="e">
        <f t="shared" si="1022"/>
        <v>#DIV/0!</v>
      </c>
      <c r="BI743" s="580" t="e">
        <f t="shared" si="1022"/>
        <v>#DIV/0!</v>
      </c>
      <c r="BJ743" s="580" t="e">
        <f t="shared" si="1022"/>
        <v>#DIV/0!</v>
      </c>
      <c r="BK743" s="580" t="e">
        <f t="shared" si="1022"/>
        <v>#DIV/0!</v>
      </c>
    </row>
    <row r="744" spans="1:63" s="245" customFormat="1">
      <c r="A744" s="243"/>
      <c r="B744" s="243" t="s">
        <v>2202</v>
      </c>
      <c r="C744" s="243" t="str">
        <f>IF(ISBLANK($E$20),"Please enter name of segment above", $E$20)</f>
        <v>Please enter name of segment above</v>
      </c>
      <c r="D744" s="243"/>
      <c r="F744" s="245" t="e">
        <f t="shared" ref="F744:AD744" si="1023">F654/F674*100</f>
        <v>#DIV/0!</v>
      </c>
      <c r="G744" s="245" t="e">
        <f t="shared" si="1023"/>
        <v>#DIV/0!</v>
      </c>
      <c r="H744" s="245" t="e">
        <f t="shared" si="1023"/>
        <v>#DIV/0!</v>
      </c>
      <c r="I744" s="245" t="e">
        <f t="shared" si="1023"/>
        <v>#DIV/0!</v>
      </c>
      <c r="J744" s="245" t="e">
        <f t="shared" si="1023"/>
        <v>#DIV/0!</v>
      </c>
      <c r="K744" s="245" t="e">
        <f t="shared" si="1023"/>
        <v>#DIV/0!</v>
      </c>
      <c r="L744" s="245" t="e">
        <f t="shared" si="1023"/>
        <v>#DIV/0!</v>
      </c>
      <c r="M744" s="245" t="e">
        <f t="shared" si="1023"/>
        <v>#DIV/0!</v>
      </c>
      <c r="N744" s="245" t="e">
        <f t="shared" si="1023"/>
        <v>#DIV/0!</v>
      </c>
      <c r="O744" s="245" t="e">
        <f t="shared" si="1023"/>
        <v>#DIV/0!</v>
      </c>
      <c r="P744" s="245" t="e">
        <f t="shared" si="1023"/>
        <v>#DIV/0!</v>
      </c>
      <c r="Q744" s="245" t="e">
        <f t="shared" si="1023"/>
        <v>#DIV/0!</v>
      </c>
      <c r="R744" s="245" t="e">
        <f t="shared" si="1023"/>
        <v>#DIV/0!</v>
      </c>
      <c r="S744" s="245" t="e">
        <f t="shared" si="1023"/>
        <v>#DIV/0!</v>
      </c>
      <c r="T744" s="245" t="e">
        <f t="shared" si="1023"/>
        <v>#DIV/0!</v>
      </c>
      <c r="U744" s="245" t="e">
        <f t="shared" si="1023"/>
        <v>#DIV/0!</v>
      </c>
      <c r="V744" s="245" t="e">
        <f t="shared" si="1023"/>
        <v>#DIV/0!</v>
      </c>
      <c r="W744" s="245" t="e">
        <f t="shared" si="1023"/>
        <v>#DIV/0!</v>
      </c>
      <c r="X744" s="245" t="e">
        <f t="shared" si="1023"/>
        <v>#DIV/0!</v>
      </c>
      <c r="Y744" s="245" t="e">
        <f t="shared" si="1023"/>
        <v>#DIV/0!</v>
      </c>
      <c r="Z744" s="245" t="e">
        <f t="shared" si="1023"/>
        <v>#DIV/0!</v>
      </c>
      <c r="AA744" s="245" t="e">
        <f t="shared" si="1023"/>
        <v>#DIV/0!</v>
      </c>
      <c r="AB744" s="245" t="e">
        <f t="shared" si="1023"/>
        <v>#DIV/0!</v>
      </c>
      <c r="AC744" s="245" t="e">
        <f t="shared" si="1023"/>
        <v>#DIV/0!</v>
      </c>
      <c r="AD744" s="245" t="e">
        <f t="shared" si="1023"/>
        <v>#DIV/0!</v>
      </c>
      <c r="AF744" s="580" t="e">
        <f t="shared" si="1022"/>
        <v>#DIV/0!</v>
      </c>
      <c r="AG744" s="580" t="e">
        <f t="shared" si="1022"/>
        <v>#DIV/0!</v>
      </c>
      <c r="AH744" s="580" t="e">
        <f t="shared" si="1022"/>
        <v>#DIV/0!</v>
      </c>
      <c r="AI744" s="580" t="e">
        <f t="shared" si="1022"/>
        <v>#DIV/0!</v>
      </c>
      <c r="AJ744" s="580" t="e">
        <f t="shared" si="1022"/>
        <v>#DIV/0!</v>
      </c>
      <c r="AK744" s="580" t="e">
        <f t="shared" si="1022"/>
        <v>#DIV/0!</v>
      </c>
      <c r="AL744" s="580" t="e">
        <f t="shared" si="1022"/>
        <v>#DIV/0!</v>
      </c>
      <c r="AM744" s="580" t="e">
        <f>AM654/AM674*100</f>
        <v>#DIV/0!</v>
      </c>
      <c r="AN744" s="580" t="e">
        <f t="shared" si="1022"/>
        <v>#DIV/0!</v>
      </c>
      <c r="AO744" s="580" t="e">
        <f t="shared" si="1022"/>
        <v>#DIV/0!</v>
      </c>
      <c r="AP744" s="580" t="e">
        <f t="shared" si="1022"/>
        <v>#DIV/0!</v>
      </c>
      <c r="AQ744" s="580" t="e">
        <f t="shared" si="1022"/>
        <v>#DIV/0!</v>
      </c>
      <c r="AR744" s="580" t="e">
        <f t="shared" si="1022"/>
        <v>#DIV/0!</v>
      </c>
      <c r="AS744" s="580" t="e">
        <f t="shared" si="1022"/>
        <v>#DIV/0!</v>
      </c>
      <c r="AT744" s="580" t="e">
        <f t="shared" si="1022"/>
        <v>#DIV/0!</v>
      </c>
      <c r="AU744" s="580" t="e">
        <f t="shared" si="1022"/>
        <v>#DIV/0!</v>
      </c>
      <c r="AV744" s="580" t="e">
        <f t="shared" si="1022"/>
        <v>#DIV/0!</v>
      </c>
      <c r="AW744" s="580" t="e">
        <f t="shared" si="1022"/>
        <v>#DIV/0!</v>
      </c>
      <c r="AX744" s="580" t="e">
        <f t="shared" si="1022"/>
        <v>#DIV/0!</v>
      </c>
      <c r="AY744" s="580" t="e">
        <f t="shared" si="1022"/>
        <v>#DIV/0!</v>
      </c>
      <c r="AZ744" s="580" t="e">
        <f t="shared" si="1022"/>
        <v>#DIV/0!</v>
      </c>
      <c r="BA744" s="580" t="e">
        <f t="shared" si="1022"/>
        <v>#DIV/0!</v>
      </c>
      <c r="BB744" s="580" t="e">
        <f t="shared" si="1022"/>
        <v>#DIV/0!</v>
      </c>
      <c r="BC744" s="580" t="e">
        <f t="shared" si="1022"/>
        <v>#DIV/0!</v>
      </c>
      <c r="BD744" s="580" t="e">
        <f t="shared" si="1022"/>
        <v>#DIV/0!</v>
      </c>
      <c r="BE744" s="580" t="e">
        <f t="shared" si="1022"/>
        <v>#DIV/0!</v>
      </c>
      <c r="BF744" s="580" t="e">
        <f t="shared" si="1022"/>
        <v>#DIV/0!</v>
      </c>
      <c r="BG744" s="580" t="e">
        <f t="shared" si="1022"/>
        <v>#DIV/0!</v>
      </c>
      <c r="BH744" s="580" t="e">
        <f t="shared" si="1022"/>
        <v>#DIV/0!</v>
      </c>
      <c r="BI744" s="580" t="e">
        <f t="shared" si="1022"/>
        <v>#DIV/0!</v>
      </c>
      <c r="BJ744" s="580" t="e">
        <f t="shared" si="1022"/>
        <v>#DIV/0!</v>
      </c>
      <c r="BK744" s="580" t="e">
        <f t="shared" si="1022"/>
        <v>#DIV/0!</v>
      </c>
    </row>
    <row r="745" spans="1:63" s="245" customFormat="1">
      <c r="A745" s="243"/>
      <c r="B745" s="243" t="s">
        <v>2203</v>
      </c>
      <c r="C745" s="243" t="str">
        <f>IF(ISBLANK($E$21),"Please enter name of segment above", $E$21)</f>
        <v>Please enter name of segment above</v>
      </c>
      <c r="D745" s="243"/>
      <c r="F745" s="245" t="e">
        <f t="shared" ref="F745:AD745" si="1024">F655/F675*100</f>
        <v>#DIV/0!</v>
      </c>
      <c r="G745" s="245" t="e">
        <f t="shared" si="1024"/>
        <v>#DIV/0!</v>
      </c>
      <c r="H745" s="245" t="e">
        <f t="shared" si="1024"/>
        <v>#DIV/0!</v>
      </c>
      <c r="I745" s="245" t="e">
        <f t="shared" si="1024"/>
        <v>#DIV/0!</v>
      </c>
      <c r="J745" s="245" t="e">
        <f t="shared" si="1024"/>
        <v>#DIV/0!</v>
      </c>
      <c r="K745" s="245" t="e">
        <f t="shared" si="1024"/>
        <v>#DIV/0!</v>
      </c>
      <c r="L745" s="245" t="e">
        <f t="shared" si="1024"/>
        <v>#DIV/0!</v>
      </c>
      <c r="M745" s="245" t="e">
        <f t="shared" si="1024"/>
        <v>#DIV/0!</v>
      </c>
      <c r="N745" s="245" t="e">
        <f t="shared" si="1024"/>
        <v>#DIV/0!</v>
      </c>
      <c r="O745" s="245" t="e">
        <f t="shared" si="1024"/>
        <v>#DIV/0!</v>
      </c>
      <c r="P745" s="245" t="e">
        <f t="shared" si="1024"/>
        <v>#DIV/0!</v>
      </c>
      <c r="Q745" s="245" t="e">
        <f t="shared" si="1024"/>
        <v>#DIV/0!</v>
      </c>
      <c r="R745" s="245" t="e">
        <f t="shared" si="1024"/>
        <v>#DIV/0!</v>
      </c>
      <c r="S745" s="245" t="e">
        <f t="shared" si="1024"/>
        <v>#DIV/0!</v>
      </c>
      <c r="T745" s="245" t="e">
        <f t="shared" si="1024"/>
        <v>#DIV/0!</v>
      </c>
      <c r="U745" s="245" t="e">
        <f t="shared" si="1024"/>
        <v>#DIV/0!</v>
      </c>
      <c r="V745" s="245" t="e">
        <f t="shared" si="1024"/>
        <v>#DIV/0!</v>
      </c>
      <c r="W745" s="245" t="e">
        <f t="shared" si="1024"/>
        <v>#DIV/0!</v>
      </c>
      <c r="X745" s="245" t="e">
        <f t="shared" si="1024"/>
        <v>#DIV/0!</v>
      </c>
      <c r="Y745" s="245" t="e">
        <f t="shared" si="1024"/>
        <v>#DIV/0!</v>
      </c>
      <c r="Z745" s="245" t="e">
        <f t="shared" si="1024"/>
        <v>#DIV/0!</v>
      </c>
      <c r="AA745" s="245" t="e">
        <f t="shared" si="1024"/>
        <v>#DIV/0!</v>
      </c>
      <c r="AB745" s="245" t="e">
        <f t="shared" si="1024"/>
        <v>#DIV/0!</v>
      </c>
      <c r="AC745" s="245" t="e">
        <f t="shared" si="1024"/>
        <v>#DIV/0!</v>
      </c>
      <c r="AD745" s="245" t="e">
        <f t="shared" si="1024"/>
        <v>#DIV/0!</v>
      </c>
      <c r="AF745" s="580" t="e">
        <f t="shared" si="1022"/>
        <v>#DIV/0!</v>
      </c>
      <c r="AG745" s="580" t="e">
        <f t="shared" si="1022"/>
        <v>#DIV/0!</v>
      </c>
      <c r="AH745" s="580" t="e">
        <f t="shared" si="1022"/>
        <v>#DIV/0!</v>
      </c>
      <c r="AI745" s="580" t="e">
        <f t="shared" si="1022"/>
        <v>#DIV/0!</v>
      </c>
      <c r="AJ745" s="580" t="e">
        <f t="shared" si="1022"/>
        <v>#DIV/0!</v>
      </c>
      <c r="AK745" s="580" t="e">
        <f t="shared" si="1022"/>
        <v>#DIV/0!</v>
      </c>
      <c r="AL745" s="580" t="e">
        <f t="shared" si="1022"/>
        <v>#DIV/0!</v>
      </c>
      <c r="AM745" s="580" t="e">
        <f>AM655/AM675*100</f>
        <v>#DIV/0!</v>
      </c>
      <c r="AN745" s="580" t="e">
        <f t="shared" si="1022"/>
        <v>#DIV/0!</v>
      </c>
      <c r="AO745" s="580" t="e">
        <f t="shared" si="1022"/>
        <v>#DIV/0!</v>
      </c>
      <c r="AP745" s="580" t="e">
        <f t="shared" si="1022"/>
        <v>#DIV/0!</v>
      </c>
      <c r="AQ745" s="580" t="e">
        <f t="shared" si="1022"/>
        <v>#DIV/0!</v>
      </c>
      <c r="AR745" s="580" t="e">
        <f t="shared" si="1022"/>
        <v>#DIV/0!</v>
      </c>
      <c r="AS745" s="580" t="e">
        <f t="shared" si="1022"/>
        <v>#DIV/0!</v>
      </c>
      <c r="AT745" s="580" t="e">
        <f t="shared" si="1022"/>
        <v>#DIV/0!</v>
      </c>
      <c r="AU745" s="580" t="e">
        <f t="shared" si="1022"/>
        <v>#DIV/0!</v>
      </c>
      <c r="AV745" s="580" t="e">
        <f t="shared" si="1022"/>
        <v>#DIV/0!</v>
      </c>
      <c r="AW745" s="580" t="e">
        <f t="shared" si="1022"/>
        <v>#DIV/0!</v>
      </c>
      <c r="AX745" s="580" t="e">
        <f t="shared" si="1022"/>
        <v>#DIV/0!</v>
      </c>
      <c r="AY745" s="580" t="e">
        <f t="shared" si="1022"/>
        <v>#DIV/0!</v>
      </c>
      <c r="AZ745" s="580" t="e">
        <f t="shared" si="1022"/>
        <v>#DIV/0!</v>
      </c>
      <c r="BA745" s="580" t="e">
        <f t="shared" si="1022"/>
        <v>#DIV/0!</v>
      </c>
      <c r="BB745" s="580" t="e">
        <f t="shared" si="1022"/>
        <v>#DIV/0!</v>
      </c>
      <c r="BC745" s="580" t="e">
        <f t="shared" si="1022"/>
        <v>#DIV/0!</v>
      </c>
      <c r="BD745" s="580" t="e">
        <f t="shared" si="1022"/>
        <v>#DIV/0!</v>
      </c>
      <c r="BE745" s="580" t="e">
        <f t="shared" si="1022"/>
        <v>#DIV/0!</v>
      </c>
      <c r="BF745" s="580" t="e">
        <f t="shared" si="1022"/>
        <v>#DIV/0!</v>
      </c>
      <c r="BG745" s="580" t="e">
        <f t="shared" si="1022"/>
        <v>#DIV/0!</v>
      </c>
      <c r="BH745" s="580" t="e">
        <f t="shared" si="1022"/>
        <v>#DIV/0!</v>
      </c>
      <c r="BI745" s="580" t="e">
        <f t="shared" si="1022"/>
        <v>#DIV/0!</v>
      </c>
      <c r="BJ745" s="580" t="e">
        <f t="shared" si="1022"/>
        <v>#DIV/0!</v>
      </c>
      <c r="BK745" s="580" t="e">
        <f t="shared" si="1022"/>
        <v>#DIV/0!</v>
      </c>
    </row>
    <row r="746" spans="1:63" s="245" customFormat="1">
      <c r="A746" s="243"/>
      <c r="B746" s="243" t="s">
        <v>2204</v>
      </c>
      <c r="C746" s="243" t="str">
        <f>IF(ISBLANK($E$22),"Please enter name of segment above", $E$22)</f>
        <v>Please enter name of segment above</v>
      </c>
      <c r="D746" s="243"/>
      <c r="F746" s="245" t="e">
        <f t="shared" ref="F746:AD746" si="1025">F656/F676*100</f>
        <v>#DIV/0!</v>
      </c>
      <c r="G746" s="245" t="e">
        <f t="shared" si="1025"/>
        <v>#DIV/0!</v>
      </c>
      <c r="H746" s="245" t="e">
        <f t="shared" si="1025"/>
        <v>#DIV/0!</v>
      </c>
      <c r="I746" s="245" t="e">
        <f t="shared" si="1025"/>
        <v>#DIV/0!</v>
      </c>
      <c r="J746" s="245" t="e">
        <f t="shared" si="1025"/>
        <v>#DIV/0!</v>
      </c>
      <c r="K746" s="245" t="e">
        <f t="shared" si="1025"/>
        <v>#DIV/0!</v>
      </c>
      <c r="L746" s="245" t="e">
        <f t="shared" si="1025"/>
        <v>#DIV/0!</v>
      </c>
      <c r="M746" s="245" t="e">
        <f t="shared" si="1025"/>
        <v>#DIV/0!</v>
      </c>
      <c r="N746" s="245" t="e">
        <f t="shared" si="1025"/>
        <v>#DIV/0!</v>
      </c>
      <c r="O746" s="245" t="e">
        <f t="shared" si="1025"/>
        <v>#DIV/0!</v>
      </c>
      <c r="P746" s="245" t="e">
        <f t="shared" si="1025"/>
        <v>#DIV/0!</v>
      </c>
      <c r="Q746" s="245" t="e">
        <f t="shared" si="1025"/>
        <v>#DIV/0!</v>
      </c>
      <c r="R746" s="245" t="e">
        <f t="shared" si="1025"/>
        <v>#DIV/0!</v>
      </c>
      <c r="S746" s="245" t="e">
        <f t="shared" si="1025"/>
        <v>#DIV/0!</v>
      </c>
      <c r="T746" s="245" t="e">
        <f t="shared" si="1025"/>
        <v>#DIV/0!</v>
      </c>
      <c r="U746" s="245" t="e">
        <f t="shared" si="1025"/>
        <v>#DIV/0!</v>
      </c>
      <c r="V746" s="245" t="e">
        <f t="shared" si="1025"/>
        <v>#DIV/0!</v>
      </c>
      <c r="W746" s="245" t="e">
        <f t="shared" si="1025"/>
        <v>#DIV/0!</v>
      </c>
      <c r="X746" s="245" t="e">
        <f t="shared" si="1025"/>
        <v>#DIV/0!</v>
      </c>
      <c r="Y746" s="245" t="e">
        <f t="shared" si="1025"/>
        <v>#DIV/0!</v>
      </c>
      <c r="Z746" s="245" t="e">
        <f t="shared" si="1025"/>
        <v>#DIV/0!</v>
      </c>
      <c r="AA746" s="245" t="e">
        <f t="shared" si="1025"/>
        <v>#DIV/0!</v>
      </c>
      <c r="AB746" s="245" t="e">
        <f t="shared" si="1025"/>
        <v>#DIV/0!</v>
      </c>
      <c r="AC746" s="245" t="e">
        <f t="shared" si="1025"/>
        <v>#DIV/0!</v>
      </c>
      <c r="AD746" s="245" t="e">
        <f t="shared" si="1025"/>
        <v>#DIV/0!</v>
      </c>
      <c r="AF746" s="580" t="e">
        <f t="shared" si="1022"/>
        <v>#DIV/0!</v>
      </c>
      <c r="AG746" s="580" t="e">
        <f t="shared" si="1022"/>
        <v>#DIV/0!</v>
      </c>
      <c r="AH746" s="580" t="e">
        <f t="shared" si="1022"/>
        <v>#DIV/0!</v>
      </c>
      <c r="AI746" s="580" t="e">
        <f t="shared" si="1022"/>
        <v>#DIV/0!</v>
      </c>
      <c r="AJ746" s="580" t="e">
        <f t="shared" si="1022"/>
        <v>#DIV/0!</v>
      </c>
      <c r="AK746" s="580" t="e">
        <f t="shared" si="1022"/>
        <v>#DIV/0!</v>
      </c>
      <c r="AL746" s="580" t="e">
        <f t="shared" si="1022"/>
        <v>#DIV/0!</v>
      </c>
      <c r="AM746" s="580" t="e">
        <f>AM656/AM676*100</f>
        <v>#DIV/0!</v>
      </c>
      <c r="AN746" s="580" t="e">
        <f t="shared" si="1022"/>
        <v>#DIV/0!</v>
      </c>
      <c r="AO746" s="580" t="e">
        <f t="shared" si="1022"/>
        <v>#DIV/0!</v>
      </c>
      <c r="AP746" s="580" t="e">
        <f t="shared" si="1022"/>
        <v>#DIV/0!</v>
      </c>
      <c r="AQ746" s="580" t="e">
        <f t="shared" si="1022"/>
        <v>#DIV/0!</v>
      </c>
      <c r="AR746" s="580" t="e">
        <f t="shared" si="1022"/>
        <v>#DIV/0!</v>
      </c>
      <c r="AS746" s="580" t="e">
        <f t="shared" si="1022"/>
        <v>#DIV/0!</v>
      </c>
      <c r="AT746" s="580" t="e">
        <f t="shared" si="1022"/>
        <v>#DIV/0!</v>
      </c>
      <c r="AU746" s="580" t="e">
        <f t="shared" si="1022"/>
        <v>#DIV/0!</v>
      </c>
      <c r="AV746" s="580" t="e">
        <f t="shared" si="1022"/>
        <v>#DIV/0!</v>
      </c>
      <c r="AW746" s="580" t="e">
        <f t="shared" si="1022"/>
        <v>#DIV/0!</v>
      </c>
      <c r="AX746" s="580" t="e">
        <f t="shared" si="1022"/>
        <v>#DIV/0!</v>
      </c>
      <c r="AY746" s="580" t="e">
        <f t="shared" si="1022"/>
        <v>#DIV/0!</v>
      </c>
      <c r="AZ746" s="580" t="e">
        <f t="shared" si="1022"/>
        <v>#DIV/0!</v>
      </c>
      <c r="BA746" s="580" t="e">
        <f t="shared" si="1022"/>
        <v>#DIV/0!</v>
      </c>
      <c r="BB746" s="580" t="e">
        <f t="shared" si="1022"/>
        <v>#DIV/0!</v>
      </c>
      <c r="BC746" s="580" t="e">
        <f t="shared" si="1022"/>
        <v>#DIV/0!</v>
      </c>
      <c r="BD746" s="580" t="e">
        <f t="shared" si="1022"/>
        <v>#DIV/0!</v>
      </c>
      <c r="BE746" s="580" t="e">
        <f t="shared" si="1022"/>
        <v>#DIV/0!</v>
      </c>
      <c r="BF746" s="580" t="e">
        <f t="shared" si="1022"/>
        <v>#DIV/0!</v>
      </c>
      <c r="BG746" s="580" t="e">
        <f t="shared" si="1022"/>
        <v>#DIV/0!</v>
      </c>
      <c r="BH746" s="580" t="e">
        <f t="shared" si="1022"/>
        <v>#DIV/0!</v>
      </c>
      <c r="BI746" s="580" t="e">
        <f t="shared" si="1022"/>
        <v>#DIV/0!</v>
      </c>
      <c r="BJ746" s="580" t="e">
        <f t="shared" si="1022"/>
        <v>#DIV/0!</v>
      </c>
      <c r="BK746" s="580" t="e">
        <f t="shared" si="1022"/>
        <v>#DIV/0!</v>
      </c>
    </row>
    <row r="747" spans="1:63" s="245" customFormat="1">
      <c r="A747" s="243"/>
      <c r="B747" s="243" t="s">
        <v>2205</v>
      </c>
      <c r="C747" s="243" t="str">
        <f>IF(ISBLANK($E$23),"Please enter name of segment above", $E$23)</f>
        <v>Please enter name of segment above</v>
      </c>
      <c r="D747" s="243"/>
      <c r="F747" s="245" t="e">
        <f t="shared" ref="F747:AD747" si="1026">F657/F677*100</f>
        <v>#DIV/0!</v>
      </c>
      <c r="G747" s="245" t="e">
        <f t="shared" si="1026"/>
        <v>#DIV/0!</v>
      </c>
      <c r="H747" s="245" t="e">
        <f t="shared" si="1026"/>
        <v>#DIV/0!</v>
      </c>
      <c r="I747" s="245" t="e">
        <f t="shared" si="1026"/>
        <v>#DIV/0!</v>
      </c>
      <c r="J747" s="245" t="e">
        <f t="shared" si="1026"/>
        <v>#DIV/0!</v>
      </c>
      <c r="K747" s="245" t="e">
        <f t="shared" si="1026"/>
        <v>#DIV/0!</v>
      </c>
      <c r="L747" s="245" t="e">
        <f t="shared" si="1026"/>
        <v>#DIV/0!</v>
      </c>
      <c r="M747" s="245" t="e">
        <f t="shared" si="1026"/>
        <v>#DIV/0!</v>
      </c>
      <c r="N747" s="245" t="e">
        <f t="shared" si="1026"/>
        <v>#DIV/0!</v>
      </c>
      <c r="O747" s="245" t="e">
        <f t="shared" si="1026"/>
        <v>#DIV/0!</v>
      </c>
      <c r="P747" s="245" t="e">
        <f t="shared" si="1026"/>
        <v>#DIV/0!</v>
      </c>
      <c r="Q747" s="245" t="e">
        <f t="shared" si="1026"/>
        <v>#DIV/0!</v>
      </c>
      <c r="R747" s="245" t="e">
        <f t="shared" si="1026"/>
        <v>#DIV/0!</v>
      </c>
      <c r="S747" s="245" t="e">
        <f t="shared" si="1026"/>
        <v>#DIV/0!</v>
      </c>
      <c r="T747" s="245" t="e">
        <f t="shared" si="1026"/>
        <v>#DIV/0!</v>
      </c>
      <c r="U747" s="245" t="e">
        <f t="shared" si="1026"/>
        <v>#DIV/0!</v>
      </c>
      <c r="V747" s="245" t="e">
        <f t="shared" si="1026"/>
        <v>#DIV/0!</v>
      </c>
      <c r="W747" s="245" t="e">
        <f t="shared" si="1026"/>
        <v>#DIV/0!</v>
      </c>
      <c r="X747" s="245" t="e">
        <f t="shared" si="1026"/>
        <v>#DIV/0!</v>
      </c>
      <c r="Y747" s="245" t="e">
        <f t="shared" si="1026"/>
        <v>#DIV/0!</v>
      </c>
      <c r="Z747" s="245" t="e">
        <f t="shared" si="1026"/>
        <v>#DIV/0!</v>
      </c>
      <c r="AA747" s="245" t="e">
        <f t="shared" si="1026"/>
        <v>#DIV/0!</v>
      </c>
      <c r="AB747" s="245" t="e">
        <f t="shared" si="1026"/>
        <v>#DIV/0!</v>
      </c>
      <c r="AC747" s="245" t="e">
        <f t="shared" si="1026"/>
        <v>#DIV/0!</v>
      </c>
      <c r="AD747" s="245" t="e">
        <f t="shared" si="1026"/>
        <v>#DIV/0!</v>
      </c>
      <c r="AF747" s="580" t="e">
        <f t="shared" si="1022"/>
        <v>#DIV/0!</v>
      </c>
      <c r="AG747" s="580" t="e">
        <f t="shared" si="1022"/>
        <v>#DIV/0!</v>
      </c>
      <c r="AH747" s="580" t="e">
        <f t="shared" si="1022"/>
        <v>#DIV/0!</v>
      </c>
      <c r="AI747" s="580" t="e">
        <f t="shared" si="1022"/>
        <v>#DIV/0!</v>
      </c>
      <c r="AJ747" s="580" t="e">
        <f t="shared" si="1022"/>
        <v>#DIV/0!</v>
      </c>
      <c r="AK747" s="580" t="e">
        <f t="shared" si="1022"/>
        <v>#DIV/0!</v>
      </c>
      <c r="AL747" s="580" t="e">
        <f t="shared" si="1022"/>
        <v>#DIV/0!</v>
      </c>
      <c r="AM747" s="580" t="e">
        <f>AM657/AM677*100</f>
        <v>#DIV/0!</v>
      </c>
      <c r="AN747" s="580" t="e">
        <f t="shared" si="1022"/>
        <v>#DIV/0!</v>
      </c>
      <c r="AO747" s="580" t="e">
        <f t="shared" si="1022"/>
        <v>#DIV/0!</v>
      </c>
      <c r="AP747" s="580" t="e">
        <f t="shared" si="1022"/>
        <v>#DIV/0!</v>
      </c>
      <c r="AQ747" s="580" t="e">
        <f t="shared" si="1022"/>
        <v>#DIV/0!</v>
      </c>
      <c r="AR747" s="580" t="e">
        <f t="shared" si="1022"/>
        <v>#DIV/0!</v>
      </c>
      <c r="AS747" s="580" t="e">
        <f t="shared" si="1022"/>
        <v>#DIV/0!</v>
      </c>
      <c r="AT747" s="580" t="e">
        <f t="shared" si="1022"/>
        <v>#DIV/0!</v>
      </c>
      <c r="AU747" s="580" t="e">
        <f t="shared" si="1022"/>
        <v>#DIV/0!</v>
      </c>
      <c r="AV747" s="580" t="e">
        <f t="shared" si="1022"/>
        <v>#DIV/0!</v>
      </c>
      <c r="AW747" s="580" t="e">
        <f t="shared" si="1022"/>
        <v>#DIV/0!</v>
      </c>
      <c r="AX747" s="580" t="e">
        <f t="shared" si="1022"/>
        <v>#DIV/0!</v>
      </c>
      <c r="AY747" s="580" t="e">
        <f t="shared" si="1022"/>
        <v>#DIV/0!</v>
      </c>
      <c r="AZ747" s="580" t="e">
        <f t="shared" si="1022"/>
        <v>#DIV/0!</v>
      </c>
      <c r="BA747" s="580" t="e">
        <f t="shared" si="1022"/>
        <v>#DIV/0!</v>
      </c>
      <c r="BB747" s="580" t="e">
        <f t="shared" si="1022"/>
        <v>#DIV/0!</v>
      </c>
      <c r="BC747" s="580" t="e">
        <f t="shared" si="1022"/>
        <v>#DIV/0!</v>
      </c>
      <c r="BD747" s="580" t="e">
        <f t="shared" si="1022"/>
        <v>#DIV/0!</v>
      </c>
      <c r="BE747" s="580" t="e">
        <f t="shared" si="1022"/>
        <v>#DIV/0!</v>
      </c>
      <c r="BF747" s="580" t="e">
        <f t="shared" si="1022"/>
        <v>#DIV/0!</v>
      </c>
      <c r="BG747" s="580" t="e">
        <f t="shared" si="1022"/>
        <v>#DIV/0!</v>
      </c>
      <c r="BH747" s="580" t="e">
        <f t="shared" si="1022"/>
        <v>#DIV/0!</v>
      </c>
      <c r="BI747" s="580" t="e">
        <f t="shared" si="1022"/>
        <v>#DIV/0!</v>
      </c>
      <c r="BJ747" s="580" t="e">
        <f t="shared" si="1022"/>
        <v>#DIV/0!</v>
      </c>
      <c r="BK747" s="580" t="e">
        <f t="shared" si="1022"/>
        <v>#DIV/0!</v>
      </c>
    </row>
    <row r="748" spans="1:63" s="248" customFormat="1">
      <c r="A748" s="247"/>
      <c r="B748" s="247"/>
      <c r="C748" s="247"/>
      <c r="D748" s="247"/>
      <c r="AF748" s="581"/>
      <c r="AG748" s="581"/>
      <c r="AH748" s="581"/>
      <c r="AI748" s="581"/>
      <c r="AJ748" s="581"/>
      <c r="AK748" s="581"/>
      <c r="AL748" s="581"/>
      <c r="AM748" s="581"/>
      <c r="AN748" s="581"/>
      <c r="AO748" s="581"/>
      <c r="AP748" s="581"/>
      <c r="AQ748" s="581"/>
      <c r="AR748" s="581"/>
      <c r="AS748" s="581"/>
      <c r="AT748" s="581"/>
      <c r="AU748" s="581"/>
      <c r="AV748" s="581"/>
      <c r="AW748" s="581"/>
      <c r="AX748" s="581"/>
      <c r="AY748" s="581"/>
      <c r="AZ748" s="581"/>
      <c r="BA748" s="581"/>
      <c r="BB748" s="581"/>
      <c r="BC748" s="581"/>
      <c r="BD748" s="581"/>
      <c r="BE748" s="581"/>
      <c r="BF748" s="581"/>
      <c r="BG748" s="581"/>
      <c r="BH748" s="581"/>
      <c r="BI748" s="581"/>
      <c r="BJ748" s="581"/>
      <c r="BK748" s="581"/>
    </row>
    <row r="749" spans="1:63" s="240" customFormat="1">
      <c r="A749" s="209"/>
      <c r="B749" s="209"/>
      <c r="C749" s="209"/>
      <c r="D749" s="209"/>
      <c r="AF749" s="579"/>
      <c r="AG749" s="579"/>
      <c r="AH749" s="579"/>
      <c r="AI749" s="579"/>
      <c r="AJ749" s="579"/>
      <c r="AK749" s="579"/>
      <c r="AL749" s="579"/>
      <c r="AM749" s="579"/>
      <c r="AN749" s="579"/>
      <c r="AO749" s="579"/>
      <c r="AP749" s="579"/>
      <c r="AQ749" s="579"/>
      <c r="AR749" s="579"/>
      <c r="AS749" s="579"/>
      <c r="AT749" s="579"/>
      <c r="AU749" s="579"/>
      <c r="AV749" s="579"/>
      <c r="AW749" s="579"/>
      <c r="AX749" s="579"/>
      <c r="AY749" s="579"/>
      <c r="AZ749" s="579"/>
      <c r="BA749" s="579"/>
      <c r="BB749" s="579"/>
      <c r="BC749" s="579"/>
      <c r="BD749" s="579"/>
      <c r="BE749" s="579"/>
      <c r="BF749" s="579"/>
      <c r="BG749" s="579"/>
      <c r="BH749" s="579"/>
      <c r="BI749" s="579"/>
      <c r="BJ749" s="579"/>
      <c r="BK749" s="579"/>
    </row>
    <row r="750" spans="1:63" s="240" customFormat="1">
      <c r="A750" s="209"/>
      <c r="B750" s="209"/>
      <c r="C750" s="209"/>
      <c r="D750" s="209"/>
      <c r="AF750" s="579"/>
      <c r="AG750" s="579"/>
      <c r="AH750" s="579"/>
      <c r="AI750" s="579"/>
      <c r="AJ750" s="579"/>
      <c r="AK750" s="579"/>
      <c r="AL750" s="579"/>
      <c r="AM750" s="579"/>
      <c r="AN750" s="579"/>
      <c r="AO750" s="579"/>
      <c r="AP750" s="579"/>
      <c r="AQ750" s="579"/>
      <c r="AR750" s="579"/>
      <c r="AS750" s="579"/>
      <c r="AT750" s="579"/>
      <c r="AU750" s="579"/>
      <c r="AV750" s="579"/>
      <c r="AW750" s="579"/>
      <c r="AX750" s="579"/>
      <c r="AY750" s="579"/>
      <c r="AZ750" s="579"/>
      <c r="BA750" s="579"/>
      <c r="BB750" s="579"/>
      <c r="BC750" s="579"/>
      <c r="BD750" s="579"/>
      <c r="BE750" s="579"/>
      <c r="BF750" s="579"/>
      <c r="BG750" s="579"/>
      <c r="BH750" s="579"/>
      <c r="BI750" s="579"/>
      <c r="BJ750" s="579"/>
      <c r="BK750" s="579"/>
    </row>
    <row r="751" spans="1:63" s="240" customFormat="1">
      <c r="A751" s="209"/>
      <c r="B751" s="209"/>
      <c r="C751" s="209"/>
      <c r="D751" s="209"/>
      <c r="AF751" s="579"/>
      <c r="AG751" s="579"/>
      <c r="AH751" s="579"/>
      <c r="AI751" s="579"/>
      <c r="AJ751" s="579"/>
      <c r="AK751" s="579"/>
      <c r="AL751" s="579"/>
      <c r="AM751" s="579"/>
      <c r="AN751" s="579"/>
      <c r="AO751" s="579"/>
      <c r="AP751" s="579"/>
      <c r="AQ751" s="579"/>
      <c r="AR751" s="579"/>
      <c r="AS751" s="579"/>
      <c r="AT751" s="579"/>
      <c r="AU751" s="579"/>
      <c r="AV751" s="579"/>
      <c r="AW751" s="579"/>
      <c r="AX751" s="579"/>
      <c r="AY751" s="579"/>
      <c r="AZ751" s="579"/>
      <c r="BA751" s="579"/>
      <c r="BB751" s="579"/>
      <c r="BC751" s="579"/>
      <c r="BD751" s="579"/>
      <c r="BE751" s="579"/>
      <c r="BF751" s="579"/>
      <c r="BG751" s="579"/>
      <c r="BH751" s="579"/>
      <c r="BI751" s="579"/>
      <c r="BJ751" s="579"/>
      <c r="BK751" s="579"/>
    </row>
    <row r="752" spans="1:63" s="240" customFormat="1">
      <c r="A752" s="209"/>
      <c r="B752" s="209"/>
      <c r="C752" s="209"/>
      <c r="D752" s="209"/>
      <c r="AF752" s="579"/>
      <c r="AG752" s="579"/>
      <c r="AH752" s="579"/>
      <c r="AI752" s="579"/>
      <c r="AJ752" s="579"/>
      <c r="AK752" s="579"/>
      <c r="AL752" s="579"/>
      <c r="AM752" s="579"/>
      <c r="AN752" s="579"/>
      <c r="AO752" s="579"/>
      <c r="AP752" s="579"/>
      <c r="AQ752" s="579"/>
      <c r="AR752" s="579"/>
      <c r="AS752" s="579"/>
      <c r="AT752" s="579"/>
      <c r="AU752" s="579"/>
      <c r="AV752" s="579"/>
      <c r="AW752" s="579"/>
      <c r="AX752" s="579"/>
      <c r="AY752" s="579"/>
      <c r="AZ752" s="579"/>
      <c r="BA752" s="579"/>
      <c r="BB752" s="579"/>
      <c r="BC752" s="579"/>
      <c r="BD752" s="579"/>
      <c r="BE752" s="579"/>
      <c r="BF752" s="579"/>
      <c r="BG752" s="579"/>
      <c r="BH752" s="579"/>
      <c r="BI752" s="579"/>
      <c r="BJ752" s="579"/>
      <c r="BK752" s="579"/>
    </row>
    <row r="753" spans="1:63" s="240" customFormat="1">
      <c r="A753" s="209"/>
      <c r="B753" s="209"/>
      <c r="C753" s="209"/>
      <c r="D753" s="209"/>
      <c r="AF753" s="579"/>
      <c r="AG753" s="579"/>
      <c r="AH753" s="579"/>
      <c r="AI753" s="579"/>
      <c r="AJ753" s="579"/>
      <c r="AK753" s="579"/>
      <c r="AL753" s="579"/>
      <c r="AM753" s="579"/>
      <c r="AN753" s="579"/>
      <c r="AO753" s="579"/>
      <c r="AP753" s="579"/>
      <c r="AQ753" s="579"/>
      <c r="AR753" s="579"/>
      <c r="AS753" s="579"/>
      <c r="AT753" s="579"/>
      <c r="AU753" s="579"/>
      <c r="AV753" s="579"/>
      <c r="AW753" s="579"/>
      <c r="AX753" s="579"/>
      <c r="AY753" s="579"/>
      <c r="AZ753" s="579"/>
      <c r="BA753" s="579"/>
      <c r="BB753" s="579"/>
      <c r="BC753" s="579"/>
      <c r="BD753" s="579"/>
      <c r="BE753" s="579"/>
      <c r="BF753" s="579"/>
      <c r="BG753" s="579"/>
      <c r="BH753" s="579"/>
      <c r="BI753" s="579"/>
      <c r="BJ753" s="579"/>
      <c r="BK753" s="579"/>
    </row>
    <row r="754" spans="1:63" s="240" customFormat="1">
      <c r="A754" s="209"/>
      <c r="B754" s="209"/>
      <c r="C754" s="209"/>
      <c r="D754" s="209"/>
      <c r="AF754" s="579"/>
      <c r="AG754" s="579"/>
      <c r="AH754" s="579"/>
      <c r="AI754" s="579"/>
      <c r="AJ754" s="579"/>
      <c r="AK754" s="579"/>
      <c r="AL754" s="579"/>
      <c r="AM754" s="579"/>
      <c r="AN754" s="579"/>
      <c r="AO754" s="579"/>
      <c r="AP754" s="579"/>
      <c r="AQ754" s="579"/>
      <c r="AR754" s="579"/>
      <c r="AS754" s="579"/>
      <c r="AT754" s="579"/>
      <c r="AU754" s="579"/>
      <c r="AV754" s="579"/>
      <c r="AW754" s="579"/>
      <c r="AX754" s="579"/>
      <c r="AY754" s="579"/>
      <c r="AZ754" s="579"/>
      <c r="BA754" s="579"/>
      <c r="BB754" s="579"/>
      <c r="BC754" s="579"/>
      <c r="BD754" s="579"/>
      <c r="BE754" s="579"/>
      <c r="BF754" s="579"/>
      <c r="BG754" s="579"/>
      <c r="BH754" s="579"/>
      <c r="BI754" s="579"/>
      <c r="BJ754" s="579"/>
      <c r="BK754" s="579"/>
    </row>
    <row r="755" spans="1:63" s="240" customFormat="1">
      <c r="A755" s="209"/>
      <c r="B755" s="209"/>
      <c r="C755" s="209"/>
      <c r="D755" s="209"/>
      <c r="AF755" s="579"/>
      <c r="AG755" s="579"/>
      <c r="AH755" s="579"/>
      <c r="AI755" s="579"/>
      <c r="AJ755" s="579"/>
      <c r="AK755" s="579"/>
      <c r="AL755" s="579"/>
      <c r="AM755" s="579"/>
      <c r="AN755" s="579"/>
      <c r="AO755" s="579"/>
      <c r="AP755" s="579"/>
      <c r="AQ755" s="579"/>
      <c r="AR755" s="579"/>
      <c r="AS755" s="579"/>
      <c r="AT755" s="579"/>
      <c r="AU755" s="579"/>
      <c r="AV755" s="579"/>
      <c r="AW755" s="579"/>
      <c r="AX755" s="579"/>
      <c r="AY755" s="579"/>
      <c r="AZ755" s="579"/>
      <c r="BA755" s="579"/>
      <c r="BB755" s="579"/>
      <c r="BC755" s="579"/>
      <c r="BD755" s="579"/>
      <c r="BE755" s="579"/>
      <c r="BF755" s="579"/>
      <c r="BG755" s="579"/>
      <c r="BH755" s="579"/>
      <c r="BI755" s="579"/>
      <c r="BJ755" s="579"/>
      <c r="BK755" s="579"/>
    </row>
    <row r="756" spans="1:63" s="240" customFormat="1">
      <c r="A756" s="209"/>
      <c r="B756" s="209"/>
      <c r="C756" s="209"/>
      <c r="D756" s="209"/>
      <c r="AF756" s="579"/>
      <c r="AG756" s="579"/>
      <c r="AH756" s="579"/>
      <c r="AI756" s="579"/>
      <c r="AJ756" s="579"/>
      <c r="AK756" s="579"/>
      <c r="AL756" s="579"/>
      <c r="AM756" s="579"/>
      <c r="AN756" s="579"/>
      <c r="AO756" s="579"/>
      <c r="AP756" s="579"/>
      <c r="AQ756" s="579"/>
      <c r="AR756" s="579"/>
      <c r="AS756" s="579"/>
      <c r="AT756" s="579"/>
      <c r="AU756" s="579"/>
      <c r="AV756" s="579"/>
      <c r="AW756" s="579"/>
      <c r="AX756" s="579"/>
      <c r="AY756" s="579"/>
      <c r="AZ756" s="579"/>
      <c r="BA756" s="579"/>
      <c r="BB756" s="579"/>
      <c r="BC756" s="579"/>
      <c r="BD756" s="579"/>
      <c r="BE756" s="579"/>
      <c r="BF756" s="579"/>
      <c r="BG756" s="579"/>
      <c r="BH756" s="579"/>
      <c r="BI756" s="579"/>
      <c r="BJ756" s="579"/>
      <c r="BK756" s="579"/>
    </row>
    <row r="757" spans="1:63" s="240" customFormat="1">
      <c r="A757" s="209"/>
      <c r="B757" s="209"/>
      <c r="C757" s="209"/>
      <c r="D757" s="209"/>
      <c r="AF757" s="579"/>
      <c r="AG757" s="579"/>
      <c r="AH757" s="579"/>
      <c r="AI757" s="579"/>
      <c r="AJ757" s="579"/>
      <c r="AK757" s="579"/>
      <c r="AL757" s="579"/>
      <c r="AM757" s="579"/>
      <c r="AN757" s="579"/>
      <c r="AO757" s="579"/>
      <c r="AP757" s="579"/>
      <c r="AQ757" s="579"/>
      <c r="AR757" s="579"/>
      <c r="AS757" s="579"/>
      <c r="AT757" s="579"/>
      <c r="AU757" s="579"/>
      <c r="AV757" s="579"/>
      <c r="AW757" s="579"/>
      <c r="AX757" s="579"/>
      <c r="AY757" s="579"/>
      <c r="AZ757" s="579"/>
      <c r="BA757" s="579"/>
      <c r="BB757" s="579"/>
      <c r="BC757" s="579"/>
      <c r="BD757" s="579"/>
      <c r="BE757" s="579"/>
      <c r="BF757" s="579"/>
      <c r="BG757" s="579"/>
      <c r="BH757" s="579"/>
      <c r="BI757" s="579"/>
      <c r="BJ757" s="579"/>
      <c r="BK757" s="579"/>
    </row>
    <row r="758" spans="1:63" s="240" customFormat="1">
      <c r="A758" s="209"/>
      <c r="B758" s="209"/>
      <c r="C758" s="209"/>
      <c r="D758" s="209"/>
      <c r="AF758" s="579"/>
      <c r="AG758" s="579"/>
      <c r="AH758" s="579"/>
      <c r="AI758" s="579"/>
      <c r="AJ758" s="579"/>
      <c r="AK758" s="579"/>
      <c r="AL758" s="579"/>
      <c r="AM758" s="579"/>
      <c r="AN758" s="579"/>
      <c r="AO758" s="579"/>
      <c r="AP758" s="579"/>
      <c r="AQ758" s="579"/>
      <c r="AR758" s="579"/>
      <c r="AS758" s="579"/>
      <c r="AT758" s="579"/>
      <c r="AU758" s="579"/>
      <c r="AV758" s="579"/>
      <c r="AW758" s="579"/>
      <c r="AX758" s="579"/>
      <c r="AY758" s="579"/>
      <c r="AZ758" s="579"/>
      <c r="BA758" s="579"/>
      <c r="BB758" s="579"/>
      <c r="BC758" s="579"/>
      <c r="BD758" s="579"/>
      <c r="BE758" s="579"/>
      <c r="BF758" s="579"/>
      <c r="BG758" s="579"/>
      <c r="BH758" s="579"/>
      <c r="BI758" s="579"/>
      <c r="BJ758" s="579"/>
      <c r="BK758" s="579"/>
    </row>
    <row r="759" spans="1:63" s="240" customFormat="1">
      <c r="A759" s="209"/>
      <c r="B759" s="209"/>
      <c r="C759" s="209"/>
      <c r="D759" s="209"/>
      <c r="AF759" s="579"/>
      <c r="AG759" s="579"/>
      <c r="AH759" s="579"/>
      <c r="AI759" s="579"/>
      <c r="AJ759" s="579"/>
      <c r="AK759" s="579"/>
      <c r="AL759" s="579"/>
      <c r="AM759" s="579"/>
      <c r="AN759" s="579"/>
      <c r="AO759" s="579"/>
      <c r="AP759" s="579"/>
      <c r="AQ759" s="579"/>
      <c r="AR759" s="579"/>
      <c r="AS759" s="579"/>
      <c r="AT759" s="579"/>
      <c r="AU759" s="579"/>
      <c r="AV759" s="579"/>
      <c r="AW759" s="579"/>
      <c r="AX759" s="579"/>
      <c r="AY759" s="579"/>
      <c r="AZ759" s="579"/>
      <c r="BA759" s="579"/>
      <c r="BB759" s="579"/>
      <c r="BC759" s="579"/>
      <c r="BD759" s="579"/>
      <c r="BE759" s="579"/>
      <c r="BF759" s="579"/>
      <c r="BG759" s="579"/>
      <c r="BH759" s="579"/>
      <c r="BI759" s="579"/>
      <c r="BJ759" s="579"/>
      <c r="BK759" s="579"/>
    </row>
    <row r="760" spans="1:63" s="240" customFormat="1">
      <c r="A760" s="209"/>
      <c r="B760" s="209"/>
      <c r="C760" s="209"/>
      <c r="D760" s="209"/>
      <c r="AF760" s="579"/>
      <c r="AG760" s="579"/>
      <c r="AH760" s="579"/>
      <c r="AI760" s="579"/>
      <c r="AJ760" s="579"/>
      <c r="AK760" s="579"/>
      <c r="AL760" s="579"/>
      <c r="AM760" s="579"/>
      <c r="AN760" s="579"/>
      <c r="AO760" s="579"/>
      <c r="AP760" s="579"/>
      <c r="AQ760" s="579"/>
      <c r="AR760" s="579"/>
      <c r="AS760" s="579"/>
      <c r="AT760" s="579"/>
      <c r="AU760" s="579"/>
      <c r="AV760" s="579"/>
      <c r="AW760" s="579"/>
      <c r="AX760" s="579"/>
      <c r="AY760" s="579"/>
      <c r="AZ760" s="579"/>
      <c r="BA760" s="579"/>
      <c r="BB760" s="579"/>
      <c r="BC760" s="579"/>
      <c r="BD760" s="579"/>
      <c r="BE760" s="579"/>
      <c r="BF760" s="579"/>
      <c r="BG760" s="579"/>
      <c r="BH760" s="579"/>
      <c r="BI760" s="579"/>
      <c r="BJ760" s="579"/>
      <c r="BK760" s="579"/>
    </row>
    <row r="761" spans="1:63" s="240" customFormat="1">
      <c r="A761" s="209"/>
      <c r="B761" s="209"/>
      <c r="C761" s="209"/>
      <c r="D761" s="209"/>
      <c r="AF761" s="579"/>
      <c r="AG761" s="579"/>
      <c r="AH761" s="579"/>
      <c r="AI761" s="579"/>
      <c r="AJ761" s="579"/>
      <c r="AK761" s="579"/>
      <c r="AL761" s="579"/>
      <c r="AM761" s="579"/>
      <c r="AN761" s="579"/>
      <c r="AO761" s="579"/>
      <c r="AP761" s="579"/>
      <c r="AQ761" s="579"/>
      <c r="AR761" s="579"/>
      <c r="AS761" s="579"/>
      <c r="AT761" s="579"/>
      <c r="AU761" s="579"/>
      <c r="AV761" s="579"/>
      <c r="AW761" s="579"/>
      <c r="AX761" s="579"/>
      <c r="AY761" s="579"/>
      <c r="AZ761" s="579"/>
      <c r="BA761" s="579"/>
      <c r="BB761" s="579"/>
      <c r="BC761" s="579"/>
      <c r="BD761" s="579"/>
      <c r="BE761" s="579"/>
      <c r="BF761" s="579"/>
      <c r="BG761" s="579"/>
      <c r="BH761" s="579"/>
      <c r="BI761" s="579"/>
      <c r="BJ761" s="579"/>
      <c r="BK761" s="579"/>
    </row>
    <row r="762" spans="1:63" s="240" customFormat="1">
      <c r="A762" s="209"/>
      <c r="B762" s="209"/>
      <c r="C762" s="209"/>
      <c r="D762" s="209"/>
      <c r="AF762" s="579"/>
      <c r="AG762" s="579"/>
      <c r="AH762" s="579"/>
      <c r="AI762" s="579"/>
      <c r="AJ762" s="579"/>
      <c r="AK762" s="579"/>
      <c r="AL762" s="579"/>
      <c r="AM762" s="579"/>
      <c r="AN762" s="579"/>
      <c r="AO762" s="579"/>
      <c r="AP762" s="579"/>
      <c r="AQ762" s="579"/>
      <c r="AR762" s="579"/>
      <c r="AS762" s="579"/>
      <c r="AT762" s="579"/>
      <c r="AU762" s="579"/>
      <c r="AV762" s="579"/>
      <c r="AW762" s="579"/>
      <c r="AX762" s="579"/>
      <c r="AY762" s="579"/>
      <c r="AZ762" s="579"/>
      <c r="BA762" s="579"/>
      <c r="BB762" s="579"/>
      <c r="BC762" s="579"/>
      <c r="BD762" s="579"/>
      <c r="BE762" s="579"/>
      <c r="BF762" s="579"/>
      <c r="BG762" s="579"/>
      <c r="BH762" s="579"/>
      <c r="BI762" s="579"/>
      <c r="BJ762" s="579"/>
      <c r="BK762" s="579"/>
    </row>
    <row r="763" spans="1:63" s="240" customFormat="1">
      <c r="A763" s="209"/>
      <c r="B763" s="209"/>
      <c r="C763" s="209"/>
      <c r="D763" s="209"/>
      <c r="AF763" s="579"/>
      <c r="AG763" s="579"/>
      <c r="AH763" s="579"/>
      <c r="AI763" s="579"/>
      <c r="AJ763" s="579"/>
      <c r="AK763" s="579"/>
      <c r="AL763" s="579"/>
      <c r="AM763" s="579"/>
      <c r="AN763" s="579"/>
      <c r="AO763" s="579"/>
      <c r="AP763" s="579"/>
      <c r="AQ763" s="579"/>
      <c r="AR763" s="579"/>
      <c r="AS763" s="579"/>
      <c r="AT763" s="579"/>
      <c r="AU763" s="579"/>
      <c r="AV763" s="579"/>
      <c r="AW763" s="579"/>
      <c r="AX763" s="579"/>
      <c r="AY763" s="579"/>
      <c r="AZ763" s="579"/>
      <c r="BA763" s="579"/>
      <c r="BB763" s="579"/>
      <c r="BC763" s="579"/>
      <c r="BD763" s="579"/>
      <c r="BE763" s="579"/>
      <c r="BF763" s="579"/>
      <c r="BG763" s="579"/>
      <c r="BH763" s="579"/>
      <c r="BI763" s="579"/>
      <c r="BJ763" s="579"/>
      <c r="BK763" s="579"/>
    </row>
    <row r="764" spans="1:63" s="240" customFormat="1">
      <c r="A764" s="209"/>
      <c r="B764" s="209"/>
      <c r="C764" s="209"/>
      <c r="D764" s="209"/>
      <c r="AF764" s="579"/>
      <c r="AG764" s="579"/>
      <c r="AH764" s="579"/>
      <c r="AI764" s="579"/>
      <c r="AJ764" s="579"/>
      <c r="AK764" s="579"/>
      <c r="AL764" s="579"/>
      <c r="AM764" s="579"/>
      <c r="AN764" s="579"/>
      <c r="AO764" s="579"/>
      <c r="AP764" s="579"/>
      <c r="AQ764" s="579"/>
      <c r="AR764" s="579"/>
      <c r="AS764" s="579"/>
      <c r="AT764" s="579"/>
      <c r="AU764" s="579"/>
      <c r="AV764" s="579"/>
      <c r="AW764" s="579"/>
      <c r="AX764" s="579"/>
      <c r="AY764" s="579"/>
      <c r="AZ764" s="579"/>
      <c r="BA764" s="579"/>
      <c r="BB764" s="579"/>
      <c r="BC764" s="579"/>
      <c r="BD764" s="579"/>
      <c r="BE764" s="579"/>
      <c r="BF764" s="579"/>
      <c r="BG764" s="579"/>
      <c r="BH764" s="579"/>
      <c r="BI764" s="579"/>
      <c r="BJ764" s="579"/>
      <c r="BK764" s="579"/>
    </row>
    <row r="765" spans="1:63" s="240" customFormat="1">
      <c r="A765" s="209"/>
      <c r="B765" s="209"/>
      <c r="C765" s="209"/>
      <c r="D765" s="209"/>
      <c r="AF765" s="579"/>
      <c r="AG765" s="579"/>
      <c r="AH765" s="579"/>
      <c r="AI765" s="579"/>
      <c r="AJ765" s="579"/>
      <c r="AK765" s="579"/>
      <c r="AL765" s="579"/>
      <c r="AM765" s="579"/>
      <c r="AN765" s="579"/>
      <c r="AO765" s="579"/>
      <c r="AP765" s="579"/>
      <c r="AQ765" s="579"/>
      <c r="AR765" s="579"/>
      <c r="AS765" s="579"/>
      <c r="AT765" s="579"/>
      <c r="AU765" s="579"/>
      <c r="AV765" s="579"/>
      <c r="AW765" s="579"/>
      <c r="AX765" s="579"/>
      <c r="AY765" s="579"/>
      <c r="AZ765" s="579"/>
      <c r="BA765" s="579"/>
      <c r="BB765" s="579"/>
      <c r="BC765" s="579"/>
      <c r="BD765" s="579"/>
      <c r="BE765" s="579"/>
      <c r="BF765" s="579"/>
      <c r="BG765" s="579"/>
      <c r="BH765" s="579"/>
      <c r="BI765" s="579"/>
      <c r="BJ765" s="579"/>
      <c r="BK765" s="579"/>
    </row>
    <row r="766" spans="1:63" s="240" customFormat="1">
      <c r="A766" s="209"/>
      <c r="B766" s="209"/>
      <c r="C766" s="209"/>
      <c r="D766" s="209"/>
      <c r="AF766" s="579"/>
      <c r="AG766" s="579"/>
      <c r="AH766" s="579"/>
      <c r="AI766" s="579"/>
      <c r="AJ766" s="579"/>
      <c r="AK766" s="579"/>
      <c r="AL766" s="579"/>
      <c r="AM766" s="579"/>
      <c r="AN766" s="579"/>
      <c r="AO766" s="579"/>
      <c r="AP766" s="579"/>
      <c r="AQ766" s="579"/>
      <c r="AR766" s="579"/>
      <c r="AS766" s="579"/>
      <c r="AT766" s="579"/>
      <c r="AU766" s="579"/>
      <c r="AV766" s="579"/>
      <c r="AW766" s="579"/>
      <c r="AX766" s="579"/>
      <c r="AY766" s="579"/>
      <c r="AZ766" s="579"/>
      <c r="BA766" s="579"/>
      <c r="BB766" s="579"/>
      <c r="BC766" s="579"/>
      <c r="BD766" s="579"/>
      <c r="BE766" s="579"/>
      <c r="BF766" s="579"/>
      <c r="BG766" s="579"/>
      <c r="BH766" s="579"/>
      <c r="BI766" s="579"/>
      <c r="BJ766" s="579"/>
      <c r="BK766" s="579"/>
    </row>
    <row r="767" spans="1:63" s="240" customFormat="1">
      <c r="A767" s="209"/>
      <c r="B767" s="209"/>
      <c r="C767" s="209"/>
      <c r="D767" s="209"/>
      <c r="AF767" s="579"/>
      <c r="AG767" s="579"/>
      <c r="AH767" s="579"/>
      <c r="AI767" s="579"/>
      <c r="AJ767" s="579"/>
      <c r="AK767" s="579"/>
      <c r="AL767" s="579"/>
      <c r="AM767" s="579"/>
      <c r="AN767" s="579"/>
      <c r="AO767" s="579"/>
      <c r="AP767" s="579"/>
      <c r="AQ767" s="579"/>
      <c r="AR767" s="579"/>
      <c r="AS767" s="579"/>
      <c r="AT767" s="579"/>
      <c r="AU767" s="579"/>
      <c r="AV767" s="579"/>
      <c r="AW767" s="579"/>
      <c r="AX767" s="579"/>
      <c r="AY767" s="579"/>
      <c r="AZ767" s="579"/>
      <c r="BA767" s="579"/>
      <c r="BB767" s="579"/>
      <c r="BC767" s="579"/>
      <c r="BD767" s="579"/>
      <c r="BE767" s="579"/>
      <c r="BF767" s="579"/>
      <c r="BG767" s="579"/>
      <c r="BH767" s="579"/>
      <c r="BI767" s="579"/>
      <c r="BJ767" s="579"/>
      <c r="BK767" s="579"/>
    </row>
    <row r="768" spans="1:63" s="240" customFormat="1">
      <c r="A768" s="209"/>
      <c r="B768" s="209"/>
      <c r="C768" s="209"/>
      <c r="D768" s="209"/>
      <c r="AF768" s="579"/>
      <c r="AG768" s="579"/>
      <c r="AH768" s="579"/>
      <c r="AI768" s="579"/>
      <c r="AJ768" s="579"/>
      <c r="AK768" s="579"/>
      <c r="AL768" s="579"/>
      <c r="AM768" s="579"/>
      <c r="AN768" s="579"/>
      <c r="AO768" s="579"/>
      <c r="AP768" s="579"/>
      <c r="AQ768" s="579"/>
      <c r="AR768" s="579"/>
      <c r="AS768" s="579"/>
      <c r="AT768" s="579"/>
      <c r="AU768" s="579"/>
      <c r="AV768" s="579"/>
      <c r="AW768" s="579"/>
      <c r="AX768" s="579"/>
      <c r="AY768" s="579"/>
      <c r="AZ768" s="579"/>
      <c r="BA768" s="579"/>
      <c r="BB768" s="579"/>
      <c r="BC768" s="579"/>
      <c r="BD768" s="579"/>
      <c r="BE768" s="579"/>
      <c r="BF768" s="579"/>
      <c r="BG768" s="579"/>
      <c r="BH768" s="579"/>
      <c r="BI768" s="579"/>
      <c r="BJ768" s="579"/>
      <c r="BK768" s="579"/>
    </row>
    <row r="769" spans="1:63" s="240" customFormat="1">
      <c r="A769" s="209"/>
      <c r="B769" s="209"/>
      <c r="C769" s="209"/>
      <c r="D769" s="209"/>
      <c r="AF769" s="579"/>
      <c r="AG769" s="579"/>
      <c r="AH769" s="579"/>
      <c r="AI769" s="579"/>
      <c r="AJ769" s="579"/>
      <c r="AK769" s="579"/>
      <c r="AL769" s="579"/>
      <c r="AM769" s="579"/>
      <c r="AN769" s="579"/>
      <c r="AO769" s="579"/>
      <c r="AP769" s="579"/>
      <c r="AQ769" s="579"/>
      <c r="AR769" s="579"/>
      <c r="AS769" s="579"/>
      <c r="AT769" s="579"/>
      <c r="AU769" s="579"/>
      <c r="AV769" s="579"/>
      <c r="AW769" s="579"/>
      <c r="AX769" s="579"/>
      <c r="AY769" s="579"/>
      <c r="AZ769" s="579"/>
      <c r="BA769" s="579"/>
      <c r="BB769" s="579"/>
      <c r="BC769" s="579"/>
      <c r="BD769" s="579"/>
      <c r="BE769" s="579"/>
      <c r="BF769" s="579"/>
      <c r="BG769" s="579"/>
      <c r="BH769" s="579"/>
      <c r="BI769" s="579"/>
      <c r="BJ769" s="579"/>
      <c r="BK769" s="579"/>
    </row>
    <row r="770" spans="1:63" s="240" customFormat="1">
      <c r="A770" s="209"/>
      <c r="B770" s="209"/>
      <c r="C770" s="209"/>
      <c r="D770" s="209"/>
      <c r="AF770" s="579"/>
      <c r="AG770" s="579"/>
      <c r="AH770" s="579"/>
      <c r="AI770" s="579"/>
      <c r="AJ770" s="579"/>
      <c r="AK770" s="579"/>
      <c r="AL770" s="579"/>
      <c r="AM770" s="579"/>
      <c r="AN770" s="579"/>
      <c r="AO770" s="579"/>
      <c r="AP770" s="579"/>
      <c r="AQ770" s="579"/>
      <c r="AR770" s="579"/>
      <c r="AS770" s="579"/>
      <c r="AT770" s="579"/>
      <c r="AU770" s="579"/>
      <c r="AV770" s="579"/>
      <c r="AW770" s="579"/>
      <c r="AX770" s="579"/>
      <c r="AY770" s="579"/>
      <c r="AZ770" s="579"/>
      <c r="BA770" s="579"/>
      <c r="BB770" s="579"/>
      <c r="BC770" s="579"/>
      <c r="BD770" s="579"/>
      <c r="BE770" s="579"/>
      <c r="BF770" s="579"/>
      <c r="BG770" s="579"/>
      <c r="BH770" s="579"/>
      <c r="BI770" s="579"/>
      <c r="BJ770" s="579"/>
      <c r="BK770" s="579"/>
    </row>
    <row r="771" spans="1:63" s="240" customFormat="1">
      <c r="A771" s="209"/>
      <c r="B771" s="209"/>
      <c r="C771" s="209"/>
      <c r="D771" s="209"/>
      <c r="AF771" s="579"/>
      <c r="AG771" s="579"/>
      <c r="AH771" s="579"/>
      <c r="AI771" s="579"/>
      <c r="AJ771" s="579"/>
      <c r="AK771" s="579"/>
      <c r="AL771" s="579"/>
      <c r="AM771" s="579"/>
      <c r="AN771" s="579"/>
      <c r="AO771" s="579"/>
      <c r="AP771" s="579"/>
      <c r="AQ771" s="579"/>
      <c r="AR771" s="579"/>
      <c r="AS771" s="579"/>
      <c r="AT771" s="579"/>
      <c r="AU771" s="579"/>
      <c r="AV771" s="579"/>
      <c r="AW771" s="579"/>
      <c r="AX771" s="579"/>
      <c r="AY771" s="579"/>
      <c r="AZ771" s="579"/>
      <c r="BA771" s="579"/>
      <c r="BB771" s="579"/>
      <c r="BC771" s="579"/>
      <c r="BD771" s="579"/>
      <c r="BE771" s="579"/>
      <c r="BF771" s="579"/>
      <c r="BG771" s="579"/>
      <c r="BH771" s="579"/>
      <c r="BI771" s="579"/>
      <c r="BJ771" s="579"/>
      <c r="BK771" s="579"/>
    </row>
    <row r="772" spans="1:63" s="240" customFormat="1">
      <c r="A772" s="209"/>
      <c r="B772" s="209"/>
      <c r="C772" s="209"/>
      <c r="D772" s="209"/>
      <c r="AF772" s="579"/>
      <c r="AG772" s="579"/>
      <c r="AH772" s="579"/>
      <c r="AI772" s="579"/>
      <c r="AJ772" s="579"/>
      <c r="AK772" s="579"/>
      <c r="AL772" s="579"/>
      <c r="AM772" s="579"/>
      <c r="AN772" s="579"/>
      <c r="AO772" s="579"/>
      <c r="AP772" s="579"/>
      <c r="AQ772" s="579"/>
      <c r="AR772" s="579"/>
      <c r="AS772" s="579"/>
      <c r="AT772" s="579"/>
      <c r="AU772" s="579"/>
      <c r="AV772" s="579"/>
      <c r="AW772" s="579"/>
      <c r="AX772" s="579"/>
      <c r="AY772" s="579"/>
      <c r="AZ772" s="579"/>
      <c r="BA772" s="579"/>
      <c r="BB772" s="579"/>
      <c r="BC772" s="579"/>
      <c r="BD772" s="579"/>
      <c r="BE772" s="579"/>
      <c r="BF772" s="579"/>
      <c r="BG772" s="579"/>
      <c r="BH772" s="579"/>
      <c r="BI772" s="579"/>
      <c r="BJ772" s="579"/>
      <c r="BK772" s="579"/>
    </row>
    <row r="773" spans="1:63" s="240" customFormat="1">
      <c r="A773" s="209"/>
      <c r="B773" s="209"/>
      <c r="C773" s="209"/>
      <c r="D773" s="209"/>
      <c r="AF773" s="579"/>
      <c r="AG773" s="579"/>
      <c r="AH773" s="579"/>
      <c r="AI773" s="579"/>
      <c r="AJ773" s="579"/>
      <c r="AK773" s="579"/>
      <c r="AL773" s="579"/>
      <c r="AM773" s="579"/>
      <c r="AN773" s="579"/>
      <c r="AO773" s="579"/>
      <c r="AP773" s="579"/>
      <c r="AQ773" s="579"/>
      <c r="AR773" s="579"/>
      <c r="AS773" s="579"/>
      <c r="AT773" s="579"/>
      <c r="AU773" s="579"/>
      <c r="AV773" s="579"/>
      <c r="AW773" s="579"/>
      <c r="AX773" s="579"/>
      <c r="AY773" s="579"/>
      <c r="AZ773" s="579"/>
      <c r="BA773" s="579"/>
      <c r="BB773" s="579"/>
      <c r="BC773" s="579"/>
      <c r="BD773" s="579"/>
      <c r="BE773" s="579"/>
      <c r="BF773" s="579"/>
      <c r="BG773" s="579"/>
      <c r="BH773" s="579"/>
      <c r="BI773" s="579"/>
      <c r="BJ773" s="579"/>
      <c r="BK773" s="579"/>
    </row>
    <row r="774" spans="1:63" s="240" customFormat="1">
      <c r="A774" s="209"/>
      <c r="B774" s="209"/>
      <c r="C774" s="209"/>
      <c r="D774" s="209"/>
      <c r="AF774" s="579"/>
      <c r="AG774" s="579"/>
      <c r="AH774" s="579"/>
      <c r="AI774" s="579"/>
      <c r="AJ774" s="579"/>
      <c r="AK774" s="579"/>
      <c r="AL774" s="579"/>
      <c r="AM774" s="579"/>
      <c r="AN774" s="579"/>
      <c r="AO774" s="579"/>
      <c r="AP774" s="579"/>
      <c r="AQ774" s="579"/>
      <c r="AR774" s="579"/>
      <c r="AS774" s="579"/>
      <c r="AT774" s="579"/>
      <c r="AU774" s="579"/>
      <c r="AV774" s="579"/>
      <c r="AW774" s="579"/>
      <c r="AX774" s="579"/>
      <c r="AY774" s="579"/>
      <c r="AZ774" s="579"/>
      <c r="BA774" s="579"/>
      <c r="BB774" s="579"/>
      <c r="BC774" s="579"/>
      <c r="BD774" s="579"/>
      <c r="BE774" s="579"/>
      <c r="BF774" s="579"/>
      <c r="BG774" s="579"/>
      <c r="BH774" s="579"/>
      <c r="BI774" s="579"/>
      <c r="BJ774" s="579"/>
      <c r="BK774" s="579"/>
    </row>
    <row r="775" spans="1:63" s="240" customFormat="1">
      <c r="A775" s="209"/>
      <c r="B775" s="209"/>
      <c r="C775" s="209"/>
      <c r="D775" s="209"/>
      <c r="AF775" s="579"/>
      <c r="AG775" s="579"/>
      <c r="AH775" s="579"/>
      <c r="AI775" s="579"/>
      <c r="AJ775" s="579"/>
      <c r="AK775" s="579"/>
      <c r="AL775" s="579"/>
      <c r="AM775" s="579"/>
      <c r="AN775" s="579"/>
      <c r="AO775" s="579"/>
      <c r="AP775" s="579"/>
      <c r="AQ775" s="579"/>
      <c r="AR775" s="579"/>
      <c r="AS775" s="579"/>
      <c r="AT775" s="579"/>
      <c r="AU775" s="579"/>
      <c r="AV775" s="579"/>
      <c r="AW775" s="579"/>
      <c r="AX775" s="579"/>
      <c r="AY775" s="579"/>
      <c r="AZ775" s="579"/>
      <c r="BA775" s="579"/>
      <c r="BB775" s="579"/>
      <c r="BC775" s="579"/>
      <c r="BD775" s="579"/>
      <c r="BE775" s="579"/>
      <c r="BF775" s="579"/>
      <c r="BG775" s="579"/>
      <c r="BH775" s="579"/>
      <c r="BI775" s="579"/>
      <c r="BJ775" s="579"/>
      <c r="BK775" s="579"/>
    </row>
    <row r="776" spans="1:63" s="240" customFormat="1">
      <c r="A776" s="209"/>
      <c r="B776" s="209"/>
      <c r="C776" s="209"/>
      <c r="D776" s="209"/>
      <c r="AF776" s="579"/>
      <c r="AG776" s="579"/>
      <c r="AH776" s="579"/>
      <c r="AI776" s="579"/>
      <c r="AJ776" s="579"/>
      <c r="AK776" s="579"/>
      <c r="AL776" s="579"/>
      <c r="AM776" s="579"/>
      <c r="AN776" s="579"/>
      <c r="AO776" s="579"/>
      <c r="AP776" s="579"/>
      <c r="AQ776" s="579"/>
      <c r="AR776" s="579"/>
      <c r="AS776" s="579"/>
      <c r="AT776" s="579"/>
      <c r="AU776" s="579"/>
      <c r="AV776" s="579"/>
      <c r="AW776" s="579"/>
      <c r="AX776" s="579"/>
      <c r="AY776" s="579"/>
      <c r="AZ776" s="579"/>
      <c r="BA776" s="579"/>
      <c r="BB776" s="579"/>
      <c r="BC776" s="579"/>
      <c r="BD776" s="579"/>
      <c r="BE776" s="579"/>
      <c r="BF776" s="579"/>
      <c r="BG776" s="579"/>
      <c r="BH776" s="579"/>
      <c r="BI776" s="579"/>
      <c r="BJ776" s="579"/>
      <c r="BK776" s="579"/>
    </row>
    <row r="777" spans="1:63" s="240" customFormat="1">
      <c r="A777" s="209"/>
      <c r="B777" s="209"/>
      <c r="C777" s="209"/>
      <c r="D777" s="209"/>
      <c r="AF777" s="579"/>
      <c r="AG777" s="579"/>
      <c r="AH777" s="579"/>
      <c r="AI777" s="579"/>
      <c r="AJ777" s="579"/>
      <c r="AK777" s="579"/>
      <c r="AL777" s="579"/>
      <c r="AM777" s="579"/>
      <c r="AN777" s="579"/>
      <c r="AO777" s="579"/>
      <c r="AP777" s="579"/>
      <c r="AQ777" s="579"/>
      <c r="AR777" s="579"/>
      <c r="AS777" s="579"/>
      <c r="AT777" s="579"/>
      <c r="AU777" s="579"/>
      <c r="AV777" s="579"/>
      <c r="AW777" s="579"/>
      <c r="AX777" s="579"/>
      <c r="AY777" s="579"/>
      <c r="AZ777" s="579"/>
      <c r="BA777" s="579"/>
      <c r="BB777" s="579"/>
      <c r="BC777" s="579"/>
      <c r="BD777" s="579"/>
      <c r="BE777" s="579"/>
      <c r="BF777" s="579"/>
      <c r="BG777" s="579"/>
      <c r="BH777" s="579"/>
      <c r="BI777" s="579"/>
      <c r="BJ777" s="579"/>
      <c r="BK777" s="579"/>
    </row>
    <row r="778" spans="1:63" s="240" customFormat="1">
      <c r="A778" s="209"/>
      <c r="B778" s="209"/>
      <c r="C778" s="209"/>
      <c r="D778" s="209"/>
      <c r="AF778" s="579"/>
      <c r="AG778" s="579"/>
      <c r="AH778" s="579"/>
      <c r="AI778" s="579"/>
      <c r="AJ778" s="579"/>
      <c r="AK778" s="579"/>
      <c r="AL778" s="579"/>
      <c r="AM778" s="579"/>
      <c r="AN778" s="579"/>
      <c r="AO778" s="579"/>
      <c r="AP778" s="579"/>
      <c r="AQ778" s="579"/>
      <c r="AR778" s="579"/>
      <c r="AS778" s="579"/>
      <c r="AT778" s="579"/>
      <c r="AU778" s="579"/>
      <c r="AV778" s="579"/>
      <c r="AW778" s="579"/>
      <c r="AX778" s="579"/>
      <c r="AY778" s="579"/>
      <c r="AZ778" s="579"/>
      <c r="BA778" s="579"/>
      <c r="BB778" s="579"/>
      <c r="BC778" s="579"/>
      <c r="BD778" s="579"/>
      <c r="BE778" s="579"/>
      <c r="BF778" s="579"/>
      <c r="BG778" s="579"/>
      <c r="BH778" s="579"/>
      <c r="BI778" s="579"/>
      <c r="BJ778" s="579"/>
      <c r="BK778" s="579"/>
    </row>
  </sheetData>
  <phoneticPr fontId="64" type="noConversion"/>
  <dataValidations count="1">
    <dataValidation type="list" allowBlank="1" showInputMessage="1" showErrorMessage="1" sqref="E15">
      <formula1>"Standalone,Consolidated"</formula1>
    </dataValidation>
  </dataValidations>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T172"/>
  <sheetViews>
    <sheetView showGridLines="0" zoomScale="85" workbookViewId="0">
      <pane xSplit="2" ySplit="7" topLeftCell="Q25" activePane="bottomRight" state="frozen"/>
      <selection activeCell="V96" sqref="V96"/>
      <selection pane="topRight" activeCell="V96" sqref="V96"/>
      <selection pane="bottomLeft" activeCell="V96" sqref="V96"/>
      <selection pane="bottomRight" activeCell="R54" sqref="R54"/>
    </sheetView>
  </sheetViews>
  <sheetFormatPr defaultColWidth="10.625" defaultRowHeight="13.5"/>
  <cols>
    <col min="1" max="1" width="6.25" style="1373" customWidth="1"/>
    <col min="2" max="2" width="33.375" style="1374" bestFit="1" customWidth="1"/>
    <col min="3" max="3" width="10.625" style="1374" hidden="1" customWidth="1"/>
    <col min="4" max="6" width="11.25" style="1374" hidden="1" customWidth="1"/>
    <col min="7" max="7" width="12.375" style="1374" hidden="1" customWidth="1"/>
    <col min="8" max="9" width="10.625" style="1374" hidden="1" customWidth="1"/>
    <col min="10" max="11" width="11.25" style="1374" hidden="1" customWidth="1"/>
    <col min="12" max="13" width="10.625" style="1374" hidden="1" customWidth="1"/>
    <col min="14" max="16" width="11.25" style="1374" hidden="1" customWidth="1"/>
    <col min="17" max="17" width="11.25" style="1374" customWidth="1"/>
    <col min="18" max="18" width="12.375" style="1374" bestFit="1" customWidth="1"/>
    <col min="19" max="20" width="10.625" style="1374"/>
    <col min="21" max="16384" width="10.625" style="1385"/>
  </cols>
  <sheetData>
    <row r="1" spans="1:20" s="1375" customFormat="1">
      <c r="A1" s="1688"/>
      <c r="B1" s="1689"/>
      <c r="C1" s="1335"/>
      <c r="D1" s="1335"/>
      <c r="E1" s="1335"/>
      <c r="F1" s="1335"/>
      <c r="G1" s="1335"/>
      <c r="H1" s="1335"/>
      <c r="I1" s="1335"/>
      <c r="J1" s="1335"/>
      <c r="K1" s="1335"/>
      <c r="L1" s="1335"/>
      <c r="M1" s="1335"/>
      <c r="N1" s="1335"/>
      <c r="O1" s="1335"/>
      <c r="P1" s="1335"/>
      <c r="Q1" s="1335"/>
      <c r="R1" s="1335"/>
      <c r="S1" s="1335"/>
      <c r="T1" s="1335"/>
    </row>
    <row r="2" spans="1:20" s="1375" customFormat="1" ht="18">
      <c r="A2" s="1389" t="s">
        <v>559</v>
      </c>
      <c r="B2" s="1390"/>
      <c r="C2" s="1390"/>
      <c r="D2" s="1390"/>
      <c r="E2" s="1390"/>
      <c r="F2" s="1390"/>
      <c r="G2" s="1390"/>
      <c r="H2" s="1390"/>
      <c r="I2" s="1390"/>
      <c r="J2" s="1390"/>
      <c r="K2" s="1391"/>
      <c r="L2" s="1335"/>
      <c r="M2" s="1335"/>
      <c r="N2" s="1335"/>
      <c r="O2" s="1335"/>
      <c r="P2" s="1335"/>
      <c r="Q2" s="1335"/>
      <c r="R2" s="1335"/>
      <c r="S2" s="1335"/>
      <c r="T2" s="1335"/>
    </row>
    <row r="3" spans="1:20" s="1375" customFormat="1" ht="7.5" customHeight="1">
      <c r="A3" s="1336"/>
      <c r="B3" s="1335"/>
      <c r="C3" s="1335"/>
      <c r="D3" s="1335"/>
      <c r="E3" s="1335"/>
      <c r="F3" s="1335"/>
      <c r="G3" s="1335"/>
      <c r="H3" s="1335"/>
      <c r="I3" s="1335"/>
      <c r="J3" s="1335"/>
      <c r="K3" s="1335"/>
      <c r="L3" s="1335"/>
      <c r="M3" s="1335"/>
      <c r="N3" s="1335"/>
      <c r="O3" s="1335"/>
      <c r="P3" s="1335"/>
      <c r="Q3" s="1335"/>
      <c r="R3" s="1335"/>
      <c r="S3" s="1335"/>
      <c r="T3" s="1335"/>
    </row>
    <row r="4" spans="1:20" s="1376" customFormat="1" ht="18">
      <c r="A4" s="1386" t="s">
        <v>320</v>
      </c>
      <c r="B4" s="1387"/>
      <c r="C4" s="1387"/>
      <c r="D4" s="1387"/>
      <c r="E4" s="1387"/>
      <c r="F4" s="1387"/>
      <c r="G4" s="1387"/>
      <c r="H4" s="1387"/>
      <c r="I4" s="1387"/>
      <c r="J4" s="1387"/>
      <c r="K4" s="1388"/>
      <c r="L4" s="1337"/>
      <c r="M4" s="1337"/>
      <c r="N4" s="1337"/>
      <c r="O4" s="1337"/>
      <c r="P4" s="1337"/>
      <c r="Q4" s="1337"/>
      <c r="R4" s="1337"/>
      <c r="S4" s="1337"/>
      <c r="T4" s="1337"/>
    </row>
    <row r="5" spans="1:20" s="1377" customFormat="1" ht="12.75">
      <c r="A5" s="1338"/>
      <c r="B5" s="1339" t="s">
        <v>674</v>
      </c>
      <c r="C5" s="1340"/>
      <c r="D5" s="1340"/>
      <c r="E5" s="1340"/>
      <c r="F5" s="1340"/>
      <c r="G5" s="1340"/>
      <c r="H5" s="1340"/>
      <c r="I5" s="1339"/>
      <c r="J5" s="1339"/>
      <c r="K5" s="1339"/>
      <c r="L5" s="1339"/>
      <c r="M5" s="1339"/>
      <c r="N5" s="1339"/>
      <c r="O5" s="1339"/>
      <c r="P5" s="1339"/>
      <c r="Q5" s="1339"/>
      <c r="R5" s="1339"/>
      <c r="S5" s="1339"/>
      <c r="T5" s="1339"/>
    </row>
    <row r="6" spans="1:20" s="1375" customFormat="1" ht="14.25" thickBot="1">
      <c r="A6" s="1336"/>
      <c r="B6" s="1335"/>
      <c r="C6" s="1341"/>
      <c r="D6" s="1341"/>
      <c r="E6" s="1341"/>
      <c r="F6" s="1341"/>
      <c r="G6" s="1341"/>
      <c r="H6" s="1341"/>
      <c r="I6" s="1341"/>
      <c r="J6" s="1341"/>
      <c r="K6" s="1341"/>
      <c r="L6" s="1341"/>
      <c r="M6" s="1341"/>
      <c r="N6" s="1341"/>
      <c r="O6" s="1341"/>
      <c r="P6" s="1341"/>
      <c r="Q6" s="1341"/>
      <c r="R6" s="1341"/>
      <c r="S6" s="1335"/>
      <c r="T6" s="1335"/>
    </row>
    <row r="7" spans="1:20" s="1378" customFormat="1" thickBot="1">
      <c r="A7" s="1338"/>
      <c r="B7" s="1342"/>
      <c r="C7" s="1343" t="s">
        <v>672</v>
      </c>
      <c r="D7" s="1344" t="s">
        <v>673</v>
      </c>
      <c r="E7" s="1344" t="s">
        <v>671</v>
      </c>
      <c r="F7" s="1344" t="s">
        <v>670</v>
      </c>
      <c r="G7" s="1344" t="s">
        <v>669</v>
      </c>
      <c r="H7" s="1345" t="s">
        <v>668</v>
      </c>
      <c r="I7" s="1346" t="s">
        <v>688</v>
      </c>
      <c r="J7" s="1347" t="s">
        <v>689</v>
      </c>
      <c r="K7" s="1348" t="s">
        <v>690</v>
      </c>
      <c r="L7" s="1349" t="s">
        <v>691</v>
      </c>
      <c r="M7" s="1350" t="s">
        <v>692</v>
      </c>
      <c r="N7" s="1351" t="s">
        <v>693</v>
      </c>
      <c r="O7" s="1351" t="s">
        <v>2224</v>
      </c>
      <c r="P7" s="1351" t="s">
        <v>1982</v>
      </c>
      <c r="Q7" s="1351" t="s">
        <v>1633</v>
      </c>
      <c r="R7" s="1351" t="s">
        <v>1634</v>
      </c>
      <c r="S7" s="1351" t="s">
        <v>1635</v>
      </c>
      <c r="T7" s="1351" t="s">
        <v>1636</v>
      </c>
    </row>
    <row r="8" spans="1:20" s="1375" customFormat="1">
      <c r="A8" s="1336"/>
      <c r="B8" s="1335"/>
      <c r="C8" s="1352"/>
      <c r="D8" s="1352"/>
      <c r="E8" s="1352"/>
      <c r="F8" s="1352"/>
      <c r="G8" s="1352"/>
      <c r="H8" s="1353"/>
      <c r="I8" s="1354"/>
      <c r="J8" s="1352"/>
      <c r="K8" s="1352"/>
      <c r="L8" s="1352"/>
      <c r="M8" s="1352"/>
      <c r="N8" s="1352"/>
      <c r="O8" s="1352"/>
      <c r="P8" s="1352"/>
      <c r="Q8" s="1352"/>
      <c r="R8" s="1352"/>
      <c r="S8" s="1352"/>
      <c r="T8" s="1352"/>
    </row>
    <row r="9" spans="1:20" s="1379" customFormat="1" ht="12.75">
      <c r="A9" s="1355"/>
      <c r="B9" s="1356" t="s">
        <v>161</v>
      </c>
      <c r="C9" s="1356"/>
      <c r="D9" s="1356"/>
      <c r="E9" s="1356"/>
      <c r="F9" s="1356"/>
      <c r="G9" s="1356"/>
      <c r="H9" s="1356"/>
      <c r="I9" s="1357"/>
      <c r="J9" s="1356"/>
      <c r="K9" s="1356"/>
      <c r="L9" s="1356"/>
      <c r="M9" s="1356"/>
      <c r="N9" s="1356"/>
      <c r="O9" s="1356"/>
      <c r="P9" s="1356"/>
      <c r="Q9" s="1356"/>
      <c r="R9" s="1356"/>
      <c r="S9" s="1356"/>
      <c r="T9" s="1356"/>
    </row>
    <row r="10" spans="1:20" s="1375" customFormat="1">
      <c r="A10" s="1336"/>
      <c r="B10" s="1335"/>
      <c r="C10" s="1335"/>
      <c r="D10" s="1335"/>
      <c r="E10" s="1335"/>
      <c r="F10" s="1335"/>
      <c r="G10" s="1335"/>
      <c r="H10" s="1335"/>
      <c r="I10" s="1358"/>
      <c r="J10" s="1335"/>
      <c r="K10" s="1335"/>
      <c r="L10" s="1335"/>
      <c r="M10" s="1335"/>
      <c r="N10" s="1335"/>
      <c r="O10" s="1335"/>
      <c r="P10" s="1335"/>
      <c r="Q10" s="1335"/>
      <c r="R10" s="1335"/>
      <c r="S10" s="1335"/>
      <c r="T10" s="1335"/>
    </row>
    <row r="11" spans="1:20" s="1380" customFormat="1" ht="12.75">
      <c r="A11" s="1359" t="s">
        <v>163</v>
      </c>
      <c r="B11" s="1360" t="s">
        <v>657</v>
      </c>
      <c r="C11" s="1360">
        <f>+'Inc Stmt'!C9/'Inc Stmt'!C$9</f>
        <v>1</v>
      </c>
      <c r="D11" s="1360">
        <f>+'Inc Stmt'!D9/'Inc Stmt'!D$9</f>
        <v>1</v>
      </c>
      <c r="E11" s="1360">
        <f>+'Inc Stmt'!E9/'Inc Stmt'!E$9</f>
        <v>1</v>
      </c>
      <c r="F11" s="1360">
        <f>+'Inc Stmt'!F9/'Inc Stmt'!F$9</f>
        <v>1</v>
      </c>
      <c r="G11" s="1360">
        <f>+'Inc Stmt'!G9/'Inc Stmt'!G$9</f>
        <v>1</v>
      </c>
      <c r="H11" s="1360">
        <f>+'Inc Stmt'!H9/'Inc Stmt'!H$9</f>
        <v>1</v>
      </c>
      <c r="I11" s="1361">
        <f>+'Inc Stmt'!I9/'Inc Stmt'!I$9</f>
        <v>1</v>
      </c>
      <c r="J11" s="1360">
        <f>+'Inc Stmt'!J9/'Inc Stmt'!J$9</f>
        <v>1</v>
      </c>
      <c r="K11" s="1360">
        <f>+'Inc Stmt'!K9/'Inc Stmt'!K$9</f>
        <v>1</v>
      </c>
      <c r="L11" s="1360">
        <f>+'Inc Stmt'!L9/'Inc Stmt'!L$9</f>
        <v>1</v>
      </c>
      <c r="M11" s="1360">
        <f>+'Inc Stmt'!M9/'Inc Stmt'!M$9</f>
        <v>1</v>
      </c>
      <c r="N11" s="1360">
        <f>+'Inc Stmt'!N9/'Inc Stmt'!N$9</f>
        <v>1</v>
      </c>
      <c r="O11" s="1360">
        <f>+'Inc Stmt'!O9/'Inc Stmt'!O$9</f>
        <v>1</v>
      </c>
      <c r="P11" s="1360">
        <f>+'Inc Stmt'!P9/'Inc Stmt'!P$9</f>
        <v>1</v>
      </c>
      <c r="Q11" s="1360">
        <f>+'Inc Stmt'!Q9/'Inc Stmt'!Q$9</f>
        <v>1</v>
      </c>
      <c r="R11" s="1191"/>
      <c r="S11" s="1191"/>
      <c r="T11" s="1191"/>
    </row>
    <row r="12" spans="1:20" s="1382" customFormat="1">
      <c r="A12" s="1362" t="s">
        <v>163</v>
      </c>
      <c r="B12" s="1363" t="s">
        <v>658</v>
      </c>
      <c r="C12" s="1363">
        <f>+'Inc Stmt'!C10/'Inc Stmt'!C$9</f>
        <v>0.62273784782281472</v>
      </c>
      <c r="D12" s="1363">
        <f>+'Inc Stmt'!D10/'Inc Stmt'!D$9</f>
        <v>0.64142407922230871</v>
      </c>
      <c r="E12" s="1363">
        <f>+'Inc Stmt'!E10/'Inc Stmt'!E$9</f>
        <v>0.68959616219921704</v>
      </c>
      <c r="F12" s="1363">
        <f>+'Inc Stmt'!F10/'Inc Stmt'!F$9</f>
        <v>0.68784750211860035</v>
      </c>
      <c r="G12" s="1363">
        <f>+'Inc Stmt'!G10/'Inc Stmt'!G$9</f>
        <v>0.71939325453829006</v>
      </c>
      <c r="H12" s="1363">
        <f>+'Inc Stmt'!H10/'Inc Stmt'!H$9</f>
        <v>0.73409412273551466</v>
      </c>
      <c r="I12" s="1364">
        <f>+'Inc Stmt'!I10/'Inc Stmt'!I$9</f>
        <v>0.73303565249846558</v>
      </c>
      <c r="J12" s="1363">
        <f>+'Inc Stmt'!J10/'Inc Stmt'!J$9</f>
        <v>0.67896019592023549</v>
      </c>
      <c r="K12" s="1363">
        <f>+'Inc Stmt'!K10/'Inc Stmt'!K$9</f>
        <v>0.71951728936598658</v>
      </c>
      <c r="L12" s="1363">
        <f>+'Inc Stmt'!L10/'Inc Stmt'!L$9</f>
        <v>0.72213397729937767</v>
      </c>
      <c r="M12" s="1363">
        <f>+'Inc Stmt'!M10/'Inc Stmt'!M$9</f>
        <v>0.7204275587893334</v>
      </c>
      <c r="N12" s="1363">
        <f>+'Inc Stmt'!N10/'Inc Stmt'!N$9</f>
        <v>0.68868523353669642</v>
      </c>
      <c r="O12" s="1363">
        <f>+'Inc Stmt'!O10/'Inc Stmt'!O$9</f>
        <v>0.68710869558176213</v>
      </c>
      <c r="P12" s="1363">
        <f>+'Inc Stmt'!P10/'Inc Stmt'!P$9</f>
        <v>0.66663036182643454</v>
      </c>
      <c r="Q12" s="1363">
        <f>+'Inc Stmt'!Q10/'Inc Stmt'!Q$9</f>
        <v>0.67185946593600865</v>
      </c>
      <c r="R12" s="1192"/>
      <c r="S12" s="1192"/>
      <c r="T12" s="1192"/>
    </row>
    <row r="13" spans="1:20" s="1382" customFormat="1">
      <c r="A13" s="1362" t="s">
        <v>163</v>
      </c>
      <c r="B13" s="1363" t="s">
        <v>162</v>
      </c>
      <c r="C13" s="1363">
        <f>+SUM('Inc Stmt'!C14:C20)/'Inc Stmt'!C$9</f>
        <v>0.19275345015835141</v>
      </c>
      <c r="D13" s="1363">
        <f>+SUM('Inc Stmt'!D14:D20)/'Inc Stmt'!D$9</f>
        <v>0.17337837626506558</v>
      </c>
      <c r="E13" s="1363">
        <f>+SUM('Inc Stmt'!E14:E20)/'Inc Stmt'!E$9</f>
        <v>0.15324762994458563</v>
      </c>
      <c r="F13" s="1363">
        <f>+SUM('Inc Stmt'!F14:F20)/'Inc Stmt'!F$9</f>
        <v>0.12750744093755811</v>
      </c>
      <c r="G13" s="1363">
        <f>+SUM('Inc Stmt'!G14:G20)/'Inc Stmt'!G$9</f>
        <v>0.12534687401619127</v>
      </c>
      <c r="H13" s="1363">
        <f>+SUM('Inc Stmt'!H14:H20)/'Inc Stmt'!H$9</f>
        <v>0.12955600286127791</v>
      </c>
      <c r="I13" s="1364">
        <f>+SUM('Inc Stmt'!I14:I20)/'Inc Stmt'!I$9</f>
        <v>0.13941650472330089</v>
      </c>
      <c r="J13" s="1363">
        <f>+SUM('Inc Stmt'!J14:J20)/'Inc Stmt'!J$9</f>
        <v>0.10583293442039562</v>
      </c>
      <c r="K13" s="1363">
        <f>+SUM('Inc Stmt'!K14:K20)/'Inc Stmt'!K$9</f>
        <v>8.6911819141456126E-2</v>
      </c>
      <c r="L13" s="1363">
        <f>+SUM('Inc Stmt'!L14:L20)/'Inc Stmt'!L$9</f>
        <v>8.7380395699109742E-2</v>
      </c>
      <c r="M13" s="1363">
        <f>+SUM('Inc Stmt'!M14:M20)/'Inc Stmt'!M$9</f>
        <v>9.7644926177349378E-2</v>
      </c>
      <c r="N13" s="1363">
        <f>+SUM('Inc Stmt'!N14:N20)/'Inc Stmt'!N$9</f>
        <v>0.10057366159276331</v>
      </c>
      <c r="O13" s="1363">
        <f>+SUM('Inc Stmt'!O14:O20)/'Inc Stmt'!O$9</f>
        <v>0.12009248561332332</v>
      </c>
      <c r="P13" s="1363">
        <f>+SUM('Inc Stmt'!P14:P20)/'Inc Stmt'!P$9</f>
        <v>0.12165309219835548</v>
      </c>
      <c r="Q13" s="1363">
        <f>+SUM('Inc Stmt'!Q14:Q20)/'Inc Stmt'!Q$9</f>
        <v>0.1249699081348189</v>
      </c>
      <c r="R13" s="1192"/>
      <c r="S13" s="1192"/>
      <c r="T13" s="1192"/>
    </row>
    <row r="14" spans="1:20" s="1382" customFormat="1">
      <c r="A14" s="1362" t="s">
        <v>163</v>
      </c>
      <c r="B14" s="1363" t="s">
        <v>660</v>
      </c>
      <c r="C14" s="1363">
        <f>+'Inc Stmt'!C23/'Inc Stmt'!C$9</f>
        <v>3.9647847823277987E-2</v>
      </c>
      <c r="D14" s="1363">
        <f>+'Inc Stmt'!D23/'Inc Stmt'!D$9</f>
        <v>3.6067747648909736E-2</v>
      </c>
      <c r="E14" s="1363">
        <f>+'Inc Stmt'!E23/'Inc Stmt'!E$9</f>
        <v>3.1161689343242649E-2</v>
      </c>
      <c r="F14" s="1363">
        <f>+'Inc Stmt'!F23/'Inc Stmt'!F$9</f>
        <v>2.4673942250056837E-2</v>
      </c>
      <c r="G14" s="1363">
        <f>+'Inc Stmt'!G23/'Inc Stmt'!G$9</f>
        <v>1.9833583867934559E-2</v>
      </c>
      <c r="H14" s="1363">
        <f>+'Inc Stmt'!H23/'Inc Stmt'!H$9</f>
        <v>1.9364641037157796E-2</v>
      </c>
      <c r="I14" s="1364">
        <f>+'Inc Stmt'!I23/'Inc Stmt'!I$9</f>
        <v>1.4818243388116136E-2</v>
      </c>
      <c r="J14" s="1363">
        <f>+'Inc Stmt'!J23/'Inc Stmt'!J$9</f>
        <v>1.1479438386669887E-2</v>
      </c>
      <c r="K14" s="1363">
        <f>+'Inc Stmt'!K23/'Inc Stmt'!K$9</f>
        <v>7.491052387971142E-3</v>
      </c>
      <c r="L14" s="1363">
        <f>+'Inc Stmt'!L23/'Inc Stmt'!L$9</f>
        <v>7.4566106371146889E-3</v>
      </c>
      <c r="M14" s="1363">
        <f>+'Inc Stmt'!M23/'Inc Stmt'!M$9</f>
        <v>8.3396467014214461E-3</v>
      </c>
      <c r="N14" s="1363">
        <f>+'Inc Stmt'!N23/'Inc Stmt'!N$9</f>
        <v>8.9138644066282489E-3</v>
      </c>
      <c r="O14" s="1363">
        <f>+'Inc Stmt'!O23/'Inc Stmt'!O$9</f>
        <v>1.2372750151420437E-2</v>
      </c>
      <c r="P14" s="1363">
        <f>+'Inc Stmt'!P23/'Inc Stmt'!P$9</f>
        <v>1.3599261860614206E-2</v>
      </c>
      <c r="Q14" s="1363">
        <f>+'Inc Stmt'!Q23/'Inc Stmt'!Q$9</f>
        <v>1.4117449238928491E-2</v>
      </c>
      <c r="R14" s="1192"/>
      <c r="S14" s="1192"/>
      <c r="T14" s="1192"/>
    </row>
    <row r="15" spans="1:20" s="1382" customFormat="1">
      <c r="A15" s="1362" t="s">
        <v>163</v>
      </c>
      <c r="B15" s="1363" t="s">
        <v>661</v>
      </c>
      <c r="C15" s="1363">
        <f>+'Inc Stmt'!C24/'Inc Stmt'!C$9</f>
        <v>0</v>
      </c>
      <c r="D15" s="1363">
        <f>+'Inc Stmt'!D24/'Inc Stmt'!D$9</f>
        <v>0</v>
      </c>
      <c r="E15" s="1363">
        <f>+'Inc Stmt'!E24/'Inc Stmt'!E$9</f>
        <v>0</v>
      </c>
      <c r="F15" s="1363">
        <f>+'Inc Stmt'!F24/'Inc Stmt'!F$9</f>
        <v>0</v>
      </c>
      <c r="G15" s="1363">
        <f>+'Inc Stmt'!G24/'Inc Stmt'!G$9</f>
        <v>0</v>
      </c>
      <c r="H15" s="1363">
        <f>+'Inc Stmt'!H24/'Inc Stmt'!H$9</f>
        <v>0</v>
      </c>
      <c r="I15" s="1364">
        <f>+'Inc Stmt'!I24/'Inc Stmt'!I$9</f>
        <v>0</v>
      </c>
      <c r="J15" s="1363">
        <f>+'Inc Stmt'!J24/'Inc Stmt'!J$9</f>
        <v>0</v>
      </c>
      <c r="K15" s="1363">
        <f>+'Inc Stmt'!K24/'Inc Stmt'!K$9</f>
        <v>0</v>
      </c>
      <c r="L15" s="1363">
        <f>+'Inc Stmt'!L24/'Inc Stmt'!L$9</f>
        <v>0</v>
      </c>
      <c r="M15" s="1363">
        <f>+'Inc Stmt'!M24/'Inc Stmt'!M$9</f>
        <v>0</v>
      </c>
      <c r="N15" s="1363">
        <f>+'Inc Stmt'!N24/'Inc Stmt'!N$9</f>
        <v>0</v>
      </c>
      <c r="O15" s="1363">
        <f>+'Inc Stmt'!O24/'Inc Stmt'!O$9</f>
        <v>0</v>
      </c>
      <c r="P15" s="1363">
        <f>+'Inc Stmt'!P24/'Inc Stmt'!P$9</f>
        <v>0</v>
      </c>
      <c r="Q15" s="1363">
        <f>+'Inc Stmt'!Q24/'Inc Stmt'!Q$9</f>
        <v>0</v>
      </c>
      <c r="R15" s="1192"/>
      <c r="S15" s="1192"/>
      <c r="T15" s="1192"/>
    </row>
    <row r="16" spans="1:20" s="1382" customFormat="1">
      <c r="A16" s="1362" t="s">
        <v>163</v>
      </c>
      <c r="B16" s="1363" t="s">
        <v>664</v>
      </c>
      <c r="C16" s="1363">
        <f>+'Inc Stmt'!C27/'Inc Stmt'!C$9</f>
        <v>2.5891157807081709E-4</v>
      </c>
      <c r="D16" s="1363">
        <f>+'Inc Stmt'!D27/'Inc Stmt'!D$9</f>
        <v>1.8748173000465544E-4</v>
      </c>
      <c r="E16" s="1363">
        <f>+'Inc Stmt'!E27/'Inc Stmt'!E$9</f>
        <v>1.1231342833201296E-4</v>
      </c>
      <c r="F16" s="1363">
        <f>+'Inc Stmt'!F27/'Inc Stmt'!F$9</f>
        <v>4.3922200863975528E-5</v>
      </c>
      <c r="G16" s="1363">
        <f>+'Inc Stmt'!G27/'Inc Stmt'!G$9</f>
        <v>5.566663400334834E-4</v>
      </c>
      <c r="H16" s="1363">
        <f>+'Inc Stmt'!H27/'Inc Stmt'!H$9</f>
        <v>5.7225558531432471E-4</v>
      </c>
      <c r="I16" s="1364">
        <f>+'Inc Stmt'!I27/'Inc Stmt'!I$9</f>
        <v>2.4833206841667604E-3</v>
      </c>
      <c r="J16" s="1363">
        <f>+'Inc Stmt'!J27/'Inc Stmt'!J$9</f>
        <v>5.0309301247552889E-4</v>
      </c>
      <c r="K16" s="1363">
        <f>+'Inc Stmt'!K27/'Inc Stmt'!K$9</f>
        <v>1.030599034164053E-4</v>
      </c>
      <c r="L16" s="1363">
        <f>+'Inc Stmt'!L27/'Inc Stmt'!L$9</f>
        <v>1.1388203582573181E-3</v>
      </c>
      <c r="M16" s="1363">
        <f>+'Inc Stmt'!M27/'Inc Stmt'!M$9</f>
        <v>2.7003713010538953E-5</v>
      </c>
      <c r="N16" s="1363">
        <f>+'Inc Stmt'!N27/'Inc Stmt'!N$9</f>
        <v>2.6799659148038836E-5</v>
      </c>
      <c r="O16" s="1363">
        <f>+'Inc Stmt'!O27/'Inc Stmt'!O$9</f>
        <v>3.0029599282991264E-4</v>
      </c>
      <c r="P16" s="1363">
        <f>+'Inc Stmt'!P27/'Inc Stmt'!P$9</f>
        <v>4.6487905175299248E-5</v>
      </c>
      <c r="Q16" s="1363">
        <f>+'Inc Stmt'!Q27/'Inc Stmt'!Q$9</f>
        <v>6.4318490463405529E-5</v>
      </c>
      <c r="R16" s="1192"/>
      <c r="S16" s="1192"/>
      <c r="T16" s="1192"/>
    </row>
    <row r="17" spans="1:20" s="1382" customFormat="1">
      <c r="A17" s="1362" t="s">
        <v>163</v>
      </c>
      <c r="B17" s="1363" t="s">
        <v>665</v>
      </c>
      <c r="C17" s="1363">
        <f>+'Inc Stmt'!C28/'Inc Stmt'!C$9</f>
        <v>3.8079344480453164E-2</v>
      </c>
      <c r="D17" s="1363">
        <f>+'Inc Stmt'!D28/'Inc Stmt'!D$9</f>
        <v>5.6656353266825533E-2</v>
      </c>
      <c r="E17" s="1363">
        <f>+'Inc Stmt'!E28/'Inc Stmt'!E$9</f>
        <v>6.4998761543142464E-2</v>
      </c>
      <c r="F17" s="1363">
        <f>+'Inc Stmt'!F28/'Inc Stmt'!F$9</f>
        <v>4.7200863975527585E-2</v>
      </c>
      <c r="G17" s="1363">
        <f>+'Inc Stmt'!G28/'Inc Stmt'!G$9</f>
        <v>5.0369964202393036E-2</v>
      </c>
      <c r="H17" s="1363">
        <f>+'Inc Stmt'!H28/'Inc Stmt'!H$9</f>
        <v>1.6308175159006091E-2</v>
      </c>
      <c r="I17" s="1364">
        <f>+'Inc Stmt'!I28/'Inc Stmt'!I$9</f>
        <v>1.3828999150293652E-2</v>
      </c>
      <c r="J17" s="1363">
        <f>+'Inc Stmt'!J28/'Inc Stmt'!J$9</f>
        <v>1.3209136101803142E-2</v>
      </c>
      <c r="K17" s="1363">
        <f>+'Inc Stmt'!K28/'Inc Stmt'!K$9</f>
        <v>3.5156843147095752E-2</v>
      </c>
      <c r="L17" s="1363">
        <f>+'Inc Stmt'!L28/'Inc Stmt'!L$9</f>
        <v>2.4273669182927119E-2</v>
      </c>
      <c r="M17" s="1363">
        <f>+'Inc Stmt'!M28/'Inc Stmt'!M$9</f>
        <v>2.7363762517346134E-2</v>
      </c>
      <c r="N17" s="1363">
        <f>+'Inc Stmt'!N28/'Inc Stmt'!N$9</f>
        <v>3.0364013814728003E-2</v>
      </c>
      <c r="O17" s="1363">
        <f>+'Inc Stmt'!O28/'Inc Stmt'!O$9</f>
        <v>2.6502856513577401E-2</v>
      </c>
      <c r="P17" s="1363">
        <f>+'Inc Stmt'!P28/'Inc Stmt'!P$9</f>
        <v>4.7532333444904304E-2</v>
      </c>
      <c r="Q17" s="1363">
        <f>+'Inc Stmt'!Q28/'Inc Stmt'!Q$9</f>
        <v>5.6139475565405474E-2</v>
      </c>
      <c r="R17" s="1192"/>
      <c r="S17" s="1192"/>
      <c r="T17" s="1192"/>
    </row>
    <row r="18" spans="1:20" s="1382" customFormat="1">
      <c r="A18" s="1362" t="s">
        <v>163</v>
      </c>
      <c r="B18" s="1363" t="s">
        <v>675</v>
      </c>
      <c r="C18" s="1363">
        <f>+'Inc Stmt'!C32/'Inc Stmt'!C$9</f>
        <v>5.7957438985750433E-2</v>
      </c>
      <c r="D18" s="1363">
        <f>+'Inc Stmt'!D32/'Inc Stmt'!D$9</f>
        <v>4.5895611712525604E-2</v>
      </c>
      <c r="E18" s="1363">
        <f>+'Inc Stmt'!E32/'Inc Stmt'!E$9</f>
        <v>5.3732603396354037E-2</v>
      </c>
      <c r="F18" s="1363">
        <f>+'Inc Stmt'!F32/'Inc Stmt'!F$9</f>
        <v>6.1892840164527396E-2</v>
      </c>
      <c r="G18" s="1363">
        <f>+'Inc Stmt'!G32/'Inc Stmt'!G$9</f>
        <v>5.108925216985203E-2</v>
      </c>
      <c r="H18" s="1363">
        <f>+'Inc Stmt'!H32/'Inc Stmt'!H$9</f>
        <v>4.085860518246192E-2</v>
      </c>
      <c r="I18" s="1364">
        <f>+'Inc Stmt'!I32/'Inc Stmt'!I$9</f>
        <v>3.2772118741073261E-2</v>
      </c>
      <c r="J18" s="1363">
        <f>+'Inc Stmt'!J32/'Inc Stmt'!J$9</f>
        <v>5.9521455907430888E-2</v>
      </c>
      <c r="K18" s="1363">
        <f>+'Inc Stmt'!K32/'Inc Stmt'!K$9</f>
        <v>6.1654215119558646E-2</v>
      </c>
      <c r="L18" s="1363">
        <f>+'Inc Stmt'!L32/'Inc Stmt'!L$9</f>
        <v>5.2338627004584977E-2</v>
      </c>
      <c r="M18" s="1363">
        <f>+'Inc Stmt'!M32/'Inc Stmt'!M$9</f>
        <v>6.1141406943454726E-2</v>
      </c>
      <c r="N18" s="1363">
        <f>+'Inc Stmt'!N32/'Inc Stmt'!N$9</f>
        <v>6.8989270706831085E-2</v>
      </c>
      <c r="O18" s="1363">
        <f>+'Inc Stmt'!O32/'Inc Stmt'!O$9</f>
        <v>5.8812206731349834E-2</v>
      </c>
      <c r="P18" s="1363">
        <f>+'Inc Stmt'!P32/'Inc Stmt'!P$9</f>
        <v>7.1620152196974124E-2</v>
      </c>
      <c r="Q18" s="1363">
        <f>+'Inc Stmt'!Q32/'Inc Stmt'!Q$9</f>
        <v>6.9283418509391417E-2</v>
      </c>
      <c r="R18" s="1192"/>
      <c r="S18" s="1192"/>
      <c r="T18" s="1192"/>
    </row>
    <row r="19" spans="1:20" s="1375" customFormat="1">
      <c r="A19" s="1336"/>
      <c r="B19" s="1335"/>
      <c r="C19" s="1335"/>
      <c r="D19" s="1335"/>
      <c r="E19" s="1335"/>
      <c r="F19" s="1335"/>
      <c r="G19" s="1335"/>
      <c r="H19" s="1335"/>
      <c r="I19" s="1358"/>
      <c r="J19" s="1335"/>
      <c r="K19" s="1335"/>
      <c r="L19" s="1335"/>
      <c r="M19" s="1335"/>
      <c r="N19" s="1335"/>
      <c r="O19" s="1335"/>
      <c r="P19" s="1335"/>
      <c r="Q19" s="1335"/>
      <c r="R19" s="1335"/>
      <c r="S19" s="1335"/>
      <c r="T19" s="1335"/>
    </row>
    <row r="20" spans="1:20" s="1375" customFormat="1">
      <c r="A20" s="1336"/>
      <c r="B20" s="1335"/>
      <c r="C20" s="1335"/>
      <c r="D20" s="1335"/>
      <c r="E20" s="1335"/>
      <c r="F20" s="1335"/>
      <c r="G20" s="1335"/>
      <c r="H20" s="1335"/>
      <c r="I20" s="1358"/>
      <c r="J20" s="1335"/>
      <c r="K20" s="1335"/>
      <c r="L20" s="1335"/>
      <c r="M20" s="1335"/>
      <c r="N20" s="1335"/>
      <c r="O20" s="1335"/>
      <c r="P20" s="1335"/>
      <c r="Q20" s="1335"/>
      <c r="R20" s="1335"/>
      <c r="S20" s="1335"/>
      <c r="T20" s="1335"/>
    </row>
    <row r="21" spans="1:20" s="1379" customFormat="1" ht="12.75">
      <c r="A21" s="1355"/>
      <c r="B21" s="1356" t="s">
        <v>164</v>
      </c>
      <c r="C21" s="1356"/>
      <c r="D21" s="1356"/>
      <c r="E21" s="1356"/>
      <c r="F21" s="1356"/>
      <c r="G21" s="1356"/>
      <c r="H21" s="1356"/>
      <c r="I21" s="1357"/>
      <c r="J21" s="1356"/>
      <c r="K21" s="1356"/>
      <c r="L21" s="1356"/>
      <c r="M21" s="1356"/>
      <c r="N21" s="1356"/>
      <c r="O21" s="1356"/>
      <c r="P21" s="1356"/>
      <c r="Q21" s="1356"/>
      <c r="R21" s="1356"/>
      <c r="S21" s="1356"/>
      <c r="T21" s="1356"/>
    </row>
    <row r="22" spans="1:20" s="1375" customFormat="1">
      <c r="A22" s="1336"/>
      <c r="B22" s="1335"/>
      <c r="C22" s="1335"/>
      <c r="D22" s="1335"/>
      <c r="E22" s="1335"/>
      <c r="F22" s="1335"/>
      <c r="G22" s="1335"/>
      <c r="H22" s="1335"/>
      <c r="I22" s="1358"/>
      <c r="J22" s="1335"/>
      <c r="K22" s="1335"/>
      <c r="L22" s="1335"/>
      <c r="M22" s="1335"/>
      <c r="N22" s="1335"/>
      <c r="O22" s="1335"/>
      <c r="P22" s="1335"/>
      <c r="Q22" s="1335"/>
      <c r="R22" s="1335"/>
      <c r="S22" s="1335"/>
      <c r="T22" s="1335"/>
    </row>
    <row r="23" spans="1:20" s="1380" customFormat="1" ht="12.75">
      <c r="A23" s="1359" t="s">
        <v>163</v>
      </c>
      <c r="B23" s="1360" t="s">
        <v>166</v>
      </c>
      <c r="C23" s="1360">
        <f>+'Bal Sheet'!C21/'Bal Sheet'!C$21</f>
        <v>1</v>
      </c>
      <c r="D23" s="1360">
        <f>+'Bal Sheet'!D21/'Bal Sheet'!D$21</f>
        <v>1</v>
      </c>
      <c r="E23" s="1360">
        <f>+'Bal Sheet'!E21/'Bal Sheet'!E$21</f>
        <v>1</v>
      </c>
      <c r="F23" s="1360">
        <f>+'Bal Sheet'!F21/'Bal Sheet'!F$21</f>
        <v>1</v>
      </c>
      <c r="G23" s="1360">
        <f>+'Bal Sheet'!G21/'Bal Sheet'!G$21</f>
        <v>1</v>
      </c>
      <c r="H23" s="1360">
        <f>+'Bal Sheet'!H21/'Bal Sheet'!H$21</f>
        <v>1</v>
      </c>
      <c r="I23" s="1361">
        <f>+'Bal Sheet'!I21/'Bal Sheet'!I$21</f>
        <v>1</v>
      </c>
      <c r="J23" s="1360">
        <f>+'Bal Sheet'!J21/'Bal Sheet'!J$21</f>
        <v>1</v>
      </c>
      <c r="K23" s="1360">
        <f>+'Bal Sheet'!K21/'Bal Sheet'!K$21</f>
        <v>1</v>
      </c>
      <c r="L23" s="1360">
        <f>+'Bal Sheet'!L21/'Bal Sheet'!L$21</f>
        <v>1</v>
      </c>
      <c r="M23" s="1360">
        <f>+'Bal Sheet'!M21/'Bal Sheet'!M$21</f>
        <v>1</v>
      </c>
      <c r="N23" s="1360">
        <f>+'Bal Sheet'!N21/'Bal Sheet'!N$21</f>
        <v>1</v>
      </c>
      <c r="O23" s="1360">
        <f>+'Bal Sheet'!O21/'Bal Sheet'!O$21</f>
        <v>1</v>
      </c>
      <c r="P23" s="1360">
        <f>+'Bal Sheet'!P21/'Bal Sheet'!P$21</f>
        <v>1</v>
      </c>
      <c r="Q23" s="1360">
        <f>+'Bal Sheet'!Q21/'Bal Sheet'!Q$21</f>
        <v>1</v>
      </c>
      <c r="R23" s="1191"/>
      <c r="S23" s="1191"/>
      <c r="T23" s="1191"/>
    </row>
    <row r="24" spans="1:20" s="1382" customFormat="1">
      <c r="A24" s="1362" t="s">
        <v>163</v>
      </c>
      <c r="B24" s="1363" t="s">
        <v>699</v>
      </c>
      <c r="C24" s="1363">
        <f>+'Bal Sheet'!C14/'Bal Sheet'!C$21</f>
        <v>0.35790425071195342</v>
      </c>
      <c r="D24" s="1363">
        <f>+'Bal Sheet'!D14/'Bal Sheet'!D$21</f>
        <v>0.2922311816983002</v>
      </c>
      <c r="E24" s="1363">
        <f>+'Bal Sheet'!E14/'Bal Sheet'!E$21</f>
        <v>0.31755287757006151</v>
      </c>
      <c r="F24" s="1363">
        <f>+'Bal Sheet'!F14/'Bal Sheet'!F$21</f>
        <v>0.29194662774044966</v>
      </c>
      <c r="G24" s="1363">
        <f>+'Bal Sheet'!G14/'Bal Sheet'!G$21</f>
        <v>0.33227147862905015</v>
      </c>
      <c r="H24" s="1363">
        <f>+'Bal Sheet'!H14/'Bal Sheet'!H$21</f>
        <v>0.34363238205501662</v>
      </c>
      <c r="I24" s="1364">
        <f>+'Bal Sheet'!I14/'Bal Sheet'!I$21</f>
        <v>0.39240059663328364</v>
      </c>
      <c r="J24" s="1363">
        <f>+'Bal Sheet'!J14/'Bal Sheet'!J$21</f>
        <v>0.35132154593421361</v>
      </c>
      <c r="K24" s="1363">
        <f>+'Bal Sheet'!K14/'Bal Sheet'!K$21</f>
        <v>0.31255569519022053</v>
      </c>
      <c r="L24" s="1363">
        <f>+'Bal Sheet'!L14/'Bal Sheet'!L$21</f>
        <v>0.42373099506374712</v>
      </c>
      <c r="M24" s="1363">
        <f>+'Bal Sheet'!M14/'Bal Sheet'!M$21</f>
        <v>0.31950263516333482</v>
      </c>
      <c r="N24" s="1363">
        <f>+'Bal Sheet'!N14/'Bal Sheet'!N$21</f>
        <v>0.27653751398549209</v>
      </c>
      <c r="O24" s="1363">
        <f>+'Bal Sheet'!O14/'Bal Sheet'!O$21</f>
        <v>0.27402705706730029</v>
      </c>
      <c r="P24" s="1363">
        <f>+'Bal Sheet'!P14/'Bal Sheet'!P$21</f>
        <v>0.2636296061413711</v>
      </c>
      <c r="Q24" s="1363">
        <f>+'Bal Sheet'!Q14/'Bal Sheet'!Q$21</f>
        <v>0.1879777471412257</v>
      </c>
      <c r="R24" s="1192"/>
      <c r="S24" s="1192"/>
      <c r="T24" s="1192"/>
    </row>
    <row r="25" spans="1:20" s="1382" customFormat="1">
      <c r="A25" s="1362" t="s">
        <v>163</v>
      </c>
      <c r="B25" s="1363" t="s">
        <v>165</v>
      </c>
      <c r="C25" s="1363">
        <f>+('Bal Sheet'!C14-'Bal Sheet'!C13)/'Bal Sheet'!C$21</f>
        <v>0.35291793865768001</v>
      </c>
      <c r="D25" s="1363">
        <f>+('Bal Sheet'!D14-'Bal Sheet'!D13)/'Bal Sheet'!D$21</f>
        <v>0.28093356476748665</v>
      </c>
      <c r="E25" s="1363">
        <f>+('Bal Sheet'!E14-'Bal Sheet'!E13)/'Bal Sheet'!E$21</f>
        <v>0.30422650249206007</v>
      </c>
      <c r="F25" s="1363">
        <f>+('Bal Sheet'!F14-'Bal Sheet'!F13)/'Bal Sheet'!F$21</f>
        <v>0.28356542885794284</v>
      </c>
      <c r="G25" s="1363">
        <f>+('Bal Sheet'!G14-'Bal Sheet'!G13)/'Bal Sheet'!G$21</f>
        <v>0.32500846206255052</v>
      </c>
      <c r="H25" s="1363">
        <f>+('Bal Sheet'!H14-'Bal Sheet'!H13)/'Bal Sheet'!H$21</f>
        <v>0.32895634063083906</v>
      </c>
      <c r="I25" s="1364">
        <f>+('Bal Sheet'!I14-'Bal Sheet'!I13)/'Bal Sheet'!I$21</f>
        <v>0.36808523332623055</v>
      </c>
      <c r="J25" s="1363">
        <f>+('Bal Sheet'!J14-'Bal Sheet'!J13)/'Bal Sheet'!J$21</f>
        <v>0.33944946610176435</v>
      </c>
      <c r="K25" s="1363">
        <f>+('Bal Sheet'!K14-'Bal Sheet'!K13)/'Bal Sheet'!K$21</f>
        <v>0.25200611491026204</v>
      </c>
      <c r="L25" s="1363">
        <f>+('Bal Sheet'!L14-'Bal Sheet'!L13)/'Bal Sheet'!L$21</f>
        <v>0.27382788919444634</v>
      </c>
      <c r="M25" s="1363">
        <f>+('Bal Sheet'!M14-'Bal Sheet'!M13)/'Bal Sheet'!M$21</f>
        <v>0.27430125303715108</v>
      </c>
      <c r="N25" s="1363">
        <f>+('Bal Sheet'!N14-'Bal Sheet'!N13)/'Bal Sheet'!N$21</f>
        <v>0.24324074492516648</v>
      </c>
      <c r="O25" s="1363">
        <f>+('Bal Sheet'!O14-'Bal Sheet'!O13)/'Bal Sheet'!O$21</f>
        <v>0.23673507237655264</v>
      </c>
      <c r="P25" s="1363">
        <f>+('Bal Sheet'!P14-'Bal Sheet'!P13)/'Bal Sheet'!P$21</f>
        <v>0.20812115865617783</v>
      </c>
      <c r="Q25" s="1363">
        <f>+('Bal Sheet'!Q14-'Bal Sheet'!Q13)/'Bal Sheet'!Q$21</f>
        <v>0.15861156407563676</v>
      </c>
      <c r="R25" s="1192"/>
      <c r="S25" s="1192"/>
      <c r="T25" s="1192"/>
    </row>
    <row r="26" spans="1:20" s="1382" customFormat="1">
      <c r="A26" s="1362" t="s">
        <v>163</v>
      </c>
      <c r="B26" s="1363" t="s">
        <v>725</v>
      </c>
      <c r="C26" s="1363">
        <f>+'Bal Sheet'!C15/'Bal Sheet'!C$21</f>
        <v>0.21269206303282207</v>
      </c>
      <c r="D26" s="1363">
        <f>+'Bal Sheet'!D15/'Bal Sheet'!D$21</f>
        <v>0.17288341345106825</v>
      </c>
      <c r="E26" s="1363">
        <f>+'Bal Sheet'!E15/'Bal Sheet'!E$21</f>
        <v>0.13774197911272679</v>
      </c>
      <c r="F26" s="1363">
        <f>+'Bal Sheet'!F15/'Bal Sheet'!F$21</f>
        <v>0.11636362892929389</v>
      </c>
      <c r="G26" s="1363">
        <f>+'Bal Sheet'!G15/'Bal Sheet'!G$21</f>
        <v>0.11128156088290857</v>
      </c>
      <c r="H26" s="1363">
        <f>+'Bal Sheet'!H15/'Bal Sheet'!H$21</f>
        <v>0.26729595378818621</v>
      </c>
      <c r="I26" s="1364">
        <f>+'Bal Sheet'!I15/'Bal Sheet'!I$21</f>
        <v>0.26459492861708922</v>
      </c>
      <c r="J26" s="1363">
        <f>+'Bal Sheet'!J15/'Bal Sheet'!J$21</f>
        <v>0.17807651468234784</v>
      </c>
      <c r="K26" s="1363">
        <f>+'Bal Sheet'!K15/'Bal Sheet'!K$21</f>
        <v>0.1684636015950994</v>
      </c>
      <c r="L26" s="1363">
        <f>+'Bal Sheet'!L15/'Bal Sheet'!L$21</f>
        <v>0.13788515190353004</v>
      </c>
      <c r="M26" s="1363">
        <f>+'Bal Sheet'!M15/'Bal Sheet'!M$21</f>
        <v>0.16969060691257212</v>
      </c>
      <c r="N26" s="1363">
        <f>+'Bal Sheet'!N15/'Bal Sheet'!N$21</f>
        <v>0.1472225531722588</v>
      </c>
      <c r="O26" s="1363">
        <f>+'Bal Sheet'!O15/'Bal Sheet'!O$21</f>
        <v>0.14086094441641581</v>
      </c>
      <c r="P26" s="1363">
        <f>+'Bal Sheet'!P15/'Bal Sheet'!P$21</f>
        <v>0.13419298924278422</v>
      </c>
      <c r="Q26" s="1363">
        <f>+'Bal Sheet'!Q15/'Bal Sheet'!Q$21</f>
        <v>0.10921638458739188</v>
      </c>
      <c r="R26" s="1192"/>
      <c r="S26" s="1192"/>
      <c r="T26" s="1192"/>
    </row>
    <row r="27" spans="1:20" s="1382" customFormat="1">
      <c r="A27" s="1362" t="s">
        <v>163</v>
      </c>
      <c r="B27" s="1363" t="s">
        <v>728</v>
      </c>
      <c r="C27" s="1363">
        <f>+'Bal Sheet'!C16/'Bal Sheet'!C$21</f>
        <v>1.7739361636670988E-3</v>
      </c>
      <c r="D27" s="1363">
        <f>+'Bal Sheet'!D16/'Bal Sheet'!D$21</f>
        <v>1.092220827855362E-3</v>
      </c>
      <c r="E27" s="1363">
        <f>+'Bal Sheet'!E16/'Bal Sheet'!E$21</f>
        <v>4.9728391386167096E-4</v>
      </c>
      <c r="F27" s="1363">
        <f>+'Bal Sheet'!F16/'Bal Sheet'!F$21</f>
        <v>1.3697775951407651E-4</v>
      </c>
      <c r="G27" s="1363">
        <f>+'Bal Sheet'!G16/'Bal Sheet'!G$21</f>
        <v>3.5936574122012065E-4</v>
      </c>
      <c r="H27" s="1363">
        <f>+'Bal Sheet'!H16/'Bal Sheet'!H$21</f>
        <v>2.1692688966393841E-3</v>
      </c>
      <c r="I27" s="1364">
        <f>+'Bal Sheet'!I16/'Bal Sheet'!I$21</f>
        <v>2.7717877690176859E-3</v>
      </c>
      <c r="J27" s="1363">
        <f>+'Bal Sheet'!J16/'Bal Sheet'!J$21</f>
        <v>0</v>
      </c>
      <c r="K27" s="1363">
        <f>+'Bal Sheet'!K16/'Bal Sheet'!K$21</f>
        <v>4.6569067476185039E-4</v>
      </c>
      <c r="L27" s="1363">
        <f>+'Bal Sheet'!L16/'Bal Sheet'!L$21</f>
        <v>1.9396954134361067E-4</v>
      </c>
      <c r="M27" s="1363">
        <f>+'Bal Sheet'!M16/'Bal Sheet'!M$21</f>
        <v>0</v>
      </c>
      <c r="N27" s="1363">
        <f>+'Bal Sheet'!N16/'Bal Sheet'!N$21</f>
        <v>0</v>
      </c>
      <c r="O27" s="1363">
        <f>+'Bal Sheet'!O16/'Bal Sheet'!O$21</f>
        <v>0</v>
      </c>
      <c r="P27" s="1363">
        <f>+'Bal Sheet'!P16/'Bal Sheet'!P$21</f>
        <v>0</v>
      </c>
      <c r="Q27" s="1363">
        <f>+'Bal Sheet'!Q16/'Bal Sheet'!Q$21</f>
        <v>0</v>
      </c>
      <c r="R27" s="1192"/>
      <c r="S27" s="1192"/>
      <c r="T27" s="1192"/>
    </row>
    <row r="28" spans="1:20" s="1382" customFormat="1">
      <c r="A28" s="1362" t="s">
        <v>163</v>
      </c>
      <c r="B28" s="1363" t="s">
        <v>60</v>
      </c>
      <c r="C28" s="1363">
        <f>+'Bal Sheet'!C17/'Bal Sheet'!C$21</f>
        <v>0.45335592641601591</v>
      </c>
      <c r="D28" s="1363">
        <f>+'Bal Sheet'!D17/'Bal Sheet'!D$21</f>
        <v>0.5487849906228971</v>
      </c>
      <c r="E28" s="1363">
        <f>+'Bal Sheet'!E17/'Bal Sheet'!E$21</f>
        <v>0.55921607307933818</v>
      </c>
      <c r="F28" s="1363">
        <f>+'Bal Sheet'!F17/'Bal Sheet'!F$21</f>
        <v>0.59871649794891146</v>
      </c>
      <c r="G28" s="1363">
        <f>+'Bal Sheet'!G17/'Bal Sheet'!G$21</f>
        <v>0.56101864960273995</v>
      </c>
      <c r="H28" s="1363">
        <f>+'Bal Sheet'!H17/'Bal Sheet'!H$21</f>
        <v>0.32204475739415805</v>
      </c>
      <c r="I28" s="1364">
        <f>+'Bal Sheet'!I17/'Bal Sheet'!I$21</f>
        <v>0.24260643511613039</v>
      </c>
      <c r="J28" s="1363">
        <f>+'Bal Sheet'!J17/'Bal Sheet'!J$21</f>
        <v>0.47079978786896098</v>
      </c>
      <c r="K28" s="1363">
        <f>+'Bal Sheet'!K17/'Bal Sheet'!K$21</f>
        <v>0.52174764570514598</v>
      </c>
      <c r="L28" s="1363">
        <f>+'Bal Sheet'!L17/'Bal Sheet'!L$21</f>
        <v>0.44258048376366166</v>
      </c>
      <c r="M28" s="1363">
        <f>+'Bal Sheet'!M17/'Bal Sheet'!M$21</f>
        <v>0.5201163742481939</v>
      </c>
      <c r="N28" s="1363">
        <f>+'Bal Sheet'!N17/'Bal Sheet'!N$21</f>
        <v>0.58604381413298168</v>
      </c>
      <c r="O28" s="1363">
        <f>+'Bal Sheet'!O17/'Bal Sheet'!O$21</f>
        <v>0.5942905463680731</v>
      </c>
      <c r="P28" s="1363">
        <f>+'Bal Sheet'!P17/'Bal Sheet'!P$21</f>
        <v>0.61433473107606384</v>
      </c>
      <c r="Q28" s="1363">
        <f>+'Bal Sheet'!Q17/'Bal Sheet'!Q$21</f>
        <v>0.71273525386534775</v>
      </c>
      <c r="R28" s="1192"/>
      <c r="S28" s="1192"/>
      <c r="T28" s="1192"/>
    </row>
    <row r="29" spans="1:20" s="1382" customFormat="1">
      <c r="A29" s="1362" t="s">
        <v>163</v>
      </c>
      <c r="B29" s="1363" t="s">
        <v>731</v>
      </c>
      <c r="C29" s="1363">
        <f>+('Bal Sheet'!C18+'Bal Sheet'!C19+'Bal Sheet'!C20)/'Bal Sheet'!C$21</f>
        <v>-2.5726176324458533E-2</v>
      </c>
      <c r="D29" s="1363">
        <f>+('Bal Sheet'!D18+'Bal Sheet'!D19+'Bal Sheet'!D20)/'Bal Sheet'!D$21</f>
        <v>-1.4991806600120807E-2</v>
      </c>
      <c r="E29" s="1363">
        <f>+('Bal Sheet'!E18+'Bal Sheet'!E19+'Bal Sheet'!E20)/'Bal Sheet'!E$21</f>
        <v>-1.5008213675988169E-2</v>
      </c>
      <c r="F29" s="1363">
        <f>+('Bal Sheet'!F18+'Bal Sheet'!F19+'Bal Sheet'!F20)/'Bal Sheet'!F$21</f>
        <v>-7.1637323781690151E-3</v>
      </c>
      <c r="G29" s="1363">
        <f>+('Bal Sheet'!G18+'Bal Sheet'!G19+'Bal Sheet'!G20)/'Bal Sheet'!G$21</f>
        <v>-4.9310548559187021E-3</v>
      </c>
      <c r="H29" s="1363">
        <f>+('Bal Sheet'!H18+'Bal Sheet'!H19+'Bal Sheet'!H20)/'Bal Sheet'!H$21</f>
        <v>6.4857637865999754E-2</v>
      </c>
      <c r="I29" s="1364">
        <f>+('Bal Sheet'!I18+'Bal Sheet'!I19+'Bal Sheet'!I20)/'Bal Sheet'!I$21</f>
        <v>9.7626251864479013E-2</v>
      </c>
      <c r="J29" s="1363">
        <f>+('Bal Sheet'!J18+'Bal Sheet'!J19+'Bal Sheet'!J20)/'Bal Sheet'!J$21</f>
        <v>-1.9784848552252326E-4</v>
      </c>
      <c r="K29" s="1363">
        <f>+('Bal Sheet'!K18+'Bal Sheet'!K19+'Bal Sheet'!K20)/'Bal Sheet'!K$21</f>
        <v>-3.2326331652277034E-3</v>
      </c>
      <c r="L29" s="1363">
        <f>+('Bal Sheet'!L18+'Bal Sheet'!L19+'Bal Sheet'!L20)/'Bal Sheet'!L$21</f>
        <v>-4.3906002722824784E-3</v>
      </c>
      <c r="M29" s="1363">
        <f>+('Bal Sheet'!M18+'Bal Sheet'!M19+'Bal Sheet'!M20)/'Bal Sheet'!M$21</f>
        <v>-9.3096163241008258E-3</v>
      </c>
      <c r="N29" s="1363">
        <f>+('Bal Sheet'!N18+'Bal Sheet'!N19+'Bal Sheet'!N20)/'Bal Sheet'!N$21</f>
        <v>-9.8038812907325305E-3</v>
      </c>
      <c r="O29" s="1363">
        <f>+('Bal Sheet'!O18+'Bal Sheet'!O19+'Bal Sheet'!O20)/'Bal Sheet'!O$21</f>
        <v>-9.1785478517892125E-3</v>
      </c>
      <c r="P29" s="1363">
        <f>+('Bal Sheet'!P18+'Bal Sheet'!P19+'Bal Sheet'!P20)/'Bal Sheet'!P$21</f>
        <v>-1.2157326460219223E-2</v>
      </c>
      <c r="Q29" s="1363">
        <f>+('Bal Sheet'!Q18+'Bal Sheet'!Q19+'Bal Sheet'!Q20)/'Bal Sheet'!Q$21</f>
        <v>-9.9293855939653446E-3</v>
      </c>
      <c r="R29" s="1192"/>
      <c r="S29" s="1192"/>
      <c r="T29" s="1192"/>
    </row>
    <row r="30" spans="1:20" s="1375" customFormat="1">
      <c r="A30" s="1336"/>
      <c r="B30" s="1335"/>
      <c r="C30" s="1335"/>
      <c r="D30" s="1335"/>
      <c r="E30" s="1335"/>
      <c r="F30" s="1335"/>
      <c r="G30" s="1335"/>
      <c r="H30" s="1335"/>
      <c r="I30" s="1358"/>
      <c r="J30" s="1335"/>
      <c r="K30" s="1335"/>
      <c r="L30" s="1335"/>
      <c r="M30" s="1335"/>
      <c r="N30" s="1335"/>
      <c r="O30" s="1335"/>
      <c r="P30" s="1335"/>
      <c r="Q30" s="1335"/>
      <c r="R30" s="1335"/>
      <c r="S30" s="1335"/>
      <c r="T30" s="1335"/>
    </row>
    <row r="31" spans="1:20" s="1380" customFormat="1" ht="12.75">
      <c r="A31" s="1359" t="s">
        <v>163</v>
      </c>
      <c r="B31" s="1360" t="s">
        <v>167</v>
      </c>
      <c r="C31" s="1360">
        <f>+'Bal Sheet'!C30/'Bal Sheet'!C$30</f>
        <v>1</v>
      </c>
      <c r="D31" s="1360">
        <f>+'Bal Sheet'!D30/'Bal Sheet'!D$30</f>
        <v>1</v>
      </c>
      <c r="E31" s="1360">
        <f>+'Bal Sheet'!E30/'Bal Sheet'!E$30</f>
        <v>1</v>
      </c>
      <c r="F31" s="1360">
        <f>+'Bal Sheet'!F30/'Bal Sheet'!F$30</f>
        <v>1</v>
      </c>
      <c r="G31" s="1360">
        <f>+'Bal Sheet'!G30/'Bal Sheet'!G$30</f>
        <v>1</v>
      </c>
      <c r="H31" s="1360">
        <f>+'Bal Sheet'!H30/'Bal Sheet'!H$30</f>
        <v>1</v>
      </c>
      <c r="I31" s="1361">
        <f>+'Bal Sheet'!I30/'Bal Sheet'!I$30</f>
        <v>1</v>
      </c>
      <c r="J31" s="1360">
        <f>+'Bal Sheet'!J30/'Bal Sheet'!J$30</f>
        <v>1</v>
      </c>
      <c r="K31" s="1360">
        <f>+'Bal Sheet'!K30/'Bal Sheet'!K$30</f>
        <v>1</v>
      </c>
      <c r="L31" s="1360">
        <f>+'Bal Sheet'!L30/'Bal Sheet'!L$30</f>
        <v>1</v>
      </c>
      <c r="M31" s="1360">
        <f>+'Bal Sheet'!M30/'Bal Sheet'!M$30</f>
        <v>1</v>
      </c>
      <c r="N31" s="1360">
        <f>+'Bal Sheet'!N30/'Bal Sheet'!N$30</f>
        <v>1</v>
      </c>
      <c r="O31" s="1360">
        <f>+'Bal Sheet'!O30/'Bal Sheet'!O$30</f>
        <v>1</v>
      </c>
      <c r="P31" s="1360">
        <f>+'Bal Sheet'!P30/'Bal Sheet'!P$30</f>
        <v>1</v>
      </c>
      <c r="Q31" s="1360">
        <f>+'Bal Sheet'!Q30/'Bal Sheet'!Q$30</f>
        <v>1</v>
      </c>
      <c r="R31" s="1191"/>
      <c r="S31" s="1191"/>
      <c r="T31" s="1191"/>
    </row>
    <row r="32" spans="1:20" s="1382" customFormat="1">
      <c r="A32" s="1362" t="s">
        <v>163</v>
      </c>
      <c r="B32" s="1363" t="s">
        <v>69</v>
      </c>
      <c r="C32" s="1363">
        <f>+'Bal Sheet'!C23/'Bal Sheet'!C$30</f>
        <v>7.5546208585333535E-2</v>
      </c>
      <c r="D32" s="1363">
        <f>+'Bal Sheet'!D23/'Bal Sheet'!D$30</f>
        <v>9.5737579596920322E-2</v>
      </c>
      <c r="E32" s="1363">
        <f>+'Bal Sheet'!E23/'Bal Sheet'!E$30</f>
        <v>9.6264929795805435E-2</v>
      </c>
      <c r="F32" s="1363">
        <f>+'Bal Sheet'!F23/'Bal Sheet'!F$30</f>
        <v>0.12561737517510746</v>
      </c>
      <c r="G32" s="1363">
        <f>+'Bal Sheet'!G23/'Bal Sheet'!G$30</f>
        <v>0.13043012729075312</v>
      </c>
      <c r="H32" s="1363">
        <f>+'Bal Sheet'!H23/'Bal Sheet'!H$30</f>
        <v>0.21624556898727959</v>
      </c>
      <c r="I32" s="1364">
        <f>+'Bal Sheet'!I23/'Bal Sheet'!I$30</f>
        <v>0.21034719994567708</v>
      </c>
      <c r="J32" s="1363">
        <f>+'Bal Sheet'!J23/'Bal Sheet'!J$30</f>
        <v>0.23721349016617532</v>
      </c>
      <c r="K32" s="1363">
        <f>+'Bal Sheet'!K23/'Bal Sheet'!K$30</f>
        <v>0.26403472951570278</v>
      </c>
      <c r="L32" s="1363">
        <f>+'Bal Sheet'!L23/'Bal Sheet'!L$30</f>
        <v>0.24646804383676157</v>
      </c>
      <c r="M32" s="1363">
        <f>+'Bal Sheet'!M23/'Bal Sheet'!M$30</f>
        <v>0.21416478787683987</v>
      </c>
      <c r="N32" s="1363">
        <f>+'Bal Sheet'!N23/'Bal Sheet'!N$30</f>
        <v>0.20301871659372817</v>
      </c>
      <c r="O32" s="1363">
        <f>+'Bal Sheet'!O23/'Bal Sheet'!O$30</f>
        <v>0.17020921174989009</v>
      </c>
      <c r="P32" s="1363">
        <f>+'Bal Sheet'!P23/'Bal Sheet'!P$30</f>
        <v>0.17187179395266278</v>
      </c>
      <c r="Q32" s="1363">
        <f>+'Bal Sheet'!Q23/'Bal Sheet'!Q$30</f>
        <v>0.13093100173674535</v>
      </c>
      <c r="R32" s="1192"/>
      <c r="S32" s="1192"/>
      <c r="T32" s="1192"/>
    </row>
    <row r="33" spans="1:20" s="1382" customFormat="1">
      <c r="A33" s="1362" t="s">
        <v>163</v>
      </c>
      <c r="B33" s="1363" t="s">
        <v>70</v>
      </c>
      <c r="C33" s="1363">
        <f>+'Bal Sheet'!C24/'Bal Sheet'!C$30</f>
        <v>0.2467454368460294</v>
      </c>
      <c r="D33" s="1363">
        <f>+'Bal Sheet'!D24/'Bal Sheet'!D$30</f>
        <v>0.23535535882977074</v>
      </c>
      <c r="E33" s="1363">
        <f>+'Bal Sheet'!E24/'Bal Sheet'!E$30</f>
        <v>0.24632987847477192</v>
      </c>
      <c r="F33" s="1363">
        <f>+'Bal Sheet'!F24/'Bal Sheet'!F$30</f>
        <v>0.23673457973119988</v>
      </c>
      <c r="G33" s="1363">
        <f>+'Bal Sheet'!G24/'Bal Sheet'!G$30</f>
        <v>0.24657704317982571</v>
      </c>
      <c r="H33" s="1363">
        <f>+'Bal Sheet'!H24/'Bal Sheet'!H$30</f>
        <v>0.17183663566672339</v>
      </c>
      <c r="I33" s="1364">
        <f>+'Bal Sheet'!I24/'Bal Sheet'!I$30</f>
        <v>0.20867662775112492</v>
      </c>
      <c r="J33" s="1363">
        <f>+'Bal Sheet'!J24/'Bal Sheet'!J$30</f>
        <v>0.26325809727648697</v>
      </c>
      <c r="K33" s="1363">
        <f>+'Bal Sheet'!K24/'Bal Sheet'!K$30</f>
        <v>0.16632452499519448</v>
      </c>
      <c r="L33" s="1363">
        <f>+'Bal Sheet'!L24/'Bal Sheet'!L$30</f>
        <v>0.19713255927689288</v>
      </c>
      <c r="M33" s="1363">
        <f>+'Bal Sheet'!M24/'Bal Sheet'!M$30</f>
        <v>0.14093643395979244</v>
      </c>
      <c r="N33" s="1363">
        <f>+'Bal Sheet'!N24/'Bal Sheet'!N$30</f>
        <v>0.13514336089534645</v>
      </c>
      <c r="O33" s="1363">
        <f>+'Bal Sheet'!O24/'Bal Sheet'!O$30</f>
        <v>0.12917732871444559</v>
      </c>
      <c r="P33" s="1363">
        <f>+'Bal Sheet'!P24/'Bal Sheet'!P$30</f>
        <v>2.3831562704797044E-2</v>
      </c>
      <c r="Q33" s="1363">
        <f>+'Bal Sheet'!Q24/'Bal Sheet'!Q$30</f>
        <v>0.12635368849199888</v>
      </c>
      <c r="R33" s="1192"/>
      <c r="S33" s="1192"/>
      <c r="T33" s="1192"/>
    </row>
    <row r="34" spans="1:20" s="1382" customFormat="1">
      <c r="A34" s="1362" t="s">
        <v>163</v>
      </c>
      <c r="B34" s="1363" t="s">
        <v>72</v>
      </c>
      <c r="C34" s="1363">
        <f>+'Bal Sheet'!C25/'Bal Sheet'!C$30</f>
        <v>0.13058395867186989</v>
      </c>
      <c r="D34" s="1363">
        <f>+'Bal Sheet'!D25/'Bal Sheet'!D$30</f>
        <v>0.1431551077786837</v>
      </c>
      <c r="E34" s="1363">
        <f>+'Bal Sheet'!E25/'Bal Sheet'!E$30</f>
        <v>0.15045323320327847</v>
      </c>
      <c r="F34" s="1363">
        <f>+'Bal Sheet'!F25/'Bal Sheet'!F$30</f>
        <v>0.14997275516584782</v>
      </c>
      <c r="G34" s="1363">
        <f>+'Bal Sheet'!G25/'Bal Sheet'!G$30</f>
        <v>0.13947949668322818</v>
      </c>
      <c r="H34" s="1363">
        <f>+'Bal Sheet'!H25/'Bal Sheet'!H$30</f>
        <v>0.27344135804475161</v>
      </c>
      <c r="I34" s="1364">
        <f>+'Bal Sheet'!I25/'Bal Sheet'!I$30</f>
        <v>0.22526643244233066</v>
      </c>
      <c r="J34" s="1363">
        <f>+'Bal Sheet'!J25/'Bal Sheet'!J$30</f>
        <v>0.15518591402565263</v>
      </c>
      <c r="K34" s="1363">
        <f>+'Bal Sheet'!K25/'Bal Sheet'!K$30</f>
        <v>1.8204376648990266E-2</v>
      </c>
      <c r="L34" s="1363">
        <f>+'Bal Sheet'!L25/'Bal Sheet'!L$30</f>
        <v>8.8356109404666514E-3</v>
      </c>
      <c r="M34" s="1363">
        <f>+'Bal Sheet'!M25/'Bal Sheet'!M$30</f>
        <v>5.7645409380445043E-3</v>
      </c>
      <c r="N34" s="1363">
        <f>+'Bal Sheet'!N25/'Bal Sheet'!N$30</f>
        <v>3.9535984162139461E-3</v>
      </c>
      <c r="O34" s="1363">
        <f>+'Bal Sheet'!O25/'Bal Sheet'!O$30</f>
        <v>7.251792067047365E-3</v>
      </c>
      <c r="P34" s="1363">
        <f>+'Bal Sheet'!P25/'Bal Sheet'!P$30</f>
        <v>1.0493068961778288E-2</v>
      </c>
      <c r="Q34" s="1363">
        <f>+'Bal Sheet'!Q25/'Bal Sheet'!Q$30</f>
        <v>8.5701201751558886E-3</v>
      </c>
      <c r="R34" s="1192"/>
      <c r="S34" s="1192"/>
      <c r="T34" s="1192"/>
    </row>
    <row r="35" spans="1:20" s="1382" customFormat="1">
      <c r="A35" s="1362" t="s">
        <v>163</v>
      </c>
      <c r="B35" s="1363" t="s">
        <v>71</v>
      </c>
      <c r="C35" s="1363">
        <f>+'Bal Sheet'!C26/'Bal Sheet'!C$30</f>
        <v>8.95415996152466E-3</v>
      </c>
      <c r="D35" s="1363">
        <f>+'Bal Sheet'!D26/'Bal Sheet'!D$30</f>
        <v>0</v>
      </c>
      <c r="E35" s="1363">
        <f>+'Bal Sheet'!E26/'Bal Sheet'!E$30</f>
        <v>0</v>
      </c>
      <c r="F35" s="1363">
        <f>+'Bal Sheet'!F26/'Bal Sheet'!F$30</f>
        <v>2.0444371687014487E-6</v>
      </c>
      <c r="G35" s="1363">
        <f>+'Bal Sheet'!G26/'Bal Sheet'!G$30</f>
        <v>1.9543157361056693E-3</v>
      </c>
      <c r="H35" s="1363">
        <f>+'Bal Sheet'!H26/'Bal Sheet'!H$30</f>
        <v>3.9223736624919544E-3</v>
      </c>
      <c r="I35" s="1364">
        <f>+'Bal Sheet'!I26/'Bal Sheet'!I$30</f>
        <v>4.668908350672353E-2</v>
      </c>
      <c r="J35" s="1363">
        <f>+'Bal Sheet'!J26/'Bal Sheet'!J$30</f>
        <v>1.5195711794482201E-3</v>
      </c>
      <c r="K35" s="1363">
        <f>+'Bal Sheet'!K26/'Bal Sheet'!K$30</f>
        <v>1.7173981293865419E-2</v>
      </c>
      <c r="L35" s="1363">
        <f>+'Bal Sheet'!L26/'Bal Sheet'!L$30</f>
        <v>0</v>
      </c>
      <c r="M35" s="1363">
        <f>+'Bal Sheet'!M26/'Bal Sheet'!M$30</f>
        <v>0</v>
      </c>
      <c r="N35" s="1363">
        <f>+'Bal Sheet'!N26/'Bal Sheet'!N$30</f>
        <v>0</v>
      </c>
      <c r="O35" s="1363">
        <f>+'Bal Sheet'!O26/'Bal Sheet'!O$30</f>
        <v>0</v>
      </c>
      <c r="P35" s="1363">
        <f>+'Bal Sheet'!P26/'Bal Sheet'!P$30</f>
        <v>0</v>
      </c>
      <c r="Q35" s="1363">
        <f>+'Bal Sheet'!Q26/'Bal Sheet'!Q$30</f>
        <v>0</v>
      </c>
      <c r="R35" s="1192"/>
      <c r="S35" s="1192"/>
      <c r="T35" s="1192"/>
    </row>
    <row r="36" spans="1:20" s="1382" customFormat="1">
      <c r="A36" s="1362" t="s">
        <v>163</v>
      </c>
      <c r="B36" s="1363" t="s">
        <v>93</v>
      </c>
      <c r="C36" s="1363">
        <f>+SUM('Bal Sheet'!C27+'Bal Sheet'!C28)/'Bal Sheet'!C$30</f>
        <v>0</v>
      </c>
      <c r="D36" s="1363">
        <f>+SUM('Bal Sheet'!D27+'Bal Sheet'!D28)/'Bal Sheet'!D$30</f>
        <v>0</v>
      </c>
      <c r="E36" s="1363">
        <f>+SUM('Bal Sheet'!E27+'Bal Sheet'!E28)/'Bal Sheet'!E$30</f>
        <v>0</v>
      </c>
      <c r="F36" s="1363">
        <f>+SUM('Bal Sheet'!F27+'Bal Sheet'!F28)/'Bal Sheet'!F$30</f>
        <v>0</v>
      </c>
      <c r="G36" s="1363">
        <f>+SUM('Bal Sheet'!G27+'Bal Sheet'!G28)/'Bal Sheet'!G$30</f>
        <v>0</v>
      </c>
      <c r="H36" s="1363">
        <f>+SUM('Bal Sheet'!H27+'Bal Sheet'!H28)/'Bal Sheet'!H$30</f>
        <v>8.6522948437322517E-5</v>
      </c>
      <c r="I36" s="1364">
        <f>+SUM('Bal Sheet'!I27+'Bal Sheet'!I28)/'Bal Sheet'!I$30</f>
        <v>0</v>
      </c>
      <c r="J36" s="1363">
        <f>+SUM('Bal Sheet'!J27+'Bal Sheet'!J28)/'Bal Sheet'!J$30</f>
        <v>0</v>
      </c>
      <c r="K36" s="1363">
        <f>+SUM('Bal Sheet'!K27+'Bal Sheet'!K28)/'Bal Sheet'!K$30</f>
        <v>0</v>
      </c>
      <c r="L36" s="1363">
        <f>+SUM('Bal Sheet'!L27+'Bal Sheet'!L28)/'Bal Sheet'!L$30</f>
        <v>0</v>
      </c>
      <c r="M36" s="1363">
        <f>+SUM('Bal Sheet'!M27+'Bal Sheet'!M28)/'Bal Sheet'!M$30</f>
        <v>0</v>
      </c>
      <c r="N36" s="1363">
        <f>+SUM('Bal Sheet'!N27+'Bal Sheet'!N28)/'Bal Sheet'!N$30</f>
        <v>0</v>
      </c>
      <c r="O36" s="1363">
        <f>+SUM('Bal Sheet'!O27+'Bal Sheet'!O28)/'Bal Sheet'!O$30</f>
        <v>0</v>
      </c>
      <c r="P36" s="1363">
        <f>+SUM('Bal Sheet'!P27+'Bal Sheet'!P28)/'Bal Sheet'!P$30</f>
        <v>0</v>
      </c>
      <c r="Q36" s="1363">
        <f>+SUM('Bal Sheet'!Q27+'Bal Sheet'!Q28)/'Bal Sheet'!Q$30</f>
        <v>0</v>
      </c>
      <c r="R36" s="1192"/>
      <c r="S36" s="1192"/>
      <c r="T36" s="1192"/>
    </row>
    <row r="37" spans="1:20" s="1382" customFormat="1">
      <c r="A37" s="1362" t="s">
        <v>163</v>
      </c>
      <c r="B37" s="1363" t="s">
        <v>94</v>
      </c>
      <c r="C37" s="1363">
        <f>+'Bal Sheet'!C29/'Bal Sheet'!C$30</f>
        <v>0.53817023593524249</v>
      </c>
      <c r="D37" s="1363">
        <f>+'Bal Sheet'!D29/'Bal Sheet'!D$30</f>
        <v>0.52575195379462514</v>
      </c>
      <c r="E37" s="1363">
        <f>+'Bal Sheet'!E29/'Bal Sheet'!E$30</f>
        <v>0.50695195852614416</v>
      </c>
      <c r="F37" s="1363">
        <f>+'Bal Sheet'!F29/'Bal Sheet'!F$30</f>
        <v>0.48767324549067614</v>
      </c>
      <c r="G37" s="1363">
        <f>+'Bal Sheet'!G29/'Bal Sheet'!G$30</f>
        <v>0.48155901711008731</v>
      </c>
      <c r="H37" s="1363">
        <f>+'Bal Sheet'!H29/'Bal Sheet'!H$30</f>
        <v>0.33446754069031603</v>
      </c>
      <c r="I37" s="1364">
        <f>+'Bal Sheet'!I29/'Bal Sheet'!I$30</f>
        <v>0.30902065635414389</v>
      </c>
      <c r="J37" s="1363">
        <f>+'Bal Sheet'!J29/'Bal Sheet'!J$30</f>
        <v>0.34282292735223691</v>
      </c>
      <c r="K37" s="1363">
        <f>+'Bal Sheet'!K29/'Bal Sheet'!K$30</f>
        <v>0.53426238754624689</v>
      </c>
      <c r="L37" s="1363">
        <f>+'Bal Sheet'!L29/'Bal Sheet'!L$30</f>
        <v>0.54756378594587896</v>
      </c>
      <c r="M37" s="1363">
        <f>+'Bal Sheet'!M29/'Bal Sheet'!M$30</f>
        <v>0.63913423722532314</v>
      </c>
      <c r="N37" s="1363">
        <f>+'Bal Sheet'!N29/'Bal Sheet'!N$30</f>
        <v>0.65788432409471143</v>
      </c>
      <c r="O37" s="1363">
        <f>+'Bal Sheet'!O29/'Bal Sheet'!O$30</f>
        <v>0.69336166746861694</v>
      </c>
      <c r="P37" s="1363">
        <f>+'Bal Sheet'!P29/'Bal Sheet'!P$30</f>
        <v>0.79380357438076188</v>
      </c>
      <c r="Q37" s="1363">
        <f>+'Bal Sheet'!Q29/'Bal Sheet'!Q$30</f>
        <v>0.73414518959609998</v>
      </c>
      <c r="R37" s="1192"/>
      <c r="S37" s="1192"/>
      <c r="T37" s="1192"/>
    </row>
    <row r="38" spans="1:20" s="1375" customFormat="1">
      <c r="A38" s="1336"/>
      <c r="B38" s="1335"/>
      <c r="C38" s="1335"/>
      <c r="D38" s="1335"/>
      <c r="E38" s="1335"/>
      <c r="F38" s="1335"/>
      <c r="G38" s="1335"/>
      <c r="H38" s="1335"/>
      <c r="I38" s="1358"/>
      <c r="J38" s="1335"/>
      <c r="K38" s="1335"/>
      <c r="L38" s="1335"/>
      <c r="M38" s="1335"/>
      <c r="N38" s="1335"/>
      <c r="O38" s="1335"/>
      <c r="P38" s="1335"/>
      <c r="Q38" s="1335"/>
      <c r="R38" s="1335"/>
      <c r="S38" s="1335"/>
      <c r="T38" s="1335"/>
    </row>
    <row r="39" spans="1:20" s="1375" customFormat="1" hidden="1">
      <c r="A39" s="1336"/>
      <c r="B39" s="1335"/>
      <c r="C39" s="1335"/>
      <c r="D39" s="1335"/>
      <c r="E39" s="1335"/>
      <c r="F39" s="1335"/>
      <c r="G39" s="1335"/>
      <c r="H39" s="1335"/>
      <c r="I39" s="1358"/>
      <c r="J39" s="1335"/>
      <c r="K39" s="1335"/>
      <c r="L39" s="1335"/>
      <c r="M39" s="1335"/>
      <c r="N39" s="1335"/>
      <c r="O39" s="1335"/>
      <c r="P39" s="1335"/>
      <c r="Q39" s="1335"/>
      <c r="R39" s="1335"/>
      <c r="S39" s="1335"/>
      <c r="T39" s="1335"/>
    </row>
    <row r="40" spans="1:20" s="1379" customFormat="1" ht="12.75" hidden="1">
      <c r="A40" s="1355"/>
      <c r="B40" s="1356" t="s">
        <v>235</v>
      </c>
      <c r="C40" s="1356"/>
      <c r="D40" s="1356"/>
      <c r="E40" s="1356"/>
      <c r="F40" s="1356"/>
      <c r="G40" s="1356"/>
      <c r="H40" s="1356"/>
      <c r="I40" s="1357"/>
      <c r="J40" s="1356"/>
      <c r="K40" s="1356"/>
      <c r="L40" s="1356"/>
      <c r="M40" s="1356"/>
      <c r="N40" s="1356"/>
      <c r="O40" s="1356"/>
      <c r="P40" s="1356"/>
      <c r="Q40" s="1356"/>
      <c r="R40" s="1356"/>
      <c r="S40" s="1356"/>
      <c r="T40" s="1356"/>
    </row>
    <row r="41" spans="1:20" s="1375" customFormat="1" hidden="1">
      <c r="A41" s="1336"/>
      <c r="B41" s="1335"/>
      <c r="C41" s="1335"/>
      <c r="D41" s="1335"/>
      <c r="E41" s="1335"/>
      <c r="F41" s="1335"/>
      <c r="G41" s="1335"/>
      <c r="H41" s="1335"/>
      <c r="I41" s="1358"/>
      <c r="J41" s="1335"/>
      <c r="K41" s="1335"/>
      <c r="L41" s="1335"/>
      <c r="M41" s="1335"/>
      <c r="N41" s="1335"/>
      <c r="O41" s="1335"/>
      <c r="P41" s="1335"/>
      <c r="Q41" s="1335"/>
      <c r="R41" s="1335"/>
      <c r="S41" s="1335"/>
      <c r="T41" s="1335"/>
    </row>
    <row r="42" spans="1:20" s="1382" customFormat="1" hidden="1">
      <c r="A42" s="1362" t="s">
        <v>163</v>
      </c>
      <c r="B42" s="1363" t="s">
        <v>216</v>
      </c>
      <c r="C42" s="1363">
        <f>+Cashflow!C68/Cashflow!C$83</f>
        <v>144.65905227808449</v>
      </c>
      <c r="D42" s="1363">
        <f>+Cashflow!D68/Cashflow!D$83</f>
        <v>20.147009828756847</v>
      </c>
      <c r="E42" s="1363">
        <f>+Cashflow!E68/Cashflow!E$83</f>
        <v>23.449674344338703</v>
      </c>
      <c r="F42" s="1363">
        <f>+Cashflow!F68/Cashflow!F$83</f>
        <v>-52.046992481203588</v>
      </c>
      <c r="G42" s="1363">
        <f>+Cashflow!G68/Cashflow!G$83</f>
        <v>701.30215827342249</v>
      </c>
      <c r="H42" s="1363" t="e">
        <f>+Cashflow!H68/Cashflow!H$83</f>
        <v>#DIV/0!</v>
      </c>
      <c r="I42" s="1364">
        <f>+Cashflow!I68/Cashflow!I$83</f>
        <v>5.3571828619434338</v>
      </c>
      <c r="J42" s="1363">
        <f>+Cashflow!J68/Cashflow!J$83</f>
        <v>-78.703891708966538</v>
      </c>
      <c r="K42" s="1363">
        <f>+Cashflow!K68/Cashflow!K$83</f>
        <v>43.162824469049973</v>
      </c>
      <c r="L42" s="1363">
        <f>+Cashflow!L68/Cashflow!L$83</f>
        <v>3.4337108454024952</v>
      </c>
      <c r="M42" s="1363">
        <f>+Cashflow!M68/Cashflow!M$83</f>
        <v>-1.3263960549746605</v>
      </c>
      <c r="N42" s="1363">
        <f>+Cashflow!N68/Cashflow!N$83</f>
        <v>-51.151031894934583</v>
      </c>
      <c r="O42" s="1363">
        <f>+Cashflow!O68/Cashflow!O$83</f>
        <v>27.875853521126672</v>
      </c>
      <c r="P42" s="1363">
        <f>+Cashflow!P68/Cashflow!P$83</f>
        <v>8.4648135928735986</v>
      </c>
      <c r="Q42" s="1363">
        <f>+Cashflow!Q68/Cashflow!Q$83</f>
        <v>-16.439190177277336</v>
      </c>
      <c r="R42" s="1381">
        <f>+Cashflow!R68/Cashflow!R$83</f>
        <v>-4.0759457440782505</v>
      </c>
      <c r="S42" s="1381">
        <f>+Cashflow!S68/Cashflow!S$83</f>
        <v>6.3687851153866317</v>
      </c>
      <c r="T42" s="1381">
        <f>+Cashflow!T68/Cashflow!T$83</f>
        <v>1.6476233914402509</v>
      </c>
    </row>
    <row r="43" spans="1:20" s="1382" customFormat="1" hidden="1">
      <c r="A43" s="1362" t="s">
        <v>163</v>
      </c>
      <c r="B43" s="1363" t="s">
        <v>217</v>
      </c>
      <c r="C43" s="1363">
        <f>+Cashflow!C73/Cashflow!C$83</f>
        <v>-158.76311098211693</v>
      </c>
      <c r="D43" s="1363">
        <f>+Cashflow!D73/Cashflow!D$83</f>
        <v>-19.627465802006416</v>
      </c>
      <c r="E43" s="1363">
        <f>+Cashflow!E73/Cashflow!E$83</f>
        <v>-21.407893524757736</v>
      </c>
      <c r="F43" s="1363">
        <f>+Cashflow!F73/Cashflow!F$83</f>
        <v>52.613533834587045</v>
      </c>
      <c r="G43" s="1363">
        <f>+Cashflow!G73/Cashflow!G$83</f>
        <v>-523.43884892089409</v>
      </c>
      <c r="H43" s="1363" t="e">
        <f>+Cashflow!H73/Cashflow!H$83</f>
        <v>#DIV/0!</v>
      </c>
      <c r="I43" s="1364">
        <f>+Cashflow!I73/Cashflow!I$83</f>
        <v>-3.4837580509661161</v>
      </c>
      <c r="J43" s="1363">
        <f>+Cashflow!J73/Cashflow!J$83</f>
        <v>62.699661590523512</v>
      </c>
      <c r="K43" s="1363">
        <f>+Cashflow!K73/Cashflow!K$83</f>
        <v>-26.546560174259881</v>
      </c>
      <c r="L43" s="1363">
        <f>+Cashflow!L73/Cashflow!L$83</f>
        <v>-0.81054227012462199</v>
      </c>
      <c r="M43" s="1363">
        <f>+Cashflow!M73/Cashflow!M$83</f>
        <v>1.5906305648143912</v>
      </c>
      <c r="N43" s="1363">
        <f>+Cashflow!N73/Cashflow!N$83</f>
        <v>27.333489681050814</v>
      </c>
      <c r="O43" s="1363">
        <f>+Cashflow!O73/Cashflow!O$83</f>
        <v>-3.6312112676056136</v>
      </c>
      <c r="P43" s="1363">
        <f>+Cashflow!P73/Cashflow!P$83</f>
        <v>2.1133289343450885</v>
      </c>
      <c r="Q43" s="1363">
        <f>+Cashflow!Q73/Cashflow!Q$83</f>
        <v>10.166226831116104</v>
      </c>
      <c r="R43" s="1381">
        <f>+Cashflow!R73/Cashflow!R$83</f>
        <v>1.4985203218890044</v>
      </c>
      <c r="S43" s="1381">
        <f>+Cashflow!S73/Cashflow!S$83</f>
        <v>-0.73727726261944637</v>
      </c>
      <c r="T43" s="1381">
        <f>+Cashflow!T73/Cashflow!T$83</f>
        <v>0.4340905110501741</v>
      </c>
    </row>
    <row r="44" spans="1:20" s="1382" customFormat="1" hidden="1">
      <c r="A44" s="1362" t="s">
        <v>163</v>
      </c>
      <c r="B44" s="1363" t="s">
        <v>218</v>
      </c>
      <c r="C44" s="1363">
        <f>+Cashflow!C81/Cashflow!C$83</f>
        <v>15.104058704032424</v>
      </c>
      <c r="D44" s="1363">
        <f>+Cashflow!D81/Cashflow!D$83</f>
        <v>0.48045597324957245</v>
      </c>
      <c r="E44" s="1363">
        <f>+Cashflow!E81/Cashflow!E$83</f>
        <v>-1.041780819580967</v>
      </c>
      <c r="F44" s="1363">
        <f>+Cashflow!F81/Cashflow!F$83</f>
        <v>0.43345864661654604</v>
      </c>
      <c r="G44" s="1363">
        <f>+Cashflow!G81/Cashflow!G$83</f>
        <v>-176.86330935252838</v>
      </c>
      <c r="H44" s="1363" t="e">
        <f>+Cashflow!H81/Cashflow!H$83</f>
        <v>#DIV/0!</v>
      </c>
      <c r="I44" s="1364">
        <f>+Cashflow!I81/Cashflow!I$83</f>
        <v>-0.87342481097731806</v>
      </c>
      <c r="J44" s="1363">
        <f>+Cashflow!J81/Cashflow!J$83</f>
        <v>17.004230118443033</v>
      </c>
      <c r="K44" s="1363">
        <f>+Cashflow!K81/Cashflow!K$83</f>
        <v>-15.616264294790096</v>
      </c>
      <c r="L44" s="1363">
        <f>+Cashflow!L81/Cashflow!L$83</f>
        <v>-1.6231685752778731</v>
      </c>
      <c r="M44" s="1363">
        <f>+Cashflow!M81/Cashflow!M$83</f>
        <v>1.4157046347655353</v>
      </c>
      <c r="N44" s="1363">
        <f>+Cashflow!N81/Cashflow!N$83</f>
        <v>26.686476969981381</v>
      </c>
      <c r="O44" s="1363">
        <f>+Cashflow!O81/Cashflow!O$83</f>
        <v>-18.537420698591479</v>
      </c>
      <c r="P44" s="1363">
        <f>+Cashflow!P81/Cashflow!P$83</f>
        <v>-7.4747515411580032</v>
      </c>
      <c r="Q44" s="1363">
        <f>+Cashflow!Q81/Cashflow!Q$83</f>
        <v>7.2729633461612284</v>
      </c>
      <c r="R44" s="1381">
        <f>+Cashflow!R81/Cashflow!R$83</f>
        <v>3.5774254221892465</v>
      </c>
      <c r="S44" s="1381">
        <f>+Cashflow!S81/Cashflow!S$83</f>
        <v>-4.6315078527671902</v>
      </c>
      <c r="T44" s="1381">
        <f>+Cashflow!T81/Cashflow!T$83</f>
        <v>-1.0817139024904237</v>
      </c>
    </row>
    <row r="45" spans="1:20" s="1382" customFormat="1" hidden="1">
      <c r="A45" s="1362"/>
      <c r="B45" s="1363"/>
      <c r="C45" s="1363"/>
      <c r="D45" s="1363"/>
      <c r="E45" s="1363"/>
      <c r="F45" s="1363"/>
      <c r="G45" s="1363"/>
      <c r="H45" s="1363"/>
      <c r="I45" s="1364"/>
      <c r="J45" s="1363"/>
      <c r="K45" s="1363"/>
      <c r="L45" s="1363"/>
      <c r="M45" s="1363"/>
      <c r="N45" s="1363"/>
      <c r="O45" s="1363"/>
      <c r="P45" s="1363"/>
      <c r="Q45" s="1363"/>
      <c r="R45" s="1363"/>
      <c r="S45" s="1363"/>
      <c r="T45" s="1363"/>
    </row>
    <row r="46" spans="1:20" s="1382" customFormat="1" hidden="1">
      <c r="A46" s="1362" t="s">
        <v>163</v>
      </c>
      <c r="B46" s="1363" t="s">
        <v>221</v>
      </c>
      <c r="C46" s="1363">
        <f>+Cashflow!C75/Cashflow!C$83</f>
        <v>123.01527714438559</v>
      </c>
      <c r="D46" s="1363">
        <f>+Cashflow!D75/Cashflow!D$83</f>
        <v>17.759775053196996</v>
      </c>
      <c r="E46" s="1363">
        <f>+Cashflow!E75/Cashflow!E$83</f>
        <v>20.163336187867035</v>
      </c>
      <c r="F46" s="1363">
        <f>+Cashflow!F75/Cashflow!F$83</f>
        <v>-44.300000000000495</v>
      </c>
      <c r="G46" s="1363">
        <f>+Cashflow!G75/Cashflow!G$83</f>
        <v>469.82733812952398</v>
      </c>
      <c r="H46" s="1363" t="e">
        <f>+Cashflow!H75/Cashflow!H$83</f>
        <v>#DIV/0!</v>
      </c>
      <c r="I46" s="1364">
        <f>+Cashflow!I75/Cashflow!I$83</f>
        <v>-5.1526183141976663E-2</v>
      </c>
      <c r="J46" s="1363">
        <f>+Cashflow!J75/Cashflow!J$83</f>
        <v>-75.663282571910756</v>
      </c>
      <c r="K46" s="1363">
        <f>+Cashflow!K75/Cashflow!K$83</f>
        <v>40.232710110727275</v>
      </c>
      <c r="L46" s="1363">
        <f>+Cashflow!L75/Cashflow!L$83</f>
        <v>3.3431816268103769</v>
      </c>
      <c r="M46" s="1363">
        <f>+Cashflow!M75/Cashflow!M$83</f>
        <v>-1.1490799506871854</v>
      </c>
      <c r="N46" s="1363">
        <f>+Cashflow!N75/Cashflow!N$83</f>
        <v>-57.093652282676949</v>
      </c>
      <c r="O46" s="1363">
        <f>+Cashflow!O75/Cashflow!O$83</f>
        <v>31.067966197182997</v>
      </c>
      <c r="P46" s="1363">
        <f>+Cashflow!P75/Cashflow!P$83</f>
        <v>12.014384691520895</v>
      </c>
      <c r="Q46" s="1363">
        <f>+Cashflow!Q75/Cashflow!Q$83</f>
        <v>-19.48430544629165</v>
      </c>
      <c r="R46" s="1381">
        <f>+Cashflow!R75/Cashflow!R$83</f>
        <v>-5.3940789283090762</v>
      </c>
      <c r="S46" s="1381">
        <f>+Cashflow!S75/Cashflow!S$83</f>
        <v>8.3664396736802349</v>
      </c>
      <c r="T46" s="1381">
        <f>+Cashflow!T75/Cashflow!T$83</f>
        <v>2.0817139024904252</v>
      </c>
    </row>
    <row r="47" spans="1:20" s="1375" customFormat="1" hidden="1">
      <c r="A47" s="1336"/>
      <c r="B47" s="1335"/>
      <c r="C47" s="1335"/>
      <c r="D47" s="1335"/>
      <c r="E47" s="1335"/>
      <c r="F47" s="1335"/>
      <c r="G47" s="1335"/>
      <c r="H47" s="1335"/>
      <c r="I47" s="1358"/>
      <c r="J47" s="1335"/>
      <c r="K47" s="1335"/>
      <c r="L47" s="1335"/>
      <c r="M47" s="1335"/>
      <c r="N47" s="1335"/>
      <c r="O47" s="1335"/>
      <c r="P47" s="1335"/>
      <c r="Q47" s="1335"/>
      <c r="R47" s="1335"/>
      <c r="S47" s="1335"/>
      <c r="T47" s="1335"/>
    </row>
    <row r="48" spans="1:20" s="1375" customFormat="1">
      <c r="A48" s="1336"/>
      <c r="B48" s="1335"/>
      <c r="C48" s="1335"/>
      <c r="D48" s="1335"/>
      <c r="E48" s="1335"/>
      <c r="F48" s="1335"/>
      <c r="G48" s="1335"/>
      <c r="H48" s="1335"/>
      <c r="I48" s="1358"/>
      <c r="J48" s="1335"/>
      <c r="K48" s="1335"/>
      <c r="L48" s="1335"/>
      <c r="M48" s="1335"/>
      <c r="N48" s="1335"/>
      <c r="O48" s="1335"/>
      <c r="P48" s="1335"/>
      <c r="Q48" s="1335"/>
      <c r="R48" s="1335"/>
      <c r="S48" s="1335"/>
      <c r="T48" s="1335"/>
    </row>
    <row r="49" spans="1:20" s="1379" customFormat="1" ht="12.75">
      <c r="A49" s="1355"/>
      <c r="B49" s="1356" t="s">
        <v>171</v>
      </c>
      <c r="C49" s="1356"/>
      <c r="D49" s="1356"/>
      <c r="E49" s="1356"/>
      <c r="F49" s="1356"/>
      <c r="G49" s="1356"/>
      <c r="H49" s="1356"/>
      <c r="I49" s="1357"/>
      <c r="J49" s="1356"/>
      <c r="K49" s="1356"/>
      <c r="L49" s="1356"/>
      <c r="M49" s="1356"/>
      <c r="N49" s="1356"/>
      <c r="O49" s="1356"/>
      <c r="P49" s="1356"/>
      <c r="Q49" s="1356"/>
      <c r="R49" s="1356"/>
      <c r="S49" s="1356"/>
      <c r="T49" s="1356"/>
    </row>
    <row r="50" spans="1:20" s="1375" customFormat="1">
      <c r="A50" s="1336"/>
      <c r="B50" s="1335"/>
      <c r="C50" s="1335"/>
      <c r="D50" s="1335"/>
      <c r="E50" s="1335"/>
      <c r="F50" s="1335"/>
      <c r="G50" s="1335"/>
      <c r="H50" s="1335"/>
      <c r="I50" s="1358"/>
      <c r="J50" s="1335"/>
      <c r="K50" s="1335"/>
      <c r="L50" s="1335"/>
      <c r="M50" s="1335"/>
      <c r="N50" s="1335"/>
      <c r="O50" s="1335"/>
      <c r="P50" s="1335"/>
      <c r="Q50" s="1335"/>
      <c r="R50" s="1335"/>
      <c r="S50" s="1335"/>
      <c r="T50" s="1335"/>
    </row>
    <row r="51" spans="1:20" s="1382" customFormat="1">
      <c r="A51" s="1362" t="s">
        <v>163</v>
      </c>
      <c r="B51" s="1363" t="s">
        <v>657</v>
      </c>
      <c r="C51" s="1363">
        <v>0</v>
      </c>
      <c r="D51" s="1363">
        <f>+('Inc Stmt'!D9/'Inc Stmt'!C9-1)</f>
        <v>0.15538127689158232</v>
      </c>
      <c r="E51" s="1363">
        <f>+('Inc Stmt'!E9/'Inc Stmt'!D9-1)</f>
        <v>0.19264360266464253</v>
      </c>
      <c r="F51" s="1363">
        <f>+('Inc Stmt'!F9/'Inc Stmt'!E9-1)</f>
        <v>0.30132279027238296</v>
      </c>
      <c r="G51" s="1363">
        <f>+('Inc Stmt'!G9/'Inc Stmt'!F9-1)</f>
        <v>0.23922872615282853</v>
      </c>
      <c r="H51" s="1363">
        <f>+('Inc Stmt'!H9/'Inc Stmt'!G9-1)</f>
        <v>-6.0031356785595902E-2</v>
      </c>
      <c r="I51" s="1364">
        <f>+('Inc Stmt'!I9/'Inc Stmt'!H9-1)</f>
        <v>-2.2417779847953012E-2</v>
      </c>
      <c r="J51" s="1363">
        <f>+('Inc Stmt'!J9/'Inc Stmt'!I9-1)</f>
        <v>0.34846582059057418</v>
      </c>
      <c r="K51" s="1363">
        <f>+('Inc Stmt'!K9/'Inc Stmt'!J9-1)</f>
        <v>0.37957105852284134</v>
      </c>
      <c r="L51" s="1363">
        <f>+('Inc Stmt'!L9/'Inc Stmt'!K9-1)</f>
        <v>0.19091999563367512</v>
      </c>
      <c r="M51" s="1363">
        <f>+('Inc Stmt'!M9/'Inc Stmt'!L9-1)</f>
        <v>2.3978210843577097E-2</v>
      </c>
      <c r="N51" s="1363">
        <f>+('Inc Stmt'!N9/'Inc Stmt'!M9-1)</f>
        <v>7.6140469314531778E-3</v>
      </c>
      <c r="O51" s="1363">
        <f>+('Inc Stmt'!O9/'Inc Stmt'!N9-1)</f>
        <v>7.258241019260514E-2</v>
      </c>
      <c r="P51" s="1363">
        <f>+('Inc Stmt'!P9/'Inc Stmt'!O9-1)</f>
        <v>4.509113219918004E-2</v>
      </c>
      <c r="Q51" s="1363">
        <f>+('Inc Stmt'!Q9/'Inc Stmt'!P9-1)</f>
        <v>-3.6297756360873623E-2</v>
      </c>
      <c r="R51" s="1192"/>
      <c r="S51" s="1192"/>
      <c r="T51" s="1192"/>
    </row>
    <row r="52" spans="1:20" s="1382" customFormat="1">
      <c r="A52" s="1362" t="s">
        <v>163</v>
      </c>
      <c r="B52" s="1363" t="s">
        <v>662</v>
      </c>
      <c r="C52" s="1363">
        <v>0</v>
      </c>
      <c r="D52" s="1363">
        <f>+('Inc Stmt'!D11/'Inc Stmt'!C11-1)</f>
        <v>9.8153903909574014E-2</v>
      </c>
      <c r="E52" s="1363">
        <f>+('Inc Stmt'!E11/'Inc Stmt'!D11-1)</f>
        <v>3.2420555715935162E-2</v>
      </c>
      <c r="F52" s="1363">
        <f>+('Inc Stmt'!F11/'Inc Stmt'!E11-1)</f>
        <v>0.3086537924644579</v>
      </c>
      <c r="G52" s="1363">
        <f>+('Inc Stmt'!G11/'Inc Stmt'!F11-1)</f>
        <v>0.11399377576189007</v>
      </c>
      <c r="H52" s="1363">
        <f>+('Inc Stmt'!H11/'Inc Stmt'!G11-1)</f>
        <v>-0.10927591471909237</v>
      </c>
      <c r="I52" s="1364">
        <f>+('Inc Stmt'!I11/'Inc Stmt'!H11-1)</f>
        <v>-1.8526396569989001E-2</v>
      </c>
      <c r="J52" s="1363">
        <f>+('Inc Stmt'!J11/'Inc Stmt'!I11-1)</f>
        <v>0.62160680593564499</v>
      </c>
      <c r="K52" s="1363">
        <f>+('Inc Stmt'!K11/'Inc Stmt'!J11-1)</f>
        <v>0.20528926659381597</v>
      </c>
      <c r="L52" s="1363">
        <f>+('Inc Stmt'!L11/'Inc Stmt'!K11-1)</f>
        <v>0.17980962817050883</v>
      </c>
      <c r="M52" s="1363">
        <f>+('Inc Stmt'!M11/'Inc Stmt'!L11-1)</f>
        <v>3.0266620473091477E-2</v>
      </c>
      <c r="N52" s="1363">
        <f>+('Inc Stmt'!N11/'Inc Stmt'!M11-1)</f>
        <v>0.12201735745919939</v>
      </c>
      <c r="O52" s="1363">
        <f>+('Inc Stmt'!O11/'Inc Stmt'!N11-1)</f>
        <v>7.8014105253760846E-2</v>
      </c>
      <c r="P52" s="1363">
        <f>+('Inc Stmt'!P11/'Inc Stmt'!O11-1)</f>
        <v>0.11349100368074927</v>
      </c>
      <c r="Q52" s="1363">
        <f>+('Inc Stmt'!Q11/'Inc Stmt'!P11-1)</f>
        <v>-5.1414008069421646E-2</v>
      </c>
      <c r="R52" s="1192"/>
      <c r="S52" s="1192"/>
      <c r="T52" s="1192"/>
    </row>
    <row r="53" spans="1:20" s="1382" customFormat="1">
      <c r="A53" s="1362" t="s">
        <v>163</v>
      </c>
      <c r="B53" s="1363" t="s">
        <v>659</v>
      </c>
      <c r="C53" s="1363">
        <v>0</v>
      </c>
      <c r="D53" s="1363">
        <f>+('Inc Stmt'!D21/'Inc Stmt'!C21-1)</f>
        <v>0.15969476298381635</v>
      </c>
      <c r="E53" s="1363">
        <f>+('Inc Stmt'!E21/'Inc Stmt'!D21-1)</f>
        <v>1.2061722589149282E-2</v>
      </c>
      <c r="F53" s="1363">
        <f>+('Inc Stmt'!F21/'Inc Stmt'!E21-1)</f>
        <v>0.52894259787706832</v>
      </c>
      <c r="G53" s="1363">
        <f>+('Inc Stmt'!G21/'Inc Stmt'!F21-1)</f>
        <v>4.2012691260940871E-2</v>
      </c>
      <c r="H53" s="1363">
        <f>+('Inc Stmt'!H21/'Inc Stmt'!G21-1)</f>
        <v>-0.17451557023727993</v>
      </c>
      <c r="I53" s="1364">
        <f>+('Inc Stmt'!I21/'Inc Stmt'!H21-1)</f>
        <v>-8.5525352593821324E-2</v>
      </c>
      <c r="J53" s="1363">
        <f>+('Inc Stmt'!J21/'Inc Stmt'!I21-1)</f>
        <v>1.2752176890715163</v>
      </c>
      <c r="K53" s="1363">
        <f>+('Inc Stmt'!K21/'Inc Stmt'!J21-1)</f>
        <v>0.24087488516643529</v>
      </c>
      <c r="L53" s="1363">
        <f>+('Inc Stmt'!L21/'Inc Stmt'!K21-1)</f>
        <v>0.17193830295316692</v>
      </c>
      <c r="M53" s="1363">
        <f>+('Inc Stmt'!M21/'Inc Stmt'!L21-1)</f>
        <v>-2.2026940932636352E-2</v>
      </c>
      <c r="N53" s="1363">
        <f>+('Inc Stmt'!N21/'Inc Stmt'!M21-1)</f>
        <v>0.16719946124984464</v>
      </c>
      <c r="O53" s="1363">
        <f>+('Inc Stmt'!O21/'Inc Stmt'!N21-1)</f>
        <v>-1.8736179241838902E-2</v>
      </c>
      <c r="P53" s="1363">
        <f>+('Inc Stmt'!P21/'Inc Stmt'!O21-1)</f>
        <v>0.14763713859896255</v>
      </c>
      <c r="Q53" s="1363">
        <f>+('Inc Stmt'!Q21/'Inc Stmt'!P21-1)</f>
        <v>-7.5197513979682329E-2</v>
      </c>
      <c r="R53" s="1192"/>
      <c r="S53" s="1192"/>
      <c r="T53" s="1192"/>
    </row>
    <row r="54" spans="1:20" s="1382" customFormat="1">
      <c r="A54" s="1362" t="s">
        <v>163</v>
      </c>
      <c r="B54" s="1363" t="s">
        <v>663</v>
      </c>
      <c r="C54" s="1363">
        <v>0</v>
      </c>
      <c r="D54" s="1363">
        <f>+('Inc Stmt'!D25/'Inc Stmt'!C25-1)</f>
        <v>0.18942951206391845</v>
      </c>
      <c r="E54" s="1363">
        <f>+('Inc Stmt'!E25/'Inc Stmt'!D25-1)</f>
        <v>7.6226189230994557E-3</v>
      </c>
      <c r="F54" s="1363">
        <f>+('Inc Stmt'!F25/'Inc Stmt'!E25-1)</f>
        <v>0.65224693735303219</v>
      </c>
      <c r="G54" s="1363">
        <f>+('Inc Stmt'!G25/'Inc Stmt'!F25-1)</f>
        <v>4.9090307107152897E-2</v>
      </c>
      <c r="H54" s="1363">
        <f>+('Inc Stmt'!H25/'Inc Stmt'!G25-1)</f>
        <v>-0.18802728000492641</v>
      </c>
      <c r="I54" s="1364">
        <f>+('Inc Stmt'!I25/'Inc Stmt'!H25-1)</f>
        <v>-5.7979807555576302E-2</v>
      </c>
      <c r="J54" s="1363">
        <f>+('Inc Stmt'!J25/'Inc Stmt'!I25-1)</f>
        <v>1.4369773269329436</v>
      </c>
      <c r="K54" s="1363">
        <f>+('Inc Stmt'!K25/'Inc Stmt'!J25-1)</f>
        <v>0.26006772381896237</v>
      </c>
      <c r="L54" s="1363">
        <f>+('Inc Stmt'!L25/'Inc Stmt'!K25-1)</f>
        <v>0.17139458212349878</v>
      </c>
      <c r="M54" s="1363">
        <f>+('Inc Stmt'!M25/'Inc Stmt'!L25-1)</f>
        <v>-2.8841446184921571E-2</v>
      </c>
      <c r="N54" s="1363">
        <f>+('Inc Stmt'!N25/'Inc Stmt'!M25-1)</f>
        <v>0.17153326726740481</v>
      </c>
      <c r="O54" s="1363">
        <f>+('Inc Stmt'!O25/'Inc Stmt'!N25-1)</f>
        <v>-4.1151099657708912E-2</v>
      </c>
      <c r="P54" s="1363">
        <f>+('Inc Stmt'!P25/'Inc Stmt'!O25-1)</f>
        <v>0.14756486304197858</v>
      </c>
      <c r="Q54" s="1363">
        <f>+('Inc Stmt'!Q25/'Inc Stmt'!P25-1)</f>
        <v>-8.0388309592874352E-2</v>
      </c>
      <c r="R54" s="1192"/>
      <c r="S54" s="1192"/>
      <c r="T54" s="1192"/>
    </row>
    <row r="55" spans="1:20" s="1382" customFormat="1">
      <c r="A55" s="1362" t="s">
        <v>163</v>
      </c>
      <c r="B55" s="1363" t="s">
        <v>667</v>
      </c>
      <c r="C55" s="1363">
        <v>0</v>
      </c>
      <c r="D55" s="1363">
        <f>+('Inc Stmt'!D30/'Inc Stmt'!C30-1)</f>
        <v>0.21786015852246265</v>
      </c>
      <c r="E55" s="1363">
        <f>+('Inc Stmt'!E30/'Inc Stmt'!D30-1)</f>
        <v>0.13120209822902029</v>
      </c>
      <c r="F55" s="1363">
        <f>+('Inc Stmt'!F30/'Inc Stmt'!E30-1)</f>
        <v>0.45496393585909534</v>
      </c>
      <c r="G55" s="1363">
        <f>+('Inc Stmt'!G30/'Inc Stmt'!F30-1)</f>
        <v>9.3172141985032431E-2</v>
      </c>
      <c r="H55" s="1363">
        <f>+('Inc Stmt'!H30/'Inc Stmt'!G30-1)</f>
        <v>-0.36668190577600823</v>
      </c>
      <c r="I55" s="1364">
        <f>+('Inc Stmt'!I30/'Inc Stmt'!H30-1)</f>
        <v>-0.18803340704325688</v>
      </c>
      <c r="J55" s="1363">
        <f>+('Inc Stmt'!J30/'Inc Stmt'!I30-1)</f>
        <v>1.7134031060094488</v>
      </c>
      <c r="K55" s="1363">
        <f>+('Inc Stmt'!K30/'Inc Stmt'!J30-1)</f>
        <v>0.80444438914533856</v>
      </c>
      <c r="L55" s="1363">
        <f>+('Inc Stmt'!L30/'Inc Stmt'!K30-1)</f>
        <v>-7.4603229328276344E-2</v>
      </c>
      <c r="M55" s="1363">
        <f>+('Inc Stmt'!M30/'Inc Stmt'!L30-1)</f>
        <v>-2.0441263036578006E-3</v>
      </c>
      <c r="N55" s="1363">
        <f>+('Inc Stmt'!N30/'Inc Stmt'!M30-1)</f>
        <v>0.16427821221820049</v>
      </c>
      <c r="O55" s="1363">
        <f>+('Inc Stmt'!O30/'Inc Stmt'!N30-1)</f>
        <v>-0.11813381787088462</v>
      </c>
      <c r="P55" s="1363">
        <f>+('Inc Stmt'!P30/'Inc Stmt'!O30-1)</f>
        <v>0.34468423438382501</v>
      </c>
      <c r="Q55" s="1363">
        <f>+('Inc Stmt'!Q30/'Inc Stmt'!P30-1)</f>
        <v>-3.8160769524743898E-2</v>
      </c>
      <c r="R55" s="1192"/>
      <c r="S55" s="1192"/>
      <c r="T55" s="1192"/>
    </row>
    <row r="56" spans="1:20" s="1382" customFormat="1">
      <c r="A56" s="1362" t="s">
        <v>163</v>
      </c>
      <c r="B56" s="1363" t="s">
        <v>170</v>
      </c>
      <c r="C56" s="1363">
        <v>0</v>
      </c>
      <c r="D56" s="1363">
        <f>+('Inc Stmt'!D40/'Inc Stmt'!C40-1)</f>
        <v>0.48989142881298231</v>
      </c>
      <c r="E56" s="1363">
        <f>+('Inc Stmt'!E40/'Inc Stmt'!D40-1)</f>
        <v>2.4207810520561646E-2</v>
      </c>
      <c r="F56" s="1363">
        <f>+('Inc Stmt'!F40/'Inc Stmt'!E40-1)</f>
        <v>0.37805433818801326</v>
      </c>
      <c r="G56" s="1363">
        <f>+('Inc Stmt'!G40/'Inc Stmt'!F40-1)</f>
        <v>0.14464625620408156</v>
      </c>
      <c r="H56" s="1363">
        <f>+('Inc Stmt'!H40/'Inc Stmt'!G40-1)</f>
        <v>-0.38282192589829656</v>
      </c>
      <c r="I56" s="1364">
        <f>+('Inc Stmt'!I40/'Inc Stmt'!H40-1)</f>
        <v>-0.14713447465591079</v>
      </c>
      <c r="J56" s="1363">
        <f>+('Inc Stmt'!J40/'Inc Stmt'!I40-1)</f>
        <v>1.6236584054118279</v>
      </c>
      <c r="K56" s="1363">
        <f>+('Inc Stmt'!K40/'Inc Stmt'!J40-1)</f>
        <v>0.59382424159437019</v>
      </c>
      <c r="L56" s="1363">
        <f>+('Inc Stmt'!L40/'Inc Stmt'!K40-1)</f>
        <v>6.0548023067595658E-2</v>
      </c>
      <c r="M56" s="1363">
        <f>+('Inc Stmt'!M40/'Inc Stmt'!L40-1)</f>
        <v>-4.4700654116941463E-2</v>
      </c>
      <c r="N56" s="1363">
        <f>+('Inc Stmt'!N40/'Inc Stmt'!M40-1)</f>
        <v>0.14103723403328439</v>
      </c>
      <c r="O56" s="1363">
        <f>+('Inc Stmt'!O40/'Inc Stmt'!N40-1)</f>
        <v>-5.9294960377289319E-2</v>
      </c>
      <c r="P56" s="1363">
        <f>+('Inc Stmt'!P40/'Inc Stmt'!O40-1)</f>
        <v>0.27572232886598247</v>
      </c>
      <c r="Q56" s="1363">
        <f>+('Inc Stmt'!Q40/'Inc Stmt'!P40-1)</f>
        <v>-2.5984370188845918E-2</v>
      </c>
      <c r="R56" s="1192"/>
      <c r="S56" s="1192"/>
      <c r="T56" s="1192"/>
    </row>
    <row r="57" spans="1:20" s="1382" customFormat="1">
      <c r="A57" s="1362" t="s">
        <v>163</v>
      </c>
      <c r="B57" s="1363" t="s">
        <v>169</v>
      </c>
      <c r="C57" s="1363">
        <v>0</v>
      </c>
      <c r="D57" s="1363">
        <f>+('Inc Stmt'!D36/'Inc Stmt'!C36-1)</f>
        <v>0.37140974394462689</v>
      </c>
      <c r="E57" s="1363">
        <f>+('Inc Stmt'!E36/'Inc Stmt'!D36-1)</f>
        <v>3.5975178697666754E-2</v>
      </c>
      <c r="F57" s="1363">
        <f>+('Inc Stmt'!F36/'Inc Stmt'!E36-1)</f>
        <v>0.44009767805459643</v>
      </c>
      <c r="G57" s="1363">
        <f>+('Inc Stmt'!G36/'Inc Stmt'!F36-1)</f>
        <v>0.12372687496595969</v>
      </c>
      <c r="H57" s="1363">
        <f>+('Inc Stmt'!H36/'Inc Stmt'!G36-1)</f>
        <v>-0.39450045237172016</v>
      </c>
      <c r="I57" s="1364">
        <f>+('Inc Stmt'!I36/'Inc Stmt'!H36-1)</f>
        <v>-0.28233897219702153</v>
      </c>
      <c r="J57" s="1363">
        <f>+('Inc Stmt'!J36/'Inc Stmt'!I36-1)</f>
        <v>2.1670105775844366</v>
      </c>
      <c r="K57" s="1363">
        <f>+('Inc Stmt'!K36/'Inc Stmt'!J36-1)</f>
        <v>0.96036111127416146</v>
      </c>
      <c r="L57" s="1363">
        <f>+('Inc Stmt'!L36/'Inc Stmt'!K36-1)</f>
        <v>-0.1005111191623268</v>
      </c>
      <c r="M57" s="1363">
        <f>+('Inc Stmt'!M36/'Inc Stmt'!L36-1)</f>
        <v>1.3155573309366231E-2</v>
      </c>
      <c r="N57" s="1363">
        <f>+('Inc Stmt'!N36/'Inc Stmt'!M36-1)</f>
        <v>6.5613736500227171E-2</v>
      </c>
      <c r="O57" s="1363">
        <f>+('Inc Stmt'!O36/'Inc Stmt'!N36-1)</f>
        <v>-0.13243732405874264</v>
      </c>
      <c r="P57" s="1363">
        <f>+('Inc Stmt'!P36/'Inc Stmt'!O36-1)</f>
        <v>0.39660025446558689</v>
      </c>
      <c r="Q57" s="1363">
        <f>+('Inc Stmt'!Q36/'Inc Stmt'!P36-1)</f>
        <v>-2.5984370188845918E-2</v>
      </c>
      <c r="R57" s="1192"/>
      <c r="S57" s="1192"/>
      <c r="T57" s="1192"/>
    </row>
    <row r="58" spans="1:20" s="1375" customFormat="1">
      <c r="A58" s="1336"/>
      <c r="B58" s="1335"/>
      <c r="C58" s="1335"/>
      <c r="D58" s="1335"/>
      <c r="E58" s="1335"/>
      <c r="F58" s="1335"/>
      <c r="G58" s="1335"/>
      <c r="H58" s="1335"/>
      <c r="I58" s="1358"/>
      <c r="J58" s="1335"/>
      <c r="K58" s="1335"/>
      <c r="L58" s="1335"/>
      <c r="M58" s="1335"/>
      <c r="N58" s="1335"/>
      <c r="O58" s="1335"/>
      <c r="P58" s="1335"/>
      <c r="Q58" s="1335"/>
      <c r="R58" s="1335"/>
      <c r="S58" s="1335"/>
      <c r="T58" s="1335"/>
    </row>
    <row r="59" spans="1:20" s="1375" customFormat="1">
      <c r="A59" s="1336"/>
      <c r="B59" s="1335"/>
      <c r="C59" s="1335"/>
      <c r="D59" s="1335"/>
      <c r="E59" s="1335"/>
      <c r="F59" s="1335"/>
      <c r="G59" s="1335"/>
      <c r="H59" s="1335"/>
      <c r="I59" s="1358"/>
      <c r="J59" s="1335"/>
      <c r="K59" s="1335"/>
      <c r="L59" s="1335"/>
      <c r="M59" s="1335"/>
      <c r="N59" s="1335"/>
      <c r="O59" s="1335"/>
      <c r="P59" s="1335"/>
      <c r="Q59" s="1335"/>
      <c r="R59" s="1335"/>
      <c r="S59" s="1335"/>
      <c r="T59" s="1335"/>
    </row>
    <row r="60" spans="1:20" s="1379" customFormat="1" ht="12.75">
      <c r="A60" s="1355"/>
      <c r="B60" s="1356" t="s">
        <v>304</v>
      </c>
      <c r="C60" s="1356"/>
      <c r="D60" s="1356"/>
      <c r="E60" s="1356"/>
      <c r="F60" s="1356"/>
      <c r="G60" s="1356"/>
      <c r="H60" s="1356"/>
      <c r="I60" s="1357"/>
      <c r="J60" s="1356"/>
      <c r="K60" s="1356"/>
      <c r="L60" s="1356"/>
      <c r="M60" s="1356"/>
      <c r="N60" s="1356"/>
      <c r="O60" s="1356"/>
      <c r="P60" s="1356"/>
      <c r="Q60" s="1356"/>
      <c r="R60" s="1356"/>
      <c r="S60" s="1356"/>
      <c r="T60" s="1356"/>
    </row>
    <row r="61" spans="1:20" s="1375" customFormat="1">
      <c r="A61" s="1336"/>
      <c r="B61" s="1335"/>
      <c r="C61" s="1335"/>
      <c r="D61" s="1335"/>
      <c r="E61" s="1335"/>
      <c r="F61" s="1335"/>
      <c r="G61" s="1335"/>
      <c r="H61" s="1335"/>
      <c r="I61" s="1358"/>
      <c r="J61" s="1335"/>
      <c r="K61" s="1335"/>
      <c r="L61" s="1335"/>
      <c r="M61" s="1335"/>
      <c r="N61" s="1335"/>
      <c r="O61" s="1335"/>
      <c r="P61" s="1335"/>
      <c r="Q61" s="1335"/>
      <c r="R61" s="1335"/>
      <c r="S61" s="1335"/>
      <c r="T61" s="1335"/>
    </row>
    <row r="62" spans="1:20" s="1375" customFormat="1">
      <c r="A62" s="1336" t="s">
        <v>307</v>
      </c>
      <c r="B62" s="1335" t="s">
        <v>305</v>
      </c>
      <c r="C62" s="1335">
        <f>+('Bal Sheet'!C188)/'Inc Stmt'!C45</f>
        <v>320.27013555864983</v>
      </c>
      <c r="D62" s="1335">
        <f>+('Bal Sheet'!D188)/'Inc Stmt'!D45</f>
        <v>365.04223959022568</v>
      </c>
      <c r="E62" s="1335">
        <f>+('Bal Sheet'!E188)/'Inc Stmt'!E45</f>
        <v>408.59913932616087</v>
      </c>
      <c r="F62" s="1335">
        <f>+('Bal Sheet'!F188)/'Inc Stmt'!F45</f>
        <v>471.49318204122386</v>
      </c>
      <c r="G62" s="1335">
        <f>+('Bal Sheet'!G188)/'Inc Stmt'!G45</f>
        <v>546.95903611171423</v>
      </c>
      <c r="H62" s="1335">
        <f>+('Bal Sheet'!H188)/'Inc Stmt'!H45</f>
        <v>56.107759274018157</v>
      </c>
      <c r="I62" s="1335">
        <f>+('Bal Sheet'!I188)/'Inc Stmt'!I45</f>
        <v>62.646859687050728</v>
      </c>
      <c r="J62" s="1335">
        <f>+('Bal Sheet'!J188)/'Inc Stmt'!J45</f>
        <v>101.19859236204596</v>
      </c>
      <c r="K62" s="1335">
        <f>+('Bal Sheet'!K188)/'Inc Stmt'!K45</f>
        <v>169.6882049654449</v>
      </c>
      <c r="L62" s="1335">
        <f>+('Bal Sheet'!L188)/'Inc Stmt'!L45</f>
        <v>208.76833234139812</v>
      </c>
      <c r="M62" s="1335">
        <f>+('Bal Sheet'!M188)/'Inc Stmt'!M45</f>
        <v>273.0769740103762</v>
      </c>
      <c r="N62" s="1335">
        <f>+('Bal Sheet'!N188)/'Inc Stmt'!N45</f>
        <v>332.0356625298902</v>
      </c>
      <c r="O62" s="1335">
        <f>+('Bal Sheet'!O188)/'Inc Stmt'!O45</f>
        <v>369.50133432621317</v>
      </c>
      <c r="P62" s="1335">
        <f>+('Bal Sheet'!P188)/'Inc Stmt'!P45</f>
        <v>424.77739930417772</v>
      </c>
      <c r="Q62" s="1335">
        <f>+('Bal Sheet'!Q188)/'Inc Stmt'!Q45</f>
        <v>481.0009389770816</v>
      </c>
      <c r="R62" s="1100"/>
      <c r="S62" s="1100"/>
      <c r="T62" s="1100"/>
    </row>
    <row r="63" spans="1:20" s="1375" customFormat="1">
      <c r="A63" s="1336" t="s">
        <v>307</v>
      </c>
      <c r="B63" s="1335" t="s">
        <v>306</v>
      </c>
      <c r="C63" s="1335">
        <f>+('Bal Sheet'!C188-'Bal Sheet'!C16)/'Inc Stmt'!C45</f>
        <v>319.21444970628124</v>
      </c>
      <c r="D63" s="1335">
        <f>+('Bal Sheet'!D188-'Bal Sheet'!D16)/'Inc Stmt'!D45</f>
        <v>364.28388479506191</v>
      </c>
      <c r="E63" s="1335">
        <f>+('Bal Sheet'!E188-'Bal Sheet'!E16)/'Inc Stmt'!E45</f>
        <v>408.19833291017471</v>
      </c>
      <c r="F63" s="1335">
        <f>+('Bal Sheet'!F188-'Bal Sheet'!F16)/'Inc Stmt'!F45</f>
        <v>471.36074939483711</v>
      </c>
      <c r="G63" s="1335">
        <f>+('Bal Sheet'!G188-'Bal Sheet'!G16)/'Inc Stmt'!G45</f>
        <v>546.55086683591026</v>
      </c>
      <c r="H63" s="1335">
        <f>+('Bal Sheet'!H188-'Bal Sheet'!H16)/'Inc Stmt'!H45</f>
        <v>55.743861549944427</v>
      </c>
      <c r="I63" s="1335">
        <f>+('Bal Sheet'!I188-'Bal Sheet'!I16)/'Inc Stmt'!I45</f>
        <v>62.084943543324329</v>
      </c>
      <c r="J63" s="1335">
        <f>+('Bal Sheet'!J188-'Bal Sheet'!J16)/'Inc Stmt'!J45</f>
        <v>101.19859236204596</v>
      </c>
      <c r="K63" s="1335">
        <f>+('Bal Sheet'!K188-'Bal Sheet'!K16)/'Inc Stmt'!K45</f>
        <v>169.54029591900277</v>
      </c>
      <c r="L63" s="1335">
        <f>+('Bal Sheet'!L188-'Bal Sheet'!L16)/'Inc Stmt'!L45</f>
        <v>208.69437781817706</v>
      </c>
      <c r="M63" s="1335">
        <f>+('Bal Sheet'!M188-'Bal Sheet'!M16)/'Inc Stmt'!M45</f>
        <v>273.0769740103762</v>
      </c>
      <c r="N63" s="1335">
        <f>+('Bal Sheet'!N188-'Bal Sheet'!N16)/'Inc Stmt'!N45</f>
        <v>332.0356625298902</v>
      </c>
      <c r="O63" s="1335">
        <f>+('Bal Sheet'!O188-'Bal Sheet'!O16)/'Inc Stmt'!O45</f>
        <v>369.50133432621317</v>
      </c>
      <c r="P63" s="1335">
        <f>+('Bal Sheet'!P188-'Bal Sheet'!P16)/'Inc Stmt'!P45</f>
        <v>424.77739930417772</v>
      </c>
      <c r="Q63" s="1335">
        <f>+('Bal Sheet'!Q188-'Bal Sheet'!Q16)/'Inc Stmt'!Q45</f>
        <v>481.0009389770816</v>
      </c>
      <c r="R63" s="1100"/>
      <c r="S63" s="1100"/>
      <c r="T63" s="1100"/>
    </row>
    <row r="64" spans="1:20" s="1375" customFormat="1">
      <c r="A64" s="1336"/>
      <c r="B64" s="1335"/>
      <c r="C64" s="1335"/>
      <c r="D64" s="1335"/>
      <c r="E64" s="1335"/>
      <c r="F64" s="1335"/>
      <c r="G64" s="1335"/>
      <c r="H64" s="1335"/>
      <c r="I64" s="1358"/>
      <c r="J64" s="1335"/>
      <c r="K64" s="1335"/>
      <c r="L64" s="1335"/>
      <c r="M64" s="1335"/>
      <c r="N64" s="1335"/>
      <c r="O64" s="1335"/>
      <c r="P64" s="1335"/>
      <c r="Q64" s="1335"/>
      <c r="R64" s="1335"/>
      <c r="S64" s="1335"/>
      <c r="T64" s="1335"/>
    </row>
    <row r="65" spans="1:20" s="1375" customFormat="1">
      <c r="A65" s="1336"/>
      <c r="B65" s="1335"/>
      <c r="C65" s="1335"/>
      <c r="D65" s="1335"/>
      <c r="E65" s="1335"/>
      <c r="F65" s="1335"/>
      <c r="G65" s="1335"/>
      <c r="H65" s="1335"/>
      <c r="I65" s="1358"/>
      <c r="J65" s="1335"/>
      <c r="K65" s="1335"/>
      <c r="L65" s="1335"/>
      <c r="M65" s="1335"/>
      <c r="N65" s="1335"/>
      <c r="O65" s="1335"/>
      <c r="P65" s="1335"/>
      <c r="Q65" s="1335"/>
      <c r="R65" s="1335"/>
      <c r="S65" s="1335"/>
      <c r="T65" s="1335"/>
    </row>
    <row r="66" spans="1:20" s="1379" customFormat="1" ht="12.75">
      <c r="A66" s="1355"/>
      <c r="B66" s="1356" t="s">
        <v>168</v>
      </c>
      <c r="C66" s="1356"/>
      <c r="D66" s="1356"/>
      <c r="E66" s="1356"/>
      <c r="F66" s="1356"/>
      <c r="G66" s="1356"/>
      <c r="H66" s="1356"/>
      <c r="I66" s="1357"/>
      <c r="J66" s="1356"/>
      <c r="K66" s="1356"/>
      <c r="L66" s="1356"/>
      <c r="M66" s="1356"/>
      <c r="N66" s="1356"/>
      <c r="O66" s="1356"/>
      <c r="P66" s="1356"/>
      <c r="Q66" s="1356"/>
      <c r="R66" s="1356"/>
      <c r="S66" s="1356"/>
      <c r="T66" s="1356"/>
    </row>
    <row r="67" spans="1:20" s="1375" customFormat="1">
      <c r="A67" s="1336"/>
      <c r="B67" s="1335"/>
      <c r="C67" s="1335"/>
      <c r="D67" s="1335"/>
      <c r="E67" s="1335"/>
      <c r="F67" s="1335"/>
      <c r="G67" s="1335"/>
      <c r="H67" s="1335"/>
      <c r="I67" s="1358"/>
      <c r="J67" s="1335"/>
      <c r="K67" s="1335"/>
      <c r="L67" s="1335"/>
      <c r="M67" s="1335"/>
      <c r="N67" s="1335"/>
      <c r="O67" s="1335"/>
      <c r="P67" s="1335"/>
      <c r="Q67" s="1335"/>
      <c r="R67" s="1335"/>
      <c r="S67" s="1335"/>
      <c r="T67" s="1335"/>
    </row>
    <row r="68" spans="1:20" s="1382" customFormat="1">
      <c r="A68" s="1362" t="s">
        <v>163</v>
      </c>
      <c r="B68" s="1363" t="s">
        <v>662</v>
      </c>
      <c r="C68" s="1363">
        <f>+'Inc Stmt'!C11/'Inc Stmt'!C$9</f>
        <v>0.37726215217718528</v>
      </c>
      <c r="D68" s="1363">
        <f>+'Inc Stmt'!D11/'Inc Stmt'!D$9</f>
        <v>0.35857592077769129</v>
      </c>
      <c r="E68" s="1363">
        <f>+'Inc Stmt'!E11/'Inc Stmt'!E$9</f>
        <v>0.31040383780078301</v>
      </c>
      <c r="F68" s="1363">
        <f>+'Inc Stmt'!F11/'Inc Stmt'!F$9</f>
        <v>0.3121524978813997</v>
      </c>
      <c r="G68" s="1363">
        <f>+'Inc Stmt'!G11/'Inc Stmt'!G$9</f>
        <v>0.28060674546170999</v>
      </c>
      <c r="H68" s="1363">
        <f>+'Inc Stmt'!H11/'Inc Stmt'!H$9</f>
        <v>0.26590587726448528</v>
      </c>
      <c r="I68" s="1364">
        <f>+'Inc Stmt'!I11/'Inc Stmt'!I$9</f>
        <v>0.26696434750153442</v>
      </c>
      <c r="J68" s="1363">
        <f>+'Inc Stmt'!J11/'Inc Stmt'!J$9</f>
        <v>0.32103980407976457</v>
      </c>
      <c r="K68" s="1363">
        <f>+'Inc Stmt'!K11/'Inc Stmt'!K$9</f>
        <v>0.28048271063401348</v>
      </c>
      <c r="L68" s="1363">
        <f>+'Inc Stmt'!L11/'Inc Stmt'!L$9</f>
        <v>0.27786602270062233</v>
      </c>
      <c r="M68" s="1363">
        <f>+'Inc Stmt'!M11/'Inc Stmt'!M$9</f>
        <v>0.27957244121066654</v>
      </c>
      <c r="N68" s="1363">
        <f>+'Inc Stmt'!N11/'Inc Stmt'!N$9</f>
        <v>0.31131476646330353</v>
      </c>
      <c r="O68" s="1363">
        <f>+'Inc Stmt'!O11/'Inc Stmt'!O$9</f>
        <v>0.31289130441823781</v>
      </c>
      <c r="P68" s="1363">
        <f>+'Inc Stmt'!P11/'Inc Stmt'!P$9</f>
        <v>0.33336963817356546</v>
      </c>
      <c r="Q68" s="1363">
        <f>+'Inc Stmt'!Q11/'Inc Stmt'!Q$9</f>
        <v>0.3281405340639913</v>
      </c>
      <c r="R68" s="1192"/>
      <c r="S68" s="1192"/>
      <c r="T68" s="1192"/>
    </row>
    <row r="69" spans="1:20" s="1382" customFormat="1">
      <c r="A69" s="1362" t="s">
        <v>163</v>
      </c>
      <c r="B69" s="1363" t="s">
        <v>659</v>
      </c>
      <c r="C69" s="1363">
        <f>+'Inc Stmt'!C21/'Inc Stmt'!C$9</f>
        <v>0.18450870201883385</v>
      </c>
      <c r="D69" s="1363">
        <f>+'Inc Stmt'!D21/'Inc Stmt'!D$9</f>
        <v>0.18519754451262568</v>
      </c>
      <c r="E69" s="1363">
        <f>+'Inc Stmt'!E21/'Inc Stmt'!E$9</f>
        <v>0.15715620785619738</v>
      </c>
      <c r="F69" s="1363">
        <f>+'Inc Stmt'!F21/'Inc Stmt'!F$9</f>
        <v>0.18464505694384156</v>
      </c>
      <c r="G69" s="1363">
        <f>+'Inc Stmt'!G21/'Inc Stmt'!G$9</f>
        <v>0.1552598714455187</v>
      </c>
      <c r="H69" s="1363">
        <f>+'Inc Stmt'!H21/'Inc Stmt'!H$9</f>
        <v>0.13634987440320737</v>
      </c>
      <c r="I69" s="1364">
        <f>+'Inc Stmt'!I21/'Inc Stmt'!I$9</f>
        <v>0.12754784277823356</v>
      </c>
      <c r="J69" s="1363">
        <f>+'Inc Stmt'!J21/'Inc Stmt'!J$9</f>
        <v>0.21520686965936892</v>
      </c>
      <c r="K69" s="1363">
        <f>+'Inc Stmt'!K21/'Inc Stmt'!K$9</f>
        <v>0.19357089149255732</v>
      </c>
      <c r="L69" s="1363">
        <f>+'Inc Stmt'!L21/'Inc Stmt'!L$9</f>
        <v>0.19048562700151261</v>
      </c>
      <c r="M69" s="1363">
        <f>+'Inc Stmt'!M21/'Inc Stmt'!M$9</f>
        <v>0.18192751503331717</v>
      </c>
      <c r="N69" s="1363">
        <f>+'Inc Stmt'!N21/'Inc Stmt'!N$9</f>
        <v>0.21074110487054021</v>
      </c>
      <c r="O69" s="1363">
        <f>+'Inc Stmt'!O21/'Inc Stmt'!O$9</f>
        <v>0.19279881880491453</v>
      </c>
      <c r="P69" s="1363">
        <f>+'Inc Stmt'!P21/'Inc Stmt'!P$9</f>
        <v>0.21171654597521003</v>
      </c>
      <c r="Q69" s="1363">
        <f>+'Inc Stmt'!Q21/'Inc Stmt'!Q$9</f>
        <v>0.2031706259291724</v>
      </c>
      <c r="R69" s="1192"/>
      <c r="S69" s="1192"/>
      <c r="T69" s="1192"/>
    </row>
    <row r="70" spans="1:20" s="1382" customFormat="1">
      <c r="A70" s="1362" t="s">
        <v>163</v>
      </c>
      <c r="B70" s="1363" t="s">
        <v>663</v>
      </c>
      <c r="C70" s="1363">
        <f>+'Inc Stmt'!C25/'Inc Stmt'!C$9</f>
        <v>0.14486085419555586</v>
      </c>
      <c r="D70" s="1363">
        <f>+'Inc Stmt'!D25/'Inc Stmt'!D$9</f>
        <v>0.14912979686371597</v>
      </c>
      <c r="E70" s="1363">
        <f>+'Inc Stmt'!E25/'Inc Stmt'!E$9</f>
        <v>0.12599451851295473</v>
      </c>
      <c r="F70" s="1363">
        <f>+'Inc Stmt'!F25/'Inc Stmt'!F$9</f>
        <v>0.15997111469378472</v>
      </c>
      <c r="G70" s="1363">
        <f>+'Inc Stmt'!G25/'Inc Stmt'!G$9</f>
        <v>0.13542628757758413</v>
      </c>
      <c r="H70" s="1363">
        <f>+'Inc Stmt'!H25/'Inc Stmt'!H$9</f>
        <v>0.11698523336604956</v>
      </c>
      <c r="I70" s="1364">
        <f>+'Inc Stmt'!I25/'Inc Stmt'!I$9</f>
        <v>0.11272959939011741</v>
      </c>
      <c r="J70" s="1363">
        <f>+'Inc Stmt'!J25/'Inc Stmt'!J$9</f>
        <v>0.20372743127269904</v>
      </c>
      <c r="K70" s="1363">
        <f>+'Inc Stmt'!K25/'Inc Stmt'!K$9</f>
        <v>0.1860798391045862</v>
      </c>
      <c r="L70" s="1363">
        <f>+'Inc Stmt'!L25/'Inc Stmt'!L$9</f>
        <v>0.18302901636439795</v>
      </c>
      <c r="M70" s="1363">
        <f>+'Inc Stmt'!M25/'Inc Stmt'!M$9</f>
        <v>0.17358786833189571</v>
      </c>
      <c r="N70" s="1363">
        <f>+'Inc Stmt'!N25/'Inc Stmt'!N$9</f>
        <v>0.20182724046391196</v>
      </c>
      <c r="O70" s="1363">
        <f>+'Inc Stmt'!O25/'Inc Stmt'!O$9</f>
        <v>0.18042606865349411</v>
      </c>
      <c r="P70" s="1363">
        <f>+'Inc Stmt'!P25/'Inc Stmt'!P$9</f>
        <v>0.19811728411459581</v>
      </c>
      <c r="Q70" s="1363">
        <f>+'Inc Stmt'!Q25/'Inc Stmt'!Q$9</f>
        <v>0.18905317669024391</v>
      </c>
      <c r="R70" s="1192"/>
      <c r="S70" s="1192"/>
      <c r="T70" s="1192"/>
    </row>
    <row r="71" spans="1:20" s="1382" customFormat="1">
      <c r="A71" s="1362" t="s">
        <v>163</v>
      </c>
      <c r="B71" s="1363" t="s">
        <v>667</v>
      </c>
      <c r="C71" s="1363">
        <f>+'Inc Stmt'!C30/'Inc Stmt'!C$9</f>
        <v>0.18268128709793821</v>
      </c>
      <c r="D71" s="1363">
        <f>+'Inc Stmt'!D30/'Inc Stmt'!D$9</f>
        <v>0.19256003685877582</v>
      </c>
      <c r="E71" s="1363">
        <f>+'Inc Stmt'!E30/'Inc Stmt'!E$9</f>
        <v>0.18263990788449677</v>
      </c>
      <c r="F71" s="1363">
        <f>+'Inc Stmt'!F30/'Inc Stmt'!F$9</f>
        <v>0.20420335462268246</v>
      </c>
      <c r="G71" s="1363">
        <f>+'Inc Stmt'!G30/'Inc Stmt'!G$9</f>
        <v>0.18013576820997376</v>
      </c>
      <c r="H71" s="1363">
        <f>+'Inc Stmt'!H30/'Inc Stmt'!H$9</f>
        <v>0.12136919911943622</v>
      </c>
      <c r="I71" s="1364">
        <f>+'Inc Stmt'!I30/'Inc Stmt'!I$9</f>
        <v>0.10080761808819486</v>
      </c>
      <c r="J71" s="1363">
        <f>+'Inc Stmt'!J30/'Inc Stmt'!J$9</f>
        <v>0.20284659785453535</v>
      </c>
      <c r="K71" s="1363">
        <f>+'Inc Stmt'!K30/'Inc Stmt'!K$9</f>
        <v>0.26531826910587292</v>
      </c>
      <c r="L71" s="1363">
        <f>+'Inc Stmt'!L30/'Inc Stmt'!L$9</f>
        <v>0.20616386518906774</v>
      </c>
      <c r="M71" s="1363">
        <f>+'Inc Stmt'!M30/'Inc Stmt'!M$9</f>
        <v>0.2009246271362313</v>
      </c>
      <c r="N71" s="1363">
        <f>+'Inc Stmt'!N30/'Inc Stmt'!N$9</f>
        <v>0.23216445461949192</v>
      </c>
      <c r="O71" s="1363">
        <f>+'Inc Stmt'!O30/'Inc Stmt'!O$9</f>
        <v>0.19088321724818749</v>
      </c>
      <c r="P71" s="1363">
        <f>+'Inc Stmt'!P30/'Inc Stmt'!P$9</f>
        <v>0.24560312965432482</v>
      </c>
      <c r="Q71" s="1363">
        <f>+'Inc Stmt'!Q30/'Inc Stmt'!Q$9</f>
        <v>0.24512833376518597</v>
      </c>
      <c r="R71" s="1192"/>
      <c r="S71" s="1192"/>
      <c r="T71" s="1192"/>
    </row>
    <row r="72" spans="1:20" s="1382" customFormat="1">
      <c r="A72" s="1362" t="s">
        <v>163</v>
      </c>
      <c r="B72" s="1363" t="s">
        <v>170</v>
      </c>
      <c r="C72" s="1363">
        <f>+'Inc Stmt'!C40/'Inc Stmt'!C$9</f>
        <v>0.12384655552162699</v>
      </c>
      <c r="D72" s="1363">
        <f>+'Inc Stmt'!D40/'Inc Stmt'!D$9</f>
        <v>0.15970305668801124</v>
      </c>
      <c r="E72" s="1363">
        <f>+'Inc Stmt'!E40/'Inc Stmt'!E$9</f>
        <v>0.13714836323141114</v>
      </c>
      <c r="F72" s="1363">
        <f>+'Inc Stmt'!F40/'Inc Stmt'!F$9</f>
        <v>0.14523521630392094</v>
      </c>
      <c r="G72" s="1363">
        <f>+'Inc Stmt'!G40/'Inc Stmt'!G$9</f>
        <v>0.13415033327009165</v>
      </c>
      <c r="H72" s="1363">
        <f>+'Inc Stmt'!H40/'Inc Stmt'!H$9</f>
        <v>8.8082347135117811E-2</v>
      </c>
      <c r="I72" s="1364">
        <f>+'Inc Stmt'!I40/'Inc Stmt'!I$9</f>
        <v>7.6845093654883179E-2</v>
      </c>
      <c r="J72" s="1363">
        <f>+'Inc Stmt'!J40/'Inc Stmt'!J$9</f>
        <v>0.14951456151405748</v>
      </c>
      <c r="K72" s="1363">
        <f>+'Inc Stmt'!K40/'Inc Stmt'!K$9</f>
        <v>0.17273480125598908</v>
      </c>
      <c r="L72" s="1363">
        <f>+'Inc Stmt'!L40/'Inc Stmt'!L$9</f>
        <v>0.15382523818448277</v>
      </c>
      <c r="M72" s="1363">
        <f>+'Inc Stmt'!M40/'Inc Stmt'!M$9</f>
        <v>0.14350808236132478</v>
      </c>
      <c r="N72" s="1363">
        <f>+'Inc Stmt'!N40/'Inc Stmt'!N$9</f>
        <v>0.16251070125278474</v>
      </c>
      <c r="O72" s="1363">
        <f>+'Inc Stmt'!O40/'Inc Stmt'!O$9</f>
        <v>0.14252950095803216</v>
      </c>
      <c r="P72" s="1363">
        <f>+'Inc Stmt'!P40/'Inc Stmt'!P$9</f>
        <v>0.17398297745735072</v>
      </c>
      <c r="Q72" s="1363">
        <f>+'Inc Stmt'!Q40/'Inc Stmt'!Q$9</f>
        <v>0.17584491525579457</v>
      </c>
      <c r="R72" s="1192"/>
      <c r="S72" s="1192"/>
      <c r="T72" s="1192"/>
    </row>
    <row r="73" spans="1:20" s="1382" customFormat="1">
      <c r="A73" s="1362" t="s">
        <v>163</v>
      </c>
      <c r="B73" s="1363" t="s">
        <v>169</v>
      </c>
      <c r="C73" s="1363">
        <f>+'Inc Stmt'!C36/'Inc Stmt'!C$9</f>
        <v>0.12472384811218779</v>
      </c>
      <c r="D73" s="1363">
        <f>+'Inc Stmt'!D36/'Inc Stmt'!D$9</f>
        <v>0.14804420326379811</v>
      </c>
      <c r="E73" s="1363">
        <f>+'Inc Stmt'!E36/'Inc Stmt'!E$9</f>
        <v>0.12859677408129513</v>
      </c>
      <c r="F73" s="1363">
        <f>+'Inc Stmt'!F36/'Inc Stmt'!F$9</f>
        <v>0.14231051445815507</v>
      </c>
      <c r="G73" s="1363">
        <f>+'Inc Stmt'!G36/'Inc Stmt'!G$9</f>
        <v>0.12904651604012174</v>
      </c>
      <c r="H73" s="1363">
        <f>+'Inc Stmt'!H36/'Inc Stmt'!H$9</f>
        <v>8.3127886924070832E-2</v>
      </c>
      <c r="I73" s="1364">
        <f>+'Inc Stmt'!I36/'Inc Stmt'!I$9</f>
        <v>6.102570560227627E-2</v>
      </c>
      <c r="J73" s="1363">
        <f>+'Inc Stmt'!J36/'Inc Stmt'!J$9</f>
        <v>0.14332514194710447</v>
      </c>
      <c r="K73" s="1363">
        <f>+'Inc Stmt'!K36/'Inc Stmt'!K$9</f>
        <v>0.20366405398631424</v>
      </c>
      <c r="L73" s="1363">
        <f>+'Inc Stmt'!L36/'Inc Stmt'!L$9</f>
        <v>0.15382523818448277</v>
      </c>
      <c r="M73" s="1363">
        <f>+'Inc Stmt'!M36/'Inc Stmt'!M$9</f>
        <v>0.15219942742127052</v>
      </c>
      <c r="N73" s="1363">
        <f>+'Inc Stmt'!N36/'Inc Stmt'!N$9</f>
        <v>0.16096024171307385</v>
      </c>
      <c r="O73" s="1363">
        <f>+'Inc Stmt'!O36/'Inc Stmt'!O$9</f>
        <v>0.13019335082669314</v>
      </c>
      <c r="P73" s="1363">
        <f>+'Inc Stmt'!P36/'Inc Stmt'!P$9</f>
        <v>0.17398297745735072</v>
      </c>
      <c r="Q73" s="1363">
        <f>+'Inc Stmt'!Q36/'Inc Stmt'!Q$9</f>
        <v>0.17584491525579457</v>
      </c>
      <c r="R73" s="1192"/>
      <c r="S73" s="1192"/>
      <c r="T73" s="1192"/>
    </row>
    <row r="74" spans="1:20" s="1375" customFormat="1">
      <c r="A74" s="1336"/>
      <c r="B74" s="1335"/>
      <c r="C74" s="1335"/>
      <c r="D74" s="1335"/>
      <c r="E74" s="1335"/>
      <c r="F74" s="1335"/>
      <c r="G74" s="1335"/>
      <c r="H74" s="1335"/>
      <c r="I74" s="1358"/>
      <c r="J74" s="1335"/>
      <c r="K74" s="1335"/>
      <c r="L74" s="1335"/>
      <c r="M74" s="1335"/>
      <c r="N74" s="1335"/>
      <c r="O74" s="1335"/>
      <c r="P74" s="1335"/>
      <c r="Q74" s="1335"/>
      <c r="R74" s="1335"/>
      <c r="S74" s="1335"/>
      <c r="T74" s="1335"/>
    </row>
    <row r="75" spans="1:20" s="1375" customFormat="1">
      <c r="A75" s="1336"/>
      <c r="B75" s="1335"/>
      <c r="C75" s="1335"/>
      <c r="D75" s="1335"/>
      <c r="E75" s="1335"/>
      <c r="F75" s="1335"/>
      <c r="G75" s="1335"/>
      <c r="H75" s="1335"/>
      <c r="I75" s="1358"/>
      <c r="J75" s="1335"/>
      <c r="K75" s="1335"/>
      <c r="L75" s="1335"/>
      <c r="M75" s="1335"/>
      <c r="N75" s="1335"/>
      <c r="O75" s="1335"/>
      <c r="P75" s="1335"/>
      <c r="Q75" s="1335"/>
      <c r="R75" s="1335"/>
      <c r="S75" s="1335"/>
      <c r="T75" s="1335"/>
    </row>
    <row r="76" spans="1:20" s="1379" customFormat="1" ht="12.75">
      <c r="A76" s="1355"/>
      <c r="B76" s="1356" t="s">
        <v>172</v>
      </c>
      <c r="C76" s="1356"/>
      <c r="D76" s="1356"/>
      <c r="E76" s="1356"/>
      <c r="F76" s="1356"/>
      <c r="G76" s="1356"/>
      <c r="H76" s="1356"/>
      <c r="I76" s="1357"/>
      <c r="J76" s="1356"/>
      <c r="K76" s="1356"/>
      <c r="L76" s="1356"/>
      <c r="M76" s="1356"/>
      <c r="N76" s="1356"/>
      <c r="O76" s="1356"/>
      <c r="P76" s="1356"/>
      <c r="Q76" s="1356"/>
      <c r="R76" s="1356"/>
      <c r="S76" s="1356"/>
      <c r="T76" s="1356"/>
    </row>
    <row r="77" spans="1:20" s="1375" customFormat="1">
      <c r="A77" s="1336"/>
      <c r="B77" s="1335"/>
      <c r="C77" s="1335"/>
      <c r="D77" s="1335"/>
      <c r="E77" s="1335"/>
      <c r="F77" s="1335"/>
      <c r="G77" s="1335"/>
      <c r="H77" s="1335"/>
      <c r="I77" s="1358"/>
      <c r="J77" s="1335"/>
      <c r="K77" s="1335"/>
      <c r="L77" s="1335"/>
      <c r="M77" s="1335"/>
      <c r="N77" s="1335"/>
      <c r="O77" s="1335"/>
      <c r="P77" s="1335"/>
      <c r="Q77" s="1335"/>
      <c r="R77" s="1335"/>
      <c r="S77" s="1335"/>
      <c r="T77" s="1335"/>
    </row>
    <row r="78" spans="1:20" s="1382" customFormat="1">
      <c r="A78" s="1362" t="s">
        <v>163</v>
      </c>
      <c r="B78" s="1363" t="s">
        <v>191</v>
      </c>
      <c r="C78" s="1363">
        <v>0</v>
      </c>
      <c r="D78" s="1363">
        <f>+('Inc Stmt'!D36+'Inc Stmt'!D27*(1-('Inc Stmt'!D167/'Inc Stmt'!D30)))/AVERAGE('Bal Sheet'!C21,'Bal Sheet'!D21)</f>
        <v>0.113292804791038</v>
      </c>
      <c r="E78" s="1363">
        <f>+('Inc Stmt'!E36+'Inc Stmt'!E27*(1-('Inc Stmt'!E167/'Inc Stmt'!E30)))/AVERAGE('Bal Sheet'!D21,'Bal Sheet'!E21)</f>
        <v>0.10084138839117578</v>
      </c>
      <c r="F78" s="1363">
        <f>+('Inc Stmt'!F36+'Inc Stmt'!F27*(1-('Inc Stmt'!F167/'Inc Stmt'!F30)))/AVERAGE('Bal Sheet'!E21,'Bal Sheet'!F21)</f>
        <v>0.12285148925933409</v>
      </c>
      <c r="G78" s="1363">
        <f>+('Inc Stmt'!G36+'Inc Stmt'!G27*(1-('Inc Stmt'!G167/'Inc Stmt'!G30)))/AVERAGE('Bal Sheet'!F21,'Bal Sheet'!G21)</f>
        <v>0.11672936834295231</v>
      </c>
      <c r="H78" s="1363">
        <f>+('Inc Stmt'!H36+'Inc Stmt'!H27*(1-('Inc Stmt'!H167/'Inc Stmt'!H30)))/AVERAGE('Bal Sheet'!G21,'Bal Sheet'!H21)</f>
        <v>9.2112897128718174E-2</v>
      </c>
      <c r="I78" s="1364">
        <f>+('Inc Stmt'!I36+'Inc Stmt'!I27*(1-('Inc Stmt'!I167/'Inc Stmt'!I30)))/AVERAGE('Bal Sheet'!H21,'Bal Sheet'!I21)</f>
        <v>0.1030570728254132</v>
      </c>
      <c r="J78" s="1363">
        <f>+('Inc Stmt'!J36+'Inc Stmt'!J27*(1-('Inc Stmt'!J167/'Inc Stmt'!J30)))/AVERAGE('Bal Sheet'!I21,'Bal Sheet'!J21)</f>
        <v>0.23706635067227033</v>
      </c>
      <c r="K78" s="1363">
        <f>+('Inc Stmt'!K36+'Inc Stmt'!K27*(1-('Inc Stmt'!K167/'Inc Stmt'!K30)))/AVERAGE('Bal Sheet'!J21,'Bal Sheet'!K21)</f>
        <v>0.37682567355655155</v>
      </c>
      <c r="L78" s="1363">
        <f>+('Inc Stmt'!L36+'Inc Stmt'!L27*(1-('Inc Stmt'!L167/'Inc Stmt'!L30)))/AVERAGE('Bal Sheet'!K21,'Bal Sheet'!L21)</f>
        <v>0.29873916920317267</v>
      </c>
      <c r="M78" s="1363">
        <f>+('Inc Stmt'!M36+'Inc Stmt'!M27*(1-('Inc Stmt'!M167/'Inc Stmt'!M30)))/AVERAGE('Bal Sheet'!L21,'Bal Sheet'!M21)</f>
        <v>0.26020909675186299</v>
      </c>
      <c r="N78" s="1363">
        <f>+('Inc Stmt'!N36+'Inc Stmt'!N27*(1-('Inc Stmt'!N167/'Inc Stmt'!N30)))/AVERAGE('Bal Sheet'!M21,'Bal Sheet'!N21)</f>
        <v>0.24055561708896864</v>
      </c>
      <c r="O78" s="1363">
        <f>+('Inc Stmt'!O36+'Inc Stmt'!O27*(1-('Inc Stmt'!O167/'Inc Stmt'!O30)))/AVERAGE('Bal Sheet'!N21,'Bal Sheet'!O21)</f>
        <v>0.18772458791395377</v>
      </c>
      <c r="P78" s="1363">
        <f>+('Inc Stmt'!P36+'Inc Stmt'!P27*(1-('Inc Stmt'!P167/'Inc Stmt'!P30)))/AVERAGE('Bal Sheet'!O21,'Bal Sheet'!P21)</f>
        <v>0.2543526652449648</v>
      </c>
      <c r="Q78" s="1363">
        <f>+('Inc Stmt'!Q36+'Inc Stmt'!Q27*(1-('Inc Stmt'!Q167/'Inc Stmt'!Q30)))/AVERAGE('Bal Sheet'!P21,'Bal Sheet'!Q21)</f>
        <v>0.2223106877925754</v>
      </c>
      <c r="R78" s="1192"/>
      <c r="S78" s="1192"/>
      <c r="T78" s="1192"/>
    </row>
    <row r="79" spans="1:20" s="1382" customFormat="1">
      <c r="A79" s="1362" t="s">
        <v>163</v>
      </c>
      <c r="B79" s="1363" t="s">
        <v>192</v>
      </c>
      <c r="C79" s="1363">
        <v>0</v>
      </c>
      <c r="D79" s="1363">
        <f>+('Inc Stmt'!D36+'Inc Stmt'!D27*(1-('Inc Stmt'!D167/'Inc Stmt'!D30)))/AVERAGE('Bal Sheet'!C25+'Bal Sheet'!C26+'Bal Sheet'!C138+'Bal Sheet'!C29,'Bal Sheet'!D25+'Bal Sheet'!D26+'Bal Sheet'!D138+'Bal Sheet'!D29)</f>
        <v>0.1683476459782263</v>
      </c>
      <c r="E79" s="1363">
        <f>+('Inc Stmt'!E36+'Inc Stmt'!E27*(1-('Inc Stmt'!E167/'Inc Stmt'!E30)))/AVERAGE('Bal Sheet'!D25+'Bal Sheet'!D26+'Bal Sheet'!D138+'Bal Sheet'!D29,'Bal Sheet'!E25+'Bal Sheet'!E26+'Bal Sheet'!E138+'Bal Sheet'!E29)</f>
        <v>0.15216091772966969</v>
      </c>
      <c r="F79" s="1363">
        <f>+('Inc Stmt'!F36+'Inc Stmt'!F27*(1-('Inc Stmt'!F167/'Inc Stmt'!F30)))/AVERAGE('Bal Sheet'!E25+'Bal Sheet'!E26+'Bal Sheet'!E138+'Bal Sheet'!E29,'Bal Sheet'!F25+'Bal Sheet'!F26+'Bal Sheet'!F138+'Bal Sheet'!F29)</f>
        <v>0.18998674323140424</v>
      </c>
      <c r="G79" s="1363">
        <f>+('Inc Stmt'!G36+'Inc Stmt'!G27*(1-('Inc Stmt'!G167/'Inc Stmt'!G30)))/AVERAGE('Bal Sheet'!F25+'Bal Sheet'!F26+'Bal Sheet'!F138+'Bal Sheet'!F29,'Bal Sheet'!G25+'Bal Sheet'!G26+'Bal Sheet'!G138+'Bal Sheet'!G29)</f>
        <v>0.18536303425286987</v>
      </c>
      <c r="H79" s="1363">
        <f>+('Inc Stmt'!H36+'Inc Stmt'!H27*(1-('Inc Stmt'!H167/'Inc Stmt'!H30)))/AVERAGE('Bal Sheet'!G25+'Bal Sheet'!G26+'Bal Sheet'!G138+'Bal Sheet'!G29,'Bal Sheet'!H25+'Bal Sheet'!H26+'Bal Sheet'!H138+'Bal Sheet'!H29)</f>
        <v>0.14864559910244965</v>
      </c>
      <c r="I79" s="1364">
        <f>+('Inc Stmt'!I36+'Inc Stmt'!I27*(1-('Inc Stmt'!I167/'Inc Stmt'!I30)))/AVERAGE('Bal Sheet'!H25+'Bal Sheet'!H26+'Bal Sheet'!H138+'Bal Sheet'!H29,'Bal Sheet'!I25+'Bal Sheet'!I26+'Bal Sheet'!I138+'Bal Sheet'!I29)</f>
        <v>0.17321990697155409</v>
      </c>
      <c r="J79" s="1363">
        <f>+('Inc Stmt'!J36+'Inc Stmt'!J27*(1-('Inc Stmt'!J167/'Inc Stmt'!J30)))/AVERAGE('Bal Sheet'!I25+'Bal Sheet'!I26+'Bal Sheet'!I138+'Bal Sheet'!I29,'Bal Sheet'!J25+'Bal Sheet'!J26+'Bal Sheet'!J138+'Bal Sheet'!J29)</f>
        <v>0.44503652683089739</v>
      </c>
      <c r="K79" s="1363">
        <f>+('Inc Stmt'!K36+'Inc Stmt'!K27*(1-('Inc Stmt'!K167/'Inc Stmt'!K30)))/AVERAGE('Bal Sheet'!J25+'Bal Sheet'!J26+'Bal Sheet'!J138+'Bal Sheet'!J29,'Bal Sheet'!K25+'Bal Sheet'!K26+'Bal Sheet'!K138+'Bal Sheet'!K29)</f>
        <v>0.70320764665621738</v>
      </c>
      <c r="L79" s="1363">
        <f>+('Inc Stmt'!L36+'Inc Stmt'!L27*(1-('Inc Stmt'!L167/'Inc Stmt'!L30)))/AVERAGE('Bal Sheet'!K25+'Bal Sheet'!K26+'Bal Sheet'!K138+'Bal Sheet'!K29,'Bal Sheet'!L25+'Bal Sheet'!L26+'Bal Sheet'!L138+'Bal Sheet'!L29)</f>
        <v>0.5311711348170356</v>
      </c>
      <c r="M79" s="1363">
        <f>+('Inc Stmt'!M36+'Inc Stmt'!M27*(1-('Inc Stmt'!M167/'Inc Stmt'!M30)))/AVERAGE('Bal Sheet'!L25+'Bal Sheet'!L26+'Bal Sheet'!L138+'Bal Sheet'!L29,'Bal Sheet'!M25+'Bal Sheet'!M26+'Bal Sheet'!M138+'Bal Sheet'!M29)</f>
        <v>0.43140668001191101</v>
      </c>
      <c r="N79" s="1363">
        <f>+('Inc Stmt'!N36+'Inc Stmt'!N27*(1-('Inc Stmt'!N167/'Inc Stmt'!N30)))/AVERAGE('Bal Sheet'!M25+'Bal Sheet'!M26+'Bal Sheet'!M138+'Bal Sheet'!M29,'Bal Sheet'!N25+'Bal Sheet'!N26+'Bal Sheet'!N138+'Bal Sheet'!N29)</f>
        <v>0.36778210885914792</v>
      </c>
      <c r="O79" s="1363">
        <f>+('Inc Stmt'!O36+'Inc Stmt'!O27*(1-('Inc Stmt'!O167/'Inc Stmt'!O30)))/AVERAGE('Bal Sheet'!N25+'Bal Sheet'!N26+'Bal Sheet'!N138+'Bal Sheet'!N29,'Bal Sheet'!O25+'Bal Sheet'!O26+'Bal Sheet'!O138+'Bal Sheet'!O29)</f>
        <v>0.2753558256881885</v>
      </c>
      <c r="P79" s="1363">
        <f>+('Inc Stmt'!P36+'Inc Stmt'!P27*(1-('Inc Stmt'!P167/'Inc Stmt'!P30)))/AVERAGE('Bal Sheet'!O25+'Bal Sheet'!O26+'Bal Sheet'!O138+'Bal Sheet'!O29,'Bal Sheet'!P25+'Bal Sheet'!P26+'Bal Sheet'!P138+'Bal Sheet'!P29)</f>
        <v>0.337982145747796</v>
      </c>
      <c r="Q79" s="1363">
        <f>+('Inc Stmt'!Q36+'Inc Stmt'!Q27*(1-('Inc Stmt'!Q167/'Inc Stmt'!Q30)))/AVERAGE('Bal Sheet'!P25+'Bal Sheet'!P26+'Bal Sheet'!P138+'Bal Sheet'!P29,'Bal Sheet'!Q25+'Bal Sheet'!Q26+'Bal Sheet'!Q138+'Bal Sheet'!Q29)</f>
        <v>0.28856497119383812</v>
      </c>
      <c r="R79" s="1192"/>
      <c r="S79" s="1192"/>
      <c r="T79" s="1192"/>
    </row>
    <row r="80" spans="1:20" s="1382" customFormat="1">
      <c r="A80" s="1362" t="s">
        <v>163</v>
      </c>
      <c r="B80" s="1363" t="s">
        <v>196</v>
      </c>
      <c r="C80" s="1363">
        <v>0</v>
      </c>
      <c r="D80" s="1363">
        <f>+('Inc Stmt'!D36-'Inc Stmt'!D60)/AVERAGE('Bal Sheet'!C186,'Bal Sheet'!D186)</f>
        <v>0.21297184456231755</v>
      </c>
      <c r="E80" s="1363">
        <f>+('Inc Stmt'!E36-'Inc Stmt'!E60)/AVERAGE('Bal Sheet'!D186,'Bal Sheet'!E186)</f>
        <v>0.19544313773244518</v>
      </c>
      <c r="F80" s="1363">
        <f>+('Inc Stmt'!F36-'Inc Stmt'!F60)/AVERAGE('Bal Sheet'!E186,'Bal Sheet'!F186)</f>
        <v>0.24741375179228819</v>
      </c>
      <c r="G80" s="1363">
        <f>+('Inc Stmt'!G36-'Inc Stmt'!G60)/AVERAGE('Bal Sheet'!F186,'Bal Sheet'!G186)</f>
        <v>0.24025485693042789</v>
      </c>
      <c r="H80" s="1363">
        <f>+('Inc Stmt'!H36-'Inc Stmt'!H60)/AVERAGE('Bal Sheet'!G186,'Bal Sheet'!H186)</f>
        <v>0.20943581554907603</v>
      </c>
      <c r="I80" s="1364">
        <f>+('Inc Stmt'!I36-'Inc Stmt'!I60)/AVERAGE('Bal Sheet'!H186,'Bal Sheet'!I186)</f>
        <v>0.31308064410419173</v>
      </c>
      <c r="J80" s="1363">
        <f>+('Inc Stmt'!J36-'Inc Stmt'!J60)/AVERAGE('Bal Sheet'!I186,'Bal Sheet'!J186)</f>
        <v>0.71865731765474705</v>
      </c>
      <c r="K80" s="1363">
        <f>+('Inc Stmt'!K36-'Inc Stmt'!K60)/AVERAGE('Bal Sheet'!J186,'Bal Sheet'!K186)</f>
        <v>0.85212730745180842</v>
      </c>
      <c r="L80" s="1363">
        <f>+('Inc Stmt'!L36-'Inc Stmt'!L60)/AVERAGE('Bal Sheet'!K186,'Bal Sheet'!L186)</f>
        <v>0.54862059810111541</v>
      </c>
      <c r="M80" s="1363">
        <f>+('Inc Stmt'!M36-'Inc Stmt'!M60)/AVERAGE('Bal Sheet'!L186,'Bal Sheet'!M186)</f>
        <v>0.43657275123851225</v>
      </c>
      <c r="N80" s="1363">
        <f>+('Inc Stmt'!N36-'Inc Stmt'!N60)/AVERAGE('Bal Sheet'!M186,'Bal Sheet'!N186)</f>
        <v>0.37044850493022469</v>
      </c>
      <c r="O80" s="1363">
        <f>+('Inc Stmt'!O36-'Inc Stmt'!O60)/AVERAGE('Bal Sheet'!N186,'Bal Sheet'!O186)</f>
        <v>0.27721348274897106</v>
      </c>
      <c r="P80" s="1363">
        <f>+('Inc Stmt'!P36-'Inc Stmt'!P60)/AVERAGE('Bal Sheet'!O186,'Bal Sheet'!P186)</f>
        <v>0.34195118298552446</v>
      </c>
      <c r="Q80" s="1363">
        <f>+('Inc Stmt'!Q36-'Inc Stmt'!Q60)/AVERAGE('Bal Sheet'!P186,'Bal Sheet'!Q186)</f>
        <v>0.2920660256104089</v>
      </c>
      <c r="R80" s="1192"/>
      <c r="S80" s="1192"/>
      <c r="T80" s="1192"/>
    </row>
    <row r="81" spans="1:20" s="1382" customFormat="1">
      <c r="A81" s="1362"/>
      <c r="B81" s="1363"/>
      <c r="C81" s="1363"/>
      <c r="D81" s="1363"/>
      <c r="E81" s="1363"/>
      <c r="F81" s="1363"/>
      <c r="G81" s="1363"/>
      <c r="H81" s="1363"/>
      <c r="I81" s="1364"/>
      <c r="J81" s="1363"/>
      <c r="K81" s="1363"/>
      <c r="L81" s="1363"/>
      <c r="M81" s="1363"/>
      <c r="N81" s="1363"/>
      <c r="O81" s="1363"/>
      <c r="P81" s="1363"/>
      <c r="Q81" s="1363"/>
      <c r="R81" s="1363"/>
      <c r="S81" s="1363"/>
      <c r="T81" s="1363"/>
    </row>
    <row r="82" spans="1:20" s="1380" customFormat="1" ht="12.75">
      <c r="A82" s="1359"/>
      <c r="B82" s="1360" t="s">
        <v>198</v>
      </c>
      <c r="C82" s="1360"/>
      <c r="D82" s="1360"/>
      <c r="E82" s="1360"/>
      <c r="F82" s="1360"/>
      <c r="G82" s="1360"/>
      <c r="H82" s="1360"/>
      <c r="I82" s="1361"/>
      <c r="J82" s="1360"/>
      <c r="K82" s="1360"/>
      <c r="L82" s="1360"/>
      <c r="M82" s="1360"/>
      <c r="N82" s="1360"/>
      <c r="O82" s="1360"/>
      <c r="P82" s="1360"/>
      <c r="Q82" s="1360"/>
      <c r="R82" s="1360"/>
      <c r="S82" s="1360"/>
      <c r="T82" s="1360"/>
    </row>
    <row r="83" spans="1:20" s="1382" customFormat="1">
      <c r="A83" s="1362" t="s">
        <v>163</v>
      </c>
      <c r="B83" s="1363" t="s">
        <v>191</v>
      </c>
      <c r="C83" s="1363">
        <v>0</v>
      </c>
      <c r="D83" s="1363">
        <f>+('Inc Stmt'!D40+'Inc Stmt'!D27*(1-('Inc Stmt'!D167/'Inc Stmt'!D30)))/AVERAGE('Bal Sheet'!C21,'Bal Sheet'!D21)</f>
        <v>0.12220688290075032</v>
      </c>
      <c r="E83" s="1363">
        <f>+('Inc Stmt'!E40+'Inc Stmt'!E27*(1-('Inc Stmt'!E167/'Inc Stmt'!E30)))/AVERAGE('Bal Sheet'!D21,'Bal Sheet'!E21)</f>
        <v>0.10754323487508043</v>
      </c>
      <c r="F83" s="1363">
        <f>+('Inc Stmt'!F40+'Inc Stmt'!F27*(1-('Inc Stmt'!F167/'Inc Stmt'!F30)))/AVERAGE('Bal Sheet'!E21,'Bal Sheet'!F21)</f>
        <v>0.12537575197866635</v>
      </c>
      <c r="G83" s="1363">
        <f>+('Inc Stmt'!G40+'Inc Stmt'!G27*(1-('Inc Stmt'!G167/'Inc Stmt'!G30)))/AVERAGE('Bal Sheet'!F21,'Bal Sheet'!G21)</f>
        <v>0.12133193622988857</v>
      </c>
      <c r="H83" s="1363">
        <f>+('Inc Stmt'!H40+'Inc Stmt'!H27*(1-('Inc Stmt'!H167/'Inc Stmt'!H30)))/AVERAGE('Bal Sheet'!G21,'Bal Sheet'!H21)</f>
        <v>9.7578744544456211E-2</v>
      </c>
      <c r="I83" s="1364">
        <f>+('Inc Stmt'!I40+'Inc Stmt'!I27*(1-('Inc Stmt'!I167/'Inc Stmt'!I30)))/AVERAGE('Bal Sheet'!H21,'Bal Sheet'!I21)</f>
        <v>0.12907189314028891</v>
      </c>
      <c r="J83" s="1363">
        <f>+('Inc Stmt'!J40+'Inc Stmt'!J27*(1-('Inc Stmt'!J167/'Inc Stmt'!J30)))/AVERAGE('Bal Sheet'!I21,'Bal Sheet'!J21)</f>
        <v>0.24727868203495837</v>
      </c>
      <c r="K83" s="1363">
        <f>+('Inc Stmt'!K40+'Inc Stmt'!K27*(1-('Inc Stmt'!K167/'Inc Stmt'!K30)))/AVERAGE('Bal Sheet'!J21,'Bal Sheet'!K21)</f>
        <v>0.31962179864635831</v>
      </c>
      <c r="L83" s="1363">
        <f>+('Inc Stmt'!L40+'Inc Stmt'!L27*(1-('Inc Stmt'!L167/'Inc Stmt'!L30)))/AVERAGE('Bal Sheet'!K21,'Bal Sheet'!L21)</f>
        <v>0.29873916920317267</v>
      </c>
      <c r="M83" s="1363">
        <f>+('Inc Stmt'!M40+'Inc Stmt'!M27*(1-('Inc Stmt'!M167/'Inc Stmt'!M30)))/AVERAGE('Bal Sheet'!L21,'Bal Sheet'!M21)</f>
        <v>0.24535173945226504</v>
      </c>
      <c r="N83" s="1363">
        <f>+('Inc Stmt'!N40+'Inc Stmt'!N27*(1-('Inc Stmt'!N167/'Inc Stmt'!N30)))/AVERAGE('Bal Sheet'!M21,'Bal Sheet'!N21)</f>
        <v>0.24287251290393141</v>
      </c>
      <c r="O83" s="1363">
        <f>+('Inc Stmt'!O40+'Inc Stmt'!O27*(1-('Inc Stmt'!O167/'Inc Stmt'!O30)))/AVERAGE('Bal Sheet'!N21,'Bal Sheet'!O21)</f>
        <v>0.20548362733289441</v>
      </c>
      <c r="P83" s="1363">
        <f>+('Inc Stmt'!P40+'Inc Stmt'!P27*(1-('Inc Stmt'!P167/'Inc Stmt'!P30)))/AVERAGE('Bal Sheet'!O21,'Bal Sheet'!P21)</f>
        <v>0.2543526652449648</v>
      </c>
      <c r="Q83" s="1363">
        <f>+('Inc Stmt'!Q40+'Inc Stmt'!Q27*(1-('Inc Stmt'!Q167/'Inc Stmt'!Q30)))/AVERAGE('Bal Sheet'!P21,'Bal Sheet'!Q21)</f>
        <v>0.2223106877925754</v>
      </c>
      <c r="R83" s="1192"/>
      <c r="S83" s="1192"/>
      <c r="T83" s="1192"/>
    </row>
    <row r="84" spans="1:20" s="1382" customFormat="1">
      <c r="A84" s="1362" t="s">
        <v>163</v>
      </c>
      <c r="B84" s="1363" t="s">
        <v>192</v>
      </c>
      <c r="C84" s="1363">
        <v>0</v>
      </c>
      <c r="D84" s="1363">
        <f>+('Inc Stmt'!D40+'Inc Stmt'!D27*(1-('Inc Stmt'!D167/'Inc Stmt'!D30)))/AVERAGE('Bal Sheet'!C25+'Bal Sheet'!C26+'Bal Sheet'!C138+'Bal Sheet'!C29,'Bal Sheet'!D25+'Bal Sheet'!D26+'Bal Sheet'!D138+'Bal Sheet'!D29)</f>
        <v>0.1815935362940676</v>
      </c>
      <c r="E84" s="1363">
        <f>+('Inc Stmt'!E40+'Inc Stmt'!E27*(1-('Inc Stmt'!E167/'Inc Stmt'!E30)))/AVERAGE('Bal Sheet'!D25+'Bal Sheet'!D26+'Bal Sheet'!D138+'Bal Sheet'!D29,'Bal Sheet'!E25+'Bal Sheet'!E26+'Bal Sheet'!E138+'Bal Sheet'!E29)</f>
        <v>0.16227342339568179</v>
      </c>
      <c r="F84" s="1363">
        <f>+('Inc Stmt'!F40+'Inc Stmt'!F27*(1-('Inc Stmt'!F167/'Inc Stmt'!F30)))/AVERAGE('Bal Sheet'!E25+'Bal Sheet'!E26+'Bal Sheet'!E138+'Bal Sheet'!E29,'Bal Sheet'!F25+'Bal Sheet'!F26+'Bal Sheet'!F138+'Bal Sheet'!F29)</f>
        <v>0.19389045214041076</v>
      </c>
      <c r="G84" s="1363">
        <f>+('Inc Stmt'!G40+'Inc Stmt'!G27*(1-('Inc Stmt'!G167/'Inc Stmt'!G30)))/AVERAGE('Bal Sheet'!F25+'Bal Sheet'!F26+'Bal Sheet'!F138+'Bal Sheet'!F29,'Bal Sheet'!G25+'Bal Sheet'!G26+'Bal Sheet'!G138+'Bal Sheet'!G29)</f>
        <v>0.19267178577777125</v>
      </c>
      <c r="H84" s="1363">
        <f>+('Inc Stmt'!H40+'Inc Stmt'!H27*(1-('Inc Stmt'!H167/'Inc Stmt'!H30)))/AVERAGE('Bal Sheet'!G25+'Bal Sheet'!G26+'Bal Sheet'!G138+'Bal Sheet'!G29,'Bal Sheet'!H25+'Bal Sheet'!H26+'Bal Sheet'!H138+'Bal Sheet'!H29)</f>
        <v>0.15746601610203231</v>
      </c>
      <c r="I84" s="1364">
        <f>+('Inc Stmt'!I40+'Inc Stmt'!I27*(1-('Inc Stmt'!I167/'Inc Stmt'!I30)))/AVERAGE('Bal Sheet'!H25+'Bal Sheet'!H26+'Bal Sheet'!H138+'Bal Sheet'!H29,'Bal Sheet'!I25+'Bal Sheet'!I26+'Bal Sheet'!I138+'Bal Sheet'!I29)</f>
        <v>0.21694601553722689</v>
      </c>
      <c r="J84" s="1363">
        <f>+('Inc Stmt'!J40+'Inc Stmt'!J27*(1-('Inc Stmt'!J167/'Inc Stmt'!J30)))/AVERAGE('Bal Sheet'!I25+'Bal Sheet'!I26+'Bal Sheet'!I138+'Bal Sheet'!I29,'Bal Sheet'!J25+'Bal Sheet'!J26+'Bal Sheet'!J138+'Bal Sheet'!J29)</f>
        <v>0.46420778613281294</v>
      </c>
      <c r="K84" s="1363">
        <f>+('Inc Stmt'!K40+'Inc Stmt'!K27*(1-('Inc Stmt'!K167/'Inc Stmt'!K30)))/AVERAGE('Bal Sheet'!J25+'Bal Sheet'!J26+'Bal Sheet'!J138+'Bal Sheet'!J29,'Bal Sheet'!K25+'Bal Sheet'!K26+'Bal Sheet'!K138+'Bal Sheet'!K29)</f>
        <v>0.59645748317730363</v>
      </c>
      <c r="L84" s="1363">
        <f>+('Inc Stmt'!L40+'Inc Stmt'!L27*(1-('Inc Stmt'!L167/'Inc Stmt'!L30)))/AVERAGE('Bal Sheet'!K25+'Bal Sheet'!K26+'Bal Sheet'!K138+'Bal Sheet'!K29,'Bal Sheet'!L25+'Bal Sheet'!L26+'Bal Sheet'!L138+'Bal Sheet'!L29)</f>
        <v>0.5311711348170356</v>
      </c>
      <c r="M84" s="1363">
        <f>+('Inc Stmt'!M40+'Inc Stmt'!M27*(1-('Inc Stmt'!M167/'Inc Stmt'!M30)))/AVERAGE('Bal Sheet'!L25+'Bal Sheet'!L26+'Bal Sheet'!L138+'Bal Sheet'!L29,'Bal Sheet'!M25+'Bal Sheet'!M26+'Bal Sheet'!M138+'Bal Sheet'!M29)</f>
        <v>0.40677432370162225</v>
      </c>
      <c r="N84" s="1363">
        <f>+('Inc Stmt'!N40+'Inc Stmt'!N27*(1-('Inc Stmt'!N167/'Inc Stmt'!N30)))/AVERAGE('Bal Sheet'!M25+'Bal Sheet'!M26+'Bal Sheet'!M138+'Bal Sheet'!M29,'Bal Sheet'!N25+'Bal Sheet'!N26+'Bal Sheet'!N138+'Bal Sheet'!N29)</f>
        <v>0.37132437837314058</v>
      </c>
      <c r="O84" s="1363">
        <f>+('Inc Stmt'!O40+'Inc Stmt'!O27*(1-('Inc Stmt'!O167/'Inc Stmt'!O30)))/AVERAGE('Bal Sheet'!N25+'Bal Sheet'!N26+'Bal Sheet'!N138+'Bal Sheet'!N29,'Bal Sheet'!O25+'Bal Sheet'!O26+'Bal Sheet'!O138+'Bal Sheet'!O29)</f>
        <v>0.30140491716294471</v>
      </c>
      <c r="P84" s="1363">
        <f>+('Inc Stmt'!P40+'Inc Stmt'!P27*(1-('Inc Stmt'!P167/'Inc Stmt'!P30)))/AVERAGE('Bal Sheet'!O25+'Bal Sheet'!O26+'Bal Sheet'!O138+'Bal Sheet'!O29,'Bal Sheet'!P25+'Bal Sheet'!P26+'Bal Sheet'!P138+'Bal Sheet'!P29)</f>
        <v>0.337982145747796</v>
      </c>
      <c r="Q84" s="1363">
        <f>+('Inc Stmt'!Q40+'Inc Stmt'!Q27*(1-('Inc Stmt'!Q167/'Inc Stmt'!Q30)))/AVERAGE('Bal Sheet'!P25+'Bal Sheet'!P26+'Bal Sheet'!P138+'Bal Sheet'!P29,'Bal Sheet'!Q25+'Bal Sheet'!Q26+'Bal Sheet'!Q138+'Bal Sheet'!Q29)</f>
        <v>0.28856497119383812</v>
      </c>
      <c r="R84" s="1192"/>
      <c r="S84" s="1192"/>
      <c r="T84" s="1192"/>
    </row>
    <row r="85" spans="1:20" s="1382" customFormat="1">
      <c r="A85" s="1362" t="s">
        <v>163</v>
      </c>
      <c r="B85" s="1363" t="s">
        <v>196</v>
      </c>
      <c r="C85" s="1363">
        <v>0</v>
      </c>
      <c r="D85" s="1363">
        <f>+('Inc Stmt'!D40-'Inc Stmt'!D60)/AVERAGE('Bal Sheet'!C186,'Bal Sheet'!D186)</f>
        <v>0.22974391306953174</v>
      </c>
      <c r="E85" s="1363">
        <f>+('Inc Stmt'!E40-'Inc Stmt'!E60)/AVERAGE('Bal Sheet'!D186,'Bal Sheet'!E186)</f>
        <v>0.20843995999363832</v>
      </c>
      <c r="F85" s="1363">
        <f>+('Inc Stmt'!F40-'Inc Stmt'!F60)/AVERAGE('Bal Sheet'!E186,'Bal Sheet'!F186)</f>
        <v>0.25249848821735071</v>
      </c>
      <c r="G85" s="1363">
        <f>+('Inc Stmt'!G40-'Inc Stmt'!G60)/AVERAGE('Bal Sheet'!F186,'Bal Sheet'!G186)</f>
        <v>0.24975698775900626</v>
      </c>
      <c r="H85" s="1363">
        <f>+('Inc Stmt'!H40-'Inc Stmt'!H60)/AVERAGE('Bal Sheet'!G186,'Bal Sheet'!H186)</f>
        <v>0.22191828627341736</v>
      </c>
      <c r="I85" s="1364">
        <f>+('Inc Stmt'!I40-'Inc Stmt'!I60)/AVERAGE('Bal Sheet'!H186,'Bal Sheet'!I186)</f>
        <v>0.39423897159855809</v>
      </c>
      <c r="J85" s="1363">
        <f>+('Inc Stmt'!J40-'Inc Stmt'!J60)/AVERAGE('Bal Sheet'!I186,'Bal Sheet'!J186)</f>
        <v>0.74969214939046491</v>
      </c>
      <c r="K85" s="1363">
        <f>+('Inc Stmt'!K40-'Inc Stmt'!K60)/AVERAGE('Bal Sheet'!J186,'Bal Sheet'!K186)</f>
        <v>0.7227197839604047</v>
      </c>
      <c r="L85" s="1363">
        <f>+('Inc Stmt'!L40-'Inc Stmt'!L60)/AVERAGE('Bal Sheet'!K186,'Bal Sheet'!L186)</f>
        <v>0.54862059810111541</v>
      </c>
      <c r="M85" s="1363">
        <f>+('Inc Stmt'!M40-'Inc Stmt'!M60)/AVERAGE('Bal Sheet'!L186,'Bal Sheet'!M186)</f>
        <v>0.41164227358118644</v>
      </c>
      <c r="N85" s="1363">
        <f>+('Inc Stmt'!N40-'Inc Stmt'!N60)/AVERAGE('Bal Sheet'!M186,'Bal Sheet'!N186)</f>
        <v>0.37401687319513177</v>
      </c>
      <c r="O85" s="1363">
        <f>+('Inc Stmt'!O40-'Inc Stmt'!O60)/AVERAGE('Bal Sheet'!N186,'Bal Sheet'!O186)</f>
        <v>0.30348016318931753</v>
      </c>
      <c r="P85" s="1363">
        <f>+('Inc Stmt'!P40-'Inc Stmt'!P60)/AVERAGE('Bal Sheet'!O186,'Bal Sheet'!P186)</f>
        <v>0.34195118298552446</v>
      </c>
      <c r="Q85" s="1363">
        <f>+('Inc Stmt'!Q40-'Inc Stmt'!Q60)/AVERAGE('Bal Sheet'!P186,'Bal Sheet'!Q186)</f>
        <v>0.2920660256104089</v>
      </c>
      <c r="R85" s="1192"/>
      <c r="S85" s="1192"/>
      <c r="T85" s="1192"/>
    </row>
    <row r="86" spans="1:20" s="1375" customFormat="1">
      <c r="A86" s="1336"/>
      <c r="B86" s="1335"/>
      <c r="C86" s="1335"/>
      <c r="D86" s="1335"/>
      <c r="E86" s="1335"/>
      <c r="F86" s="1335"/>
      <c r="G86" s="1335"/>
      <c r="H86" s="1335"/>
      <c r="I86" s="1358"/>
      <c r="J86" s="1335"/>
      <c r="K86" s="1335"/>
      <c r="L86" s="1335"/>
      <c r="M86" s="1335"/>
      <c r="N86" s="1335"/>
      <c r="O86" s="1335"/>
      <c r="P86" s="1335"/>
      <c r="Q86" s="1335"/>
      <c r="R86" s="1335"/>
      <c r="S86" s="1335"/>
      <c r="T86" s="1335"/>
    </row>
    <row r="87" spans="1:20" s="1375" customFormat="1">
      <c r="A87" s="1336" t="s">
        <v>229</v>
      </c>
      <c r="B87" s="1335" t="s">
        <v>315</v>
      </c>
      <c r="C87" s="1335">
        <f>+'Inc Stmt'!C25*(1-'Inc Stmt'!C176)</f>
        <v>4269.5318712297576</v>
      </c>
      <c r="D87" s="1335">
        <f>+'Inc Stmt'!D25*(1-'Inc Stmt'!D176)</f>
        <v>5665.2901180916033</v>
      </c>
      <c r="E87" s="1335">
        <f>+'Inc Stmt'!E25*(1-'Inc Stmt'!E176)</f>
        <v>5289.84913890799</v>
      </c>
      <c r="F87" s="1335">
        <f>+'Inc Stmt'!F25*(1-'Inc Stmt'!F176)</f>
        <v>8629.9943355285213</v>
      </c>
      <c r="G87" s="1335">
        <f>+'Inc Stmt'!G25*(1-'Inc Stmt'!G176)</f>
        <v>9306.6974751303587</v>
      </c>
      <c r="H87" s="1335">
        <f>+'Inc Stmt'!H25*(1-'Inc Stmt'!H176)</f>
        <v>6997.3766516201003</v>
      </c>
      <c r="I87" s="1358">
        <f>+'Inc Stmt'!I25*(1-'Inc Stmt'!I176)</f>
        <v>6706.4569750168903</v>
      </c>
      <c r="J87" s="1335">
        <f>+'Inc Stmt'!J25*(1-'Inc Stmt'!J176)</f>
        <v>17110.277786763872</v>
      </c>
      <c r="K87" s="1335">
        <f>+'Inc Stmt'!K25*(1-'Inc Stmt'!K176)</f>
        <v>23423.054249037505</v>
      </c>
      <c r="L87" s="1335">
        <f>+'Inc Stmt'!L25*(1-'Inc Stmt'!L176)</f>
        <v>26669.480420598233</v>
      </c>
      <c r="M87" s="1335">
        <f>+'Inc Stmt'!M25*(1-'Inc Stmt'!M176)</f>
        <v>24149.687547350153</v>
      </c>
      <c r="N87" s="1335">
        <f>+'Inc Stmt'!N25*(1-'Inc Stmt'!N176)</f>
        <v>28582.660726806316</v>
      </c>
      <c r="O87" s="1335">
        <f>+'Inc Stmt'!O25*(1-'Inc Stmt'!O176)</f>
        <v>26979.518875640257</v>
      </c>
      <c r="P87" s="1335">
        <f>+'Inc Stmt'!P25*(1-'Inc Stmt'!P176)</f>
        <v>31698.926188862381</v>
      </c>
      <c r="Q87" s="1335">
        <f>+'Inc Stmt'!Q25*(1-'Inc Stmt'!Q176)</f>
        <v>29519.736289060511</v>
      </c>
      <c r="R87" s="1100"/>
      <c r="S87" s="1100"/>
      <c r="T87" s="1100"/>
    </row>
    <row r="88" spans="1:20" s="1375" customFormat="1">
      <c r="A88" s="1336" t="s">
        <v>229</v>
      </c>
      <c r="B88" s="1335" t="s">
        <v>311</v>
      </c>
      <c r="C88" s="1335">
        <f>+'Bal Sheet'!C21-'Bal Sheet'!C13-SUM('Bal Sheet'!C109:C111)-('Bal Sheet'!C140-'Bal Sheet'!C138)</f>
        <v>31782.056600000004</v>
      </c>
      <c r="D88" s="1335">
        <f>+'Bal Sheet'!D21-'Bal Sheet'!D13-SUM('Bal Sheet'!D109:D111)-('Bal Sheet'!D140-'Bal Sheet'!D138)</f>
        <v>27040.919999999991</v>
      </c>
      <c r="E88" s="1335">
        <f>+'Bal Sheet'!E21-'Bal Sheet'!E13-SUM('Bal Sheet'!E109:E111)-('Bal Sheet'!E140-'Bal Sheet'!E138)</f>
        <v>29178.546200000015</v>
      </c>
      <c r="F88" s="1335">
        <f>+'Bal Sheet'!F21-'Bal Sheet'!F13-SUM('Bal Sheet'!F109:F111)-('Bal Sheet'!F140-'Bal Sheet'!F138)</f>
        <v>28886.900000000005</v>
      </c>
      <c r="G88" s="1335">
        <f>+'Bal Sheet'!G21-'Bal Sheet'!G13-SUM('Bal Sheet'!G109:G111)-('Bal Sheet'!G140-'Bal Sheet'!G138)</f>
        <v>40164</v>
      </c>
      <c r="H88" s="1335">
        <f>+'Bal Sheet'!H21-'Bal Sheet'!H13-SUM('Bal Sheet'!H109:H111)-('Bal Sheet'!H140-'Bal Sheet'!H138)</f>
        <v>24130.999999999993</v>
      </c>
      <c r="I88" s="1358">
        <f>+'Bal Sheet'!I21-'Bal Sheet'!I13-SUM('Bal Sheet'!I109:I111)-('Bal Sheet'!I140-'Bal Sheet'!I138)</f>
        <v>33935.300000000003</v>
      </c>
      <c r="J88" s="1335">
        <f>+'Bal Sheet'!J21-'Bal Sheet'!J13-SUM('Bal Sheet'!J109:J111)-('Bal Sheet'!J140-'Bal Sheet'!J138)</f>
        <v>32274.700000000004</v>
      </c>
      <c r="K88" s="1335">
        <f>+'Bal Sheet'!K21-'Bal Sheet'!K13-SUM('Bal Sheet'!K109:K111)-('Bal Sheet'!K140-'Bal Sheet'!K138)</f>
        <v>23580.80000000001</v>
      </c>
      <c r="L88" s="1335">
        <f>+'Bal Sheet'!L21-'Bal Sheet'!L13-SUM('Bal Sheet'!L109:L111)-('Bal Sheet'!L140-'Bal Sheet'!L138)</f>
        <v>27907.100000000006</v>
      </c>
      <c r="M88" s="1335">
        <f>+'Bal Sheet'!M21-'Bal Sheet'!M13-SUM('Bal Sheet'!M109:M111)-('Bal Sheet'!M140-'Bal Sheet'!M138)</f>
        <v>38038.6</v>
      </c>
      <c r="N88" s="1335">
        <f>+'Bal Sheet'!N21-'Bal Sheet'!N13-SUM('Bal Sheet'!N109:N111)-('Bal Sheet'!N140-'Bal Sheet'!N138)</f>
        <v>36135.400000000023</v>
      </c>
      <c r="O88" s="1335">
        <f>+'Bal Sheet'!O21-'Bal Sheet'!O13-SUM('Bal Sheet'!O109:O111)-('Bal Sheet'!O140-'Bal Sheet'!O138)</f>
        <v>40757.179999999978</v>
      </c>
      <c r="P88" s="1335">
        <f>+'Bal Sheet'!P21-'Bal Sheet'!P13-SUM('Bal Sheet'!P109:P111)-('Bal Sheet'!P140-'Bal Sheet'!P138)</f>
        <v>34701.600000000006</v>
      </c>
      <c r="Q88" s="1335">
        <f>+'Bal Sheet'!Q21-'Bal Sheet'!Q13-SUM('Bal Sheet'!Q109:Q111)-('Bal Sheet'!Q140-'Bal Sheet'!Q138)</f>
        <v>34263.601477778328</v>
      </c>
      <c r="R88" s="1100"/>
      <c r="S88" s="1100"/>
      <c r="T88" s="1100"/>
    </row>
    <row r="89" spans="1:20" s="1382" customFormat="1">
      <c r="A89" s="1362" t="s">
        <v>163</v>
      </c>
      <c r="B89" s="1363" t="s">
        <v>248</v>
      </c>
      <c r="C89" s="1363">
        <v>0</v>
      </c>
      <c r="D89" s="1363">
        <f t="shared" ref="D89:N89" si="0">+D87/AVERAGE(C88,D88)</f>
        <v>0.19262167423508467</v>
      </c>
      <c r="E89" s="1363">
        <f t="shared" si="0"/>
        <v>0.18818567647332052</v>
      </c>
      <c r="F89" s="1363">
        <f t="shared" si="0"/>
        <v>0.29725059911891344</v>
      </c>
      <c r="G89" s="1363">
        <f t="shared" si="0"/>
        <v>0.26956049740496812</v>
      </c>
      <c r="H89" s="1363">
        <f t="shared" si="0"/>
        <v>0.21766472203499809</v>
      </c>
      <c r="I89" s="1364">
        <f t="shared" si="0"/>
        <v>0.23099308807404262</v>
      </c>
      <c r="J89" s="1363">
        <f t="shared" si="0"/>
        <v>0.51684874752345178</v>
      </c>
      <c r="K89" s="1363">
        <f t="shared" si="0"/>
        <v>0.83870180193669375</v>
      </c>
      <c r="L89" s="1363">
        <f t="shared" si="0"/>
        <v>1.0359513757833676</v>
      </c>
      <c r="M89" s="1363">
        <f t="shared" si="0"/>
        <v>0.732411288297801</v>
      </c>
      <c r="N89" s="1363">
        <f t="shared" si="0"/>
        <v>0.77069217587851013</v>
      </c>
      <c r="O89" s="1363">
        <f>+O87/AVERAGE(N88,O88)</f>
        <v>0.70174570486879895</v>
      </c>
      <c r="P89" s="1363">
        <f>+P87/AVERAGE(O88,P88)</f>
        <v>0.84016535090714128</v>
      </c>
      <c r="Q89" s="1363">
        <f>+Q87/AVERAGE(P88,Q88)</f>
        <v>0.85607627198978697</v>
      </c>
      <c r="R89" s="1192"/>
      <c r="S89" s="1192"/>
      <c r="T89" s="1192"/>
    </row>
    <row r="90" spans="1:20" s="1382" customFormat="1">
      <c r="A90" s="1362"/>
      <c r="B90" s="1363"/>
      <c r="C90" s="1363"/>
      <c r="D90" s="1363"/>
      <c r="E90" s="1363"/>
      <c r="F90" s="1363"/>
      <c r="G90" s="1363"/>
      <c r="H90" s="1363"/>
      <c r="I90" s="1364"/>
      <c r="J90" s="1363"/>
      <c r="K90" s="1363"/>
      <c r="L90" s="1363"/>
      <c r="M90" s="1363"/>
      <c r="N90" s="1363"/>
      <c r="O90" s="1363"/>
      <c r="P90" s="1363"/>
      <c r="Q90" s="1363"/>
      <c r="R90" s="1363"/>
      <c r="S90" s="1363"/>
      <c r="T90" s="1363"/>
    </row>
    <row r="91" spans="1:20" s="1380" customFormat="1" ht="12.75">
      <c r="A91" s="1359"/>
      <c r="B91" s="1360" t="s">
        <v>199</v>
      </c>
      <c r="C91" s="1360"/>
      <c r="D91" s="1360"/>
      <c r="E91" s="1360"/>
      <c r="F91" s="1360"/>
      <c r="G91" s="1360"/>
      <c r="H91" s="1360"/>
      <c r="I91" s="1361"/>
      <c r="J91" s="1360"/>
      <c r="K91" s="1360"/>
      <c r="L91" s="1360"/>
      <c r="M91" s="1360"/>
      <c r="N91" s="1360"/>
      <c r="O91" s="1360"/>
      <c r="P91" s="1360"/>
      <c r="Q91" s="1360"/>
      <c r="R91" s="1360"/>
      <c r="S91" s="1360"/>
      <c r="T91" s="1360"/>
    </row>
    <row r="92" spans="1:20" s="1382" customFormat="1">
      <c r="A92" s="1362" t="s">
        <v>163</v>
      </c>
      <c r="B92" s="1363" t="s">
        <v>196</v>
      </c>
      <c r="C92" s="1363">
        <v>0</v>
      </c>
      <c r="D92" s="1363">
        <f>+('Inc Stmt'!D36+'Inc Stmt'!D168-'Inc Stmt'!D60)/AVERAGE('Bal Sheet'!C186+'Bal Sheet'!C122,'Bal Sheet'!D186+'Bal Sheet'!D122)</f>
        <v>0.20750451469523185</v>
      </c>
      <c r="E92" s="1363">
        <f>+('Inc Stmt'!E36+'Inc Stmt'!E168-'Inc Stmt'!E60)/AVERAGE('Bal Sheet'!D186+'Bal Sheet'!D122,'Bal Sheet'!E186+'Bal Sheet'!E122)</f>
        <v>0.19727877193594953</v>
      </c>
      <c r="F92" s="1363">
        <f>+('Inc Stmt'!F36+'Inc Stmt'!F168-'Inc Stmt'!F60)/AVERAGE('Bal Sheet'!E186+'Bal Sheet'!E122,'Bal Sheet'!F186+'Bal Sheet'!F122)</f>
        <v>0.2448094408410674</v>
      </c>
      <c r="G92" s="1363">
        <f>+('Inc Stmt'!G36+'Inc Stmt'!G168-'Inc Stmt'!G60)/AVERAGE('Bal Sheet'!F186+'Bal Sheet'!F122,'Bal Sheet'!G186+'Bal Sheet'!G122)</f>
        <v>0.24144196711892504</v>
      </c>
      <c r="H92" s="1363">
        <f>+('Inc Stmt'!H36+'Inc Stmt'!H168-'Inc Stmt'!H60)/AVERAGE('Bal Sheet'!G186+'Bal Sheet'!G122,'Bal Sheet'!H186+'Bal Sheet'!H122)</f>
        <v>0.20413002132232363</v>
      </c>
      <c r="I92" s="1364">
        <f>+('Inc Stmt'!I36+'Inc Stmt'!I168-'Inc Stmt'!I60)/AVERAGE('Bal Sheet'!H186+'Bal Sheet'!H122,'Bal Sheet'!I186+'Bal Sheet'!I122)</f>
        <v>0.30074049362641198</v>
      </c>
      <c r="J92" s="1363">
        <f>+('Inc Stmt'!J36+'Inc Stmt'!J168-'Inc Stmt'!J60)/AVERAGE('Bal Sheet'!I186+'Bal Sheet'!I122,'Bal Sheet'!J186+'Bal Sheet'!J122)</f>
        <v>0.71341581054788239</v>
      </c>
      <c r="K92" s="1363">
        <f>+('Inc Stmt'!K36+'Inc Stmt'!K168-'Inc Stmt'!K60)/AVERAGE('Bal Sheet'!J186+'Bal Sheet'!J122,'Bal Sheet'!K186+'Bal Sheet'!K122)</f>
        <v>0.86273253211493439</v>
      </c>
      <c r="L92" s="1363">
        <f>+('Inc Stmt'!L36+'Inc Stmt'!L168-'Inc Stmt'!L60)/AVERAGE('Bal Sheet'!K186+'Bal Sheet'!K122,'Bal Sheet'!L186+'Bal Sheet'!L122)</f>
        <v>0.55600896464254379</v>
      </c>
      <c r="M92" s="1363">
        <f>+('Inc Stmt'!M36+'Inc Stmt'!M168-'Inc Stmt'!M60)/AVERAGE('Bal Sheet'!L186+'Bal Sheet'!L122,'Bal Sheet'!M186+'Bal Sheet'!M122)</f>
        <v>0.45142942190266672</v>
      </c>
      <c r="N92" s="1363">
        <f>+('Inc Stmt'!N36+'Inc Stmt'!N168-'Inc Stmt'!N60)/AVERAGE('Bal Sheet'!M186+'Bal Sheet'!M122,'Bal Sheet'!N186+'Bal Sheet'!N122)</f>
        <v>0.37599459768450511</v>
      </c>
      <c r="O92" s="1363">
        <f>+('Inc Stmt'!O36+'Inc Stmt'!O168-'Inc Stmt'!O60)/AVERAGE('Bal Sheet'!N186+'Bal Sheet'!N122,'Bal Sheet'!O186+'Bal Sheet'!O122)</f>
        <v>0.28115741010796597</v>
      </c>
      <c r="P92" s="1363">
        <f>+('Inc Stmt'!P36+'Inc Stmt'!P168-'Inc Stmt'!P60)/AVERAGE('Bal Sheet'!O186+'Bal Sheet'!O122,'Bal Sheet'!P186+'Bal Sheet'!P122)</f>
        <v>0.34692981250318239</v>
      </c>
      <c r="Q92" s="1363">
        <f>+('Inc Stmt'!Q36+'Inc Stmt'!Q168-'Inc Stmt'!Q60)/AVERAGE('Bal Sheet'!P186+'Bal Sheet'!P122,'Bal Sheet'!Q186+'Bal Sheet'!Q122)</f>
        <v>0.29632258574384596</v>
      </c>
      <c r="R92" s="1192"/>
      <c r="S92" s="1192"/>
      <c r="T92" s="1192"/>
    </row>
    <row r="93" spans="1:20" s="1375" customFormat="1">
      <c r="A93" s="1336"/>
      <c r="B93" s="1335"/>
      <c r="C93" s="1335"/>
      <c r="D93" s="1335"/>
      <c r="E93" s="1335"/>
      <c r="F93" s="1335"/>
      <c r="G93" s="1335"/>
      <c r="H93" s="1335"/>
      <c r="I93" s="1358"/>
      <c r="J93" s="1335"/>
      <c r="K93" s="1335"/>
      <c r="L93" s="1335"/>
      <c r="M93" s="1335"/>
      <c r="N93" s="1335"/>
      <c r="O93" s="1335"/>
      <c r="P93" s="1335"/>
      <c r="Q93" s="1335"/>
      <c r="R93" s="1335"/>
      <c r="S93" s="1335"/>
      <c r="T93" s="1335"/>
    </row>
    <row r="94" spans="1:20" s="1375" customFormat="1">
      <c r="A94" s="1336"/>
      <c r="B94" s="1335"/>
      <c r="C94" s="1335"/>
      <c r="D94" s="1335"/>
      <c r="E94" s="1335"/>
      <c r="F94" s="1335"/>
      <c r="G94" s="1335"/>
      <c r="H94" s="1335"/>
      <c r="I94" s="1358"/>
      <c r="J94" s="1335"/>
      <c r="K94" s="1335"/>
      <c r="L94" s="1335"/>
      <c r="M94" s="1335"/>
      <c r="N94" s="1335"/>
      <c r="O94" s="1335"/>
      <c r="P94" s="1335"/>
      <c r="Q94" s="1335"/>
      <c r="R94" s="1335"/>
      <c r="S94" s="1335"/>
      <c r="T94" s="1335"/>
    </row>
    <row r="95" spans="1:20" s="1379" customFormat="1" ht="12.75">
      <c r="A95" s="1355"/>
      <c r="B95" s="1356" t="s">
        <v>178</v>
      </c>
      <c r="C95" s="1356"/>
      <c r="D95" s="1356"/>
      <c r="E95" s="1356"/>
      <c r="F95" s="1356"/>
      <c r="G95" s="1356"/>
      <c r="H95" s="1356"/>
      <c r="I95" s="1357"/>
      <c r="J95" s="1356"/>
      <c r="K95" s="1356"/>
      <c r="L95" s="1356"/>
      <c r="M95" s="1356"/>
      <c r="N95" s="1356"/>
      <c r="O95" s="1356"/>
      <c r="P95" s="1356"/>
      <c r="Q95" s="1356"/>
      <c r="R95" s="1356"/>
      <c r="S95" s="1356"/>
      <c r="T95" s="1356"/>
    </row>
    <row r="96" spans="1:20" s="1375" customFormat="1">
      <c r="A96" s="1336"/>
      <c r="B96" s="1335"/>
      <c r="C96" s="1335"/>
      <c r="D96" s="1335"/>
      <c r="E96" s="1335"/>
      <c r="F96" s="1335"/>
      <c r="G96" s="1335"/>
      <c r="H96" s="1335"/>
      <c r="I96" s="1358"/>
      <c r="J96" s="1335"/>
      <c r="K96" s="1335"/>
      <c r="L96" s="1335"/>
      <c r="M96" s="1335"/>
      <c r="N96" s="1335"/>
      <c r="O96" s="1335"/>
      <c r="P96" s="1335"/>
      <c r="Q96" s="1335"/>
      <c r="R96" s="1335"/>
      <c r="S96" s="1335"/>
      <c r="T96" s="1335"/>
    </row>
    <row r="97" spans="1:20" s="1383" customFormat="1">
      <c r="A97" s="1365" t="s">
        <v>183</v>
      </c>
      <c r="B97" s="1366" t="s">
        <v>184</v>
      </c>
      <c r="C97" s="1366">
        <f>+('Bal Sheet'!C25+'Bal Sheet'!C26+'Bal Sheet'!C138)/'Bal Sheet'!C21</f>
        <v>0.13953813616161911</v>
      </c>
      <c r="D97" s="1366">
        <f>+('Bal Sheet'!D25+'Bal Sheet'!D26+'Bal Sheet'!D138)/'Bal Sheet'!D21</f>
        <v>0.14315518745181421</v>
      </c>
      <c r="E97" s="1366">
        <f>+('Bal Sheet'!E25+'Bal Sheet'!E26+'Bal Sheet'!E138)/'Bal Sheet'!E21</f>
        <v>0.15045336769298889</v>
      </c>
      <c r="F97" s="1366">
        <f>+('Bal Sheet'!F25+'Bal Sheet'!F26+'Bal Sheet'!F138)/'Bal Sheet'!F21</f>
        <v>0.14997531333662489</v>
      </c>
      <c r="G97" s="1366">
        <f>+('Bal Sheet'!G25+'Bal Sheet'!G26+'Bal Sheet'!G138)/'Bal Sheet'!G21</f>
        <v>0.14143434788169992</v>
      </c>
      <c r="H97" s="1366">
        <f>+('Bal Sheet'!H25+'Bal Sheet'!H26+'Bal Sheet'!H138)/'Bal Sheet'!H21</f>
        <v>0.27736564644419126</v>
      </c>
      <c r="I97" s="1367">
        <f>+('Bal Sheet'!I25+'Bal Sheet'!I26+'Bal Sheet'!I138)/'Bal Sheet'!I21</f>
        <v>0.27195567867036013</v>
      </c>
      <c r="J97" s="1366">
        <f>+('Bal Sheet'!J25+'Bal Sheet'!J26+'Bal Sheet'!J138)/'Bal Sheet'!J21</f>
        <v>0.15670536614262179</v>
      </c>
      <c r="K97" s="1366">
        <f>+('Bal Sheet'!K25+'Bal Sheet'!K26+'Bal Sheet'!K138)/'Bal Sheet'!K21</f>
        <v>3.5378346471685897E-2</v>
      </c>
      <c r="L97" s="1366">
        <f>+('Bal Sheet'!L25+'Bal Sheet'!L26+'Bal Sheet'!L138)/'Bal Sheet'!L21</f>
        <v>8.8355845281192381E-3</v>
      </c>
      <c r="M97" s="1366">
        <f>+('Bal Sheet'!M25+'Bal Sheet'!M26+'Bal Sheet'!M138)/'Bal Sheet'!M21</f>
        <v>5.7645208985114323E-3</v>
      </c>
      <c r="N97" s="1366">
        <f>+('Bal Sheet'!N25+'Bal Sheet'!N26+'Bal Sheet'!N138)/'Bal Sheet'!N21</f>
        <v>3.9535976094908247E-3</v>
      </c>
      <c r="O97" s="1366">
        <f>+('Bal Sheet'!O25+'Bal Sheet'!O26+'Bal Sheet'!O138)/'Bal Sheet'!O21</f>
        <v>7.2517920670473659E-3</v>
      </c>
      <c r="P97" s="1366">
        <f>+('Bal Sheet'!P25+'Bal Sheet'!P26+'Bal Sheet'!P138)/'Bal Sheet'!P21</f>
        <v>1.0493080495386026E-2</v>
      </c>
      <c r="Q97" s="1366">
        <f>+('Bal Sheet'!Q25+'Bal Sheet'!Q26+'Bal Sheet'!Q138)/'Bal Sheet'!Q21</f>
        <v>8.5701278688312833E-3</v>
      </c>
      <c r="R97" s="1193"/>
      <c r="S97" s="1193"/>
      <c r="T97" s="1193"/>
    </row>
    <row r="98" spans="1:20" s="1383" customFormat="1">
      <c r="A98" s="1365" t="s">
        <v>183</v>
      </c>
      <c r="B98" s="1366" t="s">
        <v>185</v>
      </c>
      <c r="C98" s="1366">
        <f>+'Bal Sheet'!C25/'Bal Sheet'!C21</f>
        <v>0.13058397507530842</v>
      </c>
      <c r="D98" s="1366">
        <f>+'Bal Sheet'!D25/'Bal Sheet'!D21</f>
        <v>0.14315518745181421</v>
      </c>
      <c r="E98" s="1366">
        <f>+'Bal Sheet'!E25/'Bal Sheet'!E21</f>
        <v>0.15045336769298889</v>
      </c>
      <c r="F98" s="1366">
        <f>+'Bal Sheet'!F25/'Bal Sheet'!F21</f>
        <v>0.14997326889245305</v>
      </c>
      <c r="G98" s="1366">
        <f>+'Bal Sheet'!G25/'Bal Sheet'!G21</f>
        <v>0.13948002474663845</v>
      </c>
      <c r="H98" s="1366">
        <f>+'Bal Sheet'!H25/'Bal Sheet'!H21</f>
        <v>0.27344324570420897</v>
      </c>
      <c r="I98" s="1367">
        <f>+'Bal Sheet'!I25/'Bal Sheet'!I21</f>
        <v>0.22526656722778607</v>
      </c>
      <c r="J98" s="1366">
        <f>+'Bal Sheet'!J25/'Bal Sheet'!J21</f>
        <v>0.15518579611772099</v>
      </c>
      <c r="K98" s="1366">
        <f>+'Bal Sheet'!K25/'Bal Sheet'!K21</f>
        <v>1.8204370746356349E-2</v>
      </c>
      <c r="L98" s="1366">
        <f>+'Bal Sheet'!L25/'Bal Sheet'!L21</f>
        <v>8.8355845281192381E-3</v>
      </c>
      <c r="M98" s="1366">
        <f>+'Bal Sheet'!M25/'Bal Sheet'!M21</f>
        <v>5.7645208985114323E-3</v>
      </c>
      <c r="N98" s="1366">
        <f>+'Bal Sheet'!N25/'Bal Sheet'!N21</f>
        <v>3.9535976094908247E-3</v>
      </c>
      <c r="O98" s="1366">
        <f>+'Bal Sheet'!O25/'Bal Sheet'!O21</f>
        <v>7.2517920670473659E-3</v>
      </c>
      <c r="P98" s="1366">
        <f>+'Bal Sheet'!P25/'Bal Sheet'!P21</f>
        <v>1.0493080495386026E-2</v>
      </c>
      <c r="Q98" s="1366">
        <f>+'Bal Sheet'!Q25/'Bal Sheet'!Q21</f>
        <v>8.5701278688312833E-3</v>
      </c>
      <c r="R98" s="1193"/>
      <c r="S98" s="1193"/>
      <c r="T98" s="1193"/>
    </row>
    <row r="99" spans="1:20" s="1383" customFormat="1">
      <c r="A99" s="1365"/>
      <c r="B99" s="1366"/>
      <c r="C99" s="1366"/>
      <c r="D99" s="1366"/>
      <c r="E99" s="1366"/>
      <c r="F99" s="1366"/>
      <c r="G99" s="1366"/>
      <c r="H99" s="1366"/>
      <c r="I99" s="1367"/>
      <c r="J99" s="1366"/>
      <c r="K99" s="1366"/>
      <c r="L99" s="1366"/>
      <c r="M99" s="1366"/>
      <c r="N99" s="1366"/>
      <c r="O99" s="1366"/>
      <c r="P99" s="1366"/>
      <c r="Q99" s="1366"/>
      <c r="R99" s="1366"/>
      <c r="S99" s="1366"/>
      <c r="T99" s="1366"/>
    </row>
    <row r="100" spans="1:20" s="1383" customFormat="1">
      <c r="A100" s="1365" t="s">
        <v>183</v>
      </c>
      <c r="B100" s="1366" t="s">
        <v>186</v>
      </c>
      <c r="C100" s="1366">
        <f>+('Bal Sheet'!C25+'Bal Sheet'!C26+'Bal Sheet'!C138)/('Bal Sheet'!C25+'Bal Sheet'!C26+'Bal Sheet'!C138+'Bal Sheet'!C29)</f>
        <v>0.20589700229121552</v>
      </c>
      <c r="D100" s="1366">
        <f>+('Bal Sheet'!D25+'Bal Sheet'!D26+'Bal Sheet'!D138)/('Bal Sheet'!D25+'Bal Sheet'!D26+'Bal Sheet'!D138+'Bal Sheet'!D29)</f>
        <v>0.21401344970402086</v>
      </c>
      <c r="E100" s="1366">
        <f>+('Bal Sheet'!E25+'Bal Sheet'!E26+'Bal Sheet'!E138)/('Bal Sheet'!E25+'Bal Sheet'!E26+'Bal Sheet'!E138+'Bal Sheet'!E29)</f>
        <v>0.22885921056918362</v>
      </c>
      <c r="F100" s="1366">
        <f>+('Bal Sheet'!F25+'Bal Sheet'!F26+'Bal Sheet'!F138)/('Bal Sheet'!F25+'Bal Sheet'!F26+'Bal Sheet'!F138+'Bal Sheet'!F29)</f>
        <v>0.23519996768904078</v>
      </c>
      <c r="G100" s="1366">
        <f>+('Bal Sheet'!G25+'Bal Sheet'!G26+'Bal Sheet'!G138)/('Bal Sheet'!G25+'Bal Sheet'!G26+'Bal Sheet'!G138+'Bal Sheet'!G29)</f>
        <v>0.22702317862336577</v>
      </c>
      <c r="H100" s="1366">
        <f>+('Bal Sheet'!H25+'Bal Sheet'!H26+'Bal Sheet'!H138)/('Bal Sheet'!H25+'Bal Sheet'!H26+'Bal Sheet'!H138+'Bal Sheet'!H29)</f>
        <v>0.45333369544899033</v>
      </c>
      <c r="I100" s="1367">
        <f>+('Bal Sheet'!I25+'Bal Sheet'!I26+'Bal Sheet'!I138)/('Bal Sheet'!I25+'Bal Sheet'!I26+'Bal Sheet'!I138+'Bal Sheet'!I29)</f>
        <v>0.46810098058053728</v>
      </c>
      <c r="J100" s="1366">
        <f>+('Bal Sheet'!J25+'Bal Sheet'!J26+'Bal Sheet'!J138)/('Bal Sheet'!J25+'Bal Sheet'!J26+'Bal Sheet'!J138+'Bal Sheet'!J29)</f>
        <v>0.31370685083326189</v>
      </c>
      <c r="K100" s="1366">
        <f>+('Bal Sheet'!K25+'Bal Sheet'!K26+'Bal Sheet'!K138)/('Bal Sheet'!K25+'Bal Sheet'!K26+'Bal Sheet'!K138+'Bal Sheet'!K29)</f>
        <v>6.2106438528162632E-2</v>
      </c>
      <c r="L100" s="1366">
        <f>+('Bal Sheet'!L25+'Bal Sheet'!L26+'Bal Sheet'!L138)/('Bal Sheet'!L25+'Bal Sheet'!L26+'Bal Sheet'!L138+'Bal Sheet'!L29)</f>
        <v>1.5879979363585619E-2</v>
      </c>
      <c r="M100" s="1366">
        <f>+('Bal Sheet'!M25+'Bal Sheet'!M26+'Bal Sheet'!M138)/('Bal Sheet'!M25+'Bal Sheet'!M26+'Bal Sheet'!M138+'Bal Sheet'!M29)</f>
        <v>8.9386755460470323E-3</v>
      </c>
      <c r="N100" s="1366">
        <f>+('Bal Sheet'!N25+'Bal Sheet'!N26+'Bal Sheet'!N138)/('Bal Sheet'!N25+'Bal Sheet'!N26+'Bal Sheet'!N138+'Bal Sheet'!N29)</f>
        <v>5.9736655784463329E-3</v>
      </c>
      <c r="O100" s="1366">
        <f>+('Bal Sheet'!O25+'Bal Sheet'!O26+'Bal Sheet'!O138)/('Bal Sheet'!O25+'Bal Sheet'!O26+'Bal Sheet'!O138+'Bal Sheet'!O29)</f>
        <v>1.0350631961671894E-2</v>
      </c>
      <c r="P100" s="1366">
        <f>+('Bal Sheet'!P25+'Bal Sheet'!P26+'Bal Sheet'!P138)/('Bal Sheet'!P25+'Bal Sheet'!P26+'Bal Sheet'!P138+'Bal Sheet'!P29)</f>
        <v>1.3046267255537229E-2</v>
      </c>
      <c r="Q100" s="1366">
        <f>+('Bal Sheet'!Q25+'Bal Sheet'!Q26+'Bal Sheet'!Q138)/('Bal Sheet'!Q25+'Bal Sheet'!Q26+'Bal Sheet'!Q138+'Bal Sheet'!Q29)</f>
        <v>1.1538903348842165E-2</v>
      </c>
      <c r="R100" s="1193"/>
      <c r="S100" s="1193"/>
      <c r="T100" s="1193"/>
    </row>
    <row r="101" spans="1:20" s="1383" customFormat="1">
      <c r="A101" s="1365" t="s">
        <v>183</v>
      </c>
      <c r="B101" s="1366" t="s">
        <v>193</v>
      </c>
      <c r="C101" s="1366">
        <f>+'Bal Sheet'!C25/('Bal Sheet'!C25+'Bal Sheet'!C29)</f>
        <v>0.19526450783398361</v>
      </c>
      <c r="D101" s="1366">
        <f>+'Bal Sheet'!D25/('Bal Sheet'!D25+'Bal Sheet'!D29)</f>
        <v>0.21401344970402086</v>
      </c>
      <c r="E101" s="1366">
        <f>+'Bal Sheet'!E25/('Bal Sheet'!E25+'Bal Sheet'!E29)</f>
        <v>0.22885921056918362</v>
      </c>
      <c r="F101" s="1366">
        <f>+'Bal Sheet'!F25/('Bal Sheet'!F25+'Bal Sheet'!F29)</f>
        <v>0.23519751556731322</v>
      </c>
      <c r="G101" s="1366">
        <f>+'Bal Sheet'!G25/('Bal Sheet'!G25+'Bal Sheet'!G29)</f>
        <v>0.22459073565548235</v>
      </c>
      <c r="H101" s="1366">
        <f>+'Bal Sheet'!H25/('Bal Sheet'!H25+'Bal Sheet'!H29)</f>
        <v>0.44980647365703375</v>
      </c>
      <c r="I101" s="1367">
        <f>+'Bal Sheet'!I25/('Bal Sheet'!I25+'Bal Sheet'!I29)</f>
        <v>0.42162058033212402</v>
      </c>
      <c r="J101" s="1366">
        <f>+'Bal Sheet'!J25/('Bal Sheet'!J25+'Bal Sheet'!J29)</f>
        <v>0.3116127689546328</v>
      </c>
      <c r="K101" s="1366">
        <f>+'Bal Sheet'!K25/('Bal Sheet'!K25+'Bal Sheet'!K29)</f>
        <v>3.2951080189426545E-2</v>
      </c>
      <c r="L101" s="1366">
        <f>+'Bal Sheet'!L25/('Bal Sheet'!L25+'Bal Sheet'!L29)</f>
        <v>1.5879979363585619E-2</v>
      </c>
      <c r="M101" s="1366">
        <f>+'Bal Sheet'!M25/('Bal Sheet'!M25+'Bal Sheet'!M29)</f>
        <v>8.9386755460470323E-3</v>
      </c>
      <c r="N101" s="1366">
        <f>+'Bal Sheet'!N25/('Bal Sheet'!N25+'Bal Sheet'!N29)</f>
        <v>5.9736655784463329E-3</v>
      </c>
      <c r="O101" s="1366">
        <f>+'Bal Sheet'!O25/('Bal Sheet'!O25+'Bal Sheet'!O29)</f>
        <v>1.0350631961671894E-2</v>
      </c>
      <c r="P101" s="1366">
        <f>+'Bal Sheet'!P25/('Bal Sheet'!P25+'Bal Sheet'!P29)</f>
        <v>1.3046267255537229E-2</v>
      </c>
      <c r="Q101" s="1366">
        <f>+'Bal Sheet'!Q25/('Bal Sheet'!Q25+'Bal Sheet'!Q29)</f>
        <v>1.1538903348842165E-2</v>
      </c>
      <c r="R101" s="1193"/>
      <c r="S101" s="1193"/>
      <c r="T101" s="1193"/>
    </row>
    <row r="102" spans="1:20" s="1383" customFormat="1">
      <c r="A102" s="1365"/>
      <c r="B102" s="1366"/>
      <c r="C102" s="1366"/>
      <c r="D102" s="1366"/>
      <c r="E102" s="1366"/>
      <c r="F102" s="1366"/>
      <c r="G102" s="1366"/>
      <c r="H102" s="1366"/>
      <c r="I102" s="1367"/>
      <c r="J102" s="1366"/>
      <c r="K102" s="1366"/>
      <c r="L102" s="1366"/>
      <c r="M102" s="1366"/>
      <c r="N102" s="1366"/>
      <c r="O102" s="1366"/>
      <c r="P102" s="1366"/>
      <c r="Q102" s="1366"/>
      <c r="R102" s="1366"/>
      <c r="S102" s="1366"/>
      <c r="T102" s="1366"/>
    </row>
    <row r="103" spans="1:20" s="1383" customFormat="1">
      <c r="A103" s="1365" t="s">
        <v>183</v>
      </c>
      <c r="B103" s="1366" t="s">
        <v>187</v>
      </c>
      <c r="C103" s="1366">
        <f>+('Bal Sheet'!C25+'Bal Sheet'!C26+'Bal Sheet'!C138)/'Bal Sheet'!C29</f>
        <v>0.2592824896585047</v>
      </c>
      <c r="D103" s="1366">
        <f>+('Bal Sheet'!D25+'Bal Sheet'!D26+'Bal Sheet'!D138)/'Bal Sheet'!D29</f>
        <v>0.27228640187727104</v>
      </c>
      <c r="E103" s="1366">
        <f>+('Bal Sheet'!E25+'Bal Sheet'!E26+'Bal Sheet'!E138)/'Bal Sheet'!E29</f>
        <v>0.29678006105487686</v>
      </c>
      <c r="F103" s="1366">
        <f>+('Bal Sheet'!F25+'Bal Sheet'!F26+'Bal Sheet'!F138)/'Bal Sheet'!F29</f>
        <v>0.3075313255130866</v>
      </c>
      <c r="G103" s="1366">
        <f>+('Bal Sheet'!G25+'Bal Sheet'!G26+'Bal Sheet'!G138)/'Bal Sheet'!G29</f>
        <v>0.29369985275761373</v>
      </c>
      <c r="H103" s="1366">
        <f>+('Bal Sheet'!H25+'Bal Sheet'!H26+'Bal Sheet'!H138)/'Bal Sheet'!H29</f>
        <v>0.82926950440328384</v>
      </c>
      <c r="I103" s="1367">
        <f>+('Bal Sheet'!I25+'Bal Sheet'!I26+'Bal Sheet'!I138)/'Bal Sheet'!I29</f>
        <v>0.88005610743829277</v>
      </c>
      <c r="J103" s="1366">
        <f>+('Bal Sheet'!J25+'Bal Sheet'!J26+'Bal Sheet'!J138)/'Bal Sheet'!J29</f>
        <v>0.45710328190533245</v>
      </c>
      <c r="K103" s="1366">
        <f>+('Bal Sheet'!K25+'Bal Sheet'!K26+'Bal Sheet'!K138)/'Bal Sheet'!K29</f>
        <v>6.6219069070800454E-2</v>
      </c>
      <c r="L103" s="1366">
        <f>+('Bal Sheet'!L25+'Bal Sheet'!L26+'Bal Sheet'!L138)/'Bal Sheet'!L29</f>
        <v>1.6136222239759225E-2</v>
      </c>
      <c r="M103" s="1366">
        <f>+('Bal Sheet'!M25+'Bal Sheet'!M26+'Bal Sheet'!M138)/'Bal Sheet'!M29</f>
        <v>9.0192961076066541E-3</v>
      </c>
      <c r="N103" s="1366">
        <f>+('Bal Sheet'!N25+'Bal Sheet'!N26+'Bal Sheet'!N138)/'Bal Sheet'!N29</f>
        <v>6.0095647082856647E-3</v>
      </c>
      <c r="O103" s="1366">
        <f>+('Bal Sheet'!O25+'Bal Sheet'!O26+'Bal Sheet'!O138)/'Bal Sheet'!O29</f>
        <v>1.0458888062737615E-2</v>
      </c>
      <c r="P103" s="1366">
        <f>+('Bal Sheet'!P25+'Bal Sheet'!P26+'Bal Sheet'!P138)/'Bal Sheet'!P29</f>
        <v>1.321872223863923E-2</v>
      </c>
      <c r="Q103" s="1366">
        <f>+('Bal Sheet'!Q25+'Bal Sheet'!Q26+'Bal Sheet'!Q138)/'Bal Sheet'!Q29</f>
        <v>1.1673603936396911E-2</v>
      </c>
      <c r="R103" s="1193"/>
      <c r="S103" s="1193"/>
      <c r="T103" s="1193"/>
    </row>
    <row r="104" spans="1:20" s="1383" customFormat="1">
      <c r="A104" s="1365" t="s">
        <v>183</v>
      </c>
      <c r="B104" s="1366" t="s">
        <v>188</v>
      </c>
      <c r="C104" s="1366">
        <f>+('Bal Sheet'!C25+'Bal Sheet'!C26+'Bal Sheet'!C138)/('Bal Sheet'!C29-'Bal Sheet'!C16)</f>
        <v>0.26013997232055608</v>
      </c>
      <c r="D104" s="1366">
        <f>+('Bal Sheet'!D25+'Bal Sheet'!D26+'Bal Sheet'!D138)/('Bal Sheet'!D29-'Bal Sheet'!D16)</f>
        <v>0.272853239190532</v>
      </c>
      <c r="E104" s="1366">
        <f>+('Bal Sheet'!E25+'Bal Sheet'!E26+'Bal Sheet'!E138)/('Bal Sheet'!E29-'Bal Sheet'!E16)</f>
        <v>0.29707146683245444</v>
      </c>
      <c r="F104" s="1366">
        <f>+('Bal Sheet'!F25+'Bal Sheet'!F26+'Bal Sheet'!F138)/('Bal Sheet'!F29-'Bal Sheet'!F16)</f>
        <v>0.30761772894684053</v>
      </c>
      <c r="G104" s="1366">
        <f>+('Bal Sheet'!G25+'Bal Sheet'!G26+'Bal Sheet'!G138)/('Bal Sheet'!G29-'Bal Sheet'!G16)</f>
        <v>0.29391919054203225</v>
      </c>
      <c r="H104" s="1366">
        <f>+('Bal Sheet'!H25+'Bal Sheet'!H26+'Bal Sheet'!H138)/('Bal Sheet'!H29-'Bal Sheet'!H16)</f>
        <v>0.83468300244424276</v>
      </c>
      <c r="I104" s="1367">
        <f>+('Bal Sheet'!I25+'Bal Sheet'!I26+'Bal Sheet'!I138)/('Bal Sheet'!I29-'Bal Sheet'!I16)</f>
        <v>0.88802128717320705</v>
      </c>
      <c r="J104" s="1366">
        <f>+('Bal Sheet'!J25+'Bal Sheet'!J26+'Bal Sheet'!J138)/('Bal Sheet'!J29-'Bal Sheet'!J16)</f>
        <v>0.45710328190533245</v>
      </c>
      <c r="K104" s="1366">
        <f>+('Bal Sheet'!K25+'Bal Sheet'!K26+'Bal Sheet'!K138)/('Bal Sheet'!K29-'Bal Sheet'!K16)</f>
        <v>6.627683940386174E-2</v>
      </c>
      <c r="L104" s="1366">
        <f>+('Bal Sheet'!L25+'Bal Sheet'!L26+'Bal Sheet'!L138)/('Bal Sheet'!L29-'Bal Sheet'!L16)</f>
        <v>1.6141940393907924E-2</v>
      </c>
      <c r="M104" s="1366">
        <f>+('Bal Sheet'!M25+'Bal Sheet'!M26+'Bal Sheet'!M138)/('Bal Sheet'!M29-'Bal Sheet'!M16)</f>
        <v>9.0192961076066541E-3</v>
      </c>
      <c r="N104" s="1366">
        <f>+('Bal Sheet'!N25+'Bal Sheet'!N26+'Bal Sheet'!N138)/('Bal Sheet'!N29-'Bal Sheet'!N16)</f>
        <v>6.0095647082856647E-3</v>
      </c>
      <c r="O104" s="1366">
        <f>+('Bal Sheet'!O25+'Bal Sheet'!O26+'Bal Sheet'!O138)/('Bal Sheet'!O29-'Bal Sheet'!O16)</f>
        <v>1.0458888062737615E-2</v>
      </c>
      <c r="P104" s="1366">
        <f>+('Bal Sheet'!P25+'Bal Sheet'!P26+'Bal Sheet'!P138)/('Bal Sheet'!P29-'Bal Sheet'!P16)</f>
        <v>1.321872223863923E-2</v>
      </c>
      <c r="Q104" s="1366">
        <f>+('Bal Sheet'!Q25+'Bal Sheet'!Q26+'Bal Sheet'!Q138)/('Bal Sheet'!Q29-'Bal Sheet'!Q16)</f>
        <v>1.1673603936396911E-2</v>
      </c>
      <c r="R104" s="1193"/>
      <c r="S104" s="1193"/>
      <c r="T104" s="1193"/>
    </row>
    <row r="105" spans="1:20" s="1383" customFormat="1">
      <c r="A105" s="1365" t="s">
        <v>183</v>
      </c>
      <c r="B105" s="1366" t="s">
        <v>247</v>
      </c>
      <c r="C105" s="1366">
        <v>0</v>
      </c>
      <c r="D105" s="1366">
        <f>+AVERAGE('Bal Sheet'!D21,'Bal Sheet'!C21)/AVERAGE('Bal Sheet'!D29,'Bal Sheet'!C29)</f>
        <v>1.8815258628865053</v>
      </c>
      <c r="E105" s="1366">
        <f>+AVERAGE('Bal Sheet'!E21,'Bal Sheet'!D21)/AVERAGE('Bal Sheet'!E29,'Bal Sheet'!D29)</f>
        <v>1.9392897602782597</v>
      </c>
      <c r="F105" s="1366">
        <f>+AVERAGE('Bal Sheet'!F21,'Bal Sheet'!E21)/AVERAGE('Bal Sheet'!F29,'Bal Sheet'!E29)</f>
        <v>2.0143451733928925</v>
      </c>
      <c r="G105" s="1366">
        <f>+AVERAGE('Bal Sheet'!G21,'Bal Sheet'!F21)/AVERAGE('Bal Sheet'!G29,'Bal Sheet'!F29)</f>
        <v>2.0645281203887995</v>
      </c>
      <c r="H105" s="1366">
        <f>+AVERAGE('Bal Sheet'!H21,'Bal Sheet'!G21)/AVERAGE('Bal Sheet'!H29,'Bal Sheet'!G29)</f>
        <v>2.2837210362660403</v>
      </c>
      <c r="I105" s="1367">
        <f>+AVERAGE('Bal Sheet'!I21,'Bal Sheet'!H21)/AVERAGE('Bal Sheet'!I29,'Bal Sheet'!H29)</f>
        <v>3.1196958699714212</v>
      </c>
      <c r="J105" s="1366">
        <f>+AVERAGE('Bal Sheet'!J21,'Bal Sheet'!I21)/AVERAGE('Bal Sheet'!J29,'Bal Sheet'!I29)</f>
        <v>3.0389565940943974</v>
      </c>
      <c r="K105" s="1366">
        <f>+AVERAGE('Bal Sheet'!K21,'Bal Sheet'!J21)/AVERAGE('Bal Sheet'!K29,'Bal Sheet'!J29)</f>
        <v>2.2622160420874597</v>
      </c>
      <c r="L105" s="1366">
        <f>+AVERAGE('Bal Sheet'!L21,'Bal Sheet'!K21)/AVERAGE('Bal Sheet'!L29,'Bal Sheet'!K29)</f>
        <v>1.846661078840943</v>
      </c>
      <c r="M105" s="1366">
        <f>+AVERAGE('Bal Sheet'!M21,'Bal Sheet'!L21)/AVERAGE('Bal Sheet'!M29,'Bal Sheet'!L29)</f>
        <v>1.6779886997804385</v>
      </c>
      <c r="N105" s="1366">
        <f>+AVERAGE('Bal Sheet'!N21,'Bal Sheet'!M21)/AVERAGE('Bal Sheet'!N29,'Bal Sheet'!M29)</f>
        <v>1.5401505073564958</v>
      </c>
      <c r="O105" s="1366">
        <f>+AVERAGE('Bal Sheet'!O21,'Bal Sheet'!N21)/AVERAGE('Bal Sheet'!O29,'Bal Sheet'!N29)</f>
        <v>1.4790597520906505</v>
      </c>
      <c r="P105" s="1366">
        <f>+AVERAGE('Bal Sheet'!P21,'Bal Sheet'!O21)/AVERAGE('Bal Sheet'!P29,'Bal Sheet'!O29)</f>
        <v>1.3446523447184775</v>
      </c>
      <c r="Q105" s="1366">
        <f>+AVERAGE('Bal Sheet'!Q21,'Bal Sheet'!P21)/AVERAGE('Bal Sheet'!Q29,'Bal Sheet'!P29)</f>
        <v>1.3141188255152778</v>
      </c>
      <c r="R105" s="1193"/>
      <c r="S105" s="1193"/>
      <c r="T105" s="1193"/>
    </row>
    <row r="106" spans="1:20" s="1383" customFormat="1">
      <c r="A106" s="1365"/>
      <c r="B106" s="1366"/>
      <c r="C106" s="1366"/>
      <c r="D106" s="1366"/>
      <c r="E106" s="1366"/>
      <c r="F106" s="1366"/>
      <c r="G106" s="1366"/>
      <c r="H106" s="1366"/>
      <c r="I106" s="1367"/>
      <c r="J106" s="1366"/>
      <c r="K106" s="1366"/>
      <c r="L106" s="1366"/>
      <c r="M106" s="1366"/>
      <c r="N106" s="1366"/>
      <c r="O106" s="1366"/>
      <c r="P106" s="1366"/>
      <c r="Q106" s="1366"/>
      <c r="R106" s="1366"/>
      <c r="S106" s="1366"/>
      <c r="T106" s="1366"/>
    </row>
    <row r="107" spans="1:20" s="1383" customFormat="1">
      <c r="A107" s="1365" t="s">
        <v>183</v>
      </c>
      <c r="B107" s="1366" t="s">
        <v>322</v>
      </c>
      <c r="C107" s="1366">
        <f>+('Bal Sheet'!C25+'Bal Sheet'!C26+'Bal Sheet'!C138-'Bal Sheet'!C155)/('Bal Sheet'!C29+'Bal Sheet'!C155)</f>
        <v>0.2592824896585047</v>
      </c>
      <c r="D107" s="1366">
        <f>+('Bal Sheet'!D25+'Bal Sheet'!D26+'Bal Sheet'!D138-'Bal Sheet'!D155)/('Bal Sheet'!D29+'Bal Sheet'!D155)</f>
        <v>0.27228640187727104</v>
      </c>
      <c r="E107" s="1366">
        <f>+('Bal Sheet'!E25+'Bal Sheet'!E26+'Bal Sheet'!E138-'Bal Sheet'!E155)/('Bal Sheet'!E29+'Bal Sheet'!E155)</f>
        <v>0.29678006105487686</v>
      </c>
      <c r="F107" s="1366">
        <f>+('Bal Sheet'!F25+'Bal Sheet'!F26+'Bal Sheet'!F138-'Bal Sheet'!F155)/('Bal Sheet'!F29+'Bal Sheet'!F155)</f>
        <v>0.3075313255130866</v>
      </c>
      <c r="G107" s="1366">
        <f>+('Bal Sheet'!G25+'Bal Sheet'!G26+'Bal Sheet'!G138-'Bal Sheet'!G155)/('Bal Sheet'!G29+'Bal Sheet'!G155)</f>
        <v>0.29369985275761373</v>
      </c>
      <c r="H107" s="1366">
        <f>+('Bal Sheet'!H25+'Bal Sheet'!H26+'Bal Sheet'!H138-'Bal Sheet'!H155)/('Bal Sheet'!H29+'Bal Sheet'!H155)</f>
        <v>0.82926950440328384</v>
      </c>
      <c r="I107" s="1367">
        <f>+('Bal Sheet'!I25+'Bal Sheet'!I26+'Bal Sheet'!I138-'Bal Sheet'!I155)/('Bal Sheet'!I29+'Bal Sheet'!I155)</f>
        <v>0.88005610743829277</v>
      </c>
      <c r="J107" s="1366">
        <f>+('Bal Sheet'!J25+'Bal Sheet'!J26+'Bal Sheet'!J138-'Bal Sheet'!J155)/('Bal Sheet'!J29+'Bal Sheet'!J155)</f>
        <v>0.45710328190533245</v>
      </c>
      <c r="K107" s="1366">
        <f>+('Bal Sheet'!K25+'Bal Sheet'!K26+'Bal Sheet'!K138-'Bal Sheet'!K155)/('Bal Sheet'!K29+'Bal Sheet'!K155)</f>
        <v>6.6219069070800454E-2</v>
      </c>
      <c r="L107" s="1366">
        <f>+('Bal Sheet'!L25+'Bal Sheet'!L26+'Bal Sheet'!L138-'Bal Sheet'!L155)/('Bal Sheet'!L29+'Bal Sheet'!L155)</f>
        <v>1.6136222239759225E-2</v>
      </c>
      <c r="M107" s="1366">
        <f>+('Bal Sheet'!M25+'Bal Sheet'!M26+'Bal Sheet'!M138-'Bal Sheet'!M155)/('Bal Sheet'!M29+'Bal Sheet'!M155)</f>
        <v>9.0192961076066541E-3</v>
      </c>
      <c r="N107" s="1366">
        <f>+('Bal Sheet'!N25+'Bal Sheet'!N26+'Bal Sheet'!N138-'Bal Sheet'!N155)/('Bal Sheet'!N29+'Bal Sheet'!N155)</f>
        <v>6.0095647082856647E-3</v>
      </c>
      <c r="O107" s="1366">
        <f>+('Bal Sheet'!O25+'Bal Sheet'!O26+'Bal Sheet'!O138-'Bal Sheet'!O155)/('Bal Sheet'!O29+'Bal Sheet'!O155)</f>
        <v>1.0458888062737615E-2</v>
      </c>
      <c r="P107" s="1366">
        <f>+('Bal Sheet'!P25+'Bal Sheet'!P26+'Bal Sheet'!P138-'Bal Sheet'!P155)/('Bal Sheet'!P29+'Bal Sheet'!P155)</f>
        <v>1.321872223863923E-2</v>
      </c>
      <c r="Q107" s="1366">
        <f>+('Bal Sheet'!Q25+'Bal Sheet'!Q26+'Bal Sheet'!Q138-'Bal Sheet'!Q155)/('Bal Sheet'!Q29+'Bal Sheet'!Q155)</f>
        <v>1.1673603936396911E-2</v>
      </c>
      <c r="R107" s="1193"/>
      <c r="S107" s="1193"/>
      <c r="T107" s="1193"/>
    </row>
    <row r="108" spans="1:20" s="1383" customFormat="1">
      <c r="A108" s="1365" t="s">
        <v>183</v>
      </c>
      <c r="B108" s="1366" t="s">
        <v>323</v>
      </c>
      <c r="C108" s="1366">
        <f>+('Bal Sheet'!C25+'Bal Sheet'!C26+'Bal Sheet'!C138-'Bal Sheet'!C155)/('Bal Sheet'!C29-'Bal Sheet'!C16+'Bal Sheet'!C155)</f>
        <v>0.26013997232055608</v>
      </c>
      <c r="D108" s="1366">
        <f>+('Bal Sheet'!D25+'Bal Sheet'!D26+'Bal Sheet'!D138-'Bal Sheet'!D155)/('Bal Sheet'!D29-'Bal Sheet'!D16+'Bal Sheet'!D155)</f>
        <v>0.272853239190532</v>
      </c>
      <c r="E108" s="1366">
        <f>+('Bal Sheet'!E25+'Bal Sheet'!E26+'Bal Sheet'!E138-'Bal Sheet'!E155)/('Bal Sheet'!E29-'Bal Sheet'!E16+'Bal Sheet'!E155)</f>
        <v>0.29707146683245444</v>
      </c>
      <c r="F108" s="1366">
        <f>+('Bal Sheet'!F25+'Bal Sheet'!F26+'Bal Sheet'!F138-'Bal Sheet'!F155)/('Bal Sheet'!F29-'Bal Sheet'!F16+'Bal Sheet'!F155)</f>
        <v>0.30761772894684053</v>
      </c>
      <c r="G108" s="1366">
        <f>+('Bal Sheet'!G25+'Bal Sheet'!G26+'Bal Sheet'!G138-'Bal Sheet'!G155)/('Bal Sheet'!G29-'Bal Sheet'!G16+'Bal Sheet'!G155)</f>
        <v>0.29391919054203225</v>
      </c>
      <c r="H108" s="1366">
        <f>+('Bal Sheet'!H25+'Bal Sheet'!H26+'Bal Sheet'!H138-'Bal Sheet'!H155)/('Bal Sheet'!H29-'Bal Sheet'!H16+'Bal Sheet'!H155)</f>
        <v>0.83468300244424276</v>
      </c>
      <c r="I108" s="1367">
        <f>+('Bal Sheet'!I25+'Bal Sheet'!I26+'Bal Sheet'!I138-'Bal Sheet'!I155)/('Bal Sheet'!I29-'Bal Sheet'!I16+'Bal Sheet'!I155)</f>
        <v>0.88802128717320705</v>
      </c>
      <c r="J108" s="1366">
        <f>+('Bal Sheet'!J25+'Bal Sheet'!J26+'Bal Sheet'!J138-'Bal Sheet'!J155)/('Bal Sheet'!J29-'Bal Sheet'!J16+'Bal Sheet'!J155)</f>
        <v>0.45710328190533245</v>
      </c>
      <c r="K108" s="1366">
        <f>+('Bal Sheet'!K25+'Bal Sheet'!K26+'Bal Sheet'!K138-'Bal Sheet'!K155)/('Bal Sheet'!K29-'Bal Sheet'!K16+'Bal Sheet'!K155)</f>
        <v>6.627683940386174E-2</v>
      </c>
      <c r="L108" s="1366">
        <f>+('Bal Sheet'!L25+'Bal Sheet'!L26+'Bal Sheet'!L138-'Bal Sheet'!L155)/('Bal Sheet'!L29-'Bal Sheet'!L16+'Bal Sheet'!L155)</f>
        <v>1.6141940393907924E-2</v>
      </c>
      <c r="M108" s="1366">
        <f>+('Bal Sheet'!M25+'Bal Sheet'!M26+'Bal Sheet'!M138-'Bal Sheet'!M155)/('Bal Sheet'!M29-'Bal Sheet'!M16+'Bal Sheet'!M155)</f>
        <v>9.0192961076066541E-3</v>
      </c>
      <c r="N108" s="1366">
        <f>+('Bal Sheet'!N25+'Bal Sheet'!N26+'Bal Sheet'!N138-'Bal Sheet'!N155)/('Bal Sheet'!N29-'Bal Sheet'!N16+'Bal Sheet'!N155)</f>
        <v>6.0095647082856647E-3</v>
      </c>
      <c r="O108" s="1366">
        <f>+('Bal Sheet'!O25+'Bal Sheet'!O26+'Bal Sheet'!O138-'Bal Sheet'!O155)/('Bal Sheet'!O29-'Bal Sheet'!O16+'Bal Sheet'!O155)</f>
        <v>1.0458888062737615E-2</v>
      </c>
      <c r="P108" s="1366">
        <f>+('Bal Sheet'!P25+'Bal Sheet'!P26+'Bal Sheet'!P138-'Bal Sheet'!P155)/('Bal Sheet'!P29-'Bal Sheet'!P16+'Bal Sheet'!P155)</f>
        <v>1.321872223863923E-2</v>
      </c>
      <c r="Q108" s="1366">
        <f>+('Bal Sheet'!Q25+'Bal Sheet'!Q26+'Bal Sheet'!Q138-'Bal Sheet'!Q155)/('Bal Sheet'!Q29-'Bal Sheet'!Q16+'Bal Sheet'!Q155)</f>
        <v>1.1673603936396911E-2</v>
      </c>
      <c r="R108" s="1193"/>
      <c r="S108" s="1193"/>
      <c r="T108" s="1193"/>
    </row>
    <row r="109" spans="1:20" s="1383" customFormat="1">
      <c r="A109" s="1365"/>
      <c r="B109" s="1366"/>
      <c r="C109" s="1366"/>
      <c r="D109" s="1366"/>
      <c r="E109" s="1366"/>
      <c r="F109" s="1366"/>
      <c r="G109" s="1366"/>
      <c r="H109" s="1366"/>
      <c r="I109" s="1367"/>
      <c r="J109" s="1366"/>
      <c r="K109" s="1366"/>
      <c r="L109" s="1366"/>
      <c r="M109" s="1366"/>
      <c r="N109" s="1366"/>
      <c r="O109" s="1366"/>
      <c r="P109" s="1366"/>
      <c r="Q109" s="1366"/>
      <c r="R109" s="1366"/>
      <c r="S109" s="1366"/>
      <c r="T109" s="1366"/>
    </row>
    <row r="110" spans="1:20" s="1383" customFormat="1">
      <c r="A110" s="1365" t="s">
        <v>183</v>
      </c>
      <c r="B110" s="1366" t="s">
        <v>189</v>
      </c>
      <c r="C110" s="1366">
        <f>+'Inc Stmt'!C25/'Inc Stmt'!C27</f>
        <v>559.49932897915346</v>
      </c>
      <c r="D110" s="1366">
        <f>+'Inc Stmt'!D25/'Inc Stmt'!D27</f>
        <v>795.43642391188121</v>
      </c>
      <c r="E110" s="1366">
        <f>+'Inc Stmt'!E25/'Inc Stmt'!E27</f>
        <v>1121.8117048346055</v>
      </c>
      <c r="F110" s="1366">
        <f>+'Inc Stmt'!F25/'Inc Stmt'!F27</f>
        <v>3642.1470588235288</v>
      </c>
      <c r="G110" s="1366">
        <f>+'Inc Stmt'!G25/'Inc Stmt'!G27</f>
        <v>243.28089887640459</v>
      </c>
      <c r="H110" s="1366">
        <f>+'Inc Stmt'!H25/'Inc Stmt'!H27</f>
        <v>204.42829457364351</v>
      </c>
      <c r="I110" s="1367">
        <f>+'Inc Stmt'!I25/'Inc Stmt'!I27</f>
        <v>45.394700776610364</v>
      </c>
      <c r="J110" s="1366">
        <f>+'Inc Stmt'!J25/'Inc Stmt'!J27</f>
        <v>404.94983277591956</v>
      </c>
      <c r="K110" s="1366">
        <f>+'Inc Stmt'!K25/'Inc Stmt'!K27</f>
        <v>1805.5502958579873</v>
      </c>
      <c r="L110" s="1366">
        <f>+'Inc Stmt'!L25/'Inc Stmt'!L27</f>
        <v>160.71807553956833</v>
      </c>
      <c r="M110" s="1366">
        <f>+'Inc Stmt'!M25/'Inc Stmt'!M27</f>
        <v>6428.2962962962993</v>
      </c>
      <c r="N110" s="1366">
        <f>+'Inc Stmt'!N25/'Inc Stmt'!N27</f>
        <v>7530.9629629629608</v>
      </c>
      <c r="O110" s="1366">
        <f>+'Inc Stmt'!O25/'Inc Stmt'!O27</f>
        <v>600.82742681047773</v>
      </c>
      <c r="P110" s="1366">
        <f>+'Inc Stmt'!P25/'Inc Stmt'!P27</f>
        <v>4261.6952380952389</v>
      </c>
      <c r="Q110" s="1366">
        <f>+'Inc Stmt'!Q25/'Inc Stmt'!Q27</f>
        <v>2939.3285714285703</v>
      </c>
      <c r="R110" s="1193"/>
      <c r="S110" s="1193"/>
      <c r="T110" s="1193"/>
    </row>
    <row r="111" spans="1:20" s="1383" customFormat="1">
      <c r="A111" s="1365" t="s">
        <v>183</v>
      </c>
      <c r="B111" s="1366" t="s">
        <v>190</v>
      </c>
      <c r="C111" s="1366">
        <f>+'Inc Stmt'!C25/('Inc Stmt'!C27+'Bal Sheet'!C138)</f>
        <v>559.49932897915346</v>
      </c>
      <c r="D111" s="1366">
        <f>+'Inc Stmt'!D25/('Inc Stmt'!D27+'Bal Sheet'!D138)</f>
        <v>795.43642391188121</v>
      </c>
      <c r="E111" s="1366">
        <f>+'Inc Stmt'!E25/('Inc Stmt'!E27+'Bal Sheet'!E138)</f>
        <v>1121.8117048346055</v>
      </c>
      <c r="F111" s="1366">
        <f>+'Inc Stmt'!F25/('Inc Stmt'!F27+'Bal Sheet'!F138)</f>
        <v>3642.1470588235288</v>
      </c>
      <c r="G111" s="1366">
        <f>+'Inc Stmt'!G25/('Inc Stmt'!G27+'Bal Sheet'!G138)</f>
        <v>243.28089887640459</v>
      </c>
      <c r="H111" s="1366">
        <f>+'Inc Stmt'!H25/('Inc Stmt'!H27+'Bal Sheet'!H138)</f>
        <v>204.42829457364351</v>
      </c>
      <c r="I111" s="1367">
        <f>+'Inc Stmt'!I25/('Inc Stmt'!I27+'Bal Sheet'!I138)</f>
        <v>45.394700776610364</v>
      </c>
      <c r="J111" s="1366">
        <f>+'Inc Stmt'!J25/('Inc Stmt'!J27+'Bal Sheet'!J138)</f>
        <v>404.94983277591956</v>
      </c>
      <c r="K111" s="1366">
        <f>+'Inc Stmt'!K25/('Inc Stmt'!K27+'Bal Sheet'!K138)</f>
        <v>1805.5502958579873</v>
      </c>
      <c r="L111" s="1366">
        <f>+'Inc Stmt'!L25/('Inc Stmt'!L27+'Bal Sheet'!L138)</f>
        <v>160.71807553956833</v>
      </c>
      <c r="M111" s="1366">
        <f>+'Inc Stmt'!M25/('Inc Stmt'!M27+'Bal Sheet'!M138)</f>
        <v>6428.2962962962993</v>
      </c>
      <c r="N111" s="1366">
        <f>+'Inc Stmt'!N25/('Inc Stmt'!N27+'Bal Sheet'!N138)</f>
        <v>7530.9629629629608</v>
      </c>
      <c r="O111" s="1366">
        <f>+'Inc Stmt'!O25/('Inc Stmt'!O27+'Bal Sheet'!O138)</f>
        <v>600.82742681047773</v>
      </c>
      <c r="P111" s="1366">
        <f>+'Inc Stmt'!P25/('Inc Stmt'!P27+'Bal Sheet'!P138)</f>
        <v>4261.6952380952389</v>
      </c>
      <c r="Q111" s="1366">
        <f>+'Inc Stmt'!Q25/('Inc Stmt'!Q27+'Bal Sheet'!Q138)</f>
        <v>2939.3285714285703</v>
      </c>
      <c r="R111" s="1193"/>
      <c r="S111" s="1193"/>
      <c r="T111" s="1193"/>
    </row>
    <row r="112" spans="1:20" s="1375" customFormat="1">
      <c r="A112" s="1336"/>
      <c r="B112" s="1335"/>
      <c r="C112" s="1335"/>
      <c r="D112" s="1335"/>
      <c r="E112" s="1335"/>
      <c r="F112" s="1335"/>
      <c r="G112" s="1335"/>
      <c r="H112" s="1335"/>
      <c r="I112" s="1358"/>
      <c r="J112" s="1335"/>
      <c r="K112" s="1335"/>
      <c r="L112" s="1335"/>
      <c r="M112" s="1335"/>
      <c r="N112" s="1335"/>
      <c r="O112" s="1335"/>
      <c r="P112" s="1335"/>
      <c r="Q112" s="1335"/>
      <c r="R112" s="1335"/>
      <c r="S112" s="1335"/>
      <c r="T112" s="1335"/>
    </row>
    <row r="113" spans="1:20" s="1375" customFormat="1">
      <c r="A113" s="1336"/>
      <c r="B113" s="1335"/>
      <c r="C113" s="1335"/>
      <c r="D113" s="1335"/>
      <c r="E113" s="1335"/>
      <c r="F113" s="1335"/>
      <c r="G113" s="1335"/>
      <c r="H113" s="1335"/>
      <c r="I113" s="1358"/>
      <c r="J113" s="1335"/>
      <c r="K113" s="1335"/>
      <c r="L113" s="1335"/>
      <c r="M113" s="1335"/>
      <c r="N113" s="1335"/>
      <c r="O113" s="1335"/>
      <c r="P113" s="1335"/>
      <c r="Q113" s="1335"/>
      <c r="R113" s="1335"/>
      <c r="S113" s="1335"/>
      <c r="T113" s="1335"/>
    </row>
    <row r="114" spans="1:20" s="1379" customFormat="1" ht="12.75">
      <c r="A114" s="1355"/>
      <c r="B114" s="1356" t="s">
        <v>179</v>
      </c>
      <c r="C114" s="1356"/>
      <c r="D114" s="1356"/>
      <c r="E114" s="1356"/>
      <c r="F114" s="1356"/>
      <c r="G114" s="1356"/>
      <c r="H114" s="1356"/>
      <c r="I114" s="1357"/>
      <c r="J114" s="1356"/>
      <c r="K114" s="1356"/>
      <c r="L114" s="1356"/>
      <c r="M114" s="1356"/>
      <c r="N114" s="1356"/>
      <c r="O114" s="1356"/>
      <c r="P114" s="1356"/>
      <c r="Q114" s="1356"/>
      <c r="R114" s="1356"/>
      <c r="S114" s="1356"/>
      <c r="T114" s="1356"/>
    </row>
    <row r="115" spans="1:20" s="1375" customFormat="1">
      <c r="A115" s="1336"/>
      <c r="B115" s="1335"/>
      <c r="C115" s="1335"/>
      <c r="D115" s="1335"/>
      <c r="E115" s="1335"/>
      <c r="F115" s="1335"/>
      <c r="G115" s="1335"/>
      <c r="H115" s="1335"/>
      <c r="I115" s="1358"/>
      <c r="J115" s="1335"/>
      <c r="K115" s="1335"/>
      <c r="L115" s="1335"/>
      <c r="M115" s="1335"/>
      <c r="N115" s="1335"/>
      <c r="O115" s="1335"/>
      <c r="P115" s="1335"/>
      <c r="Q115" s="1335"/>
      <c r="R115" s="1335"/>
      <c r="S115" s="1335"/>
      <c r="T115" s="1335"/>
    </row>
    <row r="116" spans="1:20" s="1383" customFormat="1">
      <c r="A116" s="1365" t="s">
        <v>183</v>
      </c>
      <c r="B116" s="1366" t="s">
        <v>180</v>
      </c>
      <c r="C116" s="1366">
        <f>+'Bal Sheet'!C14/'Bal Sheet'!C23</f>
        <v>4.7375535113608729</v>
      </c>
      <c r="D116" s="1366">
        <f>+'Bal Sheet'!D14/'Bal Sheet'!D23</f>
        <v>3.0524170371465082</v>
      </c>
      <c r="E116" s="1366">
        <f>+'Bal Sheet'!E14/'Bal Sheet'!E23</f>
        <v>3.2987360442094493</v>
      </c>
      <c r="F116" s="1366">
        <f>+'Bal Sheet'!F14/'Bal Sheet'!F23</f>
        <v>2.3240863557577289</v>
      </c>
      <c r="G116" s="1366">
        <f>+'Bal Sheet'!G14/'Bal Sheet'!G23</f>
        <v>2.5474959472170888</v>
      </c>
      <c r="H116" s="1366">
        <f>+'Bal Sheet'!H14/'Bal Sheet'!H23</f>
        <v>1.589073068495761</v>
      </c>
      <c r="I116" s="1367">
        <f>+'Bal Sheet'!I14/'Bal Sheet'!I23</f>
        <v>1.8654888771830302</v>
      </c>
      <c r="J116" s="1366">
        <f>+'Bal Sheet'!J14/'Bal Sheet'!J23</f>
        <v>1.4810363972856262</v>
      </c>
      <c r="K116" s="1366">
        <f>+'Bal Sheet'!K14/'Bal Sheet'!K23</f>
        <v>1.1837677456575939</v>
      </c>
      <c r="L116" s="1366">
        <f>+'Bal Sheet'!L14/'Bal Sheet'!L23</f>
        <v>1.7192178553172084</v>
      </c>
      <c r="M116" s="1366">
        <f>+'Bal Sheet'!M14/'Bal Sheet'!M23</f>
        <v>1.4918593716363966</v>
      </c>
      <c r="N116" s="1366">
        <f>+'Bal Sheet'!N14/'Bal Sheet'!N23</f>
        <v>1.3621284532389875</v>
      </c>
      <c r="O116" s="1366">
        <f>+'Bal Sheet'!O14/'Bal Sheet'!O23</f>
        <v>1.6099425774320772</v>
      </c>
      <c r="P116" s="1366">
        <f>+'Bal Sheet'!P14/'Bal Sheet'!P23</f>
        <v>1.5338719071148101</v>
      </c>
      <c r="Q116" s="1366">
        <f>+'Bal Sheet'!Q14/'Bal Sheet'!Q23</f>
        <v>1.4356995355889755</v>
      </c>
      <c r="R116" s="1193"/>
      <c r="S116" s="1193"/>
      <c r="T116" s="1193"/>
    </row>
    <row r="117" spans="1:20" s="1383" customFormat="1">
      <c r="A117" s="1365" t="s">
        <v>183</v>
      </c>
      <c r="B117" s="1366" t="s">
        <v>181</v>
      </c>
      <c r="C117" s="1366">
        <f>+('Bal Sheet'!C75+'Bal Sheet'!C76+'Bal Sheet'!C77+'Bal Sheet'!C79+'Bal Sheet'!C10)/'Bal Sheet'!C23</f>
        <v>0.43263822604975022</v>
      </c>
      <c r="D117" s="1366">
        <f>+('Bal Sheet'!D75+'Bal Sheet'!D76+'Bal Sheet'!D77+'Bal Sheet'!D79+'Bal Sheet'!D10)/'Bal Sheet'!D23</f>
        <v>0.3156231034311523</v>
      </c>
      <c r="E117" s="1366">
        <f>+('Bal Sheet'!E75+'Bal Sheet'!E76+'Bal Sheet'!E77+'Bal Sheet'!E79+'Bal Sheet'!E10)/'Bal Sheet'!E23</f>
        <v>0.36159276868725299</v>
      </c>
      <c r="F117" s="1366">
        <f>+('Bal Sheet'!F75+'Bal Sheet'!F76+'Bal Sheet'!F77+'Bal Sheet'!F79+'Bal Sheet'!F10)/'Bal Sheet'!F23</f>
        <v>0.31129411573233945</v>
      </c>
      <c r="G117" s="1366">
        <f>+('Bal Sheet'!G75+'Bal Sheet'!G76+'Bal Sheet'!G77+'Bal Sheet'!G79+'Bal Sheet'!G10)/'Bal Sheet'!G23</f>
        <v>0.40848048993642294</v>
      </c>
      <c r="H117" s="1366">
        <f>+('Bal Sheet'!H75+'Bal Sheet'!H76+'Bal Sheet'!H77+'Bal Sheet'!H79+'Bal Sheet'!H10)/'Bal Sheet'!H23</f>
        <v>0.3077831761455655</v>
      </c>
      <c r="I117" s="1367">
        <f>+('Bal Sheet'!I75+'Bal Sheet'!I76+'Bal Sheet'!I77+'Bal Sheet'!I79+'Bal Sheet'!I10)/'Bal Sheet'!I23</f>
        <v>0.22767535151343249</v>
      </c>
      <c r="J117" s="1366">
        <f>+('Bal Sheet'!J75+'Bal Sheet'!J76+'Bal Sheet'!J77+'Bal Sheet'!J79+'Bal Sheet'!J10)/'Bal Sheet'!J23</f>
        <v>0.13465268352868601</v>
      </c>
      <c r="K117" s="1366">
        <f>+('Bal Sheet'!K75+'Bal Sheet'!K76+'Bal Sheet'!K77+'Bal Sheet'!K79+'Bal Sheet'!K10)/'Bal Sheet'!K23</f>
        <v>0.14949003770630293</v>
      </c>
      <c r="L117" s="1366">
        <f>+('Bal Sheet'!L75+'Bal Sheet'!L76+'Bal Sheet'!L77+'Bal Sheet'!L79+'Bal Sheet'!L10)/'Bal Sheet'!L23</f>
        <v>0.15548380216167312</v>
      </c>
      <c r="M117" s="1366">
        <f>+('Bal Sheet'!M75+'Bal Sheet'!M76+'Bal Sheet'!M77+'Bal Sheet'!M79+'Bal Sheet'!M10)/'Bal Sheet'!M23</f>
        <v>0.28989021198490844</v>
      </c>
      <c r="N117" s="1366">
        <f>+('Bal Sheet'!N75+'Bal Sheet'!N76+'Bal Sheet'!N77+'Bal Sheet'!N79+'Bal Sheet'!N10)/'Bal Sheet'!N23</f>
        <v>0.26853897341288446</v>
      </c>
      <c r="O117" s="1366">
        <f>+('Bal Sheet'!O75+'Bal Sheet'!O76+'Bal Sheet'!O77+'Bal Sheet'!O79+'Bal Sheet'!O10)/'Bal Sheet'!O23</f>
        <v>0.2731534255426798</v>
      </c>
      <c r="P117" s="1366">
        <f>+('Bal Sheet'!P75+'Bal Sheet'!P76+'Bal Sheet'!P77+'Bal Sheet'!P79+'Bal Sheet'!P10)/'Bal Sheet'!P23</f>
        <v>0.26976158716440907</v>
      </c>
      <c r="Q117" s="1366">
        <f>+('Bal Sheet'!Q75+'Bal Sheet'!Q76+'Bal Sheet'!Q77+'Bal Sheet'!Q79+'Bal Sheet'!Q10)/'Bal Sheet'!Q23</f>
        <v>0.26426309932096337</v>
      </c>
      <c r="R117" s="1193"/>
      <c r="S117" s="1193"/>
      <c r="T117" s="1193"/>
    </row>
    <row r="118" spans="1:20" s="1383" customFormat="1">
      <c r="A118" s="1365" t="s">
        <v>183</v>
      </c>
      <c r="B118" s="1366" t="s">
        <v>182</v>
      </c>
      <c r="C118" s="1366">
        <f>+('Bal Sheet'!C75+'Bal Sheet'!C76+'Bal Sheet'!C77+'Bal Sheet'!C79)/'Bal Sheet'!C23</f>
        <v>6.5439607617793133E-2</v>
      </c>
      <c r="D118" s="1366">
        <f>+('Bal Sheet'!D75+'Bal Sheet'!D76+'Bal Sheet'!D77+'Bal Sheet'!D79)/'Bal Sheet'!D23</f>
        <v>0.11647240944864096</v>
      </c>
      <c r="E118" s="1366">
        <f>+('Bal Sheet'!E75+'Bal Sheet'!E76+'Bal Sheet'!E77+'Bal Sheet'!E79)/'Bal Sheet'!E23</f>
        <v>0.13696941081114561</v>
      </c>
      <c r="F118" s="1366">
        <f>+('Bal Sheet'!F75+'Bal Sheet'!F76+'Bal Sheet'!F77+'Bal Sheet'!F79)/'Bal Sheet'!F23</f>
        <v>6.590607631401206E-2</v>
      </c>
      <c r="G118" s="1366">
        <f>+('Bal Sheet'!G75+'Bal Sheet'!G76+'Bal Sheet'!G77+'Bal Sheet'!G79)/'Bal Sheet'!G23</f>
        <v>5.501777887482738E-2</v>
      </c>
      <c r="H118" s="1366">
        <f>+('Bal Sheet'!H75+'Bal Sheet'!H76+'Bal Sheet'!H77+'Bal Sheet'!H79)/'Bal Sheet'!H23</f>
        <v>6.6904829951414724E-2</v>
      </c>
      <c r="I118" s="1367">
        <f>+('Bal Sheet'!I75+'Bal Sheet'!I76+'Bal Sheet'!I77+'Bal Sheet'!I79)/'Bal Sheet'!I23</f>
        <v>0</v>
      </c>
      <c r="J118" s="1366">
        <f>+('Bal Sheet'!J75+'Bal Sheet'!J76+'Bal Sheet'!J77+'Bal Sheet'!J79)/'Bal Sheet'!J23</f>
        <v>0</v>
      </c>
      <c r="K118" s="1366">
        <f>+('Bal Sheet'!K75+'Bal Sheet'!K76+'Bal Sheet'!K77+'Bal Sheet'!K79)/'Bal Sheet'!K23</f>
        <v>0</v>
      </c>
      <c r="L118" s="1366">
        <f>+('Bal Sheet'!L75+'Bal Sheet'!L76+'Bal Sheet'!L77+'Bal Sheet'!L79)/'Bal Sheet'!L23</f>
        <v>0</v>
      </c>
      <c r="M118" s="1366">
        <f>+('Bal Sheet'!M75+'Bal Sheet'!M76+'Bal Sheet'!M77+'Bal Sheet'!M79)/'Bal Sheet'!M23</f>
        <v>0</v>
      </c>
      <c r="N118" s="1366">
        <f>+('Bal Sheet'!N75+'Bal Sheet'!N76+'Bal Sheet'!N77+'Bal Sheet'!N79)/'Bal Sheet'!N23</f>
        <v>0</v>
      </c>
      <c r="O118" s="1366">
        <f>+('Bal Sheet'!O75+'Bal Sheet'!O76+'Bal Sheet'!O77+'Bal Sheet'!O79)/'Bal Sheet'!O23</f>
        <v>0</v>
      </c>
      <c r="P118" s="1366">
        <f>+('Bal Sheet'!P75+'Bal Sheet'!P76+'Bal Sheet'!P77+'Bal Sheet'!P79)/'Bal Sheet'!P23</f>
        <v>0</v>
      </c>
      <c r="Q118" s="1366">
        <f>+('Bal Sheet'!Q75+'Bal Sheet'!Q76+'Bal Sheet'!Q77+'Bal Sheet'!Q79)/'Bal Sheet'!Q23</f>
        <v>0</v>
      </c>
      <c r="R118" s="1193"/>
      <c r="S118" s="1193"/>
      <c r="T118" s="1193"/>
    </row>
    <row r="119" spans="1:20" s="1375" customFormat="1">
      <c r="A119" s="1336"/>
      <c r="B119" s="1335"/>
      <c r="C119" s="1335"/>
      <c r="D119" s="1335"/>
      <c r="E119" s="1335"/>
      <c r="F119" s="1335"/>
      <c r="G119" s="1335"/>
      <c r="H119" s="1335"/>
      <c r="I119" s="1358"/>
      <c r="J119" s="1335"/>
      <c r="K119" s="1335"/>
      <c r="L119" s="1335"/>
      <c r="M119" s="1335"/>
      <c r="N119" s="1335"/>
      <c r="O119" s="1335"/>
      <c r="P119" s="1335"/>
      <c r="Q119" s="1335"/>
      <c r="R119" s="1335"/>
      <c r="S119" s="1335"/>
      <c r="T119" s="1335"/>
    </row>
    <row r="120" spans="1:20" s="1375" customFormat="1">
      <c r="A120" s="1336"/>
      <c r="B120" s="1335"/>
      <c r="C120" s="1335"/>
      <c r="D120" s="1335"/>
      <c r="E120" s="1335"/>
      <c r="F120" s="1335"/>
      <c r="G120" s="1335"/>
      <c r="H120" s="1335"/>
      <c r="I120" s="1358"/>
      <c r="J120" s="1335"/>
      <c r="K120" s="1335"/>
      <c r="L120" s="1335"/>
      <c r="M120" s="1335"/>
      <c r="N120" s="1335"/>
      <c r="O120" s="1335"/>
      <c r="P120" s="1335"/>
      <c r="Q120" s="1335"/>
      <c r="R120" s="1335"/>
      <c r="S120" s="1335"/>
      <c r="T120" s="1335"/>
    </row>
    <row r="121" spans="1:20" s="1379" customFormat="1" ht="12.75">
      <c r="A121" s="1355"/>
      <c r="B121" s="1356" t="s">
        <v>200</v>
      </c>
      <c r="C121" s="1356"/>
      <c r="D121" s="1356"/>
      <c r="E121" s="1356"/>
      <c r="F121" s="1356"/>
      <c r="G121" s="1356"/>
      <c r="H121" s="1356"/>
      <c r="I121" s="1357"/>
      <c r="J121" s="1356"/>
      <c r="K121" s="1356"/>
      <c r="L121" s="1356"/>
      <c r="M121" s="1356"/>
      <c r="N121" s="1356"/>
      <c r="O121" s="1356"/>
      <c r="P121" s="1356"/>
      <c r="Q121" s="1356"/>
      <c r="R121" s="1356"/>
      <c r="S121" s="1356"/>
      <c r="T121" s="1356"/>
    </row>
    <row r="122" spans="1:20" s="1375" customFormat="1">
      <c r="A122" s="1336"/>
      <c r="B122" s="1335"/>
      <c r="C122" s="1335"/>
      <c r="D122" s="1335"/>
      <c r="E122" s="1335"/>
      <c r="F122" s="1335"/>
      <c r="G122" s="1335"/>
      <c r="H122" s="1335"/>
      <c r="I122" s="1358"/>
      <c r="J122" s="1335"/>
      <c r="K122" s="1335"/>
      <c r="L122" s="1335"/>
      <c r="M122" s="1335"/>
      <c r="N122" s="1335"/>
      <c r="O122" s="1335"/>
      <c r="P122" s="1335"/>
      <c r="Q122" s="1335"/>
      <c r="R122" s="1335"/>
      <c r="S122" s="1335"/>
      <c r="T122" s="1335"/>
    </row>
    <row r="123" spans="1:20" s="1383" customFormat="1">
      <c r="A123" s="1365" t="s">
        <v>183</v>
      </c>
      <c r="B123" s="1366" t="s">
        <v>249</v>
      </c>
      <c r="C123" s="1366">
        <v>0</v>
      </c>
      <c r="D123" s="1366">
        <f>+'Inc Stmt'!D9/AVERAGE('Bal Sheet'!C86,'Bal Sheet'!D86)</f>
        <v>1.873247768819762</v>
      </c>
      <c r="E123" s="1366">
        <f>+'Inc Stmt'!E9/AVERAGE('Bal Sheet'!D86,'Bal Sheet'!E86)</f>
        <v>2.184310579580222</v>
      </c>
      <c r="F123" s="1366">
        <f>+'Inc Stmt'!F9/AVERAGE('Bal Sheet'!E86,'Bal Sheet'!F86)</f>
        <v>2.7467297035106237</v>
      </c>
      <c r="G123" s="1366">
        <f>+'Inc Stmt'!G9/AVERAGE('Bal Sheet'!F86,'Bal Sheet'!G86)</f>
        <v>3.1621432303384216</v>
      </c>
      <c r="H123" s="1366">
        <f>+'Inc Stmt'!H9/AVERAGE('Bal Sheet'!G86,'Bal Sheet'!H86)</f>
        <v>2.9257003614559474</v>
      </c>
      <c r="I123" s="1367">
        <f>+'Inc Stmt'!I9/AVERAGE('Bal Sheet'!H86,'Bal Sheet'!I86)</f>
        <v>2.7855036924914605</v>
      </c>
      <c r="J123" s="1366">
        <f>+'Inc Stmt'!J9/AVERAGE('Bal Sheet'!I86,'Bal Sheet'!J86)</f>
        <v>3.5382927802153965</v>
      </c>
      <c r="K123" s="1366">
        <f>+'Inc Stmt'!K9/AVERAGE('Bal Sheet'!J86,'Bal Sheet'!K86)</f>
        <v>4.8442880712778038</v>
      </c>
      <c r="L123" s="1366">
        <f>+'Inc Stmt'!L9/AVERAGE('Bal Sheet'!K86,'Bal Sheet'!L86)</f>
        <v>5.7566855323664656</v>
      </c>
      <c r="M123" s="1366">
        <f>+'Inc Stmt'!M9/AVERAGE('Bal Sheet'!L86,'Bal Sheet'!M86)</f>
        <v>5.5372800186078193</v>
      </c>
      <c r="N123" s="1366">
        <f>+'Inc Stmt'!N9/AVERAGE('Bal Sheet'!M86,'Bal Sheet'!N86)</f>
        <v>5.0973413492978024</v>
      </c>
      <c r="O123" s="1366">
        <f>+'Inc Stmt'!O9/AVERAGE('Bal Sheet'!N86,'Bal Sheet'!O86)</f>
        <v>5.285434613809084</v>
      </c>
      <c r="P123" s="1366">
        <f>+'Inc Stmt'!P9/AVERAGE('Bal Sheet'!O86,'Bal Sheet'!P86)</f>
        <v>5.3200081025442927</v>
      </c>
      <c r="Q123" s="1366">
        <f>+'Inc Stmt'!Q9/AVERAGE('Bal Sheet'!P86,'Bal Sheet'!Q86)</f>
        <v>4.7941589119541881</v>
      </c>
      <c r="R123" s="1193"/>
      <c r="S123" s="1193"/>
      <c r="T123" s="1193"/>
    </row>
    <row r="124" spans="1:20" s="1383" customFormat="1">
      <c r="A124" s="1365" t="s">
        <v>183</v>
      </c>
      <c r="B124" s="1366" t="s">
        <v>250</v>
      </c>
      <c r="C124" s="1366">
        <v>0</v>
      </c>
      <c r="D124" s="1366">
        <f>+'Inc Stmt'!D9/AVERAGE('Bal Sheet'!C15,'Bal Sheet'!D15)</f>
        <v>3.9976524576254024</v>
      </c>
      <c r="E124" s="1366">
        <f>+'Inc Stmt'!E9/AVERAGE('Bal Sheet'!D15,'Bal Sheet'!E15)</f>
        <v>5.0887727098153679</v>
      </c>
      <c r="F124" s="1366">
        <f>+'Inc Stmt'!F9/AVERAGE('Bal Sheet'!E15,'Bal Sheet'!F15)</f>
        <v>6.8453569629803663</v>
      </c>
      <c r="G124" s="1366">
        <f>+'Inc Stmt'!G9/AVERAGE('Bal Sheet'!F15,'Bal Sheet'!G15)</f>
        <v>7.9370025318131416</v>
      </c>
      <c r="H124" s="1366">
        <f>+'Inc Stmt'!H9/AVERAGE('Bal Sheet'!G15,'Bal Sheet'!H15)</f>
        <v>6.9996506753609689</v>
      </c>
      <c r="I124" s="1367">
        <f>+'Inc Stmt'!I9/AVERAGE('Bal Sheet'!H15,'Bal Sheet'!I15)</f>
        <v>6.1865262064512523</v>
      </c>
      <c r="J124" s="1366">
        <f>+'Inc Stmt'!J9/AVERAGE('Bal Sheet'!I15,'Bal Sheet'!J15)</f>
        <v>7.735339001526051</v>
      </c>
      <c r="K124" s="1366">
        <f>+'Inc Stmt'!K9/AVERAGE('Bal Sheet'!J15,'Bal Sheet'!K15)</f>
        <v>10.68497426207076</v>
      </c>
      <c r="L124" s="1366">
        <f>+'Inc Stmt'!L9/AVERAGE('Bal Sheet'!K15,'Bal Sheet'!L15)</f>
        <v>12.724410577515123</v>
      </c>
      <c r="M124" s="1366">
        <f>+'Inc Stmt'!M9/AVERAGE('Bal Sheet'!L15,'Bal Sheet'!M15)</f>
        <v>11.050585485270307</v>
      </c>
      <c r="N124" s="1366">
        <f>+'Inc Stmt'!N9/AVERAGE('Bal Sheet'!M15,'Bal Sheet'!N15)</f>
        <v>9.4864079772508987</v>
      </c>
      <c r="O124" s="1366">
        <f>+'Inc Stmt'!O9/AVERAGE('Bal Sheet'!N15,'Bal Sheet'!O15)</f>
        <v>10.000282258437675</v>
      </c>
      <c r="P124" s="1366">
        <f>+'Inc Stmt'!P9/AVERAGE('Bal Sheet'!O15,'Bal Sheet'!P15)</f>
        <v>10.628725509342155</v>
      </c>
      <c r="Q124" s="1366">
        <f>+'Inc Stmt'!Q9/AVERAGE('Bal Sheet'!P15,'Bal Sheet'!Q15)</f>
        <v>10.493683304688648</v>
      </c>
      <c r="R124" s="1193"/>
      <c r="S124" s="1193"/>
      <c r="T124" s="1193"/>
    </row>
    <row r="125" spans="1:20" s="1383" customFormat="1">
      <c r="A125" s="1365" t="s">
        <v>183</v>
      </c>
      <c r="B125" s="1366" t="s">
        <v>201</v>
      </c>
      <c r="C125" s="1366">
        <v>0</v>
      </c>
      <c r="D125" s="1366">
        <f>+'Inc Stmt'!D9/AVERAGE('Bal Sheet'!C21,'Bal Sheet'!D21)</f>
        <v>0.7645758794084796</v>
      </c>
      <c r="E125" s="1366">
        <f>+'Inc Stmt'!E9/AVERAGE('Bal Sheet'!D21,'Bal Sheet'!E21)</f>
        <v>0.78369603196076743</v>
      </c>
      <c r="F125" s="1366">
        <f>+'Inc Stmt'!F9/AVERAGE('Bal Sheet'!E21,'Bal Sheet'!F21)</f>
        <v>0.86308377826158245</v>
      </c>
      <c r="G125" s="1366">
        <f>+'Inc Stmt'!G9/AVERAGE('Bal Sheet'!F21,'Bal Sheet'!G21)</f>
        <v>0.90178932347140417</v>
      </c>
      <c r="H125" s="1366">
        <f>+'Inc Stmt'!H9/AVERAGE('Bal Sheet'!G21,'Bal Sheet'!H21)</f>
        <v>1.1032175419535759</v>
      </c>
      <c r="I125" s="1367">
        <f>+'Inc Stmt'!I9/AVERAGE('Bal Sheet'!H21,'Bal Sheet'!I21)</f>
        <v>1.644489674844829</v>
      </c>
      <c r="J125" s="1366">
        <f>+'Inc Stmt'!J9/AVERAGE('Bal Sheet'!I21,'Bal Sheet'!J21)</f>
        <v>1.6499659220412903</v>
      </c>
      <c r="K125" s="1366">
        <f>+'Inc Stmt'!K9/AVERAGE('Bal Sheet'!J21,'Bal Sheet'!K21)</f>
        <v>1.8495071772007843</v>
      </c>
      <c r="L125" s="1366">
        <f>+'Inc Stmt'!L9/AVERAGE('Bal Sheet'!K21,'Bal Sheet'!L21)</f>
        <v>1.9313336936436221</v>
      </c>
      <c r="M125" s="1366">
        <f>+'Inc Stmt'!M9/AVERAGE('Bal Sheet'!L21,'Bal Sheet'!M21)</f>
        <v>1.7094428074278665</v>
      </c>
      <c r="N125" s="1366">
        <f>+'Inc Stmt'!N9/AVERAGE('Bal Sheet'!M21,'Bal Sheet'!N21)</f>
        <v>1.4943284591578607</v>
      </c>
      <c r="O125" s="1366">
        <f>+'Inc Stmt'!O9/AVERAGE('Bal Sheet'!N21,'Bal Sheet'!O21)</f>
        <v>1.4395933277291446</v>
      </c>
      <c r="P125" s="1366">
        <f>+'Inc Stmt'!P9/AVERAGE('Bal Sheet'!O21,'Bal Sheet'!P21)</f>
        <v>1.4616632848226658</v>
      </c>
      <c r="Q125" s="1366">
        <f>+'Inc Stmt'!Q9/AVERAGE('Bal Sheet'!P21,'Bal Sheet'!Q21)</f>
        <v>1.2639112784927524</v>
      </c>
      <c r="R125" s="1193"/>
      <c r="S125" s="1193"/>
      <c r="T125" s="1193"/>
    </row>
    <row r="126" spans="1:20" s="1383" customFormat="1">
      <c r="A126" s="1365" t="s">
        <v>183</v>
      </c>
      <c r="B126" s="1366" t="s">
        <v>313</v>
      </c>
      <c r="C126" s="1366">
        <v>0</v>
      </c>
      <c r="D126" s="1366">
        <f>+'Inc Stmt'!D9/AVERAGE(C88,D88)</f>
        <v>1.6958291770634404</v>
      </c>
      <c r="E126" s="1366">
        <f>+'Inc Stmt'!E9/AVERAGE(D88,E88)</f>
        <v>2.1161822415169067</v>
      </c>
      <c r="F126" s="1366">
        <f>+'Inc Stmt'!F9/AVERAGE(E88,F88)</f>
        <v>2.6662879583624033</v>
      </c>
      <c r="G126" s="1366">
        <f>+'Inc Stmt'!G9/AVERAGE(F88,G88)</f>
        <v>2.7784779054291828</v>
      </c>
      <c r="H126" s="1366">
        <f>+'Inc Stmt'!H9/AVERAGE(G88,H88)</f>
        <v>2.8048681857065092</v>
      </c>
      <c r="I126" s="1367">
        <f>+'Inc Stmt'!I9/AVERAGE(H88,I88)</f>
        <v>3.0361190570089711</v>
      </c>
      <c r="J126" s="1366">
        <f>+'Inc Stmt'!J9/AVERAGE(I88,J88)</f>
        <v>3.5905361727835672</v>
      </c>
      <c r="K126" s="1366">
        <f>+'Inc Stmt'!K9/AVERAGE(J88,K88)</f>
        <v>5.8716616984898513</v>
      </c>
      <c r="L126" s="1366">
        <f>+'Inc Stmt'!L9/AVERAGE(K88,L88)</f>
        <v>7.585852209936701</v>
      </c>
      <c r="M126" s="1366">
        <f>+'Inc Stmt'!M9/AVERAGE(L88,M88)</f>
        <v>6.0647623726793398</v>
      </c>
      <c r="N126" s="1366">
        <f>+'Inc Stmt'!N9/AVERAGE(M88,N88)</f>
        <v>5.4330385310216496</v>
      </c>
      <c r="O126" s="1366">
        <f>+'Inc Stmt'!O9/AVERAGE(N88,O88)</f>
        <v>5.621351240912972</v>
      </c>
      <c r="P126" s="1366">
        <f>+'Inc Stmt'!P9/AVERAGE(O88,P88)</f>
        <v>5.9864524711372233</v>
      </c>
      <c r="Q126" s="1366">
        <f>+'Inc Stmt'!Q9/AVERAGE(P88,Q88)</f>
        <v>6.3123661016240389</v>
      </c>
      <c r="R126" s="1193"/>
      <c r="S126" s="1193"/>
      <c r="T126" s="1193"/>
    </row>
    <row r="127" spans="1:20" s="1383" customFormat="1">
      <c r="A127" s="1365"/>
      <c r="B127" s="1366"/>
      <c r="C127" s="1366"/>
      <c r="D127" s="1366"/>
      <c r="E127" s="1366"/>
      <c r="F127" s="1366"/>
      <c r="G127" s="1366"/>
      <c r="H127" s="1366"/>
      <c r="I127" s="1367"/>
      <c r="J127" s="1366"/>
      <c r="K127" s="1366"/>
      <c r="L127" s="1366"/>
      <c r="M127" s="1366"/>
      <c r="N127" s="1366"/>
      <c r="O127" s="1366"/>
      <c r="P127" s="1366"/>
      <c r="Q127" s="1366"/>
      <c r="R127" s="1366"/>
      <c r="S127" s="1366"/>
      <c r="T127" s="1366"/>
    </row>
    <row r="128" spans="1:20" s="1375" customFormat="1">
      <c r="A128" s="1336" t="s">
        <v>203</v>
      </c>
      <c r="B128" s="1335" t="s">
        <v>204</v>
      </c>
      <c r="C128" s="1335">
        <v>0</v>
      </c>
      <c r="D128" s="1335">
        <f>+AVERAGE('Bal Sheet'!C9,'Bal Sheet'!D9)*365/'Inc Stmt'!D10</f>
        <v>23.419389492801361</v>
      </c>
      <c r="E128" s="1335">
        <f>+AVERAGE('Bal Sheet'!D9,'Bal Sheet'!E9)*365/'Inc Stmt'!E10</f>
        <v>18.985191541754361</v>
      </c>
      <c r="F128" s="1335">
        <f>+AVERAGE('Bal Sheet'!E9,'Bal Sheet'!F9)*365/'Inc Stmt'!F10</f>
        <v>17.038143240806814</v>
      </c>
      <c r="G128" s="1335">
        <f>+AVERAGE('Bal Sheet'!F9,'Bal Sheet'!G9)*365/'Inc Stmt'!G10</f>
        <v>15.407885947129477</v>
      </c>
      <c r="H128" s="1335">
        <f>+AVERAGE('Bal Sheet'!G9,'Bal Sheet'!H9)*365/'Inc Stmt'!H10</f>
        <v>18.633263537328023</v>
      </c>
      <c r="I128" s="1358">
        <f>+AVERAGE('Bal Sheet'!H9,'Bal Sheet'!I9)*365/'Inc Stmt'!I10</f>
        <v>20.84089857418553</v>
      </c>
      <c r="J128" s="1335">
        <f>+AVERAGE('Bal Sheet'!I9,'Bal Sheet'!J9)*365/'Inc Stmt'!J10</f>
        <v>18.497073889403801</v>
      </c>
      <c r="K128" s="1335">
        <f>+AVERAGE('Bal Sheet'!J9,'Bal Sheet'!K9)*365/'Inc Stmt'!K10</f>
        <v>15.366967092444067</v>
      </c>
      <c r="L128" s="1335">
        <f>+AVERAGE('Bal Sheet'!K9,'Bal Sheet'!L9)*365/'Inc Stmt'!L10</f>
        <v>15.863122884246382</v>
      </c>
      <c r="M128" s="1335">
        <f>+AVERAGE('Bal Sheet'!L9,'Bal Sheet'!M9)*365/'Inc Stmt'!M10</f>
        <v>16.655791420164551</v>
      </c>
      <c r="N128" s="1335">
        <f>+AVERAGE('Bal Sheet'!M9,'Bal Sheet'!N9)*365/'Inc Stmt'!N10</f>
        <v>16.781403607637856</v>
      </c>
      <c r="O128" s="1335">
        <f>+AVERAGE('Bal Sheet'!N9,'Bal Sheet'!O9)*365/'Inc Stmt'!O10</f>
        <v>17.867666567899903</v>
      </c>
      <c r="P128" s="1335">
        <f>+AVERAGE('Bal Sheet'!O9,'Bal Sheet'!P9)*365/'Inc Stmt'!P10</f>
        <v>18.583731933484138</v>
      </c>
      <c r="Q128" s="1335">
        <f>+AVERAGE('Bal Sheet'!P9,'Bal Sheet'!Q9)*365/'Inc Stmt'!Q10</f>
        <v>17.473531795010306</v>
      </c>
      <c r="R128" s="1100"/>
      <c r="S128" s="1100"/>
      <c r="T128" s="1100"/>
    </row>
    <row r="129" spans="1:20" s="1375" customFormat="1">
      <c r="A129" s="1336" t="s">
        <v>203</v>
      </c>
      <c r="B129" s="1335" t="s">
        <v>205</v>
      </c>
      <c r="C129" s="1335">
        <v>0</v>
      </c>
      <c r="D129" s="1335">
        <f>+AVERAGE('Bal Sheet'!C10,'Bal Sheet'!D10)*365/'Inc Stmt'!D9</f>
        <v>11.013181613678166</v>
      </c>
      <c r="E129" s="1335">
        <f>+AVERAGE('Bal Sheet'!D10,'Bal Sheet'!E10)*365/'Inc Stmt'!E9</f>
        <v>9.5197424598116793</v>
      </c>
      <c r="F129" s="1335">
        <f>+AVERAGE('Bal Sheet'!E10,'Bal Sheet'!F10)*365/'Inc Stmt'!F9</f>
        <v>11.266800984632397</v>
      </c>
      <c r="G129" s="1335">
        <f>+AVERAGE('Bal Sheet'!F10,'Bal Sheet'!G10)*365/'Inc Stmt'!G9</f>
        <v>15.816709789196501</v>
      </c>
      <c r="H129" s="1335">
        <f>+AVERAGE('Bal Sheet'!G10,'Bal Sheet'!H10)*365/'Inc Stmt'!H9</f>
        <v>15.84117689462623</v>
      </c>
      <c r="I129" s="1358">
        <f>+AVERAGE('Bal Sheet'!H10,'Bal Sheet'!I10)*365/'Inc Stmt'!I9</f>
        <v>11.051477570134805</v>
      </c>
      <c r="J129" s="1335">
        <f>+AVERAGE('Bal Sheet'!I10,'Bal Sheet'!J10)*365/'Inc Stmt'!J9</f>
        <v>8.5025116792453943</v>
      </c>
      <c r="K129" s="1335">
        <f>+AVERAGE('Bal Sheet'!J10,'Bal Sheet'!K10)*365/'Inc Stmt'!K9</f>
        <v>7.0737512524217561</v>
      </c>
      <c r="L129" s="1335">
        <f>+AVERAGE('Bal Sheet'!K10,'Bal Sheet'!L10)*365/'Inc Stmt'!L9</f>
        <v>7.3410324041501402</v>
      </c>
      <c r="M129" s="1335">
        <f>+AVERAGE('Bal Sheet'!L10,'Bal Sheet'!M10)*365/'Inc Stmt'!M9</f>
        <v>10.863619997749691</v>
      </c>
      <c r="N129" s="1335">
        <f>+AVERAGE('Bal Sheet'!M10,'Bal Sheet'!N10)*365/'Inc Stmt'!N9</f>
        <v>14.163702988310884</v>
      </c>
      <c r="O129" s="1335">
        <f>+AVERAGE('Bal Sheet'!N10,'Bal Sheet'!O10)*365/'Inc Stmt'!O9</f>
        <v>12.777780733953019</v>
      </c>
      <c r="P129" s="1335">
        <f>+AVERAGE('Bal Sheet'!O10,'Bal Sheet'!P10)*365/'Inc Stmt'!P9</f>
        <v>11.593969544666466</v>
      </c>
      <c r="Q129" s="1335">
        <f>+AVERAGE('Bal Sheet'!P10,'Bal Sheet'!Q10)*365/'Inc Stmt'!Q9</f>
        <v>11.519394092254768</v>
      </c>
      <c r="R129" s="1100"/>
      <c r="S129" s="1100"/>
      <c r="T129" s="1100"/>
    </row>
    <row r="130" spans="1:20" s="1375" customFormat="1">
      <c r="A130" s="1336" t="s">
        <v>203</v>
      </c>
      <c r="B130" s="1335" t="s">
        <v>206</v>
      </c>
      <c r="C130" s="1335">
        <v>0</v>
      </c>
      <c r="D130" s="1335">
        <f>+AVERAGE('Bal Sheet'!C135,'Bal Sheet'!D135)*365/'Inc Stmt'!D10</f>
        <v>59.143012243070729</v>
      </c>
      <c r="E130" s="1335">
        <f>+AVERAGE('Bal Sheet'!D135,'Bal Sheet'!E135)*365/'Inc Stmt'!E10</f>
        <v>60.430815397351495</v>
      </c>
      <c r="F130" s="1335">
        <f>+AVERAGE('Bal Sheet'!E135,'Bal Sheet'!F135)*365/'Inc Stmt'!F10</f>
        <v>64.812558361191435</v>
      </c>
      <c r="G130" s="1335">
        <f>+AVERAGE('Bal Sheet'!F135,'Bal Sheet'!G135)*365/'Inc Stmt'!G10</f>
        <v>66.915600035357159</v>
      </c>
      <c r="H130" s="1335">
        <f>+AVERAGE('Bal Sheet'!G135,'Bal Sheet'!H135)*365/'Inc Stmt'!H10</f>
        <v>64.113998631273134</v>
      </c>
      <c r="I130" s="1358">
        <f>+AVERAGE('Bal Sheet'!H135,'Bal Sheet'!I135)*365/'Inc Stmt'!I10</f>
        <v>61.708988682317141</v>
      </c>
      <c r="J130" s="1335">
        <f>+AVERAGE('Bal Sheet'!I135,'Bal Sheet'!J135)*365/'Inc Stmt'!J10</f>
        <v>63.433948458820083</v>
      </c>
      <c r="K130" s="1335">
        <f>+AVERAGE('Bal Sheet'!J135,'Bal Sheet'!K135)*365/'Inc Stmt'!K10</f>
        <v>54.357693699618864</v>
      </c>
      <c r="L130" s="1335">
        <f>+AVERAGE('Bal Sheet'!K135,'Bal Sheet'!L135)*365/'Inc Stmt'!L10</f>
        <v>47.456465289231595</v>
      </c>
      <c r="M130" s="1335">
        <f>+AVERAGE('Bal Sheet'!L135,'Bal Sheet'!M135)*365/'Inc Stmt'!M10</f>
        <v>46.917720526121073</v>
      </c>
      <c r="N130" s="1335">
        <f>+AVERAGE('Bal Sheet'!M135,'Bal Sheet'!N135)*365/'Inc Stmt'!N10</f>
        <v>53.803205307901678</v>
      </c>
      <c r="O130" s="1335">
        <f>+AVERAGE('Bal Sheet'!N135,'Bal Sheet'!O135)*365/'Inc Stmt'!O10</f>
        <v>48.066968915406271</v>
      </c>
      <c r="P130" s="1335">
        <f>+AVERAGE('Bal Sheet'!O135,'Bal Sheet'!P135)*365/'Inc Stmt'!P10</f>
        <v>46.383454119916102</v>
      </c>
      <c r="Q130" s="1335">
        <f>+AVERAGE('Bal Sheet'!P135,'Bal Sheet'!Q135)*365/'Inc Stmt'!Q10</f>
        <v>47.566394766912609</v>
      </c>
      <c r="R130" s="1100"/>
      <c r="S130" s="1100"/>
      <c r="T130" s="1100"/>
    </row>
    <row r="131" spans="1:20" s="1375" customFormat="1">
      <c r="A131" s="1336" t="s">
        <v>203</v>
      </c>
      <c r="B131" s="1335" t="s">
        <v>207</v>
      </c>
      <c r="C131" s="1335">
        <v>0</v>
      </c>
      <c r="D131" s="1335">
        <f>+D128+D129-D130</f>
        <v>-24.7104411365912</v>
      </c>
      <c r="E131" s="1335">
        <f>+E128+E129-E130</f>
        <v>-31.925881395785453</v>
      </c>
      <c r="F131" s="1335">
        <f>+F128+F129-F130</f>
        <v>-36.50761413575222</v>
      </c>
      <c r="G131" s="1335">
        <f>+G128+G129-G130</f>
        <v>-35.691004299031178</v>
      </c>
      <c r="H131" s="1335">
        <f>+H128+H129-H130</f>
        <v>-29.639558199318884</v>
      </c>
      <c r="I131" s="1358">
        <f t="shared" ref="I131:N131" si="1">+I128+I129-I130</f>
        <v>-29.816612537996804</v>
      </c>
      <c r="J131" s="1335">
        <f t="shared" si="1"/>
        <v>-36.434362890170888</v>
      </c>
      <c r="K131" s="1335">
        <f t="shared" si="1"/>
        <v>-31.916975354753042</v>
      </c>
      <c r="L131" s="1335">
        <f t="shared" si="1"/>
        <v>-24.252310000835074</v>
      </c>
      <c r="M131" s="1335">
        <f t="shared" si="1"/>
        <v>-19.398309108206831</v>
      </c>
      <c r="N131" s="1335">
        <f t="shared" si="1"/>
        <v>-22.858098711952938</v>
      </c>
      <c r="O131" s="1335">
        <f>+O128+O129-O130</f>
        <v>-17.421521613553349</v>
      </c>
      <c r="P131" s="1335">
        <f>+P128+P129-P130</f>
        <v>-16.2057526417655</v>
      </c>
      <c r="Q131" s="1335">
        <f>+Q128+Q129-Q130</f>
        <v>-18.573468879647535</v>
      </c>
      <c r="R131" s="1100"/>
      <c r="S131" s="1100"/>
      <c r="T131" s="1100"/>
    </row>
    <row r="132" spans="1:20" s="1375" customFormat="1">
      <c r="A132" s="1336"/>
      <c r="B132" s="1335"/>
      <c r="C132" s="1335"/>
      <c r="D132" s="1335"/>
      <c r="E132" s="1335"/>
      <c r="F132" s="1335"/>
      <c r="G132" s="1335"/>
      <c r="H132" s="1335"/>
      <c r="I132" s="1358"/>
      <c r="J132" s="1335"/>
      <c r="K132" s="1335"/>
      <c r="L132" s="1335"/>
      <c r="M132" s="1335"/>
      <c r="N132" s="1335"/>
      <c r="O132" s="1335"/>
      <c r="P132" s="1335"/>
      <c r="Q132" s="1335"/>
      <c r="R132" s="1335"/>
      <c r="S132" s="1335"/>
      <c r="T132" s="1335"/>
    </row>
    <row r="133" spans="1:20" s="1382" customFormat="1">
      <c r="A133" s="1362" t="s">
        <v>163</v>
      </c>
      <c r="B133" s="1363" t="s">
        <v>208</v>
      </c>
      <c r="C133" s="1363">
        <f>+('Bal Sheet'!C14-'Bal Sheet'!C81-'Bal Sheet'!C23)/'Inc Stmt'!C9</f>
        <v>0.38689654919998712</v>
      </c>
      <c r="D133" s="1363">
        <f>+('Bal Sheet'!D14-'Bal Sheet'!D81-'Bal Sheet'!D23)/'Inc Stmt'!D9</f>
        <v>0.26085794093693954</v>
      </c>
      <c r="E133" s="1363">
        <f>+('Bal Sheet'!E14-'Bal Sheet'!E81-'Bal Sheet'!E23)/'Inc Stmt'!E9</f>
        <v>0.2851104401929902</v>
      </c>
      <c r="F133" s="1363">
        <f>+('Bal Sheet'!F14-'Bal Sheet'!F81-'Bal Sheet'!F23)/'Inc Stmt'!F9</f>
        <v>0.19960573365577397</v>
      </c>
      <c r="G133" s="1363">
        <f>+('Bal Sheet'!G14-'Bal Sheet'!G81-'Bal Sheet'!G23)/'Inc Stmt'!G9</f>
        <v>0.23310976334383424</v>
      </c>
      <c r="H133" s="1363">
        <f>+('Bal Sheet'!H14-'Bal Sheet'!H81-'Bal Sheet'!H23)/'Inc Stmt'!H9</f>
        <v>6.0675727380100831E-2</v>
      </c>
      <c r="I133" s="1364">
        <f>+('Bal Sheet'!I14-'Bal Sheet'!I81-'Bal Sheet'!I23)/'Inc Stmt'!I9</f>
        <v>0.10497446910370159</v>
      </c>
      <c r="J133" s="1363">
        <f>+('Bal Sheet'!J14-'Bal Sheet'!J81-'Bal Sheet'!J23)/'Inc Stmt'!J9</f>
        <v>7.3469246967350285E-2</v>
      </c>
      <c r="K133" s="1363">
        <f>+('Bal Sheet'!K14-'Bal Sheet'!K81-'Bal Sheet'!K23)/'Inc Stmt'!K9</f>
        <v>-6.741581256025803E-3</v>
      </c>
      <c r="L133" s="1363">
        <f>+('Bal Sheet'!L14-'Bal Sheet'!L81-'Bal Sheet'!L23)/'Inc Stmt'!L9</f>
        <v>1.5457028477677801E-2</v>
      </c>
      <c r="M133" s="1363">
        <f>+('Bal Sheet'!M14-'Bal Sheet'!M81-'Bal Sheet'!M23)/'Inc Stmt'!M9</f>
        <v>3.7180612334195944E-2</v>
      </c>
      <c r="N133" s="1363">
        <f>+('Bal Sheet'!N14-'Bal Sheet'!N81-'Bal Sheet'!N23)/'Inc Stmt'!N9</f>
        <v>2.9153066253224027E-2</v>
      </c>
      <c r="O133" s="1363">
        <f>+('Bal Sheet'!O14-'Bal Sheet'!O81-'Bal Sheet'!O23)/'Inc Stmt'!O9</f>
        <v>4.7467958787729594E-2</v>
      </c>
      <c r="P133" s="1363">
        <f>+('Bal Sheet'!P14-'Bal Sheet'!P81-'Bal Sheet'!P23)/'Inc Stmt'!P9</f>
        <v>2.4851105880852809E-2</v>
      </c>
      <c r="Q133" s="1363">
        <f>+('Bal Sheet'!Q14-'Bal Sheet'!Q81-'Bal Sheet'!Q23)/'Inc Stmt'!Q9</f>
        <v>2.4109792939384197E-2</v>
      </c>
      <c r="R133" s="1192"/>
      <c r="S133" s="1192"/>
      <c r="T133" s="1192"/>
    </row>
    <row r="134" spans="1:20" s="1382" customFormat="1">
      <c r="A134" s="1362" t="s">
        <v>163</v>
      </c>
      <c r="B134" s="1363" t="s">
        <v>233</v>
      </c>
      <c r="C134" s="1363">
        <f>+'Bal Sheet'!C26/('Bal Sheet'!C14-'Bal Sheet'!C81-'Bal Sheet'!C23)</f>
        <v>3.2282170177642136E-2</v>
      </c>
      <c r="D134" s="1363">
        <f>+'Bal Sheet'!D26/('Bal Sheet'!D14-'Bal Sheet'!D81-'Bal Sheet'!D23)</f>
        <v>0</v>
      </c>
      <c r="E134" s="1363">
        <f>+'Bal Sheet'!E26/('Bal Sheet'!E14-'Bal Sheet'!E81-'Bal Sheet'!E23)</f>
        <v>0</v>
      </c>
      <c r="F134" s="1363">
        <f>+'Bal Sheet'!F26/('Bal Sheet'!F14-'Bal Sheet'!F81-'Bal Sheet'!F23)</f>
        <v>1.2943810916810128E-5</v>
      </c>
      <c r="G134" s="1363">
        <f>+'Bal Sheet'!G26/('Bal Sheet'!G14-'Bal Sheet'!G81-'Bal Sheet'!G23)</f>
        <v>1.0043914175066409E-2</v>
      </c>
      <c r="H134" s="1363">
        <f>+'Bal Sheet'!H26/('Bal Sheet'!H14-'Bal Sheet'!H81-'Bal Sheet'!H23)</f>
        <v>3.4801045493593599E-2</v>
      </c>
      <c r="I134" s="1364">
        <f>+'Bal Sheet'!I26/('Bal Sheet'!I14-'Bal Sheet'!I81-'Bal Sheet'!I23)</f>
        <v>0.29599170025828625</v>
      </c>
      <c r="J134" s="1363">
        <f>+'Bal Sheet'!J26/('Bal Sheet'!J14-'Bal Sheet'!J81-'Bal Sheet'!J23)</f>
        <v>1.4863332913465171E-2</v>
      </c>
      <c r="K134" s="1363">
        <f>+'Bal Sheet'!K26/('Bal Sheet'!K14-'Bal Sheet'!K81-'Bal Sheet'!K23)</f>
        <v>-1.4277702397105381</v>
      </c>
      <c r="L134" s="1363">
        <f>+'Bal Sheet'!L26/('Bal Sheet'!L14-'Bal Sheet'!L81-'Bal Sheet'!L23)</f>
        <v>0</v>
      </c>
      <c r="M134" s="1363">
        <f>+'Bal Sheet'!M26/('Bal Sheet'!M14-'Bal Sheet'!M81-'Bal Sheet'!M23)</f>
        <v>0</v>
      </c>
      <c r="N134" s="1363">
        <f>+'Bal Sheet'!N26/('Bal Sheet'!N14-'Bal Sheet'!N81-'Bal Sheet'!N23)</f>
        <v>0</v>
      </c>
      <c r="O134" s="1363">
        <f>+'Bal Sheet'!O26/('Bal Sheet'!O14-'Bal Sheet'!O81-'Bal Sheet'!O23)</f>
        <v>0</v>
      </c>
      <c r="P134" s="1363">
        <f>+'Bal Sheet'!P26/('Bal Sheet'!P14-'Bal Sheet'!P81-'Bal Sheet'!P23)</f>
        <v>0</v>
      </c>
      <c r="Q134" s="1363">
        <f>+'Bal Sheet'!Q26/('Bal Sheet'!Q14-'Bal Sheet'!Q81-'Bal Sheet'!Q23)</f>
        <v>0</v>
      </c>
      <c r="R134" s="1192"/>
      <c r="S134" s="1192"/>
      <c r="T134" s="1192"/>
    </row>
    <row r="135" spans="1:20" s="1375" customFormat="1">
      <c r="A135" s="1336"/>
      <c r="B135" s="1335"/>
      <c r="C135" s="1335"/>
      <c r="D135" s="1335"/>
      <c r="E135" s="1335"/>
      <c r="F135" s="1335"/>
      <c r="G135" s="1335"/>
      <c r="H135" s="1335"/>
      <c r="I135" s="1358"/>
      <c r="J135" s="1335"/>
      <c r="K135" s="1335"/>
      <c r="L135" s="1335"/>
      <c r="M135" s="1335"/>
      <c r="N135" s="1335"/>
      <c r="O135" s="1335"/>
      <c r="P135" s="1335"/>
      <c r="Q135" s="1335"/>
      <c r="R135" s="1335"/>
      <c r="S135" s="1335"/>
      <c r="T135" s="1335"/>
    </row>
    <row r="136" spans="1:20" s="1375" customFormat="1">
      <c r="A136" s="1336"/>
      <c r="B136" s="1335"/>
      <c r="C136" s="1335"/>
      <c r="D136" s="1335"/>
      <c r="E136" s="1335"/>
      <c r="F136" s="1335"/>
      <c r="G136" s="1335"/>
      <c r="H136" s="1335"/>
      <c r="I136" s="1358"/>
      <c r="J136" s="1335"/>
      <c r="K136" s="1335"/>
      <c r="L136" s="1335"/>
      <c r="M136" s="1335"/>
      <c r="N136" s="1335"/>
      <c r="O136" s="1335"/>
      <c r="P136" s="1335"/>
      <c r="Q136" s="1335"/>
      <c r="R136" s="1335"/>
      <c r="S136" s="1335"/>
      <c r="T136" s="1335"/>
    </row>
    <row r="137" spans="1:20" s="1379" customFormat="1" ht="12.75">
      <c r="A137" s="1355"/>
      <c r="B137" s="1356" t="s">
        <v>173</v>
      </c>
      <c r="C137" s="1356"/>
      <c r="D137" s="1356"/>
      <c r="E137" s="1356"/>
      <c r="F137" s="1356"/>
      <c r="G137" s="1356"/>
      <c r="H137" s="1356"/>
      <c r="I137" s="1357"/>
      <c r="J137" s="1356"/>
      <c r="K137" s="1356"/>
      <c r="L137" s="1356"/>
      <c r="M137" s="1356"/>
      <c r="N137" s="1356"/>
      <c r="O137" s="1356"/>
      <c r="P137" s="1356"/>
      <c r="Q137" s="1356"/>
      <c r="R137" s="1356"/>
      <c r="S137" s="1356"/>
      <c r="T137" s="1356"/>
    </row>
    <row r="138" spans="1:20" s="1375" customFormat="1">
      <c r="A138" s="1336"/>
      <c r="B138" s="1335"/>
      <c r="C138" s="1335"/>
      <c r="D138" s="1335"/>
      <c r="E138" s="1335"/>
      <c r="F138" s="1335"/>
      <c r="G138" s="1335"/>
      <c r="H138" s="1335"/>
      <c r="I138" s="1358"/>
      <c r="J138" s="1335"/>
      <c r="K138" s="1335"/>
      <c r="L138" s="1335"/>
      <c r="M138" s="1335"/>
      <c r="N138" s="1335"/>
      <c r="O138" s="1335"/>
      <c r="P138" s="1335"/>
      <c r="Q138" s="1335"/>
      <c r="R138" s="1335"/>
      <c r="S138" s="1335"/>
      <c r="T138" s="1335"/>
    </row>
    <row r="139" spans="1:20" s="1382" customFormat="1">
      <c r="A139" s="1362" t="s">
        <v>163</v>
      </c>
      <c r="B139" s="1363" t="s">
        <v>219</v>
      </c>
      <c r="C139" s="1363">
        <f>+'Inc Stmt'!C28/'Inc Stmt'!C30</f>
        <v>0.20844688082385937</v>
      </c>
      <c r="D139" s="1363">
        <f>+'Inc Stmt'!D28/'Inc Stmt'!D30</f>
        <v>0.29422695482956052</v>
      </c>
      <c r="E139" s="1363">
        <f>+'Inc Stmt'!E28/'Inc Stmt'!E30</f>
        <v>0.35588476963232096</v>
      </c>
      <c r="F139" s="1363">
        <f>+'Inc Stmt'!F28/'Inc Stmt'!F30</f>
        <v>0.23114636908263902</v>
      </c>
      <c r="G139" s="1363">
        <f>+'Inc Stmt'!G28/'Inc Stmt'!G30</f>
        <v>0.27962222440842344</v>
      </c>
      <c r="H139" s="1363">
        <f>+'Inc Stmt'!H28/'Inc Stmt'!H30</f>
        <v>0.13436831813446876</v>
      </c>
      <c r="I139" s="1364">
        <f>+'Inc Stmt'!I28/'Inc Stmt'!I30</f>
        <v>0.1371820841773575</v>
      </c>
      <c r="J139" s="1363">
        <f>+'Inc Stmt'!J28/'Inc Stmt'!J30</f>
        <v>6.5118844691078481E-2</v>
      </c>
      <c r="K139" s="1363">
        <f>+'Inc Stmt'!K28/'Inc Stmt'!K30</f>
        <v>0.13250818824340635</v>
      </c>
      <c r="L139" s="1363">
        <f>+'Inc Stmt'!L28/'Inc Stmt'!L30</f>
        <v>0.11773968809066683</v>
      </c>
      <c r="M139" s="1363">
        <f>+'Inc Stmt'!M28/'Inc Stmt'!M30</f>
        <v>0.13618919147622907</v>
      </c>
      <c r="N139" s="1363">
        <f>+'Inc Stmt'!N28/'Inc Stmt'!N30</f>
        <v>0.13078666096622493</v>
      </c>
      <c r="O139" s="1363">
        <f>+'Inc Stmt'!O28/'Inc Stmt'!O30</f>
        <v>0.13884330375214826</v>
      </c>
      <c r="P139" s="1363">
        <f>+'Inc Stmt'!P28/'Inc Stmt'!P30</f>
        <v>0.19353309345774172</v>
      </c>
      <c r="Q139" s="1363">
        <f>+'Inc Stmt'!Q28/'Inc Stmt'!Q30</f>
        <v>0.22902075293826601</v>
      </c>
      <c r="R139" s="1192"/>
      <c r="S139" s="1192"/>
      <c r="T139" s="1192"/>
    </row>
    <row r="140" spans="1:20" s="1382" customFormat="1">
      <c r="A140" s="1362" t="s">
        <v>163</v>
      </c>
      <c r="B140" s="1363" t="s">
        <v>232</v>
      </c>
      <c r="C140" s="1363">
        <f>+'Inc Stmt'!C28/'Inc Stmt'!C36</f>
        <v>0.3053092496488819</v>
      </c>
      <c r="D140" s="1363">
        <f>+'Inc Stmt'!D28/'Inc Stmt'!D36</f>
        <v>0.38269889680091218</v>
      </c>
      <c r="E140" s="1363">
        <f>+'Inc Stmt'!E28/'Inc Stmt'!E36</f>
        <v>0.50544628360624455</v>
      </c>
      <c r="F140" s="1363">
        <f>+'Inc Stmt'!F28/'Inc Stmt'!F36</f>
        <v>0.3316751692961275</v>
      </c>
      <c r="G140" s="1363">
        <f>+'Inc Stmt'!G28/'Inc Stmt'!G36</f>
        <v>0.39032409202533258</v>
      </c>
      <c r="H140" s="1363">
        <f>+'Inc Stmt'!H28/'Inc Stmt'!H36</f>
        <v>0.19618175996584647</v>
      </c>
      <c r="I140" s="1364">
        <f>+'Inc Stmt'!I28/'Inc Stmt'!I36</f>
        <v>0.22660941014630118</v>
      </c>
      <c r="J140" s="1363">
        <f>+'Inc Stmt'!J28/'Inc Stmt'!J36</f>
        <v>9.2162030487840732E-2</v>
      </c>
      <c r="K140" s="1363">
        <f>+'Inc Stmt'!K28/'Inc Stmt'!K36</f>
        <v>0.17262173888308349</v>
      </c>
      <c r="L140" s="1363">
        <f>+'Inc Stmt'!L28/'Inc Stmt'!L36</f>
        <v>0.15780030292438543</v>
      </c>
      <c r="M140" s="1363">
        <f>+'Inc Stmt'!M28/'Inc Stmt'!M36</f>
        <v>0.17978886636417091</v>
      </c>
      <c r="N140" s="1363">
        <f>+'Inc Stmt'!N28/'Inc Stmt'!N36</f>
        <v>0.1886429436957146</v>
      </c>
      <c r="O140" s="1363">
        <f>+'Inc Stmt'!O28/'Inc Stmt'!O36</f>
        <v>0.20356536140510489</v>
      </c>
      <c r="P140" s="1363">
        <f>+'Inc Stmt'!P28/'Inc Stmt'!P36</f>
        <v>0.27320105759516694</v>
      </c>
      <c r="Q140" s="1363">
        <f>+'Inc Stmt'!Q28/'Inc Stmt'!Q36</f>
        <v>0.31925560931768548</v>
      </c>
      <c r="R140" s="1192"/>
      <c r="S140" s="1192"/>
      <c r="T140" s="1192"/>
    </row>
    <row r="141" spans="1:20" s="1382" customFormat="1">
      <c r="A141" s="1362" t="s">
        <v>163</v>
      </c>
      <c r="B141" s="1363" t="s">
        <v>220</v>
      </c>
      <c r="C141" s="1363">
        <f>+Cashflow!C68/'Inc Stmt'!C9</f>
        <v>0.16165797736523971</v>
      </c>
      <c r="D141" s="1363">
        <f>+Cashflow!D68/'Inc Stmt'!D9</f>
        <v>0.19932172955554936</v>
      </c>
      <c r="E141" s="1363">
        <f>+Cashflow!E68/'Inc Stmt'!E9</f>
        <v>0.11554318327759465</v>
      </c>
      <c r="F141" s="1363">
        <f>+Cashflow!F68/'Inc Stmt'!F9</f>
        <v>0.17884732642979687</v>
      </c>
      <c r="G141" s="1363">
        <f>+Cashflow!G68/'Inc Stmt'!G9</f>
        <v>0.10161871066068162</v>
      </c>
      <c r="H141" s="1363">
        <f>+Cashflow!H68/'Inc Stmt'!H9</f>
        <v>0</v>
      </c>
      <c r="I141" s="1364">
        <f>+Cashflow!I68/'Inc Stmt'!I9</f>
        <v>4.3405359843263783E-2</v>
      </c>
      <c r="J141" s="1363">
        <f>+Cashflow!J68/'Inc Stmt'!J9</f>
        <v>0.23479132156140547</v>
      </c>
      <c r="K141" s="1363">
        <f>+Cashflow!K68/'Inc Stmt'!K9</f>
        <v>0.14500589392879604</v>
      </c>
      <c r="L141" s="1363">
        <f>+Cashflow!L68/'Inc Stmt'!L9</f>
        <v>0.16704917512332951</v>
      </c>
      <c r="M141" s="1363">
        <f>+Cashflow!M68/'Inc Stmt'!M9</f>
        <v>7.2633487104477007E-2</v>
      </c>
      <c r="N141" s="1363">
        <f>+Cashflow!N68/'Inc Stmt'!N9</f>
        <v>0.16236722381834592</v>
      </c>
      <c r="O141" s="1363">
        <f>+Cashflow!O68/'Inc Stmt'!O9</f>
        <v>0.11447255484334877</v>
      </c>
      <c r="P141" s="1363">
        <f>+Cashflow!P68/'Inc Stmt'!P9</f>
        <v>9.0874911230238165E-2</v>
      </c>
      <c r="Q141" s="1363">
        <f>+Cashflow!Q68/'Inc Stmt'!Q9</f>
        <v>0.22866583417049202</v>
      </c>
      <c r="R141" s="1192"/>
      <c r="S141" s="1192"/>
      <c r="T141" s="1192"/>
    </row>
    <row r="142" spans="1:20" s="1382" customFormat="1">
      <c r="A142" s="1362" t="s">
        <v>163</v>
      </c>
      <c r="B142" s="1363" t="s">
        <v>231</v>
      </c>
      <c r="C142" s="1363">
        <f>+(Cashflow!C68-('Inc Stmt'!C40+Cashflow!C64+Cashflow!C65+Cashflow!C67))/'Inc Stmt'!C9</f>
        <v>-4.1976013534470941E-3</v>
      </c>
      <c r="D142" s="1363">
        <f>+(Cashflow!D68-('Inc Stmt'!D40+Cashflow!D64+Cashflow!D65+Cashflow!D67))/'Inc Stmt'!D9</f>
        <v>3.4439557742809011E-2</v>
      </c>
      <c r="E142" s="1363">
        <f>+(Cashflow!E68-('Inc Stmt'!E40+Cashflow!E64+Cashflow!E65+Cashflow!E67))/'Inc Stmt'!E9</f>
        <v>-6.0931842038736339E-3</v>
      </c>
      <c r="F142" s="1363">
        <f>+(Cashflow!F68-('Inc Stmt'!F40+Cashflow!F64+Cashflow!F65+Cashflow!F67))/'Inc Stmt'!F9</f>
        <v>2.3273599140158328E-2</v>
      </c>
      <c r="G142" s="1363">
        <f>+(Cashflow!G68-('Inc Stmt'!G40+Cashflow!G64+Cashflow!G65+Cashflow!G67))/'Inc Stmt'!G9</f>
        <v>-1.9290469330186535E-2</v>
      </c>
      <c r="H142" s="1363">
        <f>+(Cashflow!H68-('Inc Stmt'!H40+Cashflow!H64+Cashflow!H65+Cashflow!H67))/'Inc Stmt'!H9</f>
        <v>-4.9544602110469767E-3</v>
      </c>
      <c r="I142" s="1364">
        <f>+(Cashflow!I68-('Inc Stmt'!I40+Cashflow!I64+Cashflow!I65+Cashflow!I67))/'Inc Stmt'!I9</f>
        <v>-4.0345157751556747E-2</v>
      </c>
      <c r="J142" s="1363">
        <f>+(Cashflow!J68-('Inc Stmt'!J40+Cashflow!J64+Cashflow!J65+Cashflow!J67))/'Inc Stmt'!J9</f>
        <v>6.6827211947701873E-2</v>
      </c>
      <c r="K142" s="1363">
        <f>+(Cashflow!K68-('Inc Stmt'!K40+Cashflow!K64+Cashflow!K65+Cashflow!K67))/'Inc Stmt'!K9</f>
        <v>6.3570885394338122E-3</v>
      </c>
      <c r="L142" s="1363">
        <f>+(Cashflow!L68-('Inc Stmt'!L40+Cashflow!L64+Cashflow!L65+Cashflow!L67))/'Inc Stmt'!L9</f>
        <v>5.0627324110117224E-3</v>
      </c>
      <c r="M142" s="1363">
        <f>+(Cashflow!M68-('Inc Stmt'!M40+Cashflow!M64+Cashflow!M65+Cashflow!M67))/'Inc Stmt'!M9</f>
        <v>-7.1464676393004023E-2</v>
      </c>
      <c r="N142" s="1363">
        <f>+(Cashflow!N68-('Inc Stmt'!N40+Cashflow!N64+Cashflow!N65+Cashflow!N67))/'Inc Stmt'!N9</f>
        <v>-9.0841415002151042E-3</v>
      </c>
      <c r="O142" s="1363">
        <f>+(Cashflow!O68-('Inc Stmt'!O40+Cashflow!O64+Cashflow!O65+Cashflow!O67))/'Inc Stmt'!O9</f>
        <v>-4.0729992258933735E-2</v>
      </c>
      <c r="P142" s="1363">
        <f>+(Cashflow!P68-('Inc Stmt'!P40+Cashflow!P64+Cashflow!P65+Cashflow!P67))/'Inc Stmt'!P9</f>
        <v>-9.6753815992902045E-2</v>
      </c>
      <c r="Q142" s="1363">
        <f>+(Cashflow!Q68-('Inc Stmt'!Q40+Cashflow!Q64+Cashflow!Q65+Cashflow!Q67))/'Inc Stmt'!Q9</f>
        <v>3.8639151185305531E-2</v>
      </c>
      <c r="R142" s="1192"/>
      <c r="S142" s="1192"/>
      <c r="T142" s="1192"/>
    </row>
    <row r="143" spans="1:20" s="1382" customFormat="1">
      <c r="A143" s="1362" t="s">
        <v>163</v>
      </c>
      <c r="B143" s="1363" t="s">
        <v>234</v>
      </c>
      <c r="C143" s="1363">
        <f>+('Bal Sheet'!C92+'Bal Sheet'!C102)/('Bal Sheet'!C90+'Bal Sheet'!C100)</f>
        <v>0</v>
      </c>
      <c r="D143" s="1363">
        <f>+('Bal Sheet'!D92+'Bal Sheet'!D102)/('Bal Sheet'!D90+'Bal Sheet'!D100)</f>
        <v>0</v>
      </c>
      <c r="E143" s="1363">
        <f>+('Bal Sheet'!E92+'Bal Sheet'!E102)/('Bal Sheet'!E90+'Bal Sheet'!E100)</f>
        <v>0</v>
      </c>
      <c r="F143" s="1363">
        <f>+('Bal Sheet'!F92+'Bal Sheet'!F102)/('Bal Sheet'!F90+'Bal Sheet'!F100)</f>
        <v>0</v>
      </c>
      <c r="G143" s="1363">
        <f>+('Bal Sheet'!G92+'Bal Sheet'!G102)/('Bal Sheet'!G90+'Bal Sheet'!G100)</f>
        <v>0</v>
      </c>
      <c r="H143" s="1363">
        <f>+('Bal Sheet'!H92+'Bal Sheet'!H102)/('Bal Sheet'!H90+'Bal Sheet'!H100)</f>
        <v>0</v>
      </c>
      <c r="I143" s="1364">
        <f>+('Bal Sheet'!I92+'Bal Sheet'!I102)/('Bal Sheet'!I90+'Bal Sheet'!I100)</f>
        <v>0</v>
      </c>
      <c r="J143" s="1363">
        <f>+('Bal Sheet'!J92+'Bal Sheet'!J102)/('Bal Sheet'!J90+'Bal Sheet'!J100)</f>
        <v>0</v>
      </c>
      <c r="K143" s="1363">
        <f>+('Bal Sheet'!K92+'Bal Sheet'!K102)/('Bal Sheet'!K90+'Bal Sheet'!K100)</f>
        <v>0</v>
      </c>
      <c r="L143" s="1363">
        <f>+('Bal Sheet'!L92+'Bal Sheet'!L102)/('Bal Sheet'!L90+'Bal Sheet'!L100)</f>
        <v>0</v>
      </c>
      <c r="M143" s="1363">
        <f>+('Bal Sheet'!M92+'Bal Sheet'!M102)/('Bal Sheet'!M90+'Bal Sheet'!M100)</f>
        <v>0</v>
      </c>
      <c r="N143" s="1363">
        <f>+('Bal Sheet'!N92+'Bal Sheet'!N102)/('Bal Sheet'!N90+'Bal Sheet'!N100)</f>
        <v>0</v>
      </c>
      <c r="O143" s="1363">
        <f>+('Bal Sheet'!O92+'Bal Sheet'!O102)/('Bal Sheet'!O90+'Bal Sheet'!O100)</f>
        <v>0</v>
      </c>
      <c r="P143" s="1363">
        <f>+('Bal Sheet'!P92+'Bal Sheet'!P102)/('Bal Sheet'!P90+'Bal Sheet'!P100)</f>
        <v>0</v>
      </c>
      <c r="Q143" s="1363">
        <f>+('Bal Sheet'!Q92+'Bal Sheet'!Q102)/('Bal Sheet'!Q90+'Bal Sheet'!Q100)</f>
        <v>0</v>
      </c>
      <c r="R143" s="1192"/>
      <c r="S143" s="1192"/>
      <c r="T143" s="1192"/>
    </row>
    <row r="144" spans="1:20" s="1382" customFormat="1">
      <c r="A144" s="1362" t="s">
        <v>163</v>
      </c>
      <c r="B144" s="1363" t="s">
        <v>236</v>
      </c>
      <c r="C144" s="1363">
        <f>-'Inc Stmt'!C168/'Inc Stmt'!C36</f>
        <v>3.3732796505941624E-2</v>
      </c>
      <c r="D144" s="1363">
        <f>-'Inc Stmt'!D168/'Inc Stmt'!D36</f>
        <v>6.7154976042730324E-2</v>
      </c>
      <c r="E144" s="1363">
        <f>-'Inc Stmt'!E168/'Inc Stmt'!E36</f>
        <v>2.4484745647496219E-2</v>
      </c>
      <c r="F144" s="1363">
        <f>-'Inc Stmt'!F168/'Inc Stmt'!F36</f>
        <v>3.5801819139086068E-2</v>
      </c>
      <c r="G144" s="1363">
        <f>-'Inc Stmt'!G168/'Inc Stmt'!G36</f>
        <v>1.0832687088018607E-2</v>
      </c>
      <c r="H144" s="1363">
        <f>-'Inc Stmt'!H168/'Inc Stmt'!H36</f>
        <v>3.6928331287688757E-2</v>
      </c>
      <c r="I144" s="1364">
        <f>-'Inc Stmt'!I168/'Inc Stmt'!I36</f>
        <v>3.6287249270351096E-2</v>
      </c>
      <c r="J144" s="1363">
        <f>-'Inc Stmt'!J168/'Inc Stmt'!J36</f>
        <v>3.0053474052464464E-3</v>
      </c>
      <c r="K144" s="1363">
        <f>-'Inc Stmt'!K168/'Inc Stmt'!K36</f>
        <v>-8.3898997823177394E-3</v>
      </c>
      <c r="L144" s="1363">
        <f>-'Inc Stmt'!L168/'Inc Stmt'!L36</f>
        <v>-6.2349161964681014E-3</v>
      </c>
      <c r="M144" s="1363">
        <f>-'Inc Stmt'!M168/'Inc Stmt'!M36</f>
        <v>-2.1901911242389681E-2</v>
      </c>
      <c r="N144" s="1363">
        <f>-'Inc Stmt'!N168/'Inc Stmt'!N36</f>
        <v>0</v>
      </c>
      <c r="O144" s="1363">
        <f>-'Inc Stmt'!O168/'Inc Stmt'!O36</f>
        <v>0</v>
      </c>
      <c r="P144" s="1363">
        <f>-'Inc Stmt'!P168/'Inc Stmt'!P36</f>
        <v>0</v>
      </c>
      <c r="Q144" s="1363">
        <f>-'Inc Stmt'!Q168/'Inc Stmt'!Q36</f>
        <v>0</v>
      </c>
      <c r="R144" s="1192"/>
      <c r="S144" s="1192"/>
      <c r="T144" s="1192"/>
    </row>
    <row r="145" spans="1:20" s="1375" customFormat="1">
      <c r="A145" s="1336"/>
      <c r="B145" s="1335"/>
      <c r="C145" s="1335"/>
      <c r="D145" s="1335"/>
      <c r="E145" s="1335"/>
      <c r="F145" s="1335"/>
      <c r="G145" s="1335"/>
      <c r="H145" s="1335"/>
      <c r="I145" s="1358"/>
      <c r="J145" s="1335"/>
      <c r="K145" s="1335"/>
      <c r="L145" s="1335"/>
      <c r="M145" s="1335"/>
      <c r="N145" s="1335"/>
      <c r="O145" s="1335"/>
      <c r="P145" s="1335"/>
      <c r="Q145" s="1335"/>
      <c r="R145" s="1335"/>
      <c r="S145" s="1335"/>
      <c r="T145" s="1335"/>
    </row>
    <row r="146" spans="1:20" s="1375" customFormat="1">
      <c r="A146" s="1336"/>
      <c r="B146" s="1335"/>
      <c r="C146" s="1335"/>
      <c r="D146" s="1335"/>
      <c r="E146" s="1335"/>
      <c r="F146" s="1335"/>
      <c r="G146" s="1335"/>
      <c r="H146" s="1335"/>
      <c r="I146" s="1358"/>
      <c r="J146" s="1335"/>
      <c r="K146" s="1335"/>
      <c r="L146" s="1335"/>
      <c r="M146" s="1335"/>
      <c r="N146" s="1335"/>
      <c r="O146" s="1335"/>
      <c r="P146" s="1335"/>
      <c r="Q146" s="1335"/>
      <c r="R146" s="1335"/>
      <c r="S146" s="1335"/>
      <c r="T146" s="1335"/>
    </row>
    <row r="147" spans="1:20" s="1379" customFormat="1" ht="12.75">
      <c r="A147" s="1355"/>
      <c r="B147" s="1356" t="s">
        <v>239</v>
      </c>
      <c r="C147" s="1356"/>
      <c r="D147" s="1356"/>
      <c r="E147" s="1356"/>
      <c r="F147" s="1356"/>
      <c r="G147" s="1356"/>
      <c r="H147" s="1356"/>
      <c r="I147" s="1357"/>
      <c r="J147" s="1356"/>
      <c r="K147" s="1356"/>
      <c r="L147" s="1356"/>
      <c r="M147" s="1356"/>
      <c r="N147" s="1356"/>
      <c r="O147" s="1356"/>
      <c r="P147" s="1356"/>
      <c r="Q147" s="1356"/>
      <c r="R147" s="1356"/>
      <c r="S147" s="1356"/>
      <c r="T147" s="1356"/>
    </row>
    <row r="148" spans="1:20" s="1375" customFormat="1">
      <c r="A148" s="1336"/>
      <c r="B148" s="1335"/>
      <c r="C148" s="1335"/>
      <c r="D148" s="1335"/>
      <c r="E148" s="1335"/>
      <c r="F148" s="1335"/>
      <c r="G148" s="1335"/>
      <c r="H148" s="1335"/>
      <c r="I148" s="1358"/>
      <c r="J148" s="1335"/>
      <c r="K148" s="1335"/>
      <c r="L148" s="1335"/>
      <c r="M148" s="1335"/>
      <c r="N148" s="1335"/>
      <c r="O148" s="1335"/>
      <c r="P148" s="1335"/>
      <c r="Q148" s="1335"/>
      <c r="R148" s="1335"/>
      <c r="S148" s="1335"/>
      <c r="T148" s="1335"/>
    </row>
    <row r="149" spans="1:20" s="1382" customFormat="1">
      <c r="A149" s="1362" t="s">
        <v>163</v>
      </c>
      <c r="B149" s="1363" t="s">
        <v>240</v>
      </c>
      <c r="C149" s="1363">
        <v>0</v>
      </c>
      <c r="D149" s="1363">
        <f>+('Inc Stmt'!D40-'Inc Stmt'!D60)/'Inc Stmt'!D30</f>
        <v>0.82936760551795086</v>
      </c>
      <c r="E149" s="1363">
        <f>+('Inc Stmt'!E40-'Inc Stmt'!E60)/'Inc Stmt'!E30</f>
        <v>0.75092220982801339</v>
      </c>
      <c r="F149" s="1363">
        <f>+('Inc Stmt'!F40-'Inc Stmt'!F60)/'Inc Stmt'!F30</f>
        <v>0.71122835651882355</v>
      </c>
      <c r="G149" s="1363">
        <f>+('Inc Stmt'!G40-'Inc Stmt'!G60)/'Inc Stmt'!G30</f>
        <v>0.74471791251208053</v>
      </c>
      <c r="H149" s="1363">
        <f>+('Inc Stmt'!H40-'Inc Stmt'!H60)/'Inc Stmt'!H30</f>
        <v>0.72573888411703447</v>
      </c>
      <c r="I149" s="1364">
        <f>+('Inc Stmt'!I40-'Inc Stmt'!I60)/'Inc Stmt'!I30</f>
        <v>0.7622945082151702</v>
      </c>
      <c r="J149" s="1363">
        <f>+('Inc Stmt'!J40-'Inc Stmt'!J60)/'Inc Stmt'!J30</f>
        <v>0.73708192839042264</v>
      </c>
      <c r="K149" s="1363">
        <f>+('Inc Stmt'!K40-'Inc Stmt'!K60)/'Inc Stmt'!K30</f>
        <v>0.65104752054243498</v>
      </c>
      <c r="L149" s="1363">
        <f>+('Inc Stmt'!L40-'Inc Stmt'!L60)/'Inc Stmt'!L30</f>
        <v>0.74613093833593713</v>
      </c>
      <c r="M149" s="1363">
        <f>+('Inc Stmt'!M40-'Inc Stmt'!M60)/'Inc Stmt'!M30</f>
        <v>0.7142383908171851</v>
      </c>
      <c r="N149" s="1363">
        <f>+('Inc Stmt'!N40-'Inc Stmt'!N60)/'Inc Stmt'!N30</f>
        <v>0.699980974775545</v>
      </c>
      <c r="O149" s="1363">
        <f>+('Inc Stmt'!O40-'Inc Stmt'!O60)/'Inc Stmt'!O30</f>
        <v>0.74668429740847497</v>
      </c>
      <c r="P149" s="1363">
        <f>+('Inc Stmt'!P40-'Inc Stmt'!P60)/'Inc Stmt'!P30</f>
        <v>0.70839071840095769</v>
      </c>
      <c r="Q149" s="1363">
        <f>+('Inc Stmt'!Q40-'Inc Stmt'!Q60)/'Inc Stmt'!Q30</f>
        <v>0.71735858745827574</v>
      </c>
      <c r="R149" s="1192"/>
      <c r="S149" s="1192"/>
      <c r="T149" s="1192"/>
    </row>
    <row r="150" spans="1:20" s="1382" customFormat="1">
      <c r="A150" s="1362" t="s">
        <v>163</v>
      </c>
      <c r="B150" s="1363" t="s">
        <v>241</v>
      </c>
      <c r="C150" s="1363">
        <v>0</v>
      </c>
      <c r="D150" s="1363">
        <f>+('Inc Stmt'!D30)/'Inc Stmt'!D25</f>
        <v>1.2912244293791206</v>
      </c>
      <c r="E150" s="1363">
        <f>+('Inc Stmt'!E30)/'Inc Stmt'!E25</f>
        <v>1.4495861410488091</v>
      </c>
      <c r="F150" s="1363">
        <f>+('Inc Stmt'!F30)/'Inc Stmt'!F25</f>
        <v>1.2765014172312714</v>
      </c>
      <c r="G150" s="1363">
        <f>+('Inc Stmt'!G30)/'Inc Stmt'!G25</f>
        <v>1.3301388632304942</v>
      </c>
      <c r="H150" s="1363">
        <f>+('Inc Stmt'!H30)/'Inc Stmt'!H25</f>
        <v>1.0374745224439492</v>
      </c>
      <c r="I150" s="1364">
        <f>+('Inc Stmt'!I30)/'Inc Stmt'!I25</f>
        <v>0.89424267125562307</v>
      </c>
      <c r="J150" s="1363">
        <f>+('Inc Stmt'!J30)/'Inc Stmt'!J25</f>
        <v>0.99567641228939541</v>
      </c>
      <c r="K150" s="1363">
        <f>+('Inc Stmt'!K30)/'Inc Stmt'!K25</f>
        <v>1.4258302800700013</v>
      </c>
      <c r="L150" s="1363">
        <f>+('Inc Stmt'!L30)/'Inc Stmt'!L25</f>
        <v>1.1263998970447939</v>
      </c>
      <c r="M150" s="1363">
        <f>+('Inc Stmt'!M30)/'Inc Stmt'!M25</f>
        <v>1.1574808139936852</v>
      </c>
      <c r="N150" s="1363">
        <f>+('Inc Stmt'!N30)/'Inc Stmt'!N25</f>
        <v>1.1503127827831765</v>
      </c>
      <c r="O150" s="1363">
        <f>+('Inc Stmt'!O30)/'Inc Stmt'!O25</f>
        <v>1.0579580804078605</v>
      </c>
      <c r="P150" s="1363">
        <f>+('Inc Stmt'!P30)/'Inc Stmt'!P25</f>
        <v>1.2396855264392885</v>
      </c>
      <c r="Q150" s="1363">
        <f>+('Inc Stmt'!Q30)/'Inc Stmt'!Q25</f>
        <v>1.2966104989963696</v>
      </c>
      <c r="R150" s="1192"/>
      <c r="S150" s="1192"/>
      <c r="T150" s="1192"/>
    </row>
    <row r="151" spans="1:20" s="1382" customFormat="1">
      <c r="A151" s="1362" t="s">
        <v>163</v>
      </c>
      <c r="B151" s="1363" t="s">
        <v>242</v>
      </c>
      <c r="C151" s="1363">
        <v>0</v>
      </c>
      <c r="D151" s="1363">
        <f>+'Inc Stmt'!D25/'Inc Stmt'!D9</f>
        <v>0.14912979686371597</v>
      </c>
      <c r="E151" s="1363">
        <f>+'Inc Stmt'!E25/'Inc Stmt'!E9</f>
        <v>0.12599451851295473</v>
      </c>
      <c r="F151" s="1363">
        <f>+'Inc Stmt'!F25/'Inc Stmt'!F9</f>
        <v>0.15997111469378472</v>
      </c>
      <c r="G151" s="1363">
        <f>+'Inc Stmt'!G25/'Inc Stmt'!G9</f>
        <v>0.13542628757758413</v>
      </c>
      <c r="H151" s="1363">
        <f>+'Inc Stmt'!H25/'Inc Stmt'!H9</f>
        <v>0.11698523336604956</v>
      </c>
      <c r="I151" s="1364">
        <f>+'Inc Stmt'!I25/'Inc Stmt'!I9</f>
        <v>0.11272959939011741</v>
      </c>
      <c r="J151" s="1363">
        <f>+'Inc Stmt'!J25/'Inc Stmt'!J9</f>
        <v>0.20372743127269904</v>
      </c>
      <c r="K151" s="1363">
        <f>+'Inc Stmt'!K25/'Inc Stmt'!K9</f>
        <v>0.1860798391045862</v>
      </c>
      <c r="L151" s="1363">
        <f>+'Inc Stmt'!L25/'Inc Stmt'!L9</f>
        <v>0.18302901636439795</v>
      </c>
      <c r="M151" s="1363">
        <f>+'Inc Stmt'!M25/'Inc Stmt'!M9</f>
        <v>0.17358786833189571</v>
      </c>
      <c r="N151" s="1363">
        <f>+'Inc Stmt'!N25/'Inc Stmt'!N9</f>
        <v>0.20182724046391196</v>
      </c>
      <c r="O151" s="1363">
        <f>+'Inc Stmt'!O25/'Inc Stmt'!O9</f>
        <v>0.18042606865349411</v>
      </c>
      <c r="P151" s="1363">
        <f>+'Inc Stmt'!P25/'Inc Stmt'!P9</f>
        <v>0.19811728411459581</v>
      </c>
      <c r="Q151" s="1363">
        <f>+'Inc Stmt'!Q25/'Inc Stmt'!Q9</f>
        <v>0.18905317669024391</v>
      </c>
      <c r="R151" s="1192"/>
      <c r="S151" s="1192"/>
      <c r="T151" s="1192"/>
    </row>
    <row r="152" spans="1:20" s="1382" customFormat="1">
      <c r="A152" s="1362" t="s">
        <v>163</v>
      </c>
      <c r="B152" s="1363" t="s">
        <v>243</v>
      </c>
      <c r="C152" s="1363">
        <v>0</v>
      </c>
      <c r="D152" s="1363">
        <f>+D125</f>
        <v>0.7645758794084796</v>
      </c>
      <c r="E152" s="1363">
        <f>+E125</f>
        <v>0.78369603196076743</v>
      </c>
      <c r="F152" s="1363">
        <f>+F125</f>
        <v>0.86308377826158245</v>
      </c>
      <c r="G152" s="1363">
        <f>+G125</f>
        <v>0.90178932347140417</v>
      </c>
      <c r="H152" s="1363">
        <f>+H125</f>
        <v>1.1032175419535759</v>
      </c>
      <c r="I152" s="1364">
        <f t="shared" ref="I152:N152" si="2">+I125</f>
        <v>1.644489674844829</v>
      </c>
      <c r="J152" s="1363">
        <f t="shared" si="2"/>
        <v>1.6499659220412903</v>
      </c>
      <c r="K152" s="1363">
        <f t="shared" si="2"/>
        <v>1.8495071772007843</v>
      </c>
      <c r="L152" s="1363">
        <f t="shared" si="2"/>
        <v>1.9313336936436221</v>
      </c>
      <c r="M152" s="1363">
        <f t="shared" si="2"/>
        <v>1.7094428074278665</v>
      </c>
      <c r="N152" s="1363">
        <f t="shared" si="2"/>
        <v>1.4943284591578607</v>
      </c>
      <c r="O152" s="1363">
        <f>+O125</f>
        <v>1.4395933277291446</v>
      </c>
      <c r="P152" s="1363">
        <f>+P125</f>
        <v>1.4616632848226658</v>
      </c>
      <c r="Q152" s="1363">
        <f>+Q125</f>
        <v>1.2639112784927524</v>
      </c>
      <c r="R152" s="1192"/>
      <c r="S152" s="1192"/>
      <c r="T152" s="1192"/>
    </row>
    <row r="153" spans="1:20" s="1382" customFormat="1">
      <c r="A153" s="1362" t="s">
        <v>163</v>
      </c>
      <c r="B153" s="1363" t="s">
        <v>244</v>
      </c>
      <c r="C153" s="1363">
        <v>0</v>
      </c>
      <c r="D153" s="1363">
        <f>+D105</f>
        <v>1.8815258628865053</v>
      </c>
      <c r="E153" s="1363">
        <f>+E105</f>
        <v>1.9392897602782597</v>
      </c>
      <c r="F153" s="1363">
        <f>+F105</f>
        <v>2.0143451733928925</v>
      </c>
      <c r="G153" s="1363">
        <f>+G105</f>
        <v>2.0645281203887995</v>
      </c>
      <c r="H153" s="1363">
        <f>+H105</f>
        <v>2.2837210362660403</v>
      </c>
      <c r="I153" s="1364">
        <f t="shared" ref="I153:N153" si="3">+I105</f>
        <v>3.1196958699714212</v>
      </c>
      <c r="J153" s="1363">
        <f t="shared" si="3"/>
        <v>3.0389565940943974</v>
      </c>
      <c r="K153" s="1363">
        <f t="shared" si="3"/>
        <v>2.2622160420874597</v>
      </c>
      <c r="L153" s="1363">
        <f t="shared" si="3"/>
        <v>1.846661078840943</v>
      </c>
      <c r="M153" s="1363">
        <f t="shared" si="3"/>
        <v>1.6779886997804385</v>
      </c>
      <c r="N153" s="1363">
        <f t="shared" si="3"/>
        <v>1.5401505073564958</v>
      </c>
      <c r="O153" s="1363">
        <f>+O105</f>
        <v>1.4790597520906505</v>
      </c>
      <c r="P153" s="1363">
        <f>+P105</f>
        <v>1.3446523447184775</v>
      </c>
      <c r="Q153" s="1363">
        <f>+Q105</f>
        <v>1.3141188255152778</v>
      </c>
      <c r="R153" s="1192"/>
      <c r="S153" s="1192"/>
      <c r="T153" s="1192"/>
    </row>
    <row r="154" spans="1:20" s="1375" customFormat="1">
      <c r="A154" s="1336"/>
      <c r="B154" s="1335"/>
      <c r="C154" s="1335"/>
      <c r="D154" s="1335"/>
      <c r="E154" s="1335"/>
      <c r="F154" s="1335"/>
      <c r="G154" s="1335"/>
      <c r="H154" s="1335"/>
      <c r="I154" s="1358"/>
      <c r="J154" s="1335"/>
      <c r="K154" s="1335"/>
      <c r="L154" s="1335"/>
      <c r="M154" s="1335"/>
      <c r="N154" s="1335"/>
      <c r="O154" s="1335"/>
      <c r="P154" s="1335"/>
      <c r="Q154" s="1335"/>
      <c r="R154" s="1335"/>
      <c r="S154" s="1335"/>
      <c r="T154" s="1335"/>
    </row>
    <row r="155" spans="1:20" s="1382" customFormat="1">
      <c r="A155" s="1362" t="s">
        <v>163</v>
      </c>
      <c r="B155" s="1363" t="s">
        <v>245</v>
      </c>
      <c r="C155" s="1363">
        <v>0</v>
      </c>
      <c r="D155" s="1363">
        <f>+D149*D150*D151*D152*D153</f>
        <v>0.22974391306953174</v>
      </c>
      <c r="E155" s="1363">
        <f>+E149*E150*E151*E152*E153</f>
        <v>0.20843995999363835</v>
      </c>
      <c r="F155" s="1363">
        <f>+F149*F150*F151*F152*F153</f>
        <v>0.25249848821735082</v>
      </c>
      <c r="G155" s="1363">
        <f>+G149*G150*G151*G152*G153</f>
        <v>0.24975698775900629</v>
      </c>
      <c r="H155" s="1363">
        <f>+H149*H150*H151*H152*H153</f>
        <v>0.22191828627341736</v>
      </c>
      <c r="I155" s="1364">
        <f t="shared" ref="I155:N155" si="4">+I149*I150*I151*I152*I153</f>
        <v>0.3942389715985582</v>
      </c>
      <c r="J155" s="1363">
        <f t="shared" si="4"/>
        <v>0.74969214939046491</v>
      </c>
      <c r="K155" s="1363">
        <f t="shared" si="4"/>
        <v>0.72271978396040482</v>
      </c>
      <c r="L155" s="1363">
        <f t="shared" si="4"/>
        <v>0.54862059810111541</v>
      </c>
      <c r="M155" s="1363">
        <f t="shared" si="4"/>
        <v>0.41164227358118638</v>
      </c>
      <c r="N155" s="1363">
        <f t="shared" si="4"/>
        <v>0.37401687319513172</v>
      </c>
      <c r="O155" s="1363">
        <f>+O149*O150*O151*O152*O153</f>
        <v>0.30348016318931759</v>
      </c>
      <c r="P155" s="1363">
        <f>+P149*P150*P151*P152*P153</f>
        <v>0.34195118298552446</v>
      </c>
      <c r="Q155" s="1363">
        <f>+Q149*Q150*Q151*Q152*Q153</f>
        <v>0.29206602561040884</v>
      </c>
      <c r="R155" s="1192"/>
      <c r="S155" s="1192"/>
      <c r="T155" s="1192"/>
    </row>
    <row r="156" spans="1:20" s="1375" customFormat="1">
      <c r="A156" s="1336"/>
      <c r="B156" s="1335"/>
      <c r="C156" s="1335"/>
      <c r="D156" s="1335"/>
      <c r="E156" s="1335"/>
      <c r="F156" s="1335"/>
      <c r="G156" s="1335"/>
      <c r="H156" s="1335"/>
      <c r="I156" s="1358"/>
      <c r="J156" s="1335"/>
      <c r="K156" s="1335"/>
      <c r="L156" s="1335"/>
      <c r="M156" s="1335"/>
      <c r="N156" s="1335"/>
      <c r="O156" s="1335"/>
      <c r="P156" s="1335"/>
      <c r="Q156" s="1335"/>
      <c r="R156" s="1335"/>
      <c r="S156" s="1335"/>
      <c r="T156" s="1335"/>
    </row>
    <row r="157" spans="1:20" s="1375" customFormat="1">
      <c r="A157" s="1336"/>
      <c r="B157" s="1335"/>
      <c r="C157" s="1335"/>
      <c r="D157" s="1335"/>
      <c r="E157" s="1335"/>
      <c r="F157" s="1335"/>
      <c r="G157" s="1335"/>
      <c r="H157" s="1335"/>
      <c r="I157" s="1358"/>
      <c r="J157" s="1335"/>
      <c r="K157" s="1335"/>
      <c r="L157" s="1335"/>
      <c r="M157" s="1335"/>
      <c r="N157" s="1335"/>
      <c r="O157" s="1335"/>
      <c r="P157" s="1335"/>
      <c r="Q157" s="1335"/>
      <c r="R157" s="1335"/>
      <c r="S157" s="1335"/>
      <c r="T157" s="1335"/>
    </row>
    <row r="158" spans="1:20" s="1379" customFormat="1" ht="12.75">
      <c r="A158" s="1355"/>
      <c r="B158" s="1356" t="s">
        <v>237</v>
      </c>
      <c r="C158" s="1356"/>
      <c r="D158" s="1356"/>
      <c r="E158" s="1356"/>
      <c r="F158" s="1356"/>
      <c r="G158" s="1356"/>
      <c r="H158" s="1356"/>
      <c r="I158" s="1357"/>
      <c r="J158" s="1356"/>
      <c r="K158" s="1356"/>
      <c r="L158" s="1356"/>
      <c r="M158" s="1356"/>
      <c r="N158" s="1356"/>
      <c r="O158" s="1356"/>
      <c r="P158" s="1356"/>
      <c r="Q158" s="1356"/>
      <c r="R158" s="1356"/>
      <c r="S158" s="1356"/>
      <c r="T158" s="1356"/>
    </row>
    <row r="159" spans="1:20" s="1375" customFormat="1">
      <c r="A159" s="1336"/>
      <c r="B159" s="1335"/>
      <c r="C159" s="1335"/>
      <c r="D159" s="1335"/>
      <c r="E159" s="1335"/>
      <c r="F159" s="1335"/>
      <c r="G159" s="1335"/>
      <c r="H159" s="1335"/>
      <c r="I159" s="1358"/>
      <c r="J159" s="1335"/>
      <c r="K159" s="1335"/>
      <c r="L159" s="1335"/>
      <c r="M159" s="1335"/>
      <c r="N159" s="1335"/>
      <c r="O159" s="1335"/>
      <c r="P159" s="1335"/>
      <c r="Q159" s="1335"/>
      <c r="R159" s="1335"/>
      <c r="S159" s="1335"/>
      <c r="T159" s="1335"/>
    </row>
    <row r="160" spans="1:20" s="1382" customFormat="1">
      <c r="A160" s="1362" t="s">
        <v>163</v>
      </c>
      <c r="B160" s="1363" t="s">
        <v>222</v>
      </c>
      <c r="C160" s="1363">
        <f t="shared" ref="C160:H160" si="5">+C69</f>
        <v>0.18450870201883385</v>
      </c>
      <c r="D160" s="1363">
        <f t="shared" si="5"/>
        <v>0.18519754451262568</v>
      </c>
      <c r="E160" s="1363">
        <f t="shared" si="5"/>
        <v>0.15715620785619738</v>
      </c>
      <c r="F160" s="1363">
        <f t="shared" si="5"/>
        <v>0.18464505694384156</v>
      </c>
      <c r="G160" s="1363">
        <f t="shared" si="5"/>
        <v>0.1552598714455187</v>
      </c>
      <c r="H160" s="1363">
        <f t="shared" si="5"/>
        <v>0.13634987440320737</v>
      </c>
      <c r="I160" s="1364">
        <f t="shared" ref="I160:N160" si="6">+I69</f>
        <v>0.12754784277823356</v>
      </c>
      <c r="J160" s="1363">
        <f t="shared" si="6"/>
        <v>0.21520686965936892</v>
      </c>
      <c r="K160" s="1363">
        <f t="shared" si="6"/>
        <v>0.19357089149255732</v>
      </c>
      <c r="L160" s="1363">
        <f t="shared" si="6"/>
        <v>0.19048562700151261</v>
      </c>
      <c r="M160" s="1363">
        <f t="shared" si="6"/>
        <v>0.18192751503331717</v>
      </c>
      <c r="N160" s="1363">
        <f t="shared" si="6"/>
        <v>0.21074110487054021</v>
      </c>
      <c r="O160" s="1363">
        <f>+O69</f>
        <v>0.19279881880491453</v>
      </c>
      <c r="P160" s="1363">
        <f>+P69</f>
        <v>0.21171654597521003</v>
      </c>
      <c r="Q160" s="1363">
        <f>+Q69</f>
        <v>0.2031706259291724</v>
      </c>
      <c r="R160" s="1192"/>
      <c r="S160" s="1192"/>
      <c r="T160" s="1192"/>
    </row>
    <row r="161" spans="1:20" s="1382" customFormat="1">
      <c r="A161" s="1362" t="s">
        <v>163</v>
      </c>
      <c r="B161" s="1363" t="s">
        <v>223</v>
      </c>
      <c r="C161" s="1363">
        <f>+'Bal Sheet'!C10/C165</f>
        <v>3.8694250791618034E-2</v>
      </c>
      <c r="D161" s="1363">
        <f>+'Bal Sheet'!D10/D165</f>
        <v>2.6855740317253327E-2</v>
      </c>
      <c r="E161" s="1363">
        <f>+'Bal Sheet'!E10/E165</f>
        <v>2.9645147059649241E-2</v>
      </c>
      <c r="F161" s="1363">
        <f>+'Bal Sheet'!F10/F165</f>
        <v>3.8955116678034765E-2</v>
      </c>
      <c r="G161" s="1363">
        <f>+'Bal Sheet'!G10/G165</f>
        <v>5.5231933883883984E-2</v>
      </c>
      <c r="H161" s="1363">
        <f>+'Bal Sheet'!H10/H165</f>
        <v>2.804163270285407E-2</v>
      </c>
      <c r="I161" s="1364">
        <f>+'Bal Sheet'!I10/I165</f>
        <v>3.1871361946542241E-2</v>
      </c>
      <c r="J161" s="1363">
        <f>+'Bal Sheet'!J10/J165</f>
        <v>2.2953829017361756E-2</v>
      </c>
      <c r="K161" s="1363">
        <f>+'Bal Sheet'!K10/K165</f>
        <v>2.2121899741618455E-2</v>
      </c>
      <c r="L161" s="1363">
        <f>+'Bal Sheet'!L10/L165</f>
        <v>2.1649364175701957E-2</v>
      </c>
      <c r="M161" s="1363">
        <f>+'Bal Sheet'!M10/M165</f>
        <v>3.8384277838202752E-2</v>
      </c>
      <c r="N161" s="1363">
        <f>+'Bal Sheet'!N10/N165</f>
        <v>3.9515104833814818E-2</v>
      </c>
      <c r="O161" s="1363">
        <f>+'Bal Sheet'!O10/O165</f>
        <v>3.3174147152439777E-2</v>
      </c>
      <c r="P161" s="1363">
        <f>+'Bal Sheet'!P10/P165</f>
        <v>3.1785773107145324E-2</v>
      </c>
      <c r="Q161" s="1363">
        <f>+'Bal Sheet'!Q10/Q165</f>
        <v>3.0136986301369864E-2</v>
      </c>
      <c r="R161" s="1192"/>
      <c r="S161" s="1192"/>
      <c r="T161" s="1192"/>
    </row>
    <row r="162" spans="1:20" s="1382" customFormat="1">
      <c r="A162" s="1362" t="s">
        <v>163</v>
      </c>
      <c r="B162" s="1363" t="s">
        <v>224</v>
      </c>
      <c r="C162" s="1363">
        <f>+'Bal Sheet'!C9/C165</f>
        <v>4.8178123753016562E-2</v>
      </c>
      <c r="D162" s="1363">
        <f>+'Bal Sheet'!D9/D165</f>
        <v>4.0612119527973493E-2</v>
      </c>
      <c r="E162" s="1363">
        <f>+'Bal Sheet'!E9/E165</f>
        <v>3.7685433572028644E-2</v>
      </c>
      <c r="F162" s="1363">
        <f>+'Bal Sheet'!F9/F165</f>
        <v>3.5257900828837764E-2</v>
      </c>
      <c r="G162" s="1363">
        <f>+'Bal Sheet'!G9/G165</f>
        <v>3.2284562829282736E-2</v>
      </c>
      <c r="H162" s="1363">
        <f>+'Bal Sheet'!H9/H165</f>
        <v>4.0604639040917385E-2</v>
      </c>
      <c r="I162" s="1364">
        <f>+'Bal Sheet'!I9/I165</f>
        <v>4.2174476817991538E-2</v>
      </c>
      <c r="J162" s="1363">
        <f>+'Bal Sheet'!J9/J165</f>
        <v>3.7539319915837088E-2</v>
      </c>
      <c r="K162" s="1363">
        <f>+'Bal Sheet'!K9/K165</f>
        <v>3.3374333693331537E-2</v>
      </c>
      <c r="L162" s="1363">
        <f>+'Bal Sheet'!L9/L165</f>
        <v>3.4744774176633908E-2</v>
      </c>
      <c r="M162" s="1363">
        <f>+'Bal Sheet'!M9/M165</f>
        <v>3.1818375026566155E-2</v>
      </c>
      <c r="N162" s="1363">
        <f>+'Bal Sheet'!N9/N165</f>
        <v>3.1748662870710008E-2</v>
      </c>
      <c r="O162" s="1363">
        <f>+'Bal Sheet'!O9/O165</f>
        <v>3.7671183753847974E-2</v>
      </c>
      <c r="P162" s="1363">
        <f>+'Bal Sheet'!P9/P165</f>
        <v>3.1836245689907075E-2</v>
      </c>
      <c r="Q162" s="1363">
        <f>+'Bal Sheet'!Q9/Q165</f>
        <v>3.1292084714827799E-2</v>
      </c>
      <c r="R162" s="1192"/>
      <c r="S162" s="1192"/>
      <c r="T162" s="1192"/>
    </row>
    <row r="163" spans="1:20" s="1382" customFormat="1">
      <c r="A163" s="1362" t="s">
        <v>163</v>
      </c>
      <c r="B163" s="1363" t="s">
        <v>225</v>
      </c>
      <c r="C163" s="1363">
        <f>+'Bal Sheet'!C135/C165</f>
        <v>9.5810487751237711E-2</v>
      </c>
      <c r="D163" s="1363">
        <f>+'Bal Sheet'!D135/D165</f>
        <v>0.12494170643460714</v>
      </c>
      <c r="E163" s="1363">
        <f>+'Bal Sheet'!E135/E165</f>
        <v>0.12358412541393828</v>
      </c>
      <c r="F163" s="1363">
        <f>+'Bal Sheet'!F135/F165</f>
        <v>0.14931223000764762</v>
      </c>
      <c r="G163" s="1363">
        <f>+'Bal Sheet'!G135/G165</f>
        <v>0.14328529045682084</v>
      </c>
      <c r="H163" s="1363">
        <f>+'Bal Sheet'!H135/H165</f>
        <v>0.10545805399830319</v>
      </c>
      <c r="I163" s="1364">
        <f>+'Bal Sheet'!I135/I165</f>
        <v>0.13998600083268953</v>
      </c>
      <c r="J163" s="1363">
        <f>+'Bal Sheet'!J135/J165</f>
        <v>0.13218390321096171</v>
      </c>
      <c r="K163" s="1363">
        <f>+'Bal Sheet'!K135/K165</f>
        <v>0.11849327640849043</v>
      </c>
      <c r="L163" s="1363">
        <f>+'Bal Sheet'!L135/L165</f>
        <v>8.8283156621595207E-2</v>
      </c>
      <c r="M163" s="1363">
        <f>+'Bal Sheet'!M135/M165</f>
        <v>9.899411169035742E-2</v>
      </c>
      <c r="N163" s="1363">
        <f>+'Bal Sheet'!N135/N165</f>
        <v>0.10478666726883185</v>
      </c>
      <c r="O163" s="1363">
        <f>+'Bal Sheet'!O135/O165</f>
        <v>8.3275456563271996E-2</v>
      </c>
      <c r="P163" s="1363">
        <f>+'Bal Sheet'!P135/P165</f>
        <v>8.9745565053846274E-2</v>
      </c>
      <c r="Q163" s="1363">
        <f>+'Bal Sheet'!Q135/Q165</f>
        <v>8.1986135861280354E-2</v>
      </c>
      <c r="R163" s="1192"/>
      <c r="S163" s="1192"/>
      <c r="T163" s="1192"/>
    </row>
    <row r="164" spans="1:20" s="1375" customFormat="1">
      <c r="A164" s="1336"/>
      <c r="B164" s="1335"/>
      <c r="C164" s="1335"/>
      <c r="D164" s="1335"/>
      <c r="E164" s="1335"/>
      <c r="F164" s="1335"/>
      <c r="G164" s="1335"/>
      <c r="H164" s="1335"/>
      <c r="I164" s="1358"/>
      <c r="J164" s="1335"/>
      <c r="K164" s="1335"/>
      <c r="L164" s="1335"/>
      <c r="M164" s="1335"/>
      <c r="N164" s="1335"/>
      <c r="O164" s="1335"/>
      <c r="P164" s="1335"/>
      <c r="Q164" s="1335"/>
      <c r="R164" s="1335"/>
      <c r="S164" s="1335"/>
      <c r="T164" s="1335"/>
    </row>
    <row r="165" spans="1:20" s="1375" customFormat="1">
      <c r="A165" s="1336" t="s">
        <v>229</v>
      </c>
      <c r="B165" s="1335" t="s">
        <v>226</v>
      </c>
      <c r="C165" s="1335">
        <f>+'Inc Stmt'!C9</f>
        <v>43169.178</v>
      </c>
      <c r="D165" s="1335">
        <f>+'Inc Stmt'!D9</f>
        <v>49876.86</v>
      </c>
      <c r="E165" s="1335">
        <f>+'Inc Stmt'!E9</f>
        <v>59485.317999999999</v>
      </c>
      <c r="F165" s="1335">
        <f>+'Inc Stmt'!F9</f>
        <v>77409.600000000006</v>
      </c>
      <c r="G165" s="1335">
        <f>+'Inc Stmt'!G9</f>
        <v>95928.2</v>
      </c>
      <c r="H165" s="1335">
        <f>+'Inc Stmt'!H9</f>
        <v>90169.5</v>
      </c>
      <c r="I165" s="1358">
        <f>+'Inc Stmt'!I9</f>
        <v>88148.1</v>
      </c>
      <c r="J165" s="1335">
        <f>+'Inc Stmt'!J9</f>
        <v>118864.7</v>
      </c>
      <c r="K165" s="1335">
        <f>+'Inc Stmt'!K9</f>
        <v>163982.29999999999</v>
      </c>
      <c r="L165" s="1335">
        <f>+'Inc Stmt'!L9</f>
        <v>195289.8</v>
      </c>
      <c r="M165" s="1335">
        <f>+'Inc Stmt'!M9</f>
        <v>199972.5</v>
      </c>
      <c r="N165" s="1335">
        <f>+'Inc Stmt'!N9</f>
        <v>201495.1</v>
      </c>
      <c r="O165" s="1335">
        <f>+'Inc Stmt'!O9</f>
        <v>216120.1</v>
      </c>
      <c r="P165" s="1335">
        <f>+'Inc Stmt'!P9</f>
        <v>225865.2</v>
      </c>
      <c r="Q165" s="1335">
        <f>+'Inc Stmt'!Q9</f>
        <v>217666.80000000002</v>
      </c>
      <c r="R165" s="1100"/>
      <c r="S165" s="1100"/>
      <c r="T165" s="1100"/>
    </row>
    <row r="166" spans="1:20" s="1375" customFormat="1">
      <c r="A166" s="1336"/>
      <c r="B166" s="1335"/>
      <c r="C166" s="1335"/>
      <c r="D166" s="1335"/>
      <c r="E166" s="1335"/>
      <c r="F166" s="1335"/>
      <c r="G166" s="1335"/>
      <c r="H166" s="1335"/>
      <c r="I166" s="1358"/>
      <c r="J166" s="1335"/>
      <c r="K166" s="1335"/>
      <c r="L166" s="1335"/>
      <c r="M166" s="1335"/>
      <c r="N166" s="1335"/>
      <c r="O166" s="1335"/>
      <c r="P166" s="1335"/>
      <c r="Q166" s="1335"/>
      <c r="R166" s="1335"/>
      <c r="S166" s="1335"/>
      <c r="T166" s="1335"/>
    </row>
    <row r="167" spans="1:20" s="1384" customFormat="1" ht="12.75">
      <c r="A167" s="1368"/>
      <c r="B167" s="1369" t="s">
        <v>238</v>
      </c>
      <c r="C167" s="1369"/>
      <c r="D167" s="1369"/>
      <c r="E167" s="1369"/>
      <c r="F167" s="1369"/>
      <c r="G167" s="1369"/>
      <c r="H167" s="1369"/>
      <c r="I167" s="1370"/>
      <c r="J167" s="1369"/>
      <c r="K167" s="1369"/>
      <c r="L167" s="1369"/>
      <c r="M167" s="1369"/>
      <c r="N167" s="1369"/>
      <c r="O167" s="1369"/>
      <c r="P167" s="1369"/>
      <c r="Q167" s="1369"/>
      <c r="R167" s="1369"/>
      <c r="S167" s="1369"/>
      <c r="T167" s="1369"/>
    </row>
    <row r="168" spans="1:20" s="1375" customFormat="1">
      <c r="A168" s="1336" t="s">
        <v>229</v>
      </c>
      <c r="B168" s="1371" t="s">
        <v>227</v>
      </c>
      <c r="C168" s="1335">
        <v>0</v>
      </c>
      <c r="D168" s="1335">
        <f t="shared" ref="D168:N168" si="7">+(D165-C165)*(C160-C161-C162+C163)</f>
        <v>1297.5797204449896</v>
      </c>
      <c r="E168" s="1335">
        <f t="shared" si="7"/>
        <v>2331.697869205198</v>
      </c>
      <c r="F168" s="1335">
        <f t="shared" si="7"/>
        <v>3825.2165878419628</v>
      </c>
      <c r="G168" s="1335">
        <f t="shared" si="7"/>
        <v>4810.1002281370756</v>
      </c>
      <c r="H168" s="1335">
        <f t="shared" si="7"/>
        <v>-1215.2507742248888</v>
      </c>
      <c r="I168" s="1358">
        <f t="shared" si="7"/>
        <v>-350.02897276795284</v>
      </c>
      <c r="J168" s="1335">
        <f t="shared" si="7"/>
        <v>5943.2936496645998</v>
      </c>
      <c r="K168" s="1335">
        <f t="shared" si="7"/>
        <v>12944.132237745935</v>
      </c>
      <c r="L168" s="1335">
        <f t="shared" si="7"/>
        <v>8032.5006082973559</v>
      </c>
      <c r="M168" s="1335">
        <f t="shared" si="7"/>
        <v>1041.3137514094465</v>
      </c>
      <c r="N168" s="1335">
        <f t="shared" si="7"/>
        <v>320.84070959757105</v>
      </c>
      <c r="O168" s="1335">
        <f>+(O165-N165)*(N160-N161-N162+N163)</f>
        <v>3572.3610648596405</v>
      </c>
      <c r="P168" s="1335">
        <f>+(P165-O165)*(O160-O161-O162+O163)</f>
        <v>1999.9765866756509</v>
      </c>
      <c r="Q168" s="1335">
        <f>+(Q165-P165)*(P160-P161-P162+P163)</f>
        <v>-1949.9082121548595</v>
      </c>
      <c r="R168" s="1100"/>
      <c r="S168" s="1100"/>
      <c r="T168" s="1100"/>
    </row>
    <row r="169" spans="1:20" s="1375" customFormat="1">
      <c r="A169" s="1336" t="s">
        <v>229</v>
      </c>
      <c r="B169" s="1371" t="s">
        <v>228</v>
      </c>
      <c r="C169" s="1335">
        <v>0</v>
      </c>
      <c r="D169" s="1335">
        <f>+D165*((D160-C160)-(D161-C161)-(D162-C162)+(D163-C163))</f>
        <v>2455.1672795550116</v>
      </c>
      <c r="E169" s="1335">
        <f>+E165*((E160-D160)-(E161-D161)-(E162-D162)+(E163-D163))</f>
        <v>-1740.6378692051978</v>
      </c>
      <c r="F169" s="1335">
        <f>+F165*((F160-E160)-(F161-E161)-(F162-E162)+(F163-E163))</f>
        <v>3586.7364121580367</v>
      </c>
      <c r="G169" s="1335">
        <f>+G165*((G160-F160)-(G161-F161)-(G162-F162)+(G163-F163))</f>
        <v>-4673.2002281370669</v>
      </c>
      <c r="H169" s="1335">
        <f>+H165*((H160-G160)-(H161-G161)-(H162-G162)+(H163-G163))</f>
        <v>-3414.4492257751131</v>
      </c>
      <c r="I169" s="1358">
        <f t="shared" ref="I169:N169" si="8">+I165*((I160-H160)-(I161-H161)-(I162-H162)+(I163-H163))</f>
        <v>1791.7289727679574</v>
      </c>
      <c r="J169" s="1335">
        <f t="shared" si="8"/>
        <v>11103.106350335378</v>
      </c>
      <c r="K169" s="1335">
        <f t="shared" si="8"/>
        <v>-4973.5322377459415</v>
      </c>
      <c r="L169" s="1335">
        <f t="shared" si="8"/>
        <v>-6677.6006082973372</v>
      </c>
      <c r="M169" s="1335">
        <f t="shared" si="8"/>
        <v>-2330.8137514094292</v>
      </c>
      <c r="N169" s="1335">
        <f t="shared" si="8"/>
        <v>6759.1592904024001</v>
      </c>
      <c r="O169" s="1335">
        <f>+O165*((O160-N160)-(O161-N161)-(O162-N162)+(O163-N163))</f>
        <v>-8436.2610648596165</v>
      </c>
      <c r="P169" s="1335">
        <f>+P165*((P160-O160)-(P161-O161)-(P162-O162)+(P163-O163))</f>
        <v>7365.7234133243483</v>
      </c>
      <c r="Q169" s="1335">
        <f>+Q165*((Q160-P160)-(Q161-P161)-(Q162-P162)+(Q163-P163))</f>
        <v>-3071.8012656235201</v>
      </c>
      <c r="R169" s="1100"/>
      <c r="S169" s="1100"/>
      <c r="T169" s="1100"/>
    </row>
    <row r="170" spans="1:20" s="1377" customFormat="1" ht="12.75">
      <c r="A170" s="1338" t="s">
        <v>229</v>
      </c>
      <c r="B170" s="1339" t="s">
        <v>230</v>
      </c>
      <c r="C170" s="1339">
        <v>0</v>
      </c>
      <c r="D170" s="1339">
        <f>+D168+D169</f>
        <v>3752.7470000000012</v>
      </c>
      <c r="E170" s="1339">
        <f>+E168+E169</f>
        <v>591.06000000000017</v>
      </c>
      <c r="F170" s="1339">
        <f>+F168+F169</f>
        <v>7411.9529999999995</v>
      </c>
      <c r="G170" s="1339">
        <f>+G168+G169</f>
        <v>136.90000000000873</v>
      </c>
      <c r="H170" s="1339">
        <f>+H168+H169</f>
        <v>-4629.7000000000016</v>
      </c>
      <c r="I170" s="1372">
        <f t="shared" ref="I170:N170" si="9">+I168+I169</f>
        <v>1441.7000000000046</v>
      </c>
      <c r="J170" s="1339">
        <f t="shared" si="9"/>
        <v>17046.39999999998</v>
      </c>
      <c r="K170" s="1339">
        <f t="shared" si="9"/>
        <v>7970.5999999999931</v>
      </c>
      <c r="L170" s="1339">
        <f t="shared" si="9"/>
        <v>1354.9000000000187</v>
      </c>
      <c r="M170" s="1339">
        <f t="shared" si="9"/>
        <v>-1289.4999999999827</v>
      </c>
      <c r="N170" s="1339">
        <f t="shared" si="9"/>
        <v>7079.9999999999709</v>
      </c>
      <c r="O170" s="1339">
        <f>+O168+O169</f>
        <v>-4863.899999999976</v>
      </c>
      <c r="P170" s="1339">
        <f>+P168+P169</f>
        <v>9365.6999999999989</v>
      </c>
      <c r="Q170" s="1339">
        <f>+Q168+Q169</f>
        <v>-5021.7094777783796</v>
      </c>
      <c r="R170" s="1194"/>
      <c r="S170" s="1194"/>
      <c r="T170" s="1194"/>
    </row>
    <row r="171" spans="1:20" s="1375" customFormat="1">
      <c r="A171" s="1336"/>
      <c r="B171" s="1335"/>
      <c r="C171" s="1335"/>
      <c r="D171" s="1335"/>
      <c r="E171" s="1335"/>
      <c r="F171" s="1335"/>
      <c r="G171" s="1335"/>
      <c r="H171" s="1335"/>
      <c r="I171" s="1335"/>
      <c r="J171" s="1335"/>
      <c r="K171" s="1335"/>
      <c r="L171" s="1335"/>
      <c r="M171" s="1335"/>
      <c r="N171" s="1335"/>
      <c r="O171" s="1335"/>
      <c r="P171" s="1335"/>
      <c r="Q171" s="1335"/>
      <c r="R171" s="1335"/>
      <c r="S171" s="1335"/>
      <c r="T171" s="1335"/>
    </row>
    <row r="172" spans="1:20" s="1375" customFormat="1">
      <c r="A172" s="1336"/>
      <c r="B172" s="1335"/>
      <c r="C172" s="1335"/>
      <c r="D172" s="1335"/>
      <c r="E172" s="1335"/>
      <c r="F172" s="1335"/>
      <c r="G172" s="1335"/>
      <c r="H172" s="1335"/>
      <c r="I172" s="1335"/>
      <c r="J172" s="1335"/>
      <c r="K172" s="1335"/>
      <c r="L172" s="1335"/>
      <c r="M172" s="1335"/>
      <c r="N172" s="1335"/>
      <c r="O172" s="1335"/>
      <c r="P172" s="1335"/>
      <c r="Q172" s="1335"/>
      <c r="R172" s="1335"/>
      <c r="S172" s="1335"/>
      <c r="T172" s="1335"/>
    </row>
  </sheetData>
  <sheetProtection password="CF34" sheet="1" objects="1" scenarios="1" sort="0" autoFilter="0" pivotTables="0"/>
  <mergeCells count="1">
    <mergeCell ref="A1:B1"/>
  </mergeCells>
  <phoneticPr fontId="6" type="noConversion"/>
  <pageMargins left="0.75" right="0.75" top="1" bottom="1" header="0.5" footer="0.5"/>
  <pageSetup orientation="portrait" r:id="rId1"/>
  <headerFooter alignWithMargins="0"/>
  <cellWatches>
    <cellWatch r="H69"/>
    <cellWatch r="I69"/>
    <cellWatch r="J69"/>
    <cellWatch r="K69"/>
  </cellWatche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4"/>
  <dimension ref="A1:BG462"/>
  <sheetViews>
    <sheetView zoomScale="85" zoomScaleNormal="85" workbookViewId="0">
      <pane xSplit="2" ySplit="7" topLeftCell="AL68" activePane="bottomRight" state="frozen"/>
      <selection activeCell="O62" sqref="O62"/>
      <selection pane="topRight" activeCell="O62" sqref="O62"/>
      <selection pane="bottomLeft" activeCell="O62" sqref="O62"/>
      <selection pane="bottomRight" activeCell="O62" sqref="O62"/>
    </sheetView>
  </sheetViews>
  <sheetFormatPr defaultColWidth="12" defaultRowHeight="12.75" outlineLevelRow="1" outlineLevelCol="1"/>
  <cols>
    <col min="1" max="1" width="6" style="439" customWidth="1"/>
    <col min="2" max="2" width="25.875" style="439" customWidth="1"/>
    <col min="3" max="3" width="10.25" style="439" hidden="1" customWidth="1" outlineLevel="1"/>
    <col min="4" max="5" width="11" style="439" hidden="1" customWidth="1" outlineLevel="1"/>
    <col min="6" max="6" width="10" style="439" hidden="1" customWidth="1" outlineLevel="1"/>
    <col min="7" max="7" width="10.625" style="361" hidden="1" customWidth="1" outlineLevel="1"/>
    <col min="8" max="9" width="10.625" style="439" hidden="1" customWidth="1" outlineLevel="1"/>
    <col min="10" max="11" width="10.625" style="361" hidden="1" customWidth="1" outlineLevel="1"/>
    <col min="12" max="15" width="11.375" style="439" hidden="1" customWidth="1" outlineLevel="1"/>
    <col min="16" max="16" width="12.5" style="439" hidden="1" customWidth="1" outlineLevel="1"/>
    <col min="17" max="17" width="13.75" style="439" hidden="1" customWidth="1" outlineLevel="1"/>
    <col min="18" max="22" width="13" style="439" hidden="1" customWidth="1" outlineLevel="1"/>
    <col min="23" max="23" width="13" style="439" customWidth="1" collapsed="1"/>
    <col min="24" max="29" width="13" style="439" customWidth="1"/>
    <col min="30" max="30" width="11.625" style="439" customWidth="1"/>
    <col min="31" max="32" width="10.375" style="439" customWidth="1"/>
    <col min="33" max="35" width="10.5" style="439" customWidth="1"/>
    <col min="36" max="37" width="11.25" style="439" bestFit="1" customWidth="1"/>
    <col min="38" max="46" width="11.25" style="439" customWidth="1"/>
    <col min="47" max="47" width="11.25" style="439" hidden="1" customWidth="1"/>
    <col min="48" max="48" width="14.25" style="439" bestFit="1" customWidth="1"/>
    <col min="49" max="49" width="11.125" style="698" customWidth="1"/>
    <col min="50" max="50" width="12" style="439"/>
    <col min="51" max="51" width="13.125" style="439" bestFit="1" customWidth="1"/>
    <col min="52" max="52" width="12" style="439"/>
    <col min="53" max="16384" width="12" style="361"/>
  </cols>
  <sheetData>
    <row r="1" spans="1:59">
      <c r="A1" s="1690"/>
      <c r="B1" s="1691"/>
      <c r="C1" s="38"/>
      <c r="D1" s="38"/>
      <c r="E1" s="38"/>
      <c r="F1" s="38"/>
      <c r="G1" s="52"/>
      <c r="H1" s="38"/>
      <c r="I1" s="38"/>
      <c r="J1" s="52"/>
      <c r="K1" s="52"/>
      <c r="L1" s="38"/>
      <c r="M1" s="38"/>
      <c r="N1" s="38"/>
      <c r="O1" s="38">
        <f>66.7-66.2</f>
        <v>0.5</v>
      </c>
      <c r="P1" s="38"/>
      <c r="Q1" s="38"/>
      <c r="R1" s="38"/>
      <c r="S1" s="38"/>
      <c r="T1" s="38"/>
      <c r="U1" s="38"/>
      <c r="V1" s="38"/>
      <c r="W1" s="38"/>
      <c r="X1" s="38"/>
      <c r="Y1" s="38"/>
      <c r="Z1" s="38"/>
      <c r="AA1" s="38"/>
      <c r="AB1" s="38"/>
      <c r="AC1" s="38"/>
      <c r="AD1" s="38"/>
      <c r="AE1" s="739">
        <f t="shared" ref="AE1:AM1" si="0">+AE95</f>
        <v>979275</v>
      </c>
      <c r="AF1" s="739">
        <f t="shared" si="0"/>
        <v>961330</v>
      </c>
      <c r="AG1" s="739">
        <f t="shared" si="0"/>
        <v>993690</v>
      </c>
      <c r="AH1" s="739">
        <f t="shared" si="0"/>
        <v>935782</v>
      </c>
      <c r="AI1" s="739">
        <f t="shared" si="0"/>
        <v>988430</v>
      </c>
      <c r="AJ1" s="739">
        <f t="shared" si="0"/>
        <v>1055582</v>
      </c>
      <c r="AK1" s="739">
        <f t="shared" si="0"/>
        <v>984520</v>
      </c>
      <c r="AL1" s="739">
        <f t="shared" si="0"/>
        <v>782669</v>
      </c>
      <c r="AM1" s="739">
        <f t="shared" si="0"/>
        <v>1013029</v>
      </c>
      <c r="AN1" s="739">
        <f>+AN95</f>
        <v>1056596</v>
      </c>
      <c r="AO1" s="739">
        <f>+AO95</f>
        <v>951498</v>
      </c>
      <c r="AP1" s="739">
        <f>+AP95</f>
        <v>872471</v>
      </c>
      <c r="AQ1" s="739">
        <f t="shared" ref="AQ1" si="1">+AQ95</f>
        <v>994733</v>
      </c>
      <c r="AR1" s="739">
        <f>+AR95</f>
        <v>1031945</v>
      </c>
      <c r="AS1" s="739">
        <f>+AS95</f>
        <v>851645</v>
      </c>
      <c r="AT1" s="739">
        <f>+AT95</f>
        <v>787627</v>
      </c>
      <c r="AU1" s="739">
        <f>+AU95</f>
        <v>869735</v>
      </c>
      <c r="AV1" s="38"/>
      <c r="AW1" s="740">
        <v>787627</v>
      </c>
      <c r="AX1" s="38"/>
      <c r="AY1" s="38"/>
      <c r="AZ1" s="38"/>
      <c r="BA1" s="475"/>
      <c r="BB1" s="475"/>
      <c r="BC1" s="475"/>
      <c r="BD1" s="475"/>
      <c r="BE1" s="475"/>
      <c r="BF1" s="475"/>
      <c r="BG1" s="475"/>
    </row>
    <row r="2" spans="1:59" s="743" customFormat="1" ht="18">
      <c r="A2" s="67" t="s">
        <v>559</v>
      </c>
      <c r="B2" s="68"/>
      <c r="C2" s="68"/>
      <c r="D2" s="68"/>
      <c r="E2" s="68"/>
      <c r="F2" s="68"/>
      <c r="G2" s="68"/>
      <c r="H2" s="68"/>
      <c r="I2" s="68"/>
      <c r="J2" s="68"/>
      <c r="K2" s="68"/>
      <c r="L2" s="68"/>
      <c r="M2" s="735"/>
      <c r="N2" s="735"/>
      <c r="O2" s="735"/>
      <c r="P2" s="735"/>
      <c r="Q2" s="735"/>
      <c r="R2" s="735"/>
      <c r="S2" s="735"/>
      <c r="T2" s="735"/>
      <c r="U2" s="735"/>
      <c r="V2" s="735"/>
      <c r="W2" s="735"/>
      <c r="X2" s="735"/>
      <c r="Y2" s="735"/>
      <c r="Z2" s="735"/>
      <c r="AA2" s="735"/>
      <c r="AB2" s="735"/>
      <c r="AC2" s="735"/>
      <c r="AD2" s="735"/>
      <c r="AE2" s="735"/>
      <c r="AF2" s="735"/>
      <c r="AG2" s="735"/>
      <c r="AH2" s="480"/>
      <c r="AI2" s="477"/>
      <c r="AJ2" s="477"/>
      <c r="AK2" s="477"/>
      <c r="AL2" s="741"/>
      <c r="AM2" s="741"/>
      <c r="AN2" s="741"/>
      <c r="AO2" s="741"/>
      <c r="AP2" s="741"/>
      <c r="AQ2" s="741"/>
      <c r="AR2" s="907">
        <f>+AR1/AQ1-1</f>
        <v>3.7409033378806189E-2</v>
      </c>
      <c r="AS2" s="907">
        <f>+AS1/AR1-1</f>
        <v>-0.17471861387961563</v>
      </c>
      <c r="AT2" s="907">
        <f>+AT1/AS1-1</f>
        <v>-7.5169818410253053E-2</v>
      </c>
      <c r="AU2" s="907">
        <f>+AU1/AT1-1</f>
        <v>0.10424731503617823</v>
      </c>
      <c r="AV2" s="739"/>
      <c r="AW2" s="742">
        <v>-7.5169818410253053E-2</v>
      </c>
      <c r="AX2" s="465"/>
      <c r="AY2" s="465"/>
      <c r="AZ2" s="465"/>
      <c r="BA2" s="741"/>
      <c r="BB2" s="741"/>
      <c r="BC2" s="741"/>
      <c r="BD2" s="741"/>
      <c r="BE2" s="741"/>
      <c r="BF2" s="741"/>
      <c r="BG2" s="741"/>
    </row>
    <row r="3" spans="1:59" s="741" customFormat="1" ht="18">
      <c r="A3" s="589" t="s">
        <v>473</v>
      </c>
      <c r="B3" s="739"/>
      <c r="C3" s="739"/>
      <c r="D3" s="739"/>
      <c r="E3" s="739"/>
      <c r="F3" s="739"/>
      <c r="G3" s="739"/>
      <c r="H3" s="739"/>
      <c r="I3" s="739"/>
      <c r="J3" s="739"/>
      <c r="K3" s="739"/>
      <c r="L3" s="739"/>
      <c r="M3" s="739"/>
      <c r="N3" s="739"/>
      <c r="O3" s="739"/>
      <c r="P3" s="739"/>
      <c r="Q3" s="739"/>
      <c r="R3" s="476"/>
      <c r="S3" s="476"/>
      <c r="T3" s="476"/>
      <c r="U3" s="476"/>
      <c r="V3" s="476"/>
      <c r="W3" s="476"/>
      <c r="X3" s="476"/>
      <c r="Y3" s="476"/>
      <c r="Z3" s="476"/>
      <c r="AA3" s="476"/>
      <c r="AB3" s="476"/>
      <c r="AC3" s="476"/>
      <c r="AD3" s="476"/>
      <c r="AE3" s="476"/>
      <c r="AF3" s="476"/>
      <c r="AG3" s="476"/>
      <c r="AH3" s="480"/>
      <c r="AI3" s="477"/>
      <c r="AJ3" s="477"/>
      <c r="AK3" s="477"/>
      <c r="AL3" s="477"/>
      <c r="AM3" s="477"/>
      <c r="AN3" s="477"/>
      <c r="AO3" s="477"/>
      <c r="AP3" s="477"/>
      <c r="AQ3" s="477"/>
      <c r="AR3" s="907">
        <f>+AR1/AN1-1</f>
        <v>-2.3330582360713059E-2</v>
      </c>
      <c r="AS3" s="907">
        <f>+AS1/AO1-1</f>
        <v>-0.10494294260208636</v>
      </c>
      <c r="AT3" s="907">
        <f>+AT1/AP1-1</f>
        <v>-9.7245639110067894E-2</v>
      </c>
      <c r="AU3" s="907">
        <f>+AU1/AQ1-1</f>
        <v>-0.12565985043222649</v>
      </c>
      <c r="AV3" s="739"/>
      <c r="AW3" s="661">
        <v>-9.7245639110067894E-2</v>
      </c>
      <c r="AX3" s="744"/>
      <c r="AY3" s="739"/>
      <c r="AZ3" s="739"/>
    </row>
    <row r="4" spans="1:59" s="477" customFormat="1" ht="18">
      <c r="B4" s="478"/>
      <c r="C4" s="478"/>
      <c r="D4" s="478"/>
      <c r="E4" s="478"/>
      <c r="F4" s="478"/>
      <c r="G4" s="478"/>
      <c r="H4" s="478"/>
      <c r="I4" s="478"/>
      <c r="J4" s="478"/>
      <c r="K4" s="478"/>
      <c r="L4" s="478"/>
      <c r="M4" s="479"/>
      <c r="N4" s="479"/>
      <c r="O4" s="479"/>
      <c r="P4" s="479"/>
      <c r="Q4" s="479"/>
      <c r="R4" s="480"/>
      <c r="S4" s="480"/>
      <c r="T4" s="480"/>
      <c r="U4" s="480"/>
      <c r="V4" s="480"/>
      <c r="W4" s="480"/>
      <c r="X4" s="480"/>
      <c r="Y4" s="480"/>
      <c r="Z4" s="480"/>
      <c r="AA4" s="480"/>
      <c r="AB4" s="480"/>
      <c r="AC4" s="480"/>
      <c r="AD4" s="481"/>
      <c r="AE4" s="480"/>
      <c r="AF4" s="480"/>
      <c r="AG4" s="480"/>
      <c r="AH4" s="48"/>
      <c r="AI4" s="475"/>
      <c r="AJ4" s="475"/>
      <c r="AK4" s="475"/>
      <c r="AL4" s="475"/>
      <c r="AM4" s="475"/>
      <c r="AN4" s="475"/>
      <c r="AO4" s="475"/>
      <c r="AP4" s="475"/>
      <c r="AQ4" s="475"/>
      <c r="AR4" s="475"/>
      <c r="AS4" s="475"/>
      <c r="AT4" s="475"/>
      <c r="AU4" s="475"/>
      <c r="AV4" s="482"/>
      <c r="AW4" s="662"/>
      <c r="AX4" s="480"/>
      <c r="AY4" s="480"/>
      <c r="AZ4" s="480"/>
    </row>
    <row r="5" spans="1:59" s="475" customFormat="1" ht="13.5" customHeight="1">
      <c r="A5" s="48"/>
      <c r="B5" s="48"/>
      <c r="C5" s="48"/>
      <c r="D5" s="48"/>
      <c r="E5" s="48"/>
      <c r="F5" s="48"/>
      <c r="G5" s="48"/>
      <c r="H5" s="48"/>
      <c r="I5" s="48"/>
      <c r="J5" s="48"/>
      <c r="K5" s="483"/>
      <c r="L5" s="484"/>
      <c r="M5" s="484"/>
      <c r="N5" s="48"/>
      <c r="O5" s="48">
        <f>O95/3</f>
        <v>182685.0125318896</v>
      </c>
      <c r="P5" s="48">
        <f>P95/3</f>
        <v>228687.14195361253</v>
      </c>
      <c r="Q5" s="48">
        <f>Q95/3</f>
        <v>269294.52279727533</v>
      </c>
      <c r="R5" s="48"/>
      <c r="S5" s="48"/>
      <c r="T5" s="48"/>
      <c r="U5" s="48"/>
      <c r="V5" s="48"/>
      <c r="W5" s="48"/>
      <c r="X5" s="48"/>
      <c r="Y5" s="48"/>
      <c r="Z5" s="48"/>
      <c r="AA5" s="48"/>
      <c r="AB5" s="48"/>
      <c r="AC5" s="48"/>
      <c r="AD5" s="48"/>
      <c r="AE5" s="48"/>
      <c r="AF5" s="48"/>
      <c r="AG5" s="48"/>
      <c r="AH5" s="465"/>
      <c r="AI5" s="745"/>
      <c r="AJ5" s="713"/>
      <c r="AK5" s="745"/>
      <c r="AL5" s="741"/>
      <c r="AM5" s="863"/>
      <c r="AN5" s="863"/>
      <c r="AO5" s="741"/>
      <c r="AP5" s="741"/>
      <c r="AQ5" s="741"/>
      <c r="AR5" s="741"/>
      <c r="AS5" s="741"/>
      <c r="AT5" s="741"/>
      <c r="AU5" s="741"/>
      <c r="AV5" s="48"/>
      <c r="AW5" s="742"/>
      <c r="AX5" s="48"/>
      <c r="AY5" s="48"/>
      <c r="AZ5" s="48"/>
      <c r="BA5" s="590"/>
    </row>
    <row r="6" spans="1:59" s="357" customFormat="1" ht="15" customHeight="1" thickBot="1">
      <c r="A6" s="12"/>
      <c r="B6" s="12" t="s">
        <v>674</v>
      </c>
      <c r="C6" s="35"/>
      <c r="D6" s="12"/>
      <c r="E6" s="12"/>
      <c r="F6" s="12"/>
      <c r="G6" s="53"/>
      <c r="H6" s="12"/>
      <c r="I6" s="12"/>
      <c r="J6" s="53"/>
      <c r="K6" s="53"/>
      <c r="L6" s="53"/>
      <c r="M6" s="12"/>
      <c r="N6" s="12"/>
      <c r="O6" s="12"/>
      <c r="P6" s="12"/>
      <c r="Q6" s="12"/>
      <c r="R6" s="12"/>
      <c r="S6" s="12"/>
      <c r="T6" s="12"/>
      <c r="U6" s="12"/>
      <c r="V6" s="12"/>
      <c r="W6" s="12"/>
      <c r="X6" s="12"/>
      <c r="Y6" s="12"/>
      <c r="Z6" s="12"/>
      <c r="AA6" s="12"/>
      <c r="AB6" s="12"/>
      <c r="AC6" s="12"/>
      <c r="AD6" s="400"/>
      <c r="AE6" s="400"/>
      <c r="AF6" s="12"/>
      <c r="AG6" s="12"/>
      <c r="AH6" s="743"/>
      <c r="AI6" s="741"/>
      <c r="AJ6" s="741"/>
      <c r="AK6" s="741"/>
      <c r="AL6" s="741"/>
      <c r="AM6" s="885"/>
      <c r="AN6" s="741"/>
      <c r="AO6" s="741"/>
      <c r="AP6" s="885"/>
      <c r="AQ6" s="885"/>
      <c r="AR6" s="885"/>
      <c r="AS6" s="885"/>
      <c r="AT6" s="885"/>
      <c r="AU6" s="885"/>
      <c r="AV6" s="182"/>
      <c r="AW6" s="742"/>
      <c r="AX6" s="12"/>
      <c r="AY6" s="12"/>
      <c r="AZ6" s="12"/>
      <c r="BA6" s="494"/>
      <c r="BB6" s="494"/>
      <c r="BC6" s="494"/>
      <c r="BD6" s="494"/>
      <c r="BE6" s="494"/>
      <c r="BF6" s="494"/>
      <c r="BG6" s="494"/>
    </row>
    <row r="7" spans="1:59" ht="13.5" thickBot="1">
      <c r="A7" s="38"/>
      <c r="B7" s="39"/>
      <c r="C7" s="40" t="s">
        <v>477</v>
      </c>
      <c r="D7" s="40" t="s">
        <v>478</v>
      </c>
      <c r="E7" s="40" t="s">
        <v>479</v>
      </c>
      <c r="F7" s="40" t="s">
        <v>480</v>
      </c>
      <c r="G7" s="40" t="s">
        <v>481</v>
      </c>
      <c r="H7" s="40" t="s">
        <v>482</v>
      </c>
      <c r="I7" s="40" t="s">
        <v>483</v>
      </c>
      <c r="J7" s="40" t="s">
        <v>484</v>
      </c>
      <c r="K7" s="40" t="s">
        <v>563</v>
      </c>
      <c r="L7" s="40" t="s">
        <v>588</v>
      </c>
      <c r="M7" s="40" t="s">
        <v>596</v>
      </c>
      <c r="N7" s="40" t="s">
        <v>1744</v>
      </c>
      <c r="O7" s="40" t="s">
        <v>656</v>
      </c>
      <c r="P7" s="40" t="s">
        <v>599</v>
      </c>
      <c r="Q7" s="40" t="s">
        <v>202</v>
      </c>
      <c r="R7" s="40" t="s">
        <v>722</v>
      </c>
      <c r="S7" s="40" t="s">
        <v>827</v>
      </c>
      <c r="T7" s="40" t="s">
        <v>1745</v>
      </c>
      <c r="U7" s="40" t="s">
        <v>1746</v>
      </c>
      <c r="V7" s="40" t="s">
        <v>1747</v>
      </c>
      <c r="W7" s="40" t="s">
        <v>1748</v>
      </c>
      <c r="X7" s="40" t="s">
        <v>1749</v>
      </c>
      <c r="Y7" s="40" t="s">
        <v>1750</v>
      </c>
      <c r="Z7" s="40" t="s">
        <v>1751</v>
      </c>
      <c r="AA7" s="40" t="s">
        <v>1515</v>
      </c>
      <c r="AB7" s="40" t="s">
        <v>1029</v>
      </c>
      <c r="AC7" s="40" t="s">
        <v>110</v>
      </c>
      <c r="AD7" s="40" t="s">
        <v>1131</v>
      </c>
      <c r="AE7" s="40" t="s">
        <v>1305</v>
      </c>
      <c r="AF7" s="40" t="s">
        <v>1120</v>
      </c>
      <c r="AG7" s="40" t="s">
        <v>1724</v>
      </c>
      <c r="AH7" s="40" t="s">
        <v>1503</v>
      </c>
      <c r="AI7" s="40" t="s">
        <v>1643</v>
      </c>
      <c r="AJ7" s="40" t="s">
        <v>2372</v>
      </c>
      <c r="AK7" s="40" t="s">
        <v>2394</v>
      </c>
      <c r="AL7" s="40" t="s">
        <v>2404</v>
      </c>
      <c r="AM7" s="40" t="s">
        <v>2417</v>
      </c>
      <c r="AN7" s="40" t="s">
        <v>2467</v>
      </c>
      <c r="AO7" s="40" t="s">
        <v>2494</v>
      </c>
      <c r="AP7" s="40" t="s">
        <v>2504</v>
      </c>
      <c r="AQ7" s="40" t="s">
        <v>2531</v>
      </c>
      <c r="AR7" s="40" t="s">
        <v>2537</v>
      </c>
      <c r="AS7" s="40" t="s">
        <v>2564</v>
      </c>
      <c r="AT7" s="40" t="s">
        <v>2567</v>
      </c>
      <c r="AU7" s="40" t="s">
        <v>2568</v>
      </c>
      <c r="AV7" s="38"/>
      <c r="AW7" s="40" t="s">
        <v>2567</v>
      </c>
      <c r="AX7" s="40"/>
      <c r="AY7" s="40"/>
      <c r="AZ7" s="40"/>
      <c r="BA7" s="475"/>
      <c r="BB7" s="475"/>
      <c r="BC7" s="475"/>
      <c r="BD7" s="475"/>
      <c r="BE7" s="475"/>
      <c r="BF7" s="475"/>
      <c r="BG7" s="475"/>
    </row>
    <row r="8" spans="1:59">
      <c r="A8" s="69"/>
      <c r="B8" s="69"/>
      <c r="C8" s="70"/>
      <c r="D8" s="69"/>
      <c r="E8" s="69"/>
      <c r="F8" s="69"/>
      <c r="G8" s="69"/>
      <c r="H8" s="69"/>
      <c r="I8" s="69"/>
      <c r="J8" s="69"/>
      <c r="K8" s="69"/>
      <c r="L8" s="69"/>
      <c r="M8" s="69"/>
      <c r="N8" s="69"/>
      <c r="O8" s="69"/>
      <c r="P8" s="69"/>
      <c r="Q8" s="69"/>
      <c r="R8" s="69"/>
      <c r="S8" s="69"/>
      <c r="T8" s="69"/>
      <c r="U8" s="69"/>
      <c r="V8" s="69"/>
      <c r="W8" s="69"/>
      <c r="X8" s="69"/>
      <c r="Y8" s="69"/>
      <c r="Z8" s="69"/>
      <c r="AA8" s="69"/>
      <c r="AB8" s="69"/>
      <c r="AC8" s="69"/>
      <c r="AD8" s="69"/>
      <c r="AE8" s="69"/>
      <c r="AF8" s="69"/>
      <c r="AG8" s="69"/>
      <c r="AH8" s="69"/>
      <c r="AI8" s="69"/>
      <c r="AJ8" s="69"/>
      <c r="AK8" s="69"/>
      <c r="AL8" s="69"/>
      <c r="AM8" s="69"/>
      <c r="AN8" s="69"/>
      <c r="AO8" s="69"/>
      <c r="AP8" s="69"/>
      <c r="AQ8" s="69"/>
      <c r="AR8" s="69"/>
      <c r="AS8" s="69"/>
      <c r="AT8" s="69"/>
      <c r="AU8" s="69"/>
      <c r="AV8" s="69"/>
      <c r="AW8" s="663"/>
      <c r="AX8" s="69"/>
      <c r="AY8" s="69"/>
      <c r="AZ8" s="69"/>
      <c r="BA8" s="475"/>
      <c r="BB8" s="475"/>
      <c r="BC8" s="475"/>
      <c r="BD8" s="475"/>
      <c r="BE8" s="475"/>
      <c r="BF8" s="475"/>
      <c r="BG8" s="475"/>
    </row>
    <row r="9" spans="1:59" s="475" customFormat="1">
      <c r="A9" s="48"/>
      <c r="B9" s="48"/>
      <c r="C9" s="493"/>
      <c r="D9" s="48"/>
      <c r="E9" s="48"/>
      <c r="F9" s="48"/>
      <c r="G9" s="48"/>
      <c r="H9" s="48"/>
      <c r="I9" s="48"/>
      <c r="J9" s="48"/>
      <c r="K9" s="48"/>
      <c r="L9" s="48"/>
      <c r="M9" s="48"/>
      <c r="N9" s="48"/>
      <c r="O9" s="48"/>
      <c r="P9" s="48"/>
      <c r="Q9" s="48"/>
      <c r="R9" s="48"/>
      <c r="S9" s="48"/>
      <c r="T9" s="48"/>
      <c r="U9" s="48"/>
      <c r="V9" s="48"/>
      <c r="W9" s="48"/>
      <c r="X9" s="48"/>
      <c r="Y9" s="48"/>
      <c r="Z9" s="48"/>
      <c r="AA9" s="48"/>
      <c r="AB9" s="48"/>
      <c r="AC9" s="48"/>
      <c r="AD9" s="48"/>
      <c r="AE9" s="48"/>
      <c r="AF9" s="48"/>
      <c r="AG9" s="48"/>
      <c r="AH9" s="48"/>
      <c r="AI9" s="48"/>
      <c r="AJ9" s="699"/>
      <c r="AK9" s="699"/>
      <c r="AL9" s="48"/>
      <c r="AM9" s="48"/>
      <c r="AN9" s="48"/>
      <c r="AO9" s="48"/>
      <c r="AP9" s="48"/>
      <c r="AQ9" s="48"/>
      <c r="AR9" s="48"/>
      <c r="AS9" s="48"/>
      <c r="AT9" s="48"/>
      <c r="AU9" s="48"/>
      <c r="AV9" s="483"/>
      <c r="AW9" s="664"/>
      <c r="AX9" s="48"/>
      <c r="AY9" s="48"/>
      <c r="AZ9" s="48"/>
    </row>
    <row r="10" spans="1:59">
      <c r="A10" s="38"/>
      <c r="B10" s="38"/>
      <c r="C10" s="41"/>
      <c r="D10" s="38"/>
      <c r="E10" s="38"/>
      <c r="F10" s="38"/>
      <c r="G10" s="52"/>
      <c r="H10" s="38"/>
      <c r="I10" s="38"/>
      <c r="J10" s="52"/>
      <c r="K10" s="52"/>
      <c r="L10" s="38"/>
      <c r="M10" s="38"/>
      <c r="N10" s="38"/>
      <c r="O10" s="38"/>
      <c r="P10" s="38"/>
      <c r="Q10" s="38"/>
      <c r="R10" s="50"/>
      <c r="S10" s="50"/>
      <c r="T10" s="50"/>
      <c r="U10" s="50"/>
      <c r="V10" s="50"/>
      <c r="W10" s="50"/>
      <c r="X10" s="50"/>
      <c r="Y10" s="50"/>
      <c r="Z10" s="50"/>
      <c r="AA10" s="50"/>
      <c r="AB10" s="50"/>
      <c r="AC10" s="50"/>
      <c r="AD10" s="50"/>
      <c r="AE10" s="50"/>
      <c r="AF10" s="50"/>
      <c r="AG10" s="50"/>
      <c r="AH10" s="50"/>
      <c r="AI10" s="50"/>
      <c r="AJ10" s="50"/>
      <c r="AK10" s="50"/>
      <c r="AL10" s="746"/>
      <c r="AM10" s="50"/>
      <c r="AN10" s="746"/>
      <c r="AO10" s="50">
        <f t="shared" ref="AO10" si="2">+AO12/AO11*100</f>
        <v>5.8178485270339202</v>
      </c>
      <c r="AP10" s="50"/>
      <c r="AQ10" s="50"/>
      <c r="AR10" s="50"/>
      <c r="AS10" s="50"/>
      <c r="AT10" s="50"/>
      <c r="AU10" s="50"/>
      <c r="AV10" s="50"/>
      <c r="AW10" s="665"/>
      <c r="AX10" s="50"/>
      <c r="AY10" s="38"/>
      <c r="AZ10" s="655"/>
      <c r="BA10" s="496"/>
      <c r="BB10" s="475"/>
      <c r="BC10" s="475"/>
      <c r="BD10" s="475"/>
      <c r="BE10" s="475"/>
      <c r="BF10" s="475"/>
      <c r="BG10" s="475"/>
    </row>
    <row r="11" spans="1:59">
      <c r="A11" s="38" t="s">
        <v>678</v>
      </c>
      <c r="B11" s="38" t="s">
        <v>485</v>
      </c>
      <c r="C11" s="38">
        <v>25053.599999999999</v>
      </c>
      <c r="D11" s="38">
        <v>27751.4</v>
      </c>
      <c r="E11" s="38">
        <v>29267</v>
      </c>
      <c r="F11" s="38">
        <v>26270.7</v>
      </c>
      <c r="G11" s="305">
        <v>22885.9</v>
      </c>
      <c r="H11" s="306">
        <v>25197.3</v>
      </c>
      <c r="I11" s="306">
        <v>26957.3</v>
      </c>
      <c r="J11" s="305">
        <v>21859</v>
      </c>
      <c r="K11" s="305">
        <v>23850.799999999999</v>
      </c>
      <c r="L11" s="306">
        <v>26478.1</v>
      </c>
      <c r="M11" s="306">
        <v>21382.3</v>
      </c>
      <c r="N11" s="306">
        <v>18981.400000000001</v>
      </c>
      <c r="O11" s="306">
        <v>23750.6</v>
      </c>
      <c r="P11" s="306">
        <v>29449.1</v>
      </c>
      <c r="Q11" s="306">
        <v>33228.1</v>
      </c>
      <c r="R11" s="306">
        <v>34753</v>
      </c>
      <c r="S11" s="306">
        <v>39421</v>
      </c>
      <c r="T11" s="306">
        <v>44284.6</v>
      </c>
      <c r="U11" s="306">
        <v>42617</v>
      </c>
      <c r="V11" s="306">
        <v>42777.9</v>
      </c>
      <c r="W11" s="306">
        <v>47418.8</v>
      </c>
      <c r="X11" s="306">
        <v>52950.2</v>
      </c>
      <c r="Y11" s="306">
        <v>50836.5</v>
      </c>
      <c r="Z11" s="306">
        <v>47635.7</v>
      </c>
      <c r="AA11" s="306">
        <v>49714.1</v>
      </c>
      <c r="AB11" s="306">
        <v>51005.7</v>
      </c>
      <c r="AC11" s="306">
        <v>56232.7</v>
      </c>
      <c r="AD11" s="306">
        <v>49226.2</v>
      </c>
      <c r="AE11" s="306">
        <v>50581.4</v>
      </c>
      <c r="AF11" s="306">
        <v>53342.5</v>
      </c>
      <c r="AG11" s="306">
        <v>52945.5</v>
      </c>
      <c r="AH11" s="306">
        <v>50401</v>
      </c>
      <c r="AI11" s="306">
        <v>53347.1</v>
      </c>
      <c r="AJ11" s="306">
        <v>60543.199999999997</v>
      </c>
      <c r="AK11" s="306">
        <v>57335.7</v>
      </c>
      <c r="AL11" s="747">
        <v>48906.1</v>
      </c>
      <c r="AM11" s="305">
        <v>57728.1</v>
      </c>
      <c r="AN11" s="910">
        <v>62903.9</v>
      </c>
      <c r="AO11" s="910">
        <v>57825.5</v>
      </c>
      <c r="AP11" s="910">
        <v>56026.400000000001</v>
      </c>
      <c r="AQ11" s="911">
        <f>59844.1</f>
        <v>59844.1</v>
      </c>
      <c r="AR11" s="911">
        <v>63271.199999999997</v>
      </c>
      <c r="AS11" s="911">
        <v>52628</v>
      </c>
      <c r="AT11" s="911">
        <v>51205.4</v>
      </c>
      <c r="AU11" s="56">
        <f>(AU144)*(AU153)/10^6</f>
        <v>56549.07980790006</v>
      </c>
      <c r="AV11" s="38"/>
      <c r="AW11" s="666">
        <v>48676.829992984873</v>
      </c>
      <c r="AX11" s="38"/>
      <c r="AY11" s="38"/>
      <c r="AZ11" s="12"/>
      <c r="BA11" s="12"/>
      <c r="BB11" s="475"/>
      <c r="BC11" s="475"/>
      <c r="BD11" s="475"/>
      <c r="BE11" s="475"/>
      <c r="BF11" s="475"/>
      <c r="BG11" s="475"/>
    </row>
    <row r="12" spans="1:59">
      <c r="A12" s="38" t="s">
        <v>679</v>
      </c>
      <c r="B12" s="38" t="s">
        <v>683</v>
      </c>
      <c r="C12" s="38">
        <v>3027</v>
      </c>
      <c r="D12" s="38">
        <v>3391.7</v>
      </c>
      <c r="E12" s="38">
        <v>3584.7</v>
      </c>
      <c r="F12" s="38">
        <v>3135.2</v>
      </c>
      <c r="G12" s="307">
        <v>2524.9</v>
      </c>
      <c r="H12" s="306">
        <v>2756</v>
      </c>
      <c r="I12" s="306">
        <v>2971.3</v>
      </c>
      <c r="J12" s="307">
        <v>2014.4</v>
      </c>
      <c r="K12" s="305">
        <v>1715.6</v>
      </c>
      <c r="L12" s="306">
        <v>1970.8</v>
      </c>
      <c r="M12" s="308">
        <v>1334.8</v>
      </c>
      <c r="N12" s="308">
        <v>1106</v>
      </c>
      <c r="O12" s="306">
        <v>1160.7</v>
      </c>
      <c r="P12" s="306">
        <v>1516.9</v>
      </c>
      <c r="Q12" s="306">
        <v>1569.7</v>
      </c>
      <c r="R12" s="306">
        <v>1848.5</v>
      </c>
      <c r="S12" s="306">
        <v>2048.1</v>
      </c>
      <c r="T12" s="306">
        <v>2475.5</v>
      </c>
      <c r="U12" s="306">
        <v>2335.1999999999998</v>
      </c>
      <c r="V12" s="306">
        <v>2475.3000000000002</v>
      </c>
      <c r="W12" s="306">
        <v>2065</v>
      </c>
      <c r="X12" s="306">
        <v>2485.4</v>
      </c>
      <c r="Y12" s="306">
        <v>2437</v>
      </c>
      <c r="Z12" s="306">
        <v>2480.1999999999998</v>
      </c>
      <c r="AA12" s="306">
        <v>2577.6999999999998</v>
      </c>
      <c r="AB12" s="306">
        <v>2835</v>
      </c>
      <c r="AC12" s="306">
        <v>3160.7</v>
      </c>
      <c r="AD12" s="306">
        <v>2715.7</v>
      </c>
      <c r="AE12" s="306">
        <v>2494.1</v>
      </c>
      <c r="AF12" s="306">
        <v>2727.6</v>
      </c>
      <c r="AG12" s="306">
        <v>2697.9</v>
      </c>
      <c r="AH12" s="306">
        <v>2174.4</v>
      </c>
      <c r="AI12" s="306">
        <v>2013.4</v>
      </c>
      <c r="AJ12" s="306">
        <v>2274.6999999999998</v>
      </c>
      <c r="AK12" s="306">
        <v>2135.6</v>
      </c>
      <c r="AL12" s="747">
        <v>2669.1</v>
      </c>
      <c r="AM12" s="305">
        <v>2819.6</v>
      </c>
      <c r="AN12" s="747">
        <v>3276</v>
      </c>
      <c r="AO12" s="747">
        <v>3364.2</v>
      </c>
      <c r="AP12" s="747">
        <v>3506.8</v>
      </c>
      <c r="AQ12" s="747">
        <v>3408</v>
      </c>
      <c r="AR12" s="747">
        <v>3778</v>
      </c>
      <c r="AS12" s="747">
        <v>2872.4</v>
      </c>
      <c r="AT12" s="747">
        <v>3155.1</v>
      </c>
      <c r="AU12" s="747">
        <f>+AU11*0.058</f>
        <v>3279.8466288582035</v>
      </c>
      <c r="AV12" s="566"/>
      <c r="AW12" s="666">
        <v>2823.256139593123</v>
      </c>
      <c r="AX12" s="38"/>
      <c r="AY12" s="38"/>
      <c r="AZ12" s="12"/>
      <c r="BA12" s="12"/>
      <c r="BB12" s="475"/>
      <c r="BC12" s="475"/>
      <c r="BD12" s="475"/>
      <c r="BE12" s="475"/>
      <c r="BF12" s="475"/>
      <c r="BG12" s="475"/>
    </row>
    <row r="13" spans="1:59">
      <c r="A13" s="38"/>
      <c r="B13" s="38" t="s">
        <v>1421</v>
      </c>
      <c r="C13" s="38"/>
      <c r="D13" s="38"/>
      <c r="E13" s="38"/>
      <c r="F13" s="38"/>
      <c r="G13" s="305">
        <v>725.5</v>
      </c>
      <c r="H13" s="306">
        <v>1176.9000000000001</v>
      </c>
      <c r="I13" s="306">
        <v>1026.5</v>
      </c>
      <c r="J13" s="305">
        <v>899.9</v>
      </c>
      <c r="K13" s="305">
        <v>972.5</v>
      </c>
      <c r="L13" s="306">
        <v>977</v>
      </c>
      <c r="M13" s="306">
        <v>983.5</v>
      </c>
      <c r="N13" s="306">
        <v>958.7</v>
      </c>
      <c r="O13" s="306">
        <v>794.8</v>
      </c>
      <c r="P13" s="306">
        <v>942.9</v>
      </c>
      <c r="Q13" s="306">
        <v>1297.0999999999999</v>
      </c>
      <c r="R13" s="306">
        <v>1090</v>
      </c>
      <c r="S13" s="306">
        <v>1527.7</v>
      </c>
      <c r="T13" s="306">
        <v>1609.1</v>
      </c>
      <c r="U13" s="306">
        <v>1489</v>
      </c>
      <c r="V13" s="306">
        <v>1145.3</v>
      </c>
      <c r="W13" s="306">
        <v>1709.1</v>
      </c>
      <c r="X13" s="306">
        <v>2207.8000000000002</v>
      </c>
      <c r="Y13" s="306">
        <v>1459.4</v>
      </c>
      <c r="Z13" s="306">
        <v>1358.9</v>
      </c>
      <c r="AA13" s="306">
        <v>1520.2</v>
      </c>
      <c r="AB13" s="306">
        <v>1553.3</v>
      </c>
      <c r="AC13" s="306">
        <v>1055.0999999999999</v>
      </c>
      <c r="AD13" s="306">
        <v>954.3</v>
      </c>
      <c r="AE13" s="306">
        <v>1023.6</v>
      </c>
      <c r="AF13" s="306">
        <v>1134</v>
      </c>
      <c r="AG13" s="306">
        <v>1064.8</v>
      </c>
      <c r="AH13" s="306">
        <v>1096.3</v>
      </c>
      <c r="AI13" s="306">
        <v>1190.4000000000001</v>
      </c>
      <c r="AJ13" s="306">
        <v>1362.4</v>
      </c>
      <c r="AK13" s="306">
        <v>1371.6</v>
      </c>
      <c r="AL13" s="748">
        <v>1156.4000000000001</v>
      </c>
      <c r="AM13" s="748">
        <v>1084.3</v>
      </c>
      <c r="AN13" s="912">
        <v>1171.5</v>
      </c>
      <c r="AO13" s="912">
        <v>1017</v>
      </c>
      <c r="AP13" s="912">
        <v>1075.3</v>
      </c>
      <c r="AQ13" s="910">
        <v>1043.4000000000001</v>
      </c>
      <c r="AR13" s="910">
        <v>1052</v>
      </c>
      <c r="AS13" s="910">
        <v>913.3</v>
      </c>
      <c r="AT13" s="910">
        <v>922.9</v>
      </c>
      <c r="AU13" s="910">
        <v>900</v>
      </c>
      <c r="AV13" s="38"/>
      <c r="AW13" s="666">
        <v>900</v>
      </c>
      <c r="AX13" s="38"/>
      <c r="AY13" s="38"/>
      <c r="AZ13" s="12"/>
      <c r="BA13" s="12"/>
      <c r="BB13" s="475"/>
      <c r="BC13" s="475"/>
      <c r="BD13" s="475"/>
      <c r="BE13" s="475"/>
      <c r="BF13" s="475"/>
      <c r="BG13" s="475"/>
    </row>
    <row r="14" spans="1:59" s="359" customFormat="1">
      <c r="A14" s="13" t="s">
        <v>678</v>
      </c>
      <c r="B14" s="13" t="s">
        <v>657</v>
      </c>
      <c r="C14" s="54">
        <f t="shared" ref="C14:AN14" si="3">+C11-C12+C13</f>
        <v>22026.6</v>
      </c>
      <c r="D14" s="54">
        <f t="shared" si="3"/>
        <v>24359.7</v>
      </c>
      <c r="E14" s="54">
        <f t="shared" si="3"/>
        <v>25682.3</v>
      </c>
      <c r="F14" s="54">
        <f t="shared" si="3"/>
        <v>23135.5</v>
      </c>
      <c r="G14" s="54">
        <f t="shared" si="3"/>
        <v>21086.5</v>
      </c>
      <c r="H14" s="54">
        <f t="shared" si="3"/>
        <v>23618.2</v>
      </c>
      <c r="I14" s="54">
        <f t="shared" si="3"/>
        <v>25012.5</v>
      </c>
      <c r="J14" s="54">
        <f t="shared" si="3"/>
        <v>20744.5</v>
      </c>
      <c r="K14" s="54">
        <f t="shared" si="3"/>
        <v>23107.7</v>
      </c>
      <c r="L14" s="54">
        <f t="shared" si="3"/>
        <v>25484.3</v>
      </c>
      <c r="M14" s="54">
        <f t="shared" si="3"/>
        <v>21031</v>
      </c>
      <c r="N14" s="54">
        <f t="shared" si="3"/>
        <v>18834.100000000002</v>
      </c>
      <c r="O14" s="54">
        <f t="shared" si="3"/>
        <v>23384.699999999997</v>
      </c>
      <c r="P14" s="54">
        <f t="shared" si="3"/>
        <v>28875.1</v>
      </c>
      <c r="Q14" s="54">
        <f t="shared" si="3"/>
        <v>32955.5</v>
      </c>
      <c r="R14" s="54">
        <f t="shared" si="3"/>
        <v>33994.5</v>
      </c>
      <c r="S14" s="54">
        <f t="shared" si="3"/>
        <v>38900.6</v>
      </c>
      <c r="T14" s="54">
        <f t="shared" si="3"/>
        <v>43418.2</v>
      </c>
      <c r="U14" s="54">
        <f t="shared" si="3"/>
        <v>41770.800000000003</v>
      </c>
      <c r="V14" s="54">
        <f t="shared" si="3"/>
        <v>41447.9</v>
      </c>
      <c r="W14" s="54">
        <f t="shared" si="3"/>
        <v>47062.9</v>
      </c>
      <c r="X14" s="54">
        <f t="shared" si="3"/>
        <v>52672.6</v>
      </c>
      <c r="Y14" s="54">
        <f t="shared" si="3"/>
        <v>49858.9</v>
      </c>
      <c r="Z14" s="54">
        <f t="shared" si="3"/>
        <v>46514.400000000001</v>
      </c>
      <c r="AA14" s="54">
        <f t="shared" si="3"/>
        <v>48656.6</v>
      </c>
      <c r="AB14" s="54">
        <f t="shared" si="3"/>
        <v>49724</v>
      </c>
      <c r="AC14" s="54">
        <f t="shared" si="3"/>
        <v>54127.1</v>
      </c>
      <c r="AD14" s="54">
        <f t="shared" si="3"/>
        <v>47464.800000000003</v>
      </c>
      <c r="AE14" s="54">
        <f t="shared" si="3"/>
        <v>49110.9</v>
      </c>
      <c r="AF14" s="54">
        <f t="shared" ref="AF14:AK14" si="4">+AF11-AF12+AF13</f>
        <v>51748.9</v>
      </c>
      <c r="AG14" s="54">
        <f t="shared" si="4"/>
        <v>51312.4</v>
      </c>
      <c r="AH14" s="54">
        <f t="shared" si="4"/>
        <v>49322.9</v>
      </c>
      <c r="AI14" s="54">
        <f t="shared" si="4"/>
        <v>52524.1</v>
      </c>
      <c r="AJ14" s="54">
        <f t="shared" si="4"/>
        <v>59630.9</v>
      </c>
      <c r="AK14" s="54">
        <f t="shared" si="4"/>
        <v>56571.7</v>
      </c>
      <c r="AL14" s="54">
        <f t="shared" si="3"/>
        <v>47393.4</v>
      </c>
      <c r="AM14" s="54">
        <f t="shared" si="3"/>
        <v>55992.800000000003</v>
      </c>
      <c r="AN14" s="913">
        <f t="shared" si="3"/>
        <v>60799.4</v>
      </c>
      <c r="AO14" s="913">
        <f t="shared" ref="AO14" si="5">+AO11-AO12+AO13</f>
        <v>55478.3</v>
      </c>
      <c r="AP14" s="913">
        <f t="shared" ref="AP14:AQ14" si="6">+AP11-AP12+AP13</f>
        <v>53594.9</v>
      </c>
      <c r="AQ14" s="913">
        <f t="shared" si="6"/>
        <v>57479.5</v>
      </c>
      <c r="AR14" s="913">
        <f t="shared" ref="AR14" si="7">+AR11-AR12+AR13</f>
        <v>60545.2</v>
      </c>
      <c r="AS14" s="913">
        <f t="shared" ref="AS14" si="8">+AS11-AS12+AS13</f>
        <v>50668.9</v>
      </c>
      <c r="AT14" s="913">
        <f t="shared" ref="AT14" si="9">+AT11-AT12+AT13</f>
        <v>48973.200000000004</v>
      </c>
      <c r="AU14" s="913">
        <f t="shared" ref="AU14" si="10">+AU11-AU12+AU13</f>
        <v>54169.233179041854</v>
      </c>
      <c r="AV14" s="319"/>
      <c r="AW14" s="667">
        <v>46753.573853391747</v>
      </c>
      <c r="AX14" s="12"/>
      <c r="AY14" s="319">
        <f>(AP14/AW14-1)*100</f>
        <v>14.632734105121138</v>
      </c>
      <c r="AZ14" s="12"/>
      <c r="BA14" s="12"/>
      <c r="BB14" s="495"/>
      <c r="BC14" s="495"/>
      <c r="BD14" s="495"/>
      <c r="BE14" s="495"/>
      <c r="BF14" s="495"/>
      <c r="BG14" s="495"/>
    </row>
    <row r="15" spans="1:59" s="362" customFormat="1">
      <c r="A15" s="42" t="s">
        <v>163</v>
      </c>
      <c r="B15" s="42" t="s">
        <v>516</v>
      </c>
      <c r="C15" s="43"/>
      <c r="D15" s="43"/>
      <c r="E15" s="43"/>
      <c r="F15" s="43"/>
      <c r="G15" s="49">
        <f t="shared" ref="G15:AE15" si="11">+(G14/C14-1)</f>
        <v>-4.2680213923165566E-2</v>
      </c>
      <c r="H15" s="42">
        <f t="shared" si="11"/>
        <v>-3.0439619535544415E-2</v>
      </c>
      <c r="I15" s="42">
        <f t="shared" si="11"/>
        <v>-2.6080218672003608E-2</v>
      </c>
      <c r="J15" s="49">
        <f t="shared" si="11"/>
        <v>-0.10334766916643257</v>
      </c>
      <c r="K15" s="49">
        <f t="shared" si="11"/>
        <v>9.5852796813126862E-2</v>
      </c>
      <c r="L15" s="49">
        <f t="shared" si="11"/>
        <v>7.9011101608081891E-2</v>
      </c>
      <c r="M15" s="49">
        <f t="shared" si="11"/>
        <v>-0.1591804097951024</v>
      </c>
      <c r="N15" s="49">
        <f t="shared" si="11"/>
        <v>-9.209187977536204E-2</v>
      </c>
      <c r="O15" s="49">
        <f t="shared" si="11"/>
        <v>1.1987346209272109E-2</v>
      </c>
      <c r="P15" s="49">
        <f t="shared" si="11"/>
        <v>0.13305446882982852</v>
      </c>
      <c r="Q15" s="49">
        <f t="shared" si="11"/>
        <v>0.56699633873805344</v>
      </c>
      <c r="R15" s="49">
        <f t="shared" si="11"/>
        <v>0.80494422350948525</v>
      </c>
      <c r="S15" s="49">
        <f t="shared" si="11"/>
        <v>0.66350648073312901</v>
      </c>
      <c r="T15" s="49">
        <f t="shared" si="11"/>
        <v>0.50365539859602215</v>
      </c>
      <c r="U15" s="49">
        <f t="shared" si="11"/>
        <v>0.26749101060521019</v>
      </c>
      <c r="V15" s="49">
        <f t="shared" si="11"/>
        <v>0.21925311447440032</v>
      </c>
      <c r="W15" s="49">
        <f t="shared" si="11"/>
        <v>0.20982452712811628</v>
      </c>
      <c r="X15" s="49">
        <f t="shared" si="11"/>
        <v>0.21314563938624831</v>
      </c>
      <c r="Y15" s="49">
        <f t="shared" si="11"/>
        <v>0.19363047870761396</v>
      </c>
      <c r="Z15" s="49">
        <f t="shared" si="11"/>
        <v>0.12223779733110729</v>
      </c>
      <c r="AA15" s="49">
        <f t="shared" si="11"/>
        <v>3.3863191601027465E-2</v>
      </c>
      <c r="AB15" s="49">
        <f t="shared" si="11"/>
        <v>-5.5979769367754728E-2</v>
      </c>
      <c r="AC15" s="49">
        <f t="shared" si="11"/>
        <v>8.5605578943779292E-2</v>
      </c>
      <c r="AD15" s="49">
        <f t="shared" si="11"/>
        <v>2.0432382230019197E-2</v>
      </c>
      <c r="AE15" s="49">
        <f t="shared" si="11"/>
        <v>9.3368628305308121E-3</v>
      </c>
      <c r="AF15" s="49">
        <f t="shared" ref="AF15:AP15" si="12">+(AF14/AB14-1)</f>
        <v>4.0722789799694237E-2</v>
      </c>
      <c r="AG15" s="49">
        <f t="shared" si="12"/>
        <v>-5.2001677533065616E-2</v>
      </c>
      <c r="AH15" s="49">
        <f t="shared" si="12"/>
        <v>3.9146904653553749E-2</v>
      </c>
      <c r="AI15" s="49">
        <f t="shared" si="12"/>
        <v>6.9499846266307452E-2</v>
      </c>
      <c r="AJ15" s="49">
        <f t="shared" si="12"/>
        <v>0.15231241630256864</v>
      </c>
      <c r="AK15" s="49">
        <f t="shared" si="12"/>
        <v>0.10249569304885364</v>
      </c>
      <c r="AL15" s="49">
        <f t="shared" si="12"/>
        <v>-3.9119759787036079E-2</v>
      </c>
      <c r="AM15" s="49">
        <f t="shared" si="12"/>
        <v>6.604016061198581E-2</v>
      </c>
      <c r="AN15" s="751">
        <f t="shared" si="12"/>
        <v>1.9595545262607095E-2</v>
      </c>
      <c r="AO15" s="751">
        <f t="shared" si="12"/>
        <v>-1.9327685043935339E-2</v>
      </c>
      <c r="AP15" s="751">
        <f t="shared" si="12"/>
        <v>0.13085155316985064</v>
      </c>
      <c r="AQ15" s="751">
        <f t="shared" ref="AQ15:AU15" si="13">+(AQ14/AM14-1)</f>
        <v>2.6551628066465716E-2</v>
      </c>
      <c r="AR15" s="751">
        <f t="shared" si="13"/>
        <v>-4.1809623121281669E-3</v>
      </c>
      <c r="AS15" s="751">
        <f t="shared" si="13"/>
        <v>-8.668975076741714E-2</v>
      </c>
      <c r="AT15" s="751">
        <f t="shared" si="13"/>
        <v>-8.6233951364775296E-2</v>
      </c>
      <c r="AU15" s="751">
        <f t="shared" si="13"/>
        <v>-5.7590389981787338E-2</v>
      </c>
      <c r="AV15" s="42"/>
      <c r="AW15" s="668">
        <v>-0.12817262441206512</v>
      </c>
      <c r="AX15" s="38"/>
      <c r="AY15" s="49"/>
      <c r="AZ15" s="12"/>
      <c r="BA15" s="12"/>
      <c r="BB15" s="496"/>
      <c r="BC15" s="496"/>
      <c r="BD15" s="496"/>
      <c r="BE15" s="496"/>
      <c r="BF15" s="496"/>
      <c r="BG15" s="496"/>
    </row>
    <row r="16" spans="1:59" s="362" customFormat="1">
      <c r="A16" s="42" t="s">
        <v>163</v>
      </c>
      <c r="B16" s="42" t="s">
        <v>517</v>
      </c>
      <c r="C16" s="44"/>
      <c r="D16" s="42">
        <f t="shared" ref="D16:AE16" si="14">+(D14/C14-1)</f>
        <v>0.10592193075644918</v>
      </c>
      <c r="E16" s="42">
        <f t="shared" si="14"/>
        <v>5.4294593118962897E-2</v>
      </c>
      <c r="F16" s="42">
        <f t="shared" si="14"/>
        <v>-9.9165573176857147E-2</v>
      </c>
      <c r="G16" s="49">
        <f t="shared" si="14"/>
        <v>-8.856519202092028E-2</v>
      </c>
      <c r="H16" s="42">
        <f t="shared" si="14"/>
        <v>0.12006259929338681</v>
      </c>
      <c r="I16" s="42">
        <f t="shared" si="14"/>
        <v>5.9034981497319894E-2</v>
      </c>
      <c r="J16" s="49">
        <f t="shared" si="14"/>
        <v>-0.17063468265867066</v>
      </c>
      <c r="K16" s="49">
        <f t="shared" si="14"/>
        <v>0.11391935211742865</v>
      </c>
      <c r="L16" s="42">
        <f t="shared" si="14"/>
        <v>0.10284883393847055</v>
      </c>
      <c r="M16" s="49">
        <f t="shared" si="14"/>
        <v>-0.17474680489556316</v>
      </c>
      <c r="N16" s="49">
        <f t="shared" si="14"/>
        <v>-0.10446008273501017</v>
      </c>
      <c r="O16" s="49">
        <f t="shared" si="14"/>
        <v>0.24161494310851039</v>
      </c>
      <c r="P16" s="42">
        <f t="shared" si="14"/>
        <v>0.234785992550685</v>
      </c>
      <c r="Q16" s="42">
        <f t="shared" si="14"/>
        <v>0.14131206472012225</v>
      </c>
      <c r="R16" s="42">
        <f t="shared" si="14"/>
        <v>3.152736265570244E-2</v>
      </c>
      <c r="S16" s="42">
        <f t="shared" si="14"/>
        <v>0.14432040477135999</v>
      </c>
      <c r="T16" s="42">
        <f t="shared" si="14"/>
        <v>0.11613188485524639</v>
      </c>
      <c r="U16" s="42">
        <f t="shared" si="14"/>
        <v>-3.7942613926878477E-2</v>
      </c>
      <c r="V16" s="42">
        <f t="shared" si="14"/>
        <v>-7.730280483016827E-3</v>
      </c>
      <c r="W16" s="42">
        <f t="shared" si="14"/>
        <v>0.13547127840011197</v>
      </c>
      <c r="X16" s="42">
        <f t="shared" si="14"/>
        <v>0.11919579966385396</v>
      </c>
      <c r="Y16" s="42">
        <f t="shared" si="14"/>
        <v>-5.341866549211538E-2</v>
      </c>
      <c r="Z16" s="42">
        <f t="shared" si="14"/>
        <v>-6.7079297778330438E-2</v>
      </c>
      <c r="AA16" s="42">
        <f t="shared" si="14"/>
        <v>4.6054555148512977E-2</v>
      </c>
      <c r="AB16" s="42">
        <f t="shared" si="14"/>
        <v>2.1937414451482562E-2</v>
      </c>
      <c r="AC16" s="42">
        <f t="shared" si="14"/>
        <v>8.8550800418309095E-2</v>
      </c>
      <c r="AD16" s="42">
        <f t="shared" si="14"/>
        <v>-0.12308621744006232</v>
      </c>
      <c r="AE16" s="42">
        <f t="shared" si="14"/>
        <v>3.4680436871112885E-2</v>
      </c>
      <c r="AF16" s="42">
        <f t="shared" ref="AF16:AP16" si="15">+(AF14/AE14-1)</f>
        <v>5.3715163028981383E-2</v>
      </c>
      <c r="AG16" s="42">
        <f t="shared" si="15"/>
        <v>-8.4349619025718692E-3</v>
      </c>
      <c r="AH16" s="42">
        <f t="shared" si="15"/>
        <v>-3.8772304550167225E-2</v>
      </c>
      <c r="AI16" s="42">
        <f t="shared" si="15"/>
        <v>6.4902915278704176E-2</v>
      </c>
      <c r="AJ16" s="42">
        <f t="shared" si="15"/>
        <v>0.13530550737661384</v>
      </c>
      <c r="AK16" s="42">
        <f t="shared" si="15"/>
        <v>-5.1302261076052957E-2</v>
      </c>
      <c r="AL16" s="42">
        <f t="shared" si="15"/>
        <v>-0.16224189833432612</v>
      </c>
      <c r="AM16" s="42">
        <f t="shared" si="15"/>
        <v>0.1814472057290677</v>
      </c>
      <c r="AN16" s="751">
        <f t="shared" si="15"/>
        <v>8.5843179837407746E-2</v>
      </c>
      <c r="AO16" s="751">
        <f t="shared" si="15"/>
        <v>-8.7518955779168794E-2</v>
      </c>
      <c r="AP16" s="751">
        <f t="shared" si="15"/>
        <v>-3.3948408657078599E-2</v>
      </c>
      <c r="AQ16" s="751">
        <f t="shared" ref="AQ16:AU16" si="16">+(AQ14/AP14-1)</f>
        <v>7.248077708886469E-2</v>
      </c>
      <c r="AR16" s="751">
        <f t="shared" si="16"/>
        <v>5.3335537017545231E-2</v>
      </c>
      <c r="AS16" s="751">
        <f t="shared" si="16"/>
        <v>-0.16312275787345643</v>
      </c>
      <c r="AT16" s="751">
        <f t="shared" si="16"/>
        <v>-3.3466287999147304E-2</v>
      </c>
      <c r="AU16" s="751">
        <f t="shared" si="16"/>
        <v>0.10609952339324047</v>
      </c>
      <c r="AV16" s="42"/>
      <c r="AW16" s="669">
        <v>-7.7272767843948764E-2</v>
      </c>
      <c r="AX16" s="38"/>
      <c r="AY16" s="49"/>
      <c r="AZ16" s="12"/>
      <c r="BA16" s="12"/>
      <c r="BB16" s="496"/>
      <c r="BC16" s="496"/>
      <c r="BD16" s="660"/>
      <c r="BE16" s="496"/>
      <c r="BF16" s="496"/>
      <c r="BG16" s="496"/>
    </row>
    <row r="17" spans="1:59" s="362" customFormat="1">
      <c r="A17" s="42"/>
      <c r="B17" s="42"/>
      <c r="C17" s="44"/>
      <c r="D17" s="42"/>
      <c r="E17" s="42"/>
      <c r="F17" s="42"/>
      <c r="G17" s="49"/>
      <c r="H17" s="42"/>
      <c r="I17" s="42"/>
      <c r="J17" s="49"/>
      <c r="K17" s="49"/>
      <c r="L17" s="42"/>
      <c r="M17" s="49"/>
      <c r="N17" s="49"/>
      <c r="O17" s="49"/>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751"/>
      <c r="AO17" s="751"/>
      <c r="AP17" s="751"/>
      <c r="AQ17" s="751"/>
      <c r="AR17" s="751"/>
      <c r="AS17" s="751"/>
      <c r="AT17" s="751"/>
      <c r="AU17" s="751"/>
      <c r="AV17" s="42"/>
      <c r="AW17" s="669"/>
      <c r="AX17" s="38"/>
      <c r="AY17" s="49"/>
      <c r="AZ17" s="12"/>
      <c r="BA17" s="12"/>
      <c r="BB17" s="12"/>
      <c r="BC17" s="496"/>
      <c r="BD17" s="496"/>
      <c r="BE17" s="496"/>
      <c r="BF17" s="496"/>
      <c r="BG17" s="496"/>
    </row>
    <row r="18" spans="1:59" s="357" customFormat="1">
      <c r="A18" s="12" t="s">
        <v>679</v>
      </c>
      <c r="B18" s="12" t="s">
        <v>658</v>
      </c>
      <c r="C18" s="12">
        <f t="shared" ref="C18:AU18" si="17">+C19</f>
        <v>15543.9</v>
      </c>
      <c r="D18" s="12">
        <f t="shared" si="17"/>
        <v>17691.800000000003</v>
      </c>
      <c r="E18" s="12">
        <f t="shared" si="17"/>
        <v>18855.8</v>
      </c>
      <c r="F18" s="12">
        <f t="shared" si="17"/>
        <v>16918.600000000002</v>
      </c>
      <c r="G18" s="53">
        <f t="shared" si="17"/>
        <v>15260.2</v>
      </c>
      <c r="H18" s="12">
        <f t="shared" si="17"/>
        <v>17066.7</v>
      </c>
      <c r="I18" s="12">
        <f t="shared" si="17"/>
        <v>18636.5</v>
      </c>
      <c r="J18" s="53">
        <f t="shared" si="17"/>
        <v>15240.3</v>
      </c>
      <c r="K18" s="53">
        <f t="shared" si="17"/>
        <v>17454.3</v>
      </c>
      <c r="L18" s="12">
        <f t="shared" si="17"/>
        <v>19015.3</v>
      </c>
      <c r="M18" s="12">
        <f t="shared" si="17"/>
        <v>15162.100000000002</v>
      </c>
      <c r="N18" s="12">
        <f t="shared" si="17"/>
        <v>12951.5</v>
      </c>
      <c r="O18" s="12">
        <f t="shared" si="17"/>
        <v>15470.199999999999</v>
      </c>
      <c r="P18" s="12">
        <f t="shared" si="17"/>
        <v>19124</v>
      </c>
      <c r="Q18" s="12">
        <f t="shared" si="17"/>
        <v>22566.6</v>
      </c>
      <c r="R18" s="12">
        <f t="shared" si="17"/>
        <v>23543.599999999999</v>
      </c>
      <c r="S18" s="12">
        <f t="shared" si="17"/>
        <v>27681.800000000003</v>
      </c>
      <c r="T18" s="12">
        <f t="shared" si="17"/>
        <v>30711.9</v>
      </c>
      <c r="U18" s="12">
        <f t="shared" si="17"/>
        <v>29826</v>
      </c>
      <c r="V18" s="12">
        <f t="shared" si="17"/>
        <v>29768.400000000001</v>
      </c>
      <c r="W18" s="12">
        <f t="shared" si="17"/>
        <v>34658.799999999996</v>
      </c>
      <c r="X18" s="12">
        <f t="shared" si="17"/>
        <v>37615.599999999999</v>
      </c>
      <c r="Y18" s="12">
        <f t="shared" si="17"/>
        <v>35636.100000000006</v>
      </c>
      <c r="Z18" s="12">
        <f t="shared" si="17"/>
        <v>33126.100000000006</v>
      </c>
      <c r="AA18" s="12">
        <f t="shared" si="17"/>
        <v>35080.400000000001</v>
      </c>
      <c r="AB18" s="12">
        <f t="shared" si="17"/>
        <v>35686.300000000003</v>
      </c>
      <c r="AC18" s="12">
        <f t="shared" si="17"/>
        <v>39210.700000000004</v>
      </c>
      <c r="AD18" s="12">
        <f t="shared" si="17"/>
        <v>34088.300000000003</v>
      </c>
      <c r="AE18" s="12">
        <f t="shared" si="17"/>
        <v>34066.6</v>
      </c>
      <c r="AF18" s="12">
        <f t="shared" ref="AF18:AL18" si="18">+AF19</f>
        <v>34685.700000000004</v>
      </c>
      <c r="AG18" s="12">
        <f t="shared" si="18"/>
        <v>35662.700000000004</v>
      </c>
      <c r="AH18" s="12">
        <f t="shared" si="18"/>
        <v>34351.700000000004</v>
      </c>
      <c r="AI18" s="12">
        <f t="shared" si="18"/>
        <v>36802.199999999997</v>
      </c>
      <c r="AJ18" s="12">
        <f t="shared" si="18"/>
        <v>41100.5</v>
      </c>
      <c r="AK18" s="12">
        <f t="shared" si="18"/>
        <v>38619.800000000003</v>
      </c>
      <c r="AL18" s="12">
        <f t="shared" si="18"/>
        <v>31975.500000000004</v>
      </c>
      <c r="AM18" s="12">
        <f t="shared" si="17"/>
        <v>37727.500000000007</v>
      </c>
      <c r="AN18" s="914">
        <f t="shared" si="17"/>
        <v>40550.800000000003</v>
      </c>
      <c r="AO18" s="914">
        <f t="shared" si="17"/>
        <v>36957.700000000004</v>
      </c>
      <c r="AP18" s="914">
        <f t="shared" si="17"/>
        <v>35332.600000000006</v>
      </c>
      <c r="AQ18" s="914">
        <f t="shared" si="17"/>
        <v>38627.699999999997</v>
      </c>
      <c r="AR18" s="914">
        <f t="shared" si="17"/>
        <v>40570.599999999991</v>
      </c>
      <c r="AS18" s="914">
        <f t="shared" si="17"/>
        <v>33840.5</v>
      </c>
      <c r="AT18" s="914">
        <f t="shared" si="17"/>
        <v>33202.699999999997</v>
      </c>
      <c r="AU18" s="914">
        <f t="shared" si="17"/>
        <v>36293.386229958043</v>
      </c>
      <c r="AV18" s="12"/>
      <c r="AW18" s="670">
        <v>31324.894481772473</v>
      </c>
      <c r="AX18" s="12"/>
      <c r="AY18" s="12"/>
      <c r="AZ18" s="12"/>
      <c r="BA18" s="12"/>
      <c r="BB18" s="12"/>
      <c r="BC18" s="494"/>
      <c r="BD18" s="494"/>
      <c r="BE18" s="494"/>
      <c r="BF18" s="494"/>
      <c r="BG18" s="494"/>
    </row>
    <row r="19" spans="1:59">
      <c r="A19" s="38"/>
      <c r="B19" s="38" t="s">
        <v>566</v>
      </c>
      <c r="C19" s="38">
        <f t="shared" ref="C19:AE19" si="19">+C23+C24</f>
        <v>15543.9</v>
      </c>
      <c r="D19" s="38">
        <f t="shared" si="19"/>
        <v>17691.800000000003</v>
      </c>
      <c r="E19" s="38">
        <f t="shared" si="19"/>
        <v>18855.8</v>
      </c>
      <c r="F19" s="38">
        <f t="shared" si="19"/>
        <v>16918.600000000002</v>
      </c>
      <c r="G19" s="52">
        <f t="shared" si="19"/>
        <v>15260.2</v>
      </c>
      <c r="H19" s="38">
        <f t="shared" si="19"/>
        <v>17066.7</v>
      </c>
      <c r="I19" s="38">
        <f t="shared" si="19"/>
        <v>18636.5</v>
      </c>
      <c r="J19" s="52">
        <f t="shared" si="19"/>
        <v>15240.3</v>
      </c>
      <c r="K19" s="52">
        <f t="shared" si="19"/>
        <v>17454.3</v>
      </c>
      <c r="L19" s="38">
        <f t="shared" si="19"/>
        <v>19015.3</v>
      </c>
      <c r="M19" s="38">
        <f t="shared" si="19"/>
        <v>15162.100000000002</v>
      </c>
      <c r="N19" s="38">
        <f t="shared" si="19"/>
        <v>12951.5</v>
      </c>
      <c r="O19" s="38">
        <f t="shared" si="19"/>
        <v>15470.199999999999</v>
      </c>
      <c r="P19" s="38">
        <f t="shared" si="19"/>
        <v>19124</v>
      </c>
      <c r="Q19" s="38">
        <f t="shared" si="19"/>
        <v>22566.6</v>
      </c>
      <c r="R19" s="38">
        <f t="shared" si="19"/>
        <v>23543.599999999999</v>
      </c>
      <c r="S19" s="38">
        <f t="shared" si="19"/>
        <v>27681.800000000003</v>
      </c>
      <c r="T19" s="38">
        <f t="shared" si="19"/>
        <v>30711.9</v>
      </c>
      <c r="U19" s="38">
        <f t="shared" si="19"/>
        <v>29826</v>
      </c>
      <c r="V19" s="38">
        <f t="shared" si="19"/>
        <v>29768.400000000001</v>
      </c>
      <c r="W19" s="38">
        <f t="shared" si="19"/>
        <v>34658.799999999996</v>
      </c>
      <c r="X19" s="38">
        <f t="shared" si="19"/>
        <v>37615.599999999999</v>
      </c>
      <c r="Y19" s="38">
        <f t="shared" si="19"/>
        <v>35636.100000000006</v>
      </c>
      <c r="Z19" s="38">
        <f t="shared" si="19"/>
        <v>33126.100000000006</v>
      </c>
      <c r="AA19" s="38">
        <f t="shared" si="19"/>
        <v>35080.400000000001</v>
      </c>
      <c r="AB19" s="38">
        <f t="shared" si="19"/>
        <v>35686.300000000003</v>
      </c>
      <c r="AC19" s="38">
        <f t="shared" si="19"/>
        <v>39210.700000000004</v>
      </c>
      <c r="AD19" s="38">
        <f t="shared" si="19"/>
        <v>34088.300000000003</v>
      </c>
      <c r="AE19" s="38">
        <f t="shared" si="19"/>
        <v>34066.6</v>
      </c>
      <c r="AF19" s="38">
        <f t="shared" ref="AF19:AN19" si="20">+AF23+AF24</f>
        <v>34685.700000000004</v>
      </c>
      <c r="AG19" s="38">
        <f t="shared" si="20"/>
        <v>35662.700000000004</v>
      </c>
      <c r="AH19" s="38">
        <f t="shared" si="20"/>
        <v>34351.700000000004</v>
      </c>
      <c r="AI19" s="38">
        <f t="shared" si="20"/>
        <v>36802.199999999997</v>
      </c>
      <c r="AJ19" s="38">
        <f t="shared" si="20"/>
        <v>41100.5</v>
      </c>
      <c r="AK19" s="38">
        <f t="shared" si="20"/>
        <v>38619.800000000003</v>
      </c>
      <c r="AL19" s="38">
        <f t="shared" si="20"/>
        <v>31975.500000000004</v>
      </c>
      <c r="AM19" s="38">
        <f t="shared" si="20"/>
        <v>37727.500000000007</v>
      </c>
      <c r="AN19" s="910">
        <f t="shared" si="20"/>
        <v>40550.800000000003</v>
      </c>
      <c r="AO19" s="910">
        <f t="shared" ref="AO19:AP19" si="21">+AO23+AO24</f>
        <v>36957.700000000004</v>
      </c>
      <c r="AP19" s="910">
        <f t="shared" si="21"/>
        <v>35332.600000000006</v>
      </c>
      <c r="AQ19" s="910">
        <f t="shared" ref="AQ19:AR19" si="22">+AQ23+AQ24</f>
        <v>38627.699999999997</v>
      </c>
      <c r="AR19" s="910">
        <f t="shared" si="22"/>
        <v>40570.599999999991</v>
      </c>
      <c r="AS19" s="910">
        <f t="shared" ref="AS19" si="23">+AS23+AS24</f>
        <v>33840.5</v>
      </c>
      <c r="AT19" s="910">
        <f t="shared" ref="AT19" si="24">+AT23+AT24</f>
        <v>33202.699999999997</v>
      </c>
      <c r="AU19" s="910">
        <f t="shared" ref="AU19" si="25">+AU23+AU24</f>
        <v>36293.386229958043</v>
      </c>
      <c r="AV19" s="38"/>
      <c r="AW19" s="671">
        <v>31324.894481772473</v>
      </c>
      <c r="AX19" s="38"/>
      <c r="AY19" s="38"/>
      <c r="AZ19" s="400"/>
      <c r="BA19" s="400"/>
      <c r="BB19" s="12"/>
      <c r="BC19" s="475"/>
      <c r="BD19" s="475"/>
      <c r="BE19" s="475"/>
      <c r="BF19" s="475"/>
      <c r="BG19" s="475"/>
    </row>
    <row r="20" spans="1:59" s="362" customFormat="1">
      <c r="A20" s="42" t="s">
        <v>163</v>
      </c>
      <c r="B20" s="42" t="s">
        <v>516</v>
      </c>
      <c r="C20" s="44"/>
      <c r="D20" s="44"/>
      <c r="E20" s="44"/>
      <c r="F20" s="44"/>
      <c r="G20" s="49">
        <f t="shared" ref="G20:AE20" si="26">+(G19/C19-1)</f>
        <v>-1.8251532755614641E-2</v>
      </c>
      <c r="H20" s="42">
        <f t="shared" si="26"/>
        <v>-3.5332753026826147E-2</v>
      </c>
      <c r="I20" s="42">
        <f t="shared" si="26"/>
        <v>-1.1630373678125472E-2</v>
      </c>
      <c r="J20" s="49">
        <f t="shared" si="26"/>
        <v>-9.9198515243578256E-2</v>
      </c>
      <c r="K20" s="49">
        <f t="shared" si="26"/>
        <v>0.14377924273600606</v>
      </c>
      <c r="L20" s="42">
        <f t="shared" si="26"/>
        <v>0.11417555825086279</v>
      </c>
      <c r="M20" s="42">
        <f t="shared" si="26"/>
        <v>-0.18642985539130186</v>
      </c>
      <c r="N20" s="49">
        <f t="shared" si="26"/>
        <v>-0.15018077071973646</v>
      </c>
      <c r="O20" s="49">
        <f t="shared" si="26"/>
        <v>-0.11367399437387926</v>
      </c>
      <c r="P20" s="49">
        <f t="shared" si="26"/>
        <v>5.7164493854948706E-3</v>
      </c>
      <c r="Q20" s="49">
        <f t="shared" si="26"/>
        <v>0.4883558346139385</v>
      </c>
      <c r="R20" s="49">
        <f t="shared" si="26"/>
        <v>0.81782805080492604</v>
      </c>
      <c r="S20" s="49">
        <f t="shared" si="26"/>
        <v>0.78936277488332429</v>
      </c>
      <c r="T20" s="49">
        <f t="shared" si="26"/>
        <v>0.60593495084710325</v>
      </c>
      <c r="U20" s="49">
        <f t="shared" si="26"/>
        <v>0.32168780409986453</v>
      </c>
      <c r="V20" s="49">
        <f t="shared" si="26"/>
        <v>0.26439457007424538</v>
      </c>
      <c r="W20" s="49">
        <f t="shared" si="26"/>
        <v>0.25204285848463592</v>
      </c>
      <c r="X20" s="49">
        <f t="shared" si="26"/>
        <v>0.22478908826871669</v>
      </c>
      <c r="Y20" s="49">
        <f t="shared" si="26"/>
        <v>0.19479983906658638</v>
      </c>
      <c r="Z20" s="49">
        <f t="shared" si="26"/>
        <v>0.1127941038147835</v>
      </c>
      <c r="AA20" s="49">
        <f t="shared" si="26"/>
        <v>1.2164298821655928E-2</v>
      </c>
      <c r="AB20" s="49">
        <f t="shared" si="26"/>
        <v>-5.1289890364635826E-2</v>
      </c>
      <c r="AC20" s="49">
        <f t="shared" si="26"/>
        <v>0.10030839513863743</v>
      </c>
      <c r="AD20" s="49">
        <f t="shared" si="26"/>
        <v>2.9046582604049354E-2</v>
      </c>
      <c r="AE20" s="49">
        <f t="shared" si="26"/>
        <v>-2.8899328399904278E-2</v>
      </c>
      <c r="AF20" s="49">
        <f t="shared" ref="AF20:AP20" si="27">+(AF19/AB19-1)</f>
        <v>-2.8038771181097433E-2</v>
      </c>
      <c r="AG20" s="49">
        <f t="shared" si="27"/>
        <v>-9.0485505231990282E-2</v>
      </c>
      <c r="AH20" s="49">
        <f t="shared" si="27"/>
        <v>7.7269913724065109E-3</v>
      </c>
      <c r="AI20" s="49">
        <f t="shared" si="27"/>
        <v>8.0301527008859175E-2</v>
      </c>
      <c r="AJ20" s="49">
        <f t="shared" si="27"/>
        <v>0.18494076809751547</v>
      </c>
      <c r="AK20" s="49">
        <f t="shared" si="27"/>
        <v>8.2918567579011171E-2</v>
      </c>
      <c r="AL20" s="49">
        <f t="shared" si="27"/>
        <v>-6.9172704698748588E-2</v>
      </c>
      <c r="AM20" s="49">
        <f t="shared" si="27"/>
        <v>2.5142518653776369E-2</v>
      </c>
      <c r="AN20" s="751">
        <f t="shared" si="27"/>
        <v>-1.3374533156530921E-2</v>
      </c>
      <c r="AO20" s="751">
        <f t="shared" si="27"/>
        <v>-4.3037509256909634E-2</v>
      </c>
      <c r="AP20" s="751">
        <f t="shared" si="27"/>
        <v>0.10498975778330299</v>
      </c>
      <c r="AQ20" s="751">
        <f t="shared" ref="AQ20:AU20" si="28">+(AQ19/AM19-1)</f>
        <v>2.386057915313744E-2</v>
      </c>
      <c r="AR20" s="751">
        <f t="shared" si="28"/>
        <v>4.8827643351034844E-4</v>
      </c>
      <c r="AS20" s="751">
        <f t="shared" si="28"/>
        <v>-8.4345075586413798E-2</v>
      </c>
      <c r="AT20" s="751">
        <f t="shared" si="28"/>
        <v>-6.0281439803467896E-2</v>
      </c>
      <c r="AU20" s="751">
        <f t="shared" si="28"/>
        <v>-6.0431083653491036E-2</v>
      </c>
      <c r="AV20" s="42"/>
      <c r="AW20" s="669">
        <v>-0.11342798204002913</v>
      </c>
      <c r="AX20" s="38"/>
      <c r="AY20" s="42"/>
      <c r="AZ20" s="400"/>
      <c r="BA20" s="12"/>
      <c r="BB20" s="12"/>
      <c r="BC20" s="496"/>
      <c r="BD20" s="496"/>
      <c r="BE20" s="496"/>
      <c r="BF20" s="496"/>
      <c r="BG20" s="496"/>
    </row>
    <row r="21" spans="1:59" s="362" customFormat="1">
      <c r="A21" s="42" t="s">
        <v>163</v>
      </c>
      <c r="B21" s="42" t="s">
        <v>517</v>
      </c>
      <c r="C21" s="44"/>
      <c r="D21" s="42">
        <f t="shared" ref="D21:AE21" si="29">+(D19/C19-1)</f>
        <v>0.13818282413036642</v>
      </c>
      <c r="E21" s="42">
        <f t="shared" si="29"/>
        <v>6.5793192326388361E-2</v>
      </c>
      <c r="F21" s="42">
        <f t="shared" si="29"/>
        <v>-0.10273761919409397</v>
      </c>
      <c r="G21" s="49">
        <f t="shared" si="29"/>
        <v>-9.8022294988947101E-2</v>
      </c>
      <c r="H21" s="42">
        <f t="shared" si="29"/>
        <v>0.11837983774786709</v>
      </c>
      <c r="I21" s="42">
        <f t="shared" si="29"/>
        <v>9.1980289100997759E-2</v>
      </c>
      <c r="J21" s="49">
        <f t="shared" si="29"/>
        <v>-0.18223378853325467</v>
      </c>
      <c r="K21" s="49">
        <f t="shared" si="29"/>
        <v>0.14527273085175496</v>
      </c>
      <c r="L21" s="42">
        <f t="shared" si="29"/>
        <v>8.9433549325954154E-2</v>
      </c>
      <c r="M21" s="42">
        <f t="shared" si="29"/>
        <v>-0.20263682403117478</v>
      </c>
      <c r="N21" s="49">
        <f t="shared" si="29"/>
        <v>-0.14579774569485771</v>
      </c>
      <c r="O21" s="49">
        <f t="shared" si="29"/>
        <v>0.19447168281666216</v>
      </c>
      <c r="P21" s="42">
        <f t="shared" si="29"/>
        <v>0.23618311334048703</v>
      </c>
      <c r="Q21" s="42">
        <f t="shared" si="29"/>
        <v>0.18001464128843336</v>
      </c>
      <c r="R21" s="42">
        <f t="shared" si="29"/>
        <v>4.3294071769783615E-2</v>
      </c>
      <c r="S21" s="42">
        <f t="shared" si="29"/>
        <v>0.17576751219014963</v>
      </c>
      <c r="T21" s="42">
        <f t="shared" si="29"/>
        <v>0.10946181245439246</v>
      </c>
      <c r="U21" s="42">
        <f t="shared" si="29"/>
        <v>-2.8845496371113555E-2</v>
      </c>
      <c r="V21" s="42">
        <f t="shared" si="29"/>
        <v>-1.9312009656003992E-3</v>
      </c>
      <c r="W21" s="42">
        <f t="shared" si="29"/>
        <v>0.16428158718641228</v>
      </c>
      <c r="X21" s="42">
        <f t="shared" si="29"/>
        <v>8.5311666878253201E-2</v>
      </c>
      <c r="Y21" s="42">
        <f t="shared" si="29"/>
        <v>-5.2624443050223624E-2</v>
      </c>
      <c r="Z21" s="42">
        <f t="shared" si="29"/>
        <v>-7.0434194538684047E-2</v>
      </c>
      <c r="AA21" s="42">
        <f t="shared" si="29"/>
        <v>5.8995776744017459E-2</v>
      </c>
      <c r="AB21" s="42">
        <f t="shared" si="29"/>
        <v>1.7271752887652481E-2</v>
      </c>
      <c r="AC21" s="42">
        <f t="shared" si="29"/>
        <v>9.8760588797381699E-2</v>
      </c>
      <c r="AD21" s="42">
        <f t="shared" si="29"/>
        <v>-0.13063781059761748</v>
      </c>
      <c r="AE21" s="42">
        <f t="shared" si="29"/>
        <v>-6.3658205307992599E-4</v>
      </c>
      <c r="AF21" s="42">
        <f t="shared" ref="AF21:AP21" si="30">+(AF19/AE19-1)</f>
        <v>1.8173225387916769E-2</v>
      </c>
      <c r="AG21" s="42">
        <f t="shared" si="30"/>
        <v>2.8167227416485696E-2</v>
      </c>
      <c r="AH21" s="42">
        <f t="shared" si="30"/>
        <v>-3.6761097729560599E-2</v>
      </c>
      <c r="AI21" s="42">
        <f t="shared" si="30"/>
        <v>7.1335625311119699E-2</v>
      </c>
      <c r="AJ21" s="42">
        <f t="shared" si="30"/>
        <v>0.11679464814603491</v>
      </c>
      <c r="AK21" s="42">
        <f t="shared" si="30"/>
        <v>-6.0356929964355599E-2</v>
      </c>
      <c r="AL21" s="42">
        <f t="shared" si="30"/>
        <v>-0.17204387386780873</v>
      </c>
      <c r="AM21" s="42">
        <f t="shared" si="30"/>
        <v>0.17988772654063268</v>
      </c>
      <c r="AN21" s="751">
        <f t="shared" si="30"/>
        <v>7.483400702405385E-2</v>
      </c>
      <c r="AO21" s="751">
        <f t="shared" si="30"/>
        <v>-8.8607376426605544E-2</v>
      </c>
      <c r="AP21" s="751">
        <f t="shared" si="30"/>
        <v>-4.3971892190260764E-2</v>
      </c>
      <c r="AQ21" s="751">
        <f t="shared" ref="AQ21:AU21" si="31">+(AQ19/AP19-1)</f>
        <v>9.3259482743981215E-2</v>
      </c>
      <c r="AR21" s="751">
        <f t="shared" si="31"/>
        <v>5.0298102139138434E-2</v>
      </c>
      <c r="AS21" s="751">
        <f t="shared" si="31"/>
        <v>-0.16588613429429178</v>
      </c>
      <c r="AT21" s="751">
        <f t="shared" si="31"/>
        <v>-1.884723925473919E-2</v>
      </c>
      <c r="AU21" s="751">
        <f t="shared" si="31"/>
        <v>9.308538853641557E-2</v>
      </c>
      <c r="AV21" s="42">
        <v>0.33200000000000002</v>
      </c>
      <c r="AW21" s="669">
        <v>-7.4337126172117074E-2</v>
      </c>
      <c r="AX21" s="38"/>
      <c r="AY21" s="49"/>
      <c r="AZ21" s="656"/>
      <c r="BA21" s="656"/>
      <c r="BB21" s="12"/>
      <c r="BC21" s="496"/>
      <c r="BD21" s="496"/>
      <c r="BE21" s="496"/>
      <c r="BF21" s="496"/>
      <c r="BG21" s="496"/>
    </row>
    <row r="22" spans="1:59" s="362" customFormat="1">
      <c r="A22" s="896" t="s">
        <v>163</v>
      </c>
      <c r="B22" s="896" t="s">
        <v>226</v>
      </c>
      <c r="C22" s="897">
        <f t="shared" ref="C22:AE22" si="32">ROUND(C19/C14,3)</f>
        <v>0.70599999999999996</v>
      </c>
      <c r="D22" s="897">
        <f t="shared" si="32"/>
        <v>0.72599999999999998</v>
      </c>
      <c r="E22" s="897">
        <f t="shared" si="32"/>
        <v>0.73399999999999999</v>
      </c>
      <c r="F22" s="897">
        <f t="shared" si="32"/>
        <v>0.73099999999999998</v>
      </c>
      <c r="G22" s="897">
        <f t="shared" si="32"/>
        <v>0.72399999999999998</v>
      </c>
      <c r="H22" s="897">
        <f t="shared" si="32"/>
        <v>0.72299999999999998</v>
      </c>
      <c r="I22" s="897">
        <f t="shared" si="32"/>
        <v>0.745</v>
      </c>
      <c r="J22" s="897">
        <f t="shared" si="32"/>
        <v>0.73499999999999999</v>
      </c>
      <c r="K22" s="897">
        <f t="shared" si="32"/>
        <v>0.755</v>
      </c>
      <c r="L22" s="897">
        <f t="shared" si="32"/>
        <v>0.746</v>
      </c>
      <c r="M22" s="897">
        <f t="shared" si="32"/>
        <v>0.72099999999999997</v>
      </c>
      <c r="N22" s="897">
        <f t="shared" si="32"/>
        <v>0.68799999999999994</v>
      </c>
      <c r="O22" s="897">
        <f t="shared" si="32"/>
        <v>0.66200000000000003</v>
      </c>
      <c r="P22" s="897">
        <f t="shared" si="32"/>
        <v>0.66200000000000003</v>
      </c>
      <c r="Q22" s="897">
        <f t="shared" si="32"/>
        <v>0.68500000000000005</v>
      </c>
      <c r="R22" s="897">
        <f t="shared" si="32"/>
        <v>0.69299999999999995</v>
      </c>
      <c r="S22" s="897">
        <f t="shared" si="32"/>
        <v>0.71199999999999997</v>
      </c>
      <c r="T22" s="897">
        <f t="shared" si="32"/>
        <v>0.70699999999999996</v>
      </c>
      <c r="U22" s="897">
        <f t="shared" si="32"/>
        <v>0.71399999999999997</v>
      </c>
      <c r="V22" s="897">
        <f t="shared" si="32"/>
        <v>0.71799999999999997</v>
      </c>
      <c r="W22" s="897">
        <f t="shared" si="32"/>
        <v>0.73599999999999999</v>
      </c>
      <c r="X22" s="897">
        <f t="shared" si="32"/>
        <v>0.71399999999999997</v>
      </c>
      <c r="Y22" s="897">
        <f t="shared" si="32"/>
        <v>0.71499999999999997</v>
      </c>
      <c r="Z22" s="897">
        <f t="shared" si="32"/>
        <v>0.71199999999999997</v>
      </c>
      <c r="AA22" s="897">
        <f t="shared" si="32"/>
        <v>0.72099999999999997</v>
      </c>
      <c r="AB22" s="897">
        <f t="shared" si="32"/>
        <v>0.71799999999999997</v>
      </c>
      <c r="AC22" s="897">
        <f t="shared" si="32"/>
        <v>0.72399999999999998</v>
      </c>
      <c r="AD22" s="897">
        <f t="shared" si="32"/>
        <v>0.71799999999999997</v>
      </c>
      <c r="AE22" s="897">
        <f t="shared" si="32"/>
        <v>0.69399999999999995</v>
      </c>
      <c r="AF22" s="897">
        <f t="shared" ref="AF22:AL22" si="33">ROUND(AF19/AF14,3)</f>
        <v>0.67</v>
      </c>
      <c r="AG22" s="897">
        <f t="shared" si="33"/>
        <v>0.69499999999999995</v>
      </c>
      <c r="AH22" s="897">
        <f t="shared" si="33"/>
        <v>0.69599999999999995</v>
      </c>
      <c r="AI22" s="897">
        <f t="shared" si="33"/>
        <v>0.70099999999999996</v>
      </c>
      <c r="AJ22" s="897">
        <f t="shared" si="33"/>
        <v>0.68899999999999995</v>
      </c>
      <c r="AK22" s="897">
        <f t="shared" si="33"/>
        <v>0.68300000000000005</v>
      </c>
      <c r="AL22" s="897">
        <f t="shared" si="33"/>
        <v>0.67500000000000004</v>
      </c>
      <c r="AM22" s="897">
        <f t="shared" ref="AM22:AN22" si="34">ROUND(AM19/AM14,3)</f>
        <v>0.67400000000000004</v>
      </c>
      <c r="AN22" s="898">
        <f t="shared" si="34"/>
        <v>0.66700000000000004</v>
      </c>
      <c r="AO22" s="898">
        <f t="shared" ref="AO22:AP22" si="35">ROUND(AO19/AO14,3)</f>
        <v>0.66600000000000004</v>
      </c>
      <c r="AP22" s="898">
        <f t="shared" si="35"/>
        <v>0.65900000000000003</v>
      </c>
      <c r="AQ22" s="898">
        <f t="shared" ref="AQ22:AR22" si="36">ROUND(AQ19/AQ14,3)</f>
        <v>0.67200000000000004</v>
      </c>
      <c r="AR22" s="898">
        <f t="shared" si="36"/>
        <v>0.67</v>
      </c>
      <c r="AS22" s="898">
        <f t="shared" ref="AS22:AT22" si="37">ROUND(AS19/AS14,3)</f>
        <v>0.66800000000000004</v>
      </c>
      <c r="AT22" s="898">
        <f t="shared" si="37"/>
        <v>0.67800000000000005</v>
      </c>
      <c r="AU22" s="898">
        <v>0.67</v>
      </c>
      <c r="AV22" s="910">
        <v>32.200000000000003</v>
      </c>
      <c r="AW22" s="672">
        <v>0.67</v>
      </c>
      <c r="AX22" s="49">
        <v>0.65300000000000002</v>
      </c>
      <c r="AY22" s="565"/>
      <c r="AZ22" s="656"/>
      <c r="BA22" s="656"/>
      <c r="BB22" s="12"/>
      <c r="BC22" s="496"/>
      <c r="BD22" s="496"/>
      <c r="BE22" s="496"/>
      <c r="BF22" s="496"/>
      <c r="BG22" s="496"/>
    </row>
    <row r="23" spans="1:59">
      <c r="A23" s="38"/>
      <c r="B23" s="38" t="s">
        <v>564</v>
      </c>
      <c r="C23" s="38">
        <v>15319.9</v>
      </c>
      <c r="D23" s="38">
        <v>17623.400000000001</v>
      </c>
      <c r="E23" s="38">
        <v>18902.599999999999</v>
      </c>
      <c r="F23" s="38">
        <v>17155.2</v>
      </c>
      <c r="G23" s="52">
        <v>15233.2</v>
      </c>
      <c r="H23" s="38">
        <v>17315.5</v>
      </c>
      <c r="I23" s="38">
        <v>18704.2</v>
      </c>
      <c r="J23" s="52">
        <f>(148718+7575)/10</f>
        <v>15629.3</v>
      </c>
      <c r="K23" s="52">
        <f>16191+916.8</f>
        <v>17107.8</v>
      </c>
      <c r="L23" s="38">
        <f>19072.8+940.9</f>
        <v>20013.7</v>
      </c>
      <c r="M23" s="38">
        <f>12981.1-51.9+1351.7</f>
        <v>14280.900000000001</v>
      </c>
      <c r="N23" s="38">
        <f>(124013+5346)/10</f>
        <v>12935.9</v>
      </c>
      <c r="O23" s="38">
        <f>14172+821.4</f>
        <v>14993.4</v>
      </c>
      <c r="P23" s="38">
        <f>(184353+10540)/10</f>
        <v>19489.3</v>
      </c>
      <c r="Q23" s="38">
        <f>21002.2+1145.6</f>
        <v>22147.8</v>
      </c>
      <c r="R23" s="38">
        <f>23372.8+1177.1</f>
        <v>24549.899999999998</v>
      </c>
      <c r="S23" s="38">
        <f>1251+25561.9</f>
        <v>26812.9</v>
      </c>
      <c r="T23" s="38">
        <f>29427.4+1604.5</f>
        <v>31031.9</v>
      </c>
      <c r="U23" s="38">
        <f>1601.8+27844.9</f>
        <v>29446.7</v>
      </c>
      <c r="V23" s="38">
        <f>30297.7+1226.8</f>
        <v>31524.5</v>
      </c>
      <c r="W23" s="38">
        <f>31748.3+1762.8</f>
        <v>33511.1</v>
      </c>
      <c r="X23" s="38">
        <f>(360365+19944)/10</f>
        <v>38030.9</v>
      </c>
      <c r="Y23" s="38">
        <f>2039.9+33562.4</f>
        <v>35602.300000000003</v>
      </c>
      <c r="Z23" s="38">
        <f>33119.8+1714</f>
        <v>34833.800000000003</v>
      </c>
      <c r="AA23" s="38">
        <f>32007.6+1917.3</f>
        <v>33924.9</v>
      </c>
      <c r="AB23" s="38">
        <f>34462.3+2126.4</f>
        <v>36588.700000000004</v>
      </c>
      <c r="AC23" s="38">
        <f>35828.6+1328.8</f>
        <v>37157.4</v>
      </c>
      <c r="AD23" s="38">
        <f>2491.3+32938.9</f>
        <v>35430.200000000004</v>
      </c>
      <c r="AE23" s="38">
        <f>2030.7+31414.3</f>
        <v>33445</v>
      </c>
      <c r="AF23" s="38">
        <f>2322.9+32540</f>
        <v>34862.9</v>
      </c>
      <c r="AG23" s="38">
        <f>2345.4+33354</f>
        <v>35699.4</v>
      </c>
      <c r="AH23" s="38">
        <f>2892+32056.4</f>
        <v>34948.400000000001</v>
      </c>
      <c r="AI23" s="38">
        <f>2448.2+722.9+33631.1</f>
        <v>36802.199999999997</v>
      </c>
      <c r="AJ23" s="38">
        <f>2903.3+38379</f>
        <v>41282.300000000003</v>
      </c>
      <c r="AK23" s="38">
        <f>3177.4+35372.4</f>
        <v>38549.800000000003</v>
      </c>
      <c r="AL23" s="749">
        <f>3016.8+30145.4</f>
        <v>33162.200000000004</v>
      </c>
      <c r="AM23" s="52">
        <f>974.9+34045.8</f>
        <v>35020.700000000004</v>
      </c>
      <c r="AN23" s="910">
        <f>37584+3191.8</f>
        <v>40775.800000000003</v>
      </c>
      <c r="AO23" s="912">
        <f>33834.3+3452.6</f>
        <v>37286.9</v>
      </c>
      <c r="AP23" s="912">
        <f>31706+3412.8</f>
        <v>35118.800000000003</v>
      </c>
      <c r="AQ23" s="912">
        <f>3382.7+35230.4</f>
        <v>38613.1</v>
      </c>
      <c r="AR23" s="912">
        <f>37504.7-339.8</f>
        <v>37164.899999999994</v>
      </c>
      <c r="AS23" s="912">
        <f>29923.2+680.2</f>
        <v>30603.4</v>
      </c>
      <c r="AT23" s="912">
        <f>30195.3+3799.2</f>
        <v>33994.5</v>
      </c>
      <c r="AU23" s="912">
        <f>+AU14*AU22</f>
        <v>36293.386229958043</v>
      </c>
      <c r="AV23" s="63"/>
      <c r="AW23" s="671">
        <v>31324.894481772473</v>
      </c>
      <c r="AX23" s="38"/>
      <c r="AY23" s="38"/>
      <c r="AZ23" s="658"/>
      <c r="BA23" s="658"/>
      <c r="BB23" s="12"/>
      <c r="BC23" s="475"/>
      <c r="BD23" s="475"/>
      <c r="BE23" s="475"/>
      <c r="BF23" s="475"/>
      <c r="BG23" s="475"/>
    </row>
    <row r="24" spans="1:59">
      <c r="A24" s="38"/>
      <c r="B24" s="38" t="s">
        <v>565</v>
      </c>
      <c r="C24" s="38">
        <v>224</v>
      </c>
      <c r="D24" s="38">
        <v>68.400000000000006</v>
      </c>
      <c r="E24" s="38">
        <v>-46.8</v>
      </c>
      <c r="F24" s="38">
        <v>-236.6</v>
      </c>
      <c r="G24" s="52">
        <v>27</v>
      </c>
      <c r="H24" s="38">
        <v>-248.8</v>
      </c>
      <c r="I24" s="38">
        <v>-67.7</v>
      </c>
      <c r="J24" s="52">
        <v>-389</v>
      </c>
      <c r="K24" s="52">
        <v>346.5</v>
      </c>
      <c r="L24" s="38">
        <v>-998.4</v>
      </c>
      <c r="M24" s="38">
        <v>881.2</v>
      </c>
      <c r="N24" s="38">
        <v>15.6</v>
      </c>
      <c r="O24" s="38">
        <v>476.8</v>
      </c>
      <c r="P24" s="38">
        <v>-365.3</v>
      </c>
      <c r="Q24" s="38">
        <v>418.8</v>
      </c>
      <c r="R24" s="38">
        <v>-1006.3</v>
      </c>
      <c r="S24" s="38">
        <v>868.9</v>
      </c>
      <c r="T24" s="38">
        <v>-320</v>
      </c>
      <c r="U24" s="38">
        <v>379.3</v>
      </c>
      <c r="V24" s="38">
        <v>-1756.1</v>
      </c>
      <c r="W24" s="38">
        <v>1147.7</v>
      </c>
      <c r="X24" s="38">
        <v>-415.3</v>
      </c>
      <c r="Y24" s="38">
        <v>33.799999999999997</v>
      </c>
      <c r="Z24" s="38">
        <v>-1707.7</v>
      </c>
      <c r="AA24" s="38">
        <v>1155.5</v>
      </c>
      <c r="AB24" s="38">
        <v>-902.4</v>
      </c>
      <c r="AC24" s="38">
        <v>2053.3000000000002</v>
      </c>
      <c r="AD24" s="38">
        <v>-1341.9</v>
      </c>
      <c r="AE24" s="38">
        <v>621.6</v>
      </c>
      <c r="AF24" s="38">
        <v>-177.2</v>
      </c>
      <c r="AG24" s="38">
        <v>-36.700000000000003</v>
      </c>
      <c r="AH24" s="38">
        <v>-596.70000000000005</v>
      </c>
      <c r="AI24" s="38">
        <v>0</v>
      </c>
      <c r="AJ24" s="38">
        <v>-181.8</v>
      </c>
      <c r="AK24" s="38">
        <v>70</v>
      </c>
      <c r="AL24" s="749">
        <v>-1186.7</v>
      </c>
      <c r="AM24" s="52">
        <v>2706.8</v>
      </c>
      <c r="AN24" s="910">
        <v>-225</v>
      </c>
      <c r="AO24" s="910">
        <v>-329.2</v>
      </c>
      <c r="AP24" s="910">
        <v>213.8</v>
      </c>
      <c r="AQ24" s="910">
        <v>14.6</v>
      </c>
      <c r="AR24" s="910">
        <v>3405.7</v>
      </c>
      <c r="AS24" s="910">
        <v>3237.1</v>
      </c>
      <c r="AT24" s="912">
        <v>-791.8</v>
      </c>
      <c r="AU24" s="910"/>
      <c r="AV24" s="38"/>
      <c r="AW24" s="671"/>
      <c r="AX24" s="38"/>
      <c r="AY24" s="38"/>
      <c r="AZ24" s="658"/>
      <c r="BA24" s="658"/>
      <c r="BB24" s="12"/>
      <c r="BC24" s="475"/>
      <c r="BD24" s="475"/>
      <c r="BE24" s="475"/>
      <c r="BF24" s="475"/>
      <c r="BG24" s="475"/>
    </row>
    <row r="25" spans="1:59" s="358" customFormat="1">
      <c r="A25" s="36"/>
      <c r="B25" s="13" t="s">
        <v>662</v>
      </c>
      <c r="C25" s="13">
        <f t="shared" ref="C25:AE25" si="38">+C14-C18</f>
        <v>6482.6999999999989</v>
      </c>
      <c r="D25" s="13">
        <f t="shared" si="38"/>
        <v>6667.8999999999978</v>
      </c>
      <c r="E25" s="13">
        <f t="shared" si="38"/>
        <v>6826.5</v>
      </c>
      <c r="F25" s="13">
        <f t="shared" si="38"/>
        <v>6216.8999999999978</v>
      </c>
      <c r="G25" s="54">
        <f t="shared" si="38"/>
        <v>5826.2999999999993</v>
      </c>
      <c r="H25" s="13">
        <f t="shared" si="38"/>
        <v>6551.5</v>
      </c>
      <c r="I25" s="13">
        <f t="shared" si="38"/>
        <v>6376</v>
      </c>
      <c r="J25" s="54">
        <f t="shared" si="38"/>
        <v>5504.2000000000007</v>
      </c>
      <c r="K25" s="54">
        <f t="shared" si="38"/>
        <v>5653.4000000000015</v>
      </c>
      <c r="L25" s="13">
        <f t="shared" si="38"/>
        <v>6469</v>
      </c>
      <c r="M25" s="13">
        <f t="shared" si="38"/>
        <v>5868.8999999999978</v>
      </c>
      <c r="N25" s="13">
        <f t="shared" si="38"/>
        <v>5882.6000000000022</v>
      </c>
      <c r="O25" s="13">
        <f t="shared" si="38"/>
        <v>7914.4999999999982</v>
      </c>
      <c r="P25" s="13">
        <f t="shared" si="38"/>
        <v>9751.0999999999985</v>
      </c>
      <c r="Q25" s="13">
        <f t="shared" si="38"/>
        <v>10388.900000000001</v>
      </c>
      <c r="R25" s="13">
        <f t="shared" si="38"/>
        <v>10450.900000000001</v>
      </c>
      <c r="S25" s="13">
        <f t="shared" si="38"/>
        <v>11218.799999999996</v>
      </c>
      <c r="T25" s="13">
        <f t="shared" si="38"/>
        <v>12706.299999999996</v>
      </c>
      <c r="U25" s="13">
        <f t="shared" si="38"/>
        <v>11944.800000000003</v>
      </c>
      <c r="V25" s="13">
        <f t="shared" si="38"/>
        <v>11679.5</v>
      </c>
      <c r="W25" s="13">
        <f t="shared" si="38"/>
        <v>12404.100000000006</v>
      </c>
      <c r="X25" s="13">
        <f t="shared" si="38"/>
        <v>15057</v>
      </c>
      <c r="Y25" s="13">
        <f t="shared" si="38"/>
        <v>14222.799999999996</v>
      </c>
      <c r="Z25" s="13">
        <f t="shared" si="38"/>
        <v>13388.299999999996</v>
      </c>
      <c r="AA25" s="13">
        <f t="shared" si="38"/>
        <v>13576.199999999997</v>
      </c>
      <c r="AB25" s="13">
        <f t="shared" si="38"/>
        <v>14037.699999999997</v>
      </c>
      <c r="AC25" s="13">
        <f t="shared" si="38"/>
        <v>14916.399999999994</v>
      </c>
      <c r="AD25" s="13">
        <f t="shared" si="38"/>
        <v>13376.5</v>
      </c>
      <c r="AE25" s="13">
        <f t="shared" si="38"/>
        <v>15044.300000000003</v>
      </c>
      <c r="AF25" s="13">
        <f t="shared" ref="AF25:AM25" si="39">+AF14-AF18</f>
        <v>17063.199999999997</v>
      </c>
      <c r="AG25" s="13">
        <f t="shared" si="39"/>
        <v>15649.699999999997</v>
      </c>
      <c r="AH25" s="13">
        <f t="shared" si="39"/>
        <v>14971.199999999997</v>
      </c>
      <c r="AI25" s="13">
        <f t="shared" si="39"/>
        <v>15721.900000000001</v>
      </c>
      <c r="AJ25" s="13">
        <f t="shared" si="39"/>
        <v>18530.400000000001</v>
      </c>
      <c r="AK25" s="13">
        <f t="shared" si="39"/>
        <v>17951.899999999994</v>
      </c>
      <c r="AL25" s="752">
        <f t="shared" si="39"/>
        <v>15417.899999999998</v>
      </c>
      <c r="AM25" s="54">
        <f t="shared" si="39"/>
        <v>18265.299999999996</v>
      </c>
      <c r="AN25" s="752">
        <f t="shared" ref="AN25:AO25" si="40">+AN14-AN18</f>
        <v>20248.599999999999</v>
      </c>
      <c r="AO25" s="752">
        <f t="shared" si="40"/>
        <v>18520.599999999999</v>
      </c>
      <c r="AP25" s="752">
        <f t="shared" ref="AP25:AQ25" si="41">+AP14-AP18</f>
        <v>18262.299999999996</v>
      </c>
      <c r="AQ25" s="752">
        <f t="shared" si="41"/>
        <v>18851.800000000003</v>
      </c>
      <c r="AR25" s="752">
        <f t="shared" ref="AR25:AS25" si="42">+AR14-AR18</f>
        <v>19974.600000000006</v>
      </c>
      <c r="AS25" s="752">
        <f t="shared" si="42"/>
        <v>16828.400000000001</v>
      </c>
      <c r="AT25" s="752">
        <f t="shared" ref="AT25" si="43">+AT14-AT18</f>
        <v>15770.500000000007</v>
      </c>
      <c r="AU25" s="752">
        <f t="shared" ref="AU25" si="44">+AU14-AU18</f>
        <v>17875.846949083811</v>
      </c>
      <c r="AV25" s="13"/>
      <c r="AW25" s="674">
        <v>15428.679371619273</v>
      </c>
      <c r="AX25" s="38"/>
      <c r="AY25" s="36"/>
      <c r="AZ25" s="659"/>
      <c r="BA25" s="659"/>
      <c r="BB25" s="12"/>
      <c r="BC25" s="497"/>
      <c r="BD25" s="497"/>
      <c r="BE25" s="497"/>
      <c r="BF25" s="497"/>
      <c r="BG25" s="497"/>
    </row>
    <row r="26" spans="1:59" s="357" customFormat="1">
      <c r="A26" s="12" t="s">
        <v>679</v>
      </c>
      <c r="B26" s="12" t="s">
        <v>486</v>
      </c>
      <c r="C26" s="12">
        <f t="shared" ref="C26:AE26" si="45">+C27+C31</f>
        <v>2875.8</v>
      </c>
      <c r="D26" s="12">
        <f t="shared" si="45"/>
        <v>3016</v>
      </c>
      <c r="E26" s="12">
        <f t="shared" si="45"/>
        <v>3190.2999999999997</v>
      </c>
      <c r="F26" s="12">
        <f t="shared" si="45"/>
        <v>2954</v>
      </c>
      <c r="G26" s="53">
        <f t="shared" si="45"/>
        <v>3077.3</v>
      </c>
      <c r="H26" s="12">
        <f t="shared" si="45"/>
        <v>2771</v>
      </c>
      <c r="I26" s="12">
        <f t="shared" si="45"/>
        <v>2706.2</v>
      </c>
      <c r="J26" s="53">
        <f t="shared" si="45"/>
        <v>2888.5</v>
      </c>
      <c r="K26" s="53">
        <f t="shared" si="45"/>
        <v>2985.5</v>
      </c>
      <c r="L26" s="12">
        <f t="shared" si="45"/>
        <v>3030.7999999999997</v>
      </c>
      <c r="M26" s="12">
        <f t="shared" si="45"/>
        <v>2810.5</v>
      </c>
      <c r="N26" s="12">
        <f t="shared" si="45"/>
        <v>2854.2000000000003</v>
      </c>
      <c r="O26" s="12">
        <f t="shared" si="45"/>
        <v>3360.2999999999997</v>
      </c>
      <c r="P26" s="12">
        <f t="shared" si="45"/>
        <v>3386</v>
      </c>
      <c r="Q26" s="12">
        <f t="shared" si="45"/>
        <v>3153.6000000000004</v>
      </c>
      <c r="R26" s="12">
        <f t="shared" si="45"/>
        <v>2679.9</v>
      </c>
      <c r="S26" s="12">
        <f t="shared" si="45"/>
        <v>3449.5</v>
      </c>
      <c r="T26" s="12">
        <f t="shared" si="45"/>
        <v>3734.6000000000004</v>
      </c>
      <c r="U26" s="12">
        <f t="shared" si="45"/>
        <v>3451.6</v>
      </c>
      <c r="V26" s="12">
        <f t="shared" si="45"/>
        <v>3645.4</v>
      </c>
      <c r="W26" s="12">
        <f t="shared" si="45"/>
        <v>4005.7000000000003</v>
      </c>
      <c r="X26" s="12">
        <f t="shared" si="45"/>
        <v>4483.3</v>
      </c>
      <c r="Y26" s="12">
        <f t="shared" si="45"/>
        <v>4381.5</v>
      </c>
      <c r="Z26" s="12">
        <f t="shared" si="45"/>
        <v>4182.3999999999996</v>
      </c>
      <c r="AA26" s="12">
        <f t="shared" si="45"/>
        <v>4859.2000000000007</v>
      </c>
      <c r="AB26" s="12">
        <f t="shared" si="45"/>
        <v>4885.5999999999995</v>
      </c>
      <c r="AC26" s="12">
        <f t="shared" si="45"/>
        <v>4798.8999999999996</v>
      </c>
      <c r="AD26" s="12">
        <f t="shared" si="45"/>
        <v>5010.6000000000004</v>
      </c>
      <c r="AE26" s="12">
        <f t="shared" si="45"/>
        <v>5017.2</v>
      </c>
      <c r="AF26" s="12">
        <f t="shared" ref="AF26:AM26" si="46">+AF27+AF31</f>
        <v>5350</v>
      </c>
      <c r="AG26" s="12">
        <f t="shared" si="46"/>
        <v>5253.1</v>
      </c>
      <c r="AH26" s="12">
        <f t="shared" si="46"/>
        <v>5287.6</v>
      </c>
      <c r="AI26" s="12">
        <f t="shared" si="46"/>
        <v>5798.3</v>
      </c>
      <c r="AJ26" s="12">
        <f t="shared" si="46"/>
        <v>6588.5</v>
      </c>
      <c r="AK26" s="12">
        <f t="shared" si="46"/>
        <v>6473.5</v>
      </c>
      <c r="AL26" s="750">
        <f t="shared" si="46"/>
        <v>7094.1</v>
      </c>
      <c r="AM26" s="12">
        <f t="shared" si="46"/>
        <v>6862.9</v>
      </c>
      <c r="AN26" s="750">
        <f t="shared" ref="AN26:AO26" si="47">+AN27+AN31</f>
        <v>7081.3</v>
      </c>
      <c r="AO26" s="750">
        <f t="shared" si="47"/>
        <v>6804.2999999999993</v>
      </c>
      <c r="AP26" s="750">
        <f t="shared" ref="AP26:AQ26" si="48">+AP27+AP31</f>
        <v>6728.7</v>
      </c>
      <c r="AQ26" s="750">
        <f t="shared" si="48"/>
        <v>7088.5</v>
      </c>
      <c r="AR26" s="750">
        <f t="shared" ref="AR26:AS26" si="49">+AR27+AR31</f>
        <v>7013.3</v>
      </c>
      <c r="AS26" s="750">
        <f t="shared" si="49"/>
        <v>6389.3</v>
      </c>
      <c r="AT26" s="750">
        <f t="shared" ref="AT26" si="50">+AT27+AT31</f>
        <v>6710.7</v>
      </c>
      <c r="AU26" s="750">
        <f t="shared" ref="AU26" si="51">+AU27+AU31</f>
        <v>7475.3541787077766</v>
      </c>
      <c r="AV26" s="12"/>
      <c r="AW26" s="670">
        <v>6451.9931917680606</v>
      </c>
      <c r="AX26" s="38"/>
      <c r="AY26" s="12"/>
      <c r="AZ26" s="657"/>
      <c r="BA26" s="657"/>
      <c r="BB26" s="12"/>
      <c r="BC26" s="494"/>
      <c r="BD26" s="494"/>
      <c r="BE26" s="494"/>
      <c r="BF26" s="494"/>
      <c r="BG26" s="494"/>
    </row>
    <row r="27" spans="1:59">
      <c r="A27" s="38"/>
      <c r="B27" s="38" t="s">
        <v>567</v>
      </c>
      <c r="C27" s="38">
        <v>855.8</v>
      </c>
      <c r="D27" s="38">
        <v>725.9</v>
      </c>
      <c r="E27" s="38">
        <v>757.1</v>
      </c>
      <c r="F27" s="38">
        <v>688.2</v>
      </c>
      <c r="G27" s="52">
        <v>986.7</v>
      </c>
      <c r="H27" s="38">
        <v>735.2</v>
      </c>
      <c r="I27" s="38">
        <v>845.9</v>
      </c>
      <c r="J27" s="52">
        <v>863</v>
      </c>
      <c r="K27" s="52">
        <v>1081.0999999999999</v>
      </c>
      <c r="L27" s="38">
        <v>754.6</v>
      </c>
      <c r="M27" s="38">
        <v>761.5</v>
      </c>
      <c r="N27" s="38">
        <v>946.4</v>
      </c>
      <c r="O27" s="38">
        <v>1129.0999999999999</v>
      </c>
      <c r="P27" s="38">
        <v>1073.8</v>
      </c>
      <c r="Q27" s="38">
        <v>929.8</v>
      </c>
      <c r="R27" s="38">
        <v>861.9</v>
      </c>
      <c r="S27" s="38">
        <v>1263.9000000000001</v>
      </c>
      <c r="T27" s="38">
        <v>1141.5</v>
      </c>
      <c r="U27" s="38">
        <v>1066</v>
      </c>
      <c r="V27" s="38">
        <v>1338.4</v>
      </c>
      <c r="W27" s="38">
        <v>1430.9</v>
      </c>
      <c r="X27" s="38">
        <v>1310.8</v>
      </c>
      <c r="Y27" s="38">
        <v>1320.4</v>
      </c>
      <c r="Z27" s="38">
        <v>1195.5999999999999</v>
      </c>
      <c r="AA27" s="38">
        <v>1604</v>
      </c>
      <c r="AB27" s="38">
        <v>1532.2</v>
      </c>
      <c r="AC27" s="38">
        <v>1592.3</v>
      </c>
      <c r="AD27" s="38">
        <v>1666.3</v>
      </c>
      <c r="AE27" s="38">
        <v>1836.5</v>
      </c>
      <c r="AF27" s="38">
        <v>1833.8</v>
      </c>
      <c r="AG27" s="38">
        <v>1847.9</v>
      </c>
      <c r="AH27" s="38">
        <v>1747.6</v>
      </c>
      <c r="AI27" s="38">
        <v>2145.6999999999998</v>
      </c>
      <c r="AJ27" s="38">
        <v>2102.4</v>
      </c>
      <c r="AK27" s="38">
        <v>2139.1999999999998</v>
      </c>
      <c r="AL27" s="749">
        <v>2585.6999999999998</v>
      </c>
      <c r="AM27" s="52">
        <v>2434.1</v>
      </c>
      <c r="AN27" s="910">
        <v>2414</v>
      </c>
      <c r="AO27" s="910">
        <v>2299.1</v>
      </c>
      <c r="AP27" s="910">
        <v>2024</v>
      </c>
      <c r="AQ27" s="910">
        <v>2683.1</v>
      </c>
      <c r="AR27" s="910">
        <v>2587.1999999999998</v>
      </c>
      <c r="AS27" s="910">
        <v>2427.1999999999998</v>
      </c>
      <c r="AT27" s="910">
        <v>2273.1999999999998</v>
      </c>
      <c r="AU27" s="52">
        <f>+AU14*AU28%</f>
        <v>2870.9693584892184</v>
      </c>
      <c r="AV27" s="63"/>
      <c r="AW27" s="671">
        <v>2477.9394142297624</v>
      </c>
      <c r="AX27" s="38"/>
      <c r="AY27" s="38"/>
      <c r="AZ27" s="621"/>
      <c r="BA27" s="621"/>
      <c r="BB27" s="475"/>
      <c r="BC27" s="475"/>
      <c r="BD27" s="475"/>
      <c r="BE27" s="475"/>
      <c r="BF27" s="475"/>
      <c r="BG27" s="475"/>
    </row>
    <row r="28" spans="1:59" s="356" customFormat="1">
      <c r="A28" s="3"/>
      <c r="B28" s="899" t="s">
        <v>580</v>
      </c>
      <c r="C28" s="900">
        <f t="shared" ref="C28:AE28" si="52">C27/C14*100</f>
        <v>3.885302316290304</v>
      </c>
      <c r="D28" s="900">
        <f t="shared" si="52"/>
        <v>2.9799217560150573</v>
      </c>
      <c r="E28" s="900">
        <f t="shared" si="52"/>
        <v>2.9479446934269906</v>
      </c>
      <c r="F28" s="900">
        <f t="shared" si="52"/>
        <v>2.9746493484039682</v>
      </c>
      <c r="G28" s="900">
        <f t="shared" si="52"/>
        <v>4.6792971806606127</v>
      </c>
      <c r="H28" s="901">
        <f t="shared" si="52"/>
        <v>3.1128536467639365</v>
      </c>
      <c r="I28" s="900">
        <f t="shared" si="52"/>
        <v>3.3819090454772613</v>
      </c>
      <c r="J28" s="900">
        <f t="shared" si="52"/>
        <v>4.1601388319795607</v>
      </c>
      <c r="K28" s="900">
        <f t="shared" si="52"/>
        <v>4.6785270710628923</v>
      </c>
      <c r="L28" s="900">
        <f t="shared" si="52"/>
        <v>2.9610387571956069</v>
      </c>
      <c r="M28" s="900">
        <f t="shared" si="52"/>
        <v>3.6208454186676806</v>
      </c>
      <c r="N28" s="900">
        <f t="shared" si="52"/>
        <v>5.0249281887639965</v>
      </c>
      <c r="O28" s="900">
        <f t="shared" si="52"/>
        <v>4.8283706868165934</v>
      </c>
      <c r="P28" s="900">
        <f t="shared" si="52"/>
        <v>3.7187749999134203</v>
      </c>
      <c r="Q28" s="900">
        <f t="shared" si="52"/>
        <v>2.821380346224454</v>
      </c>
      <c r="R28" s="902">
        <f t="shared" si="52"/>
        <v>2.5354101398755682</v>
      </c>
      <c r="S28" s="902">
        <f t="shared" si="52"/>
        <v>3.2490501431854524</v>
      </c>
      <c r="T28" s="902">
        <f t="shared" si="52"/>
        <v>2.6290818136173311</v>
      </c>
      <c r="U28" s="902">
        <f t="shared" si="52"/>
        <v>2.5520219866509617</v>
      </c>
      <c r="V28" s="902">
        <f t="shared" si="52"/>
        <v>3.2291141408853044</v>
      </c>
      <c r="W28" s="902">
        <f t="shared" si="52"/>
        <v>3.0403991254257599</v>
      </c>
      <c r="X28" s="902">
        <f t="shared" si="52"/>
        <v>2.4885804004359002</v>
      </c>
      <c r="Y28" s="902">
        <f t="shared" si="52"/>
        <v>2.6482734276127231</v>
      </c>
      <c r="Z28" s="902">
        <f t="shared" si="52"/>
        <v>2.5703868049464251</v>
      </c>
      <c r="AA28" s="902">
        <f t="shared" si="52"/>
        <v>3.2965723046822015</v>
      </c>
      <c r="AB28" s="902">
        <f t="shared" si="52"/>
        <v>3.0814093797763658</v>
      </c>
      <c r="AC28" s="902">
        <f t="shared" si="52"/>
        <v>2.9417796261022668</v>
      </c>
      <c r="AD28" s="902">
        <f t="shared" si="52"/>
        <v>3.5106015405100202</v>
      </c>
      <c r="AE28" s="902">
        <f t="shared" si="52"/>
        <v>3.7394957127643762</v>
      </c>
      <c r="AF28" s="902">
        <f t="shared" ref="AF28:AM28" si="53">AF27/AF14*100</f>
        <v>3.5436502031927248</v>
      </c>
      <c r="AG28" s="902">
        <f t="shared" si="53"/>
        <v>3.6012737661851717</v>
      </c>
      <c r="AH28" s="902">
        <f t="shared" si="53"/>
        <v>3.5431817674954229</v>
      </c>
      <c r="AI28" s="902">
        <f t="shared" si="53"/>
        <v>4.0851723304159417</v>
      </c>
      <c r="AJ28" s="902">
        <f t="shared" si="53"/>
        <v>3.5256888626534226</v>
      </c>
      <c r="AK28" s="902">
        <f t="shared" si="53"/>
        <v>3.7813959983525334</v>
      </c>
      <c r="AL28" s="903">
        <f t="shared" si="53"/>
        <v>5.4558229626910073</v>
      </c>
      <c r="AM28" s="903">
        <f t="shared" si="53"/>
        <v>4.3471660642082552</v>
      </c>
      <c r="AN28" s="903">
        <f t="shared" ref="AN28:AO28" si="54">AN27/AN14*100</f>
        <v>3.9704339187557771</v>
      </c>
      <c r="AO28" s="903">
        <f t="shared" si="54"/>
        <v>4.1441428450403128</v>
      </c>
      <c r="AP28" s="903">
        <f t="shared" ref="AP28:AR28" si="55">AP27/AP14*100</f>
        <v>3.7764787321181679</v>
      </c>
      <c r="AQ28" s="903">
        <f t="shared" si="55"/>
        <v>4.6679250863351278</v>
      </c>
      <c r="AR28" s="903">
        <f t="shared" si="55"/>
        <v>4.2731711184371344</v>
      </c>
      <c r="AS28" s="903">
        <f t="shared" ref="AS28:AT28" si="56">AS27/AS14*100</f>
        <v>4.7903151637394927</v>
      </c>
      <c r="AT28" s="903">
        <f t="shared" si="56"/>
        <v>4.6417224114413589</v>
      </c>
      <c r="AU28" s="903">
        <v>5.3</v>
      </c>
      <c r="AV28" s="3"/>
      <c r="AW28" s="673">
        <v>5.3</v>
      </c>
      <c r="AX28" s="112">
        <v>3.7</v>
      </c>
      <c r="AY28" s="55"/>
      <c r="AZ28" s="55"/>
      <c r="BA28" s="477"/>
      <c r="BB28" s="477"/>
      <c r="BC28" s="477"/>
      <c r="BD28" s="477"/>
      <c r="BE28" s="477"/>
      <c r="BF28" s="477"/>
      <c r="BG28" s="477"/>
    </row>
    <row r="29" spans="1:59" s="362" customFormat="1">
      <c r="A29" s="42" t="s">
        <v>163</v>
      </c>
      <c r="B29" s="42" t="s">
        <v>516</v>
      </c>
      <c r="C29" s="44"/>
      <c r="D29" s="44"/>
      <c r="E29" s="44"/>
      <c r="F29" s="44"/>
      <c r="G29" s="49">
        <f t="shared" ref="G29:AL29" si="57">+(G27/C27-1)</f>
        <v>0.15295629820051415</v>
      </c>
      <c r="H29" s="49">
        <f t="shared" si="57"/>
        <v>1.2811682049869155E-2</v>
      </c>
      <c r="I29" s="49">
        <f t="shared" si="57"/>
        <v>0.11728965790516432</v>
      </c>
      <c r="J29" s="49">
        <f t="shared" si="57"/>
        <v>0.2539959314152862</v>
      </c>
      <c r="K29" s="49">
        <f t="shared" si="57"/>
        <v>9.5672443498530324E-2</v>
      </c>
      <c r="L29" s="49">
        <f t="shared" si="57"/>
        <v>2.6387377584330851E-2</v>
      </c>
      <c r="M29" s="49">
        <f t="shared" si="57"/>
        <v>-9.9775387161603057E-2</v>
      </c>
      <c r="N29" s="49">
        <f t="shared" si="57"/>
        <v>9.6639629200463428E-2</v>
      </c>
      <c r="O29" s="49">
        <f t="shared" si="57"/>
        <v>4.4399223013597222E-2</v>
      </c>
      <c r="P29" s="49">
        <f t="shared" si="57"/>
        <v>0.42300556586270854</v>
      </c>
      <c r="Q29" s="49">
        <f t="shared" si="57"/>
        <v>0.22101116217990802</v>
      </c>
      <c r="R29" s="49">
        <f t="shared" si="57"/>
        <v>-8.9285714285714302E-2</v>
      </c>
      <c r="S29" s="49">
        <f t="shared" si="57"/>
        <v>0.11938712248693673</v>
      </c>
      <c r="T29" s="49">
        <f t="shared" si="57"/>
        <v>6.3047122369156217E-2</v>
      </c>
      <c r="U29" s="49">
        <f t="shared" si="57"/>
        <v>0.14648311464831143</v>
      </c>
      <c r="V29" s="49">
        <f t="shared" si="57"/>
        <v>0.55284835827822265</v>
      </c>
      <c r="W29" s="49">
        <f t="shared" si="57"/>
        <v>0.13213070654323911</v>
      </c>
      <c r="X29" s="49">
        <f t="shared" si="57"/>
        <v>0.14831362242663149</v>
      </c>
      <c r="Y29" s="49">
        <f t="shared" si="57"/>
        <v>0.23864915572232648</v>
      </c>
      <c r="Z29" s="49">
        <f t="shared" si="57"/>
        <v>-0.10669456066945615</v>
      </c>
      <c r="AA29" s="49">
        <f t="shared" si="57"/>
        <v>0.12097281431267026</v>
      </c>
      <c r="AB29" s="49">
        <f t="shared" si="57"/>
        <v>0.16890448581019224</v>
      </c>
      <c r="AC29" s="49">
        <f t="shared" si="57"/>
        <v>0.20592244774310808</v>
      </c>
      <c r="AD29" s="49">
        <f t="shared" si="57"/>
        <v>0.39369354299096693</v>
      </c>
      <c r="AE29" s="49">
        <f t="shared" si="57"/>
        <v>0.14495012468827939</v>
      </c>
      <c r="AF29" s="49">
        <f t="shared" si="57"/>
        <v>0.19684114345385706</v>
      </c>
      <c r="AG29" s="49">
        <f t="shared" si="57"/>
        <v>0.16052251460151989</v>
      </c>
      <c r="AH29" s="49">
        <f t="shared" si="57"/>
        <v>4.8790733961471489E-2</v>
      </c>
      <c r="AI29" s="49">
        <f t="shared" si="57"/>
        <v>0.16836373536618554</v>
      </c>
      <c r="AJ29" s="49">
        <f t="shared" si="57"/>
        <v>0.14647180717635511</v>
      </c>
      <c r="AK29" s="49">
        <f t="shared" si="57"/>
        <v>0.15763840034633891</v>
      </c>
      <c r="AL29" s="49">
        <f t="shared" si="57"/>
        <v>0.47957198443579774</v>
      </c>
      <c r="AM29" s="49">
        <f>+(AM27/AI27-1)</f>
        <v>0.13440835158689479</v>
      </c>
      <c r="AN29" s="751">
        <f>+(AN27/AJ27-1)</f>
        <v>0.14821156773211563</v>
      </c>
      <c r="AO29" s="751">
        <f>+(AO27/AK27-1)</f>
        <v>7.4747569184741902E-2</v>
      </c>
      <c r="AP29" s="751">
        <f>+(AP27/AL27-1)</f>
        <v>-0.21723324438256564</v>
      </c>
      <c r="AQ29" s="751">
        <f t="shared" ref="AQ29:AU29" si="58">+(AQ27/AM27-1)</f>
        <v>0.10229653670761274</v>
      </c>
      <c r="AR29" s="751">
        <f t="shared" si="58"/>
        <v>7.174813587406792E-2</v>
      </c>
      <c r="AS29" s="751">
        <f t="shared" si="58"/>
        <v>5.571745465616984E-2</v>
      </c>
      <c r="AT29" s="751">
        <f t="shared" si="58"/>
        <v>0.12312252964426862</v>
      </c>
      <c r="AU29" s="751">
        <f t="shared" si="58"/>
        <v>7.0019514177338982E-2</v>
      </c>
      <c r="AV29" s="42"/>
      <c r="AW29" s="668">
        <v>0.22427836671430956</v>
      </c>
      <c r="AX29" s="38"/>
      <c r="AY29" s="42"/>
      <c r="AZ29" s="42"/>
      <c r="BA29" s="496"/>
      <c r="BB29" s="496"/>
      <c r="BC29" s="496"/>
      <c r="BD29" s="496"/>
      <c r="BE29" s="496"/>
      <c r="BF29" s="496"/>
      <c r="BG29" s="496"/>
    </row>
    <row r="30" spans="1:59" s="362" customFormat="1">
      <c r="A30" s="42" t="s">
        <v>163</v>
      </c>
      <c r="B30" s="42" t="s">
        <v>517</v>
      </c>
      <c r="C30" s="44"/>
      <c r="D30" s="42">
        <f t="shared" ref="D30:AL30" si="59">+(D27/C27-1)</f>
        <v>-0.15178780088805799</v>
      </c>
      <c r="E30" s="42">
        <f t="shared" si="59"/>
        <v>4.2981126876980413E-2</v>
      </c>
      <c r="F30" s="42">
        <f t="shared" si="59"/>
        <v>-9.1005151234975545E-2</v>
      </c>
      <c r="G30" s="42">
        <f t="shared" si="59"/>
        <v>0.43374019180470791</v>
      </c>
      <c r="H30" s="42">
        <f t="shared" si="59"/>
        <v>-0.25489003749873318</v>
      </c>
      <c r="I30" s="42">
        <f t="shared" si="59"/>
        <v>0.15057127312295959</v>
      </c>
      <c r="J30" s="42">
        <f t="shared" si="59"/>
        <v>2.0215155455727718E-2</v>
      </c>
      <c r="K30" s="42">
        <f t="shared" si="59"/>
        <v>0.25272305909617598</v>
      </c>
      <c r="L30" s="42">
        <f t="shared" si="59"/>
        <v>-0.3020072148737396</v>
      </c>
      <c r="M30" s="42">
        <f t="shared" si="59"/>
        <v>9.1439173071825586E-3</v>
      </c>
      <c r="N30" s="42">
        <f t="shared" si="59"/>
        <v>0.24281024294156262</v>
      </c>
      <c r="O30" s="42">
        <f t="shared" si="59"/>
        <v>0.19304733727810652</v>
      </c>
      <c r="P30" s="42">
        <f t="shared" si="59"/>
        <v>-4.897706137631741E-2</v>
      </c>
      <c r="Q30" s="42">
        <f t="shared" si="59"/>
        <v>-0.13410318495064255</v>
      </c>
      <c r="R30" s="42">
        <f t="shared" si="59"/>
        <v>-7.3026457302645675E-2</v>
      </c>
      <c r="S30" s="42">
        <f t="shared" si="59"/>
        <v>0.46641141663766117</v>
      </c>
      <c r="T30" s="42">
        <f t="shared" si="59"/>
        <v>-9.6843104676002878E-2</v>
      </c>
      <c r="U30" s="42">
        <f t="shared" si="59"/>
        <v>-6.6141042487954493E-2</v>
      </c>
      <c r="V30" s="42">
        <f t="shared" si="59"/>
        <v>0.25553470919324583</v>
      </c>
      <c r="W30" s="42">
        <f t="shared" si="59"/>
        <v>6.9112372982665926E-2</v>
      </c>
      <c r="X30" s="42">
        <f t="shared" si="59"/>
        <v>-8.3933188902089673E-2</v>
      </c>
      <c r="Y30" s="42">
        <f t="shared" si="59"/>
        <v>7.3237717424474713E-3</v>
      </c>
      <c r="Z30" s="42">
        <f t="shared" si="59"/>
        <v>-9.4516813086943485E-2</v>
      </c>
      <c r="AA30" s="42">
        <f t="shared" si="59"/>
        <v>0.3415858146537305</v>
      </c>
      <c r="AB30" s="42">
        <f t="shared" si="59"/>
        <v>-4.4763092269326621E-2</v>
      </c>
      <c r="AC30" s="42">
        <f t="shared" si="59"/>
        <v>3.9224644302310319E-2</v>
      </c>
      <c r="AD30" s="42">
        <f t="shared" si="59"/>
        <v>4.6473654462098946E-2</v>
      </c>
      <c r="AE30" s="42">
        <f t="shared" si="59"/>
        <v>0.10214247134369558</v>
      </c>
      <c r="AF30" s="42">
        <f t="shared" si="59"/>
        <v>-1.4701878573373239E-3</v>
      </c>
      <c r="AG30" s="42">
        <f t="shared" si="59"/>
        <v>7.6889519031519971E-3</v>
      </c>
      <c r="AH30" s="42">
        <f t="shared" si="59"/>
        <v>-5.4277828886844626E-2</v>
      </c>
      <c r="AI30" s="42">
        <f t="shared" si="59"/>
        <v>0.22779812314030656</v>
      </c>
      <c r="AJ30" s="42">
        <f t="shared" si="59"/>
        <v>-2.0179894673066912E-2</v>
      </c>
      <c r="AK30" s="42">
        <f t="shared" si="59"/>
        <v>1.7503805175038023E-2</v>
      </c>
      <c r="AL30" s="42">
        <f t="shared" si="59"/>
        <v>0.20872288706058351</v>
      </c>
      <c r="AM30" s="42">
        <f>+(AM27/AL27-1)</f>
        <v>-5.8630158177669478E-2</v>
      </c>
      <c r="AN30" s="751">
        <f>+(AN27/AM27-1)</f>
        <v>-8.2576722402530889E-3</v>
      </c>
      <c r="AO30" s="751">
        <f>+(AO27/AN27-1)</f>
        <v>-4.7597348798674388E-2</v>
      </c>
      <c r="AP30" s="751">
        <f>+(AP27/AO27-1)</f>
        <v>-0.1196555173763646</v>
      </c>
      <c r="AQ30" s="751">
        <f t="shared" ref="AQ30:AU30" si="60">+(AQ27/AP27-1)</f>
        <v>0.32564229249011856</v>
      </c>
      <c r="AR30" s="751">
        <f t="shared" si="60"/>
        <v>-3.5742238455517938E-2</v>
      </c>
      <c r="AS30" s="751">
        <f t="shared" si="60"/>
        <v>-6.1842918985776096E-2</v>
      </c>
      <c r="AT30" s="751">
        <f t="shared" si="60"/>
        <v>-6.3447593935398783E-2</v>
      </c>
      <c r="AU30" s="751">
        <f t="shared" si="60"/>
        <v>0.26296382126043394</v>
      </c>
      <c r="AV30" s="42"/>
      <c r="AW30" s="669">
        <v>2.0904504873830998E-2</v>
      </c>
      <c r="AX30" s="38"/>
      <c r="AY30" s="42"/>
      <c r="AZ30" s="42"/>
      <c r="BA30" s="496"/>
      <c r="BB30" s="496"/>
      <c r="BC30" s="496"/>
      <c r="BD30" s="496"/>
      <c r="BE30" s="496"/>
      <c r="BF30" s="496"/>
      <c r="BG30" s="496"/>
    </row>
    <row r="31" spans="1:59">
      <c r="A31" s="38"/>
      <c r="B31" s="38" t="s">
        <v>568</v>
      </c>
      <c r="C31" s="38">
        <v>2020</v>
      </c>
      <c r="D31" s="38">
        <v>2290.1</v>
      </c>
      <c r="E31" s="38">
        <v>2433.1999999999998</v>
      </c>
      <c r="F31" s="38">
        <v>2265.8000000000002</v>
      </c>
      <c r="G31" s="52">
        <v>2090.6</v>
      </c>
      <c r="H31" s="38">
        <v>2035.8</v>
      </c>
      <c r="I31" s="38">
        <v>1860.3</v>
      </c>
      <c r="J31" s="52">
        <f>(20884-629)/10</f>
        <v>2025.5</v>
      </c>
      <c r="K31" s="52">
        <v>1904.4</v>
      </c>
      <c r="L31" s="38">
        <f>2321.1-44.9</f>
        <v>2276.1999999999998</v>
      </c>
      <c r="M31" s="38">
        <v>2049</v>
      </c>
      <c r="N31" s="38">
        <f>((20944-166))/10-170</f>
        <v>1907.8000000000002</v>
      </c>
      <c r="O31" s="38">
        <f>2244.1-12.9</f>
        <v>2231.1999999999998</v>
      </c>
      <c r="P31" s="38">
        <f>(23460-338)/10</f>
        <v>2312.1999999999998</v>
      </c>
      <c r="Q31" s="38">
        <f>2275-51.2</f>
        <v>2223.8000000000002</v>
      </c>
      <c r="R31" s="38">
        <f>1876.8-58.8</f>
        <v>1818</v>
      </c>
      <c r="S31" s="38">
        <f>2194.6-9</f>
        <v>2185.6</v>
      </c>
      <c r="T31" s="38">
        <f>2617.8-24.7</f>
        <v>2593.1000000000004</v>
      </c>
      <c r="U31" s="38">
        <f>2427-41.4</f>
        <v>2385.6</v>
      </c>
      <c r="V31" s="38">
        <f>2398.5-91.5</f>
        <v>2307</v>
      </c>
      <c r="W31" s="38">
        <f>2588.8-14</f>
        <v>2574.8000000000002</v>
      </c>
      <c r="X31" s="38">
        <f>(32849-1124)/10</f>
        <v>3172.5</v>
      </c>
      <c r="Y31" s="38">
        <f>3225.6-164.5</f>
        <v>3061.1</v>
      </c>
      <c r="Z31" s="306">
        <v>2986.8</v>
      </c>
      <c r="AA31" s="306">
        <f>3361.8-106.6</f>
        <v>3255.2000000000003</v>
      </c>
      <c r="AB31" s="306">
        <f>3478.7-125.3</f>
        <v>3353.3999999999996</v>
      </c>
      <c r="AC31" s="306">
        <f>-153.4+3360</f>
        <v>3206.6</v>
      </c>
      <c r="AD31" s="306">
        <f>3587.5-243.2</f>
        <v>3344.3</v>
      </c>
      <c r="AE31" s="306">
        <f>4322.2-181.5-960</f>
        <v>3180.7</v>
      </c>
      <c r="AF31" s="306">
        <f>4049-139.2-393.6</f>
        <v>3516.2000000000003</v>
      </c>
      <c r="AG31" s="306">
        <f>2647.9-197.9+955.2</f>
        <v>3405.2</v>
      </c>
      <c r="AH31" s="306">
        <f>4040.1-130.4-369.7</f>
        <v>3540</v>
      </c>
      <c r="AI31" s="306">
        <f>4451.1-126.2-672.3</f>
        <v>3652.6000000000004</v>
      </c>
      <c r="AJ31" s="306">
        <f>5319.9-159.7-674.1</f>
        <v>4486.0999999999995</v>
      </c>
      <c r="AK31" s="306">
        <f>3678.3-133.9+789.9</f>
        <v>4334.3</v>
      </c>
      <c r="AL31" s="747">
        <f>4634.8-180.7+54.3</f>
        <v>4508.4000000000005</v>
      </c>
      <c r="AM31" s="52">
        <f>4467.9-39.1</f>
        <v>4428.7999999999993</v>
      </c>
      <c r="AN31" s="910">
        <f>4709.8-42.5</f>
        <v>4667.3</v>
      </c>
      <c r="AO31" s="912">
        <f>4541.8-36.6</f>
        <v>4505.2</v>
      </c>
      <c r="AP31" s="912">
        <f>4756.7-52</f>
        <v>4704.7</v>
      </c>
      <c r="AQ31" s="912">
        <f>4448.7-43.3</f>
        <v>4405.3999999999996</v>
      </c>
      <c r="AR31" s="912">
        <f>4482.3-56.2</f>
        <v>4426.1000000000004</v>
      </c>
      <c r="AS31" s="912">
        <f>4008.8-46.7</f>
        <v>3962.1000000000004</v>
      </c>
      <c r="AT31" s="912">
        <f>4514-76.5</f>
        <v>4437.5</v>
      </c>
      <c r="AU31" s="912">
        <f>+AU14*AU32%</f>
        <v>4604.3848202185582</v>
      </c>
      <c r="AV31" s="38"/>
      <c r="AW31" s="666">
        <v>3974.0537775382986</v>
      </c>
      <c r="AX31" s="38"/>
      <c r="AY31" s="38"/>
      <c r="AZ31" s="38"/>
      <c r="BA31" s="475"/>
      <c r="BB31" s="475"/>
      <c r="BC31" s="475"/>
      <c r="BD31" s="475"/>
      <c r="BE31" s="475"/>
      <c r="BF31" s="475"/>
      <c r="BG31" s="475"/>
    </row>
    <row r="32" spans="1:59" s="356" customFormat="1">
      <c r="A32" s="3"/>
      <c r="B32" s="899" t="s">
        <v>580</v>
      </c>
      <c r="C32" s="901">
        <f t="shared" ref="C32:AL32" si="61">C31/C14*100</f>
        <v>9.1707299356232923</v>
      </c>
      <c r="D32" s="901">
        <f t="shared" si="61"/>
        <v>9.4011831015981304</v>
      </c>
      <c r="E32" s="901">
        <f t="shared" si="61"/>
        <v>9.4742293330426008</v>
      </c>
      <c r="F32" s="901">
        <f t="shared" si="61"/>
        <v>9.7936072269888275</v>
      </c>
      <c r="G32" s="900">
        <f t="shared" si="61"/>
        <v>9.9144002086643113</v>
      </c>
      <c r="H32" s="901">
        <f t="shared" si="61"/>
        <v>8.6196238494042738</v>
      </c>
      <c r="I32" s="901">
        <f t="shared" si="61"/>
        <v>7.4374812593703137</v>
      </c>
      <c r="J32" s="900">
        <f t="shared" si="61"/>
        <v>9.7640338402950189</v>
      </c>
      <c r="K32" s="900">
        <f t="shared" si="61"/>
        <v>8.2414087079198719</v>
      </c>
      <c r="L32" s="900">
        <f t="shared" si="61"/>
        <v>8.9317736802658896</v>
      </c>
      <c r="M32" s="900">
        <f t="shared" si="61"/>
        <v>9.7427606866054859</v>
      </c>
      <c r="N32" s="900">
        <f t="shared" si="61"/>
        <v>10.129499153131819</v>
      </c>
      <c r="O32" s="900">
        <f t="shared" si="61"/>
        <v>9.541281265100686</v>
      </c>
      <c r="P32" s="900">
        <f t="shared" si="61"/>
        <v>8.0075913157010703</v>
      </c>
      <c r="Q32" s="900">
        <f t="shared" si="61"/>
        <v>6.7478873025746839</v>
      </c>
      <c r="R32" s="902">
        <f t="shared" si="61"/>
        <v>5.3479239288708467</v>
      </c>
      <c r="S32" s="902">
        <f t="shared" si="61"/>
        <v>5.6184223379587976</v>
      </c>
      <c r="T32" s="902">
        <f t="shared" si="61"/>
        <v>5.9723802460719249</v>
      </c>
      <c r="U32" s="902">
        <f t="shared" si="61"/>
        <v>5.7111666523025653</v>
      </c>
      <c r="V32" s="902">
        <f t="shared" si="61"/>
        <v>5.5660238516306011</v>
      </c>
      <c r="W32" s="902">
        <f t="shared" si="61"/>
        <v>5.4709760766973563</v>
      </c>
      <c r="X32" s="902">
        <f t="shared" si="61"/>
        <v>6.0230556304416334</v>
      </c>
      <c r="Y32" s="902">
        <f t="shared" si="61"/>
        <v>6.1395257416429159</v>
      </c>
      <c r="Z32" s="902">
        <f t="shared" si="61"/>
        <v>6.4212372942572618</v>
      </c>
      <c r="AA32" s="902">
        <f t="shared" si="61"/>
        <v>6.690150976434853</v>
      </c>
      <c r="AB32" s="902">
        <f t="shared" si="61"/>
        <v>6.7440270292011899</v>
      </c>
      <c r="AC32" s="902">
        <f t="shared" si="61"/>
        <v>5.924204326483407</v>
      </c>
      <c r="AD32" s="902">
        <f t="shared" si="61"/>
        <v>7.0458529268004915</v>
      </c>
      <c r="AE32" s="902">
        <f t="shared" si="61"/>
        <v>6.4765663019818414</v>
      </c>
      <c r="AF32" s="902">
        <f t="shared" si="61"/>
        <v>6.7947338011049521</v>
      </c>
      <c r="AG32" s="902">
        <f t="shared" si="61"/>
        <v>6.6362126893304536</v>
      </c>
      <c r="AH32" s="902">
        <f t="shared" si="61"/>
        <v>7.1771935551234813</v>
      </c>
      <c r="AI32" s="902">
        <f t="shared" si="61"/>
        <v>6.9541410514411481</v>
      </c>
      <c r="AJ32" s="902">
        <f t="shared" si="61"/>
        <v>7.5231130169090177</v>
      </c>
      <c r="AK32" s="902">
        <f t="shared" si="61"/>
        <v>7.661604653917065</v>
      </c>
      <c r="AL32" s="903">
        <f t="shared" si="61"/>
        <v>9.512716960589449</v>
      </c>
      <c r="AM32" s="903">
        <f t="shared" ref="AM32:AN32" si="62">AM31/AM14*100</f>
        <v>7.9095883756482968</v>
      </c>
      <c r="AN32" s="903">
        <f t="shared" si="62"/>
        <v>7.6765560186449218</v>
      </c>
      <c r="AO32" s="903">
        <f t="shared" ref="AO32:AP32" si="63">AO31/AO14*100</f>
        <v>8.120652579477019</v>
      </c>
      <c r="AP32" s="903">
        <f t="shared" si="63"/>
        <v>8.7782606180811982</v>
      </c>
      <c r="AQ32" s="903">
        <f t="shared" ref="AQ32:AR32" si="64">AQ31/AQ14*100</f>
        <v>7.6642977061387088</v>
      </c>
      <c r="AR32" s="903">
        <f t="shared" si="64"/>
        <v>7.3104061098154771</v>
      </c>
      <c r="AS32" s="903">
        <f t="shared" ref="AS32:AT32" si="65">AS31/AS14*100</f>
        <v>7.8195895312509256</v>
      </c>
      <c r="AT32" s="903">
        <f t="shared" si="65"/>
        <v>9.0610783040520122</v>
      </c>
      <c r="AU32" s="903">
        <v>8.5</v>
      </c>
      <c r="AV32" s="3"/>
      <c r="AW32" s="673">
        <v>8.5</v>
      </c>
      <c r="AX32" s="112">
        <v>9.6999999999999993</v>
      </c>
      <c r="AY32" s="51"/>
      <c r="AZ32" s="55"/>
      <c r="BA32" s="477"/>
      <c r="BB32" s="477"/>
      <c r="BC32" s="477"/>
      <c r="BD32" s="477"/>
      <c r="BE32" s="477"/>
      <c r="BF32" s="477"/>
      <c r="BG32" s="477"/>
    </row>
    <row r="33" spans="1:59">
      <c r="A33" s="42" t="s">
        <v>163</v>
      </c>
      <c r="B33" s="42" t="s">
        <v>516</v>
      </c>
      <c r="C33" s="38"/>
      <c r="D33" s="38"/>
      <c r="E33" s="38"/>
      <c r="F33" s="38"/>
      <c r="G33" s="49">
        <f t="shared" ref="G33:AE33" si="66">+(G31/C31-1)</f>
        <v>3.4950495049504982E-2</v>
      </c>
      <c r="H33" s="49">
        <f t="shared" si="66"/>
        <v>-0.11104318588707918</v>
      </c>
      <c r="I33" s="49">
        <f t="shared" si="66"/>
        <v>-0.23545125760315633</v>
      </c>
      <c r="J33" s="49">
        <f t="shared" si="66"/>
        <v>-0.10605525642157299</v>
      </c>
      <c r="K33" s="49">
        <f t="shared" si="66"/>
        <v>-8.9065340093752887E-2</v>
      </c>
      <c r="L33" s="49">
        <f t="shared" si="66"/>
        <v>0.11808625601729039</v>
      </c>
      <c r="M33" s="49">
        <f t="shared" si="66"/>
        <v>0.10143525237864859</v>
      </c>
      <c r="N33" s="49">
        <f t="shared" si="66"/>
        <v>-5.8109108862009262E-2</v>
      </c>
      <c r="O33" s="49">
        <f t="shared" si="66"/>
        <v>0.17160260449485376</v>
      </c>
      <c r="P33" s="49">
        <f t="shared" si="66"/>
        <v>1.5815833406554791E-2</v>
      </c>
      <c r="Q33" s="49">
        <f t="shared" si="66"/>
        <v>8.5309907271839958E-2</v>
      </c>
      <c r="R33" s="49">
        <f t="shared" si="66"/>
        <v>-4.7069923472062181E-2</v>
      </c>
      <c r="S33" s="49">
        <f t="shared" si="66"/>
        <v>-2.0437432771602704E-2</v>
      </c>
      <c r="T33" s="49">
        <f t="shared" si="66"/>
        <v>0.12148603062018881</v>
      </c>
      <c r="U33" s="49">
        <f t="shared" si="66"/>
        <v>7.2758341577479957E-2</v>
      </c>
      <c r="V33" s="49">
        <f t="shared" si="66"/>
        <v>0.26897689768976907</v>
      </c>
      <c r="W33" s="49">
        <f t="shared" si="66"/>
        <v>0.17807467057101034</v>
      </c>
      <c r="X33" s="49">
        <f t="shared" si="66"/>
        <v>0.22343912691373236</v>
      </c>
      <c r="Y33" s="49">
        <f t="shared" si="66"/>
        <v>0.28315727699530524</v>
      </c>
      <c r="Z33" s="49">
        <f t="shared" si="66"/>
        <v>0.29466840052015608</v>
      </c>
      <c r="AA33" s="49">
        <f t="shared" si="66"/>
        <v>0.2642535342550878</v>
      </c>
      <c r="AB33" s="49">
        <f t="shared" si="66"/>
        <v>5.7021276595744519E-2</v>
      </c>
      <c r="AC33" s="49">
        <f t="shared" si="66"/>
        <v>4.7531932965273915E-2</v>
      </c>
      <c r="AD33" s="49">
        <f t="shared" si="66"/>
        <v>0.11969331726262222</v>
      </c>
      <c r="AE33" s="49">
        <f t="shared" si="66"/>
        <v>-2.2886458589334135E-2</v>
      </c>
      <c r="AF33" s="49">
        <f t="shared" ref="AF33:AP33" si="67">+(AF31/AB31-1)</f>
        <v>4.8547742589610809E-2</v>
      </c>
      <c r="AG33" s="49">
        <f t="shared" si="67"/>
        <v>6.1934759558410768E-2</v>
      </c>
      <c r="AH33" s="49">
        <f t="shared" si="67"/>
        <v>5.8517477499028248E-2</v>
      </c>
      <c r="AI33" s="49">
        <f t="shared" si="67"/>
        <v>0.14836356776810145</v>
      </c>
      <c r="AJ33" s="49">
        <f t="shared" si="67"/>
        <v>0.27583755190262194</v>
      </c>
      <c r="AK33" s="49">
        <f t="shared" si="67"/>
        <v>0.27284740984376854</v>
      </c>
      <c r="AL33" s="751">
        <f t="shared" si="67"/>
        <v>0.27355932203389854</v>
      </c>
      <c r="AM33" s="751">
        <f t="shared" si="67"/>
        <v>0.21250615999561928</v>
      </c>
      <c r="AN33" s="751">
        <f t="shared" si="67"/>
        <v>4.0391431310046855E-2</v>
      </c>
      <c r="AO33" s="751">
        <f t="shared" si="67"/>
        <v>3.9429665689961313E-2</v>
      </c>
      <c r="AP33" s="751">
        <f t="shared" si="67"/>
        <v>4.354094579008061E-2</v>
      </c>
      <c r="AQ33" s="751">
        <f t="shared" ref="AQ33:AU33" si="68">+(AQ31/AM31-1)</f>
        <v>-5.2835982658958613E-3</v>
      </c>
      <c r="AR33" s="751">
        <f t="shared" si="68"/>
        <v>-5.1678700747755602E-2</v>
      </c>
      <c r="AS33" s="751">
        <f t="shared" si="68"/>
        <v>-0.12054958714374486</v>
      </c>
      <c r="AT33" s="751">
        <f t="shared" si="68"/>
        <v>-5.6794269560226929E-2</v>
      </c>
      <c r="AU33" s="751">
        <f t="shared" si="68"/>
        <v>4.5168388845180596E-2</v>
      </c>
      <c r="AV33" s="38"/>
      <c r="AW33" s="668">
        <v>-0.1610433453232496</v>
      </c>
      <c r="AX33" s="38"/>
      <c r="AY33" s="38"/>
      <c r="AZ33" s="38"/>
      <c r="BA33" s="475"/>
      <c r="BB33" s="475"/>
      <c r="BC33" s="475"/>
      <c r="BD33" s="475"/>
      <c r="BE33" s="475"/>
      <c r="BF33" s="475"/>
      <c r="BG33" s="475"/>
    </row>
    <row r="34" spans="1:59">
      <c r="A34" s="42" t="s">
        <v>163</v>
      </c>
      <c r="B34" s="42" t="s">
        <v>517</v>
      </c>
      <c r="C34" s="38"/>
      <c r="D34" s="38"/>
      <c r="E34" s="38"/>
      <c r="F34" s="38"/>
      <c r="G34" s="42">
        <f t="shared" ref="G34:AE34" si="69">+(G31/F31-1)</f>
        <v>-7.7323682584517717E-2</v>
      </c>
      <c r="H34" s="42">
        <f t="shared" si="69"/>
        <v>-2.621257055390791E-2</v>
      </c>
      <c r="I34" s="42">
        <f t="shared" si="69"/>
        <v>-8.6206896551724088E-2</v>
      </c>
      <c r="J34" s="42">
        <f t="shared" si="69"/>
        <v>8.8802881255711563E-2</v>
      </c>
      <c r="K34" s="42">
        <f t="shared" si="69"/>
        <v>-5.978770673907674E-2</v>
      </c>
      <c r="L34" s="42">
        <f t="shared" si="69"/>
        <v>0.19523209409787845</v>
      </c>
      <c r="M34" s="42">
        <f t="shared" si="69"/>
        <v>-9.9815481943590134E-2</v>
      </c>
      <c r="N34" s="42">
        <f t="shared" si="69"/>
        <v>-6.8911664226451785E-2</v>
      </c>
      <c r="O34" s="42">
        <f t="shared" si="69"/>
        <v>0.16951462417444163</v>
      </c>
      <c r="P34" s="42">
        <f t="shared" si="69"/>
        <v>3.6303334528504871E-2</v>
      </c>
      <c r="Q34" s="42">
        <f t="shared" si="69"/>
        <v>-3.8231986852348299E-2</v>
      </c>
      <c r="R34" s="42">
        <f t="shared" si="69"/>
        <v>-0.18248043888838927</v>
      </c>
      <c r="S34" s="42">
        <f t="shared" si="69"/>
        <v>0.20220022002200211</v>
      </c>
      <c r="T34" s="42">
        <f t="shared" si="69"/>
        <v>0.18644765739385094</v>
      </c>
      <c r="U34" s="42">
        <f t="shared" si="69"/>
        <v>-8.0020053218156084E-2</v>
      </c>
      <c r="V34" s="42">
        <f t="shared" si="69"/>
        <v>-3.2947686116700181E-2</v>
      </c>
      <c r="W34" s="42">
        <f t="shared" si="69"/>
        <v>0.1160814911140009</v>
      </c>
      <c r="X34" s="42">
        <f t="shared" si="69"/>
        <v>0.2321345347211432</v>
      </c>
      <c r="Y34" s="42">
        <f t="shared" si="69"/>
        <v>-3.5114263199369611E-2</v>
      </c>
      <c r="Z34" s="42">
        <f t="shared" si="69"/>
        <v>-2.4272320407696446E-2</v>
      </c>
      <c r="AA34" s="42">
        <f t="shared" si="69"/>
        <v>8.9862059729476362E-2</v>
      </c>
      <c r="AB34" s="42">
        <f t="shared" si="69"/>
        <v>3.0167117227819951E-2</v>
      </c>
      <c r="AC34" s="42">
        <f t="shared" si="69"/>
        <v>-4.377646567662663E-2</v>
      </c>
      <c r="AD34" s="42">
        <f t="shared" si="69"/>
        <v>4.2942680721012927E-2</v>
      </c>
      <c r="AE34" s="42">
        <f t="shared" si="69"/>
        <v>-4.8919056304757458E-2</v>
      </c>
      <c r="AF34" s="42">
        <f t="shared" ref="AF34:AP34" si="70">+(AF31/AE31-1)</f>
        <v>0.10547992580249654</v>
      </c>
      <c r="AG34" s="42">
        <f t="shared" si="70"/>
        <v>-3.1568170183721156E-2</v>
      </c>
      <c r="AH34" s="42">
        <f t="shared" si="70"/>
        <v>3.9586514742159018E-2</v>
      </c>
      <c r="AI34" s="42">
        <f t="shared" si="70"/>
        <v>3.1807909604519846E-2</v>
      </c>
      <c r="AJ34" s="42">
        <f t="shared" si="70"/>
        <v>0.22819361550676209</v>
      </c>
      <c r="AK34" s="42">
        <f t="shared" si="70"/>
        <v>-3.3837854706760706E-2</v>
      </c>
      <c r="AL34" s="751">
        <f t="shared" si="70"/>
        <v>4.0167962531435286E-2</v>
      </c>
      <c r="AM34" s="751">
        <f t="shared" si="70"/>
        <v>-1.7655931150741155E-2</v>
      </c>
      <c r="AN34" s="751">
        <f t="shared" si="70"/>
        <v>5.3852059248555184E-2</v>
      </c>
      <c r="AO34" s="751">
        <f t="shared" si="70"/>
        <v>-3.47310007927496E-2</v>
      </c>
      <c r="AP34" s="751">
        <f t="shared" si="70"/>
        <v>4.4282162834058392E-2</v>
      </c>
      <c r="AQ34" s="751">
        <f t="shared" ref="AQ34:AU34" si="71">+(AQ31/AP31-1)</f>
        <v>-6.3617233829999842E-2</v>
      </c>
      <c r="AR34" s="751">
        <f t="shared" si="71"/>
        <v>4.6987787715078166E-3</v>
      </c>
      <c r="AS34" s="751">
        <f t="shared" si="71"/>
        <v>-0.10483269695668873</v>
      </c>
      <c r="AT34" s="751">
        <f t="shared" si="71"/>
        <v>0.11998687564675281</v>
      </c>
      <c r="AU34" s="751">
        <f t="shared" si="71"/>
        <v>3.7607846809815992E-2</v>
      </c>
      <c r="AV34" s="45"/>
      <c r="AW34" s="669">
        <v>3.0170307509396199E-3</v>
      </c>
      <c r="AX34" s="38"/>
      <c r="AY34" s="38"/>
      <c r="AZ34" s="38"/>
      <c r="BA34" s="475"/>
      <c r="BB34" s="475"/>
      <c r="BC34" s="475"/>
      <c r="BD34" s="475"/>
      <c r="BE34" s="475"/>
      <c r="BF34" s="475"/>
      <c r="BG34" s="475"/>
    </row>
    <row r="35" spans="1:59">
      <c r="A35" s="38"/>
      <c r="B35" s="38"/>
      <c r="C35" s="38"/>
      <c r="D35" s="38"/>
      <c r="E35" s="38"/>
      <c r="F35" s="38"/>
      <c r="G35" s="116">
        <v>2823</v>
      </c>
      <c r="H35" s="117"/>
      <c r="I35" s="117"/>
      <c r="J35" s="116"/>
      <c r="K35" s="116"/>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749"/>
      <c r="AO35" s="749"/>
      <c r="AP35" s="749"/>
      <c r="AQ35" s="749"/>
      <c r="AR35" s="749"/>
      <c r="AS35" s="749"/>
      <c r="AT35" s="749"/>
      <c r="AU35" s="749"/>
      <c r="AV35" s="50"/>
      <c r="AW35" s="671"/>
      <c r="AX35" s="38"/>
      <c r="AY35" s="50" t="e">
        <f>(AP36/AV35-1)*100</f>
        <v>#DIV/0!</v>
      </c>
      <c r="AZ35" s="38"/>
      <c r="BA35" s="475"/>
      <c r="BB35" s="475"/>
      <c r="BC35" s="475"/>
      <c r="BD35" s="475"/>
      <c r="BE35" s="475"/>
      <c r="BF35" s="475"/>
      <c r="BG35" s="475"/>
    </row>
    <row r="36" spans="1:59" s="359" customFormat="1">
      <c r="A36" s="13"/>
      <c r="B36" s="13" t="s">
        <v>659</v>
      </c>
      <c r="C36" s="13">
        <f t="shared" ref="C36:AE36" si="72">+C25-C26</f>
        <v>3606.8999999999987</v>
      </c>
      <c r="D36" s="13">
        <f t="shared" si="72"/>
        <v>3651.8999999999978</v>
      </c>
      <c r="E36" s="13">
        <f t="shared" si="72"/>
        <v>3636.2000000000003</v>
      </c>
      <c r="F36" s="13">
        <f t="shared" si="72"/>
        <v>3262.8999999999978</v>
      </c>
      <c r="G36" s="54">
        <f t="shared" si="72"/>
        <v>2748.9999999999991</v>
      </c>
      <c r="H36" s="13">
        <f t="shared" si="72"/>
        <v>3780.5</v>
      </c>
      <c r="I36" s="13">
        <f t="shared" si="72"/>
        <v>3669.8</v>
      </c>
      <c r="J36" s="54">
        <f t="shared" si="72"/>
        <v>2615.7000000000007</v>
      </c>
      <c r="K36" s="54">
        <f t="shared" si="72"/>
        <v>2667.9000000000015</v>
      </c>
      <c r="L36" s="13">
        <f t="shared" si="72"/>
        <v>3438.2000000000003</v>
      </c>
      <c r="M36" s="13">
        <f t="shared" si="72"/>
        <v>3058.3999999999978</v>
      </c>
      <c r="N36" s="13">
        <f t="shared" si="72"/>
        <v>3028.4000000000019</v>
      </c>
      <c r="O36" s="13">
        <f t="shared" si="72"/>
        <v>4554.1999999999989</v>
      </c>
      <c r="P36" s="13">
        <f t="shared" si="72"/>
        <v>6365.0999999999985</v>
      </c>
      <c r="Q36" s="13">
        <f t="shared" si="72"/>
        <v>7235.3000000000011</v>
      </c>
      <c r="R36" s="13">
        <f t="shared" si="72"/>
        <v>7771.0000000000018</v>
      </c>
      <c r="S36" s="13">
        <f t="shared" si="72"/>
        <v>7769.2999999999956</v>
      </c>
      <c r="T36" s="13">
        <f t="shared" si="72"/>
        <v>8971.6999999999953</v>
      </c>
      <c r="U36" s="13">
        <f t="shared" si="72"/>
        <v>8493.2000000000025</v>
      </c>
      <c r="V36" s="13">
        <f t="shared" si="72"/>
        <v>8034.1</v>
      </c>
      <c r="W36" s="13">
        <f t="shared" si="72"/>
        <v>8398.4000000000051</v>
      </c>
      <c r="X36" s="13">
        <f t="shared" si="72"/>
        <v>10573.7</v>
      </c>
      <c r="Y36" s="13">
        <f t="shared" si="72"/>
        <v>9841.2999999999956</v>
      </c>
      <c r="Z36" s="13">
        <f t="shared" si="72"/>
        <v>9205.899999999996</v>
      </c>
      <c r="AA36" s="13">
        <f t="shared" si="72"/>
        <v>8716.9999999999964</v>
      </c>
      <c r="AB36" s="13">
        <f t="shared" si="72"/>
        <v>9152.0999999999985</v>
      </c>
      <c r="AC36" s="13">
        <f t="shared" si="72"/>
        <v>10117.499999999995</v>
      </c>
      <c r="AD36" s="13">
        <f t="shared" si="72"/>
        <v>8365.9</v>
      </c>
      <c r="AE36" s="13">
        <f t="shared" si="72"/>
        <v>10027.100000000002</v>
      </c>
      <c r="AF36" s="13">
        <f t="shared" ref="AF36:AM36" si="73">+AF25-AF26</f>
        <v>11713.199999999997</v>
      </c>
      <c r="AG36" s="13">
        <f t="shared" si="73"/>
        <v>10396.599999999997</v>
      </c>
      <c r="AH36" s="13">
        <f t="shared" si="73"/>
        <v>9683.5999999999967</v>
      </c>
      <c r="AI36" s="13">
        <f t="shared" si="73"/>
        <v>9923.6000000000022</v>
      </c>
      <c r="AJ36" s="13">
        <f t="shared" si="73"/>
        <v>11941.900000000001</v>
      </c>
      <c r="AK36" s="13">
        <f t="shared" si="73"/>
        <v>11478.399999999994</v>
      </c>
      <c r="AL36" s="752">
        <f t="shared" si="73"/>
        <v>8323.7999999999975</v>
      </c>
      <c r="AM36" s="13">
        <f t="shared" si="73"/>
        <v>11402.399999999996</v>
      </c>
      <c r="AN36" s="752">
        <f t="shared" ref="AN36:AO36" si="74">+AN25-AN26</f>
        <v>13167.3</v>
      </c>
      <c r="AO36" s="752">
        <f t="shared" si="74"/>
        <v>11716.3</v>
      </c>
      <c r="AP36" s="752">
        <f t="shared" ref="AP36:AQ36" si="75">+AP25-AP26</f>
        <v>11533.599999999995</v>
      </c>
      <c r="AQ36" s="752">
        <f t="shared" si="75"/>
        <v>11763.300000000003</v>
      </c>
      <c r="AR36" s="752">
        <f t="shared" ref="AR36" si="76">+AR25-AR26</f>
        <v>12961.300000000007</v>
      </c>
      <c r="AS36" s="752">
        <f t="shared" ref="AS36" si="77">+AS25-AS26</f>
        <v>10439.100000000002</v>
      </c>
      <c r="AT36" s="752">
        <f t="shared" ref="AT36" si="78">+AT25-AT26</f>
        <v>9059.8000000000065</v>
      </c>
      <c r="AU36" s="752">
        <f t="shared" ref="AU36" si="79">+AU25-AU26</f>
        <v>10400.492770376033</v>
      </c>
      <c r="AV36" s="916"/>
      <c r="AW36" s="674">
        <v>8976.6861798512127</v>
      </c>
      <c r="AX36" s="12"/>
      <c r="AY36" s="13"/>
      <c r="AZ36" s="13"/>
      <c r="BA36" s="495"/>
      <c r="BB36" s="495"/>
      <c r="BC36" s="495"/>
      <c r="BD36" s="495"/>
      <c r="BE36" s="495"/>
      <c r="BF36" s="495"/>
      <c r="BG36" s="495"/>
    </row>
    <row r="37" spans="1:59" s="362" customFormat="1">
      <c r="A37" s="42" t="s">
        <v>163</v>
      </c>
      <c r="B37" s="42" t="s">
        <v>516</v>
      </c>
      <c r="C37" s="44"/>
      <c r="D37" s="44"/>
      <c r="E37" s="44"/>
      <c r="F37" s="44"/>
      <c r="G37" s="49">
        <f t="shared" ref="G37:AE37" si="80">+(G36/C36-1)</f>
        <v>-0.23784967700795701</v>
      </c>
      <c r="H37" s="42">
        <f t="shared" si="80"/>
        <v>3.5214545852844337E-2</v>
      </c>
      <c r="I37" s="42">
        <f t="shared" si="80"/>
        <v>9.2404158187118224E-3</v>
      </c>
      <c r="J37" s="49">
        <f t="shared" si="80"/>
        <v>-0.19835116001103237</v>
      </c>
      <c r="K37" s="49">
        <f t="shared" si="80"/>
        <v>-2.9501636958893296E-2</v>
      </c>
      <c r="L37" s="42">
        <f t="shared" si="80"/>
        <v>-9.0543578891680965E-2</v>
      </c>
      <c r="M37" s="42">
        <f t="shared" si="80"/>
        <v>-0.16660308463676554</v>
      </c>
      <c r="N37" s="49">
        <f t="shared" si="80"/>
        <v>0.15777803264900458</v>
      </c>
      <c r="O37" s="49">
        <f t="shared" si="80"/>
        <v>0.70703549608306027</v>
      </c>
      <c r="P37" s="49">
        <f t="shared" si="80"/>
        <v>0.851288464894421</v>
      </c>
      <c r="Q37" s="49">
        <f t="shared" si="80"/>
        <v>1.3657140988752308</v>
      </c>
      <c r="R37" s="49">
        <f t="shared" si="80"/>
        <v>1.5660414740456998</v>
      </c>
      <c r="S37" s="49">
        <f t="shared" si="80"/>
        <v>0.70596372579157651</v>
      </c>
      <c r="T37" s="49">
        <f t="shared" si="80"/>
        <v>0.4095143831204533</v>
      </c>
      <c r="U37" s="49">
        <f t="shared" si="80"/>
        <v>0.17385595621466998</v>
      </c>
      <c r="V37" s="49">
        <f t="shared" si="80"/>
        <v>3.3856646506240873E-2</v>
      </c>
      <c r="W37" s="49">
        <f t="shared" si="80"/>
        <v>8.0972545789197214E-2</v>
      </c>
      <c r="X37" s="49">
        <f t="shared" si="80"/>
        <v>0.1785614766432233</v>
      </c>
      <c r="Y37" s="49">
        <f t="shared" si="80"/>
        <v>0.15872698158526743</v>
      </c>
      <c r="Z37" s="49">
        <f t="shared" si="80"/>
        <v>0.14585330030743893</v>
      </c>
      <c r="AA37" s="49">
        <f t="shared" si="80"/>
        <v>3.7935797294721851E-2</v>
      </c>
      <c r="AB37" s="49">
        <f t="shared" si="80"/>
        <v>-0.13444678778478703</v>
      </c>
      <c r="AC37" s="49">
        <f t="shared" si="80"/>
        <v>2.8065397864103225E-2</v>
      </c>
      <c r="AD37" s="49">
        <f t="shared" si="80"/>
        <v>-9.1245831477638983E-2</v>
      </c>
      <c r="AE37" s="49">
        <f t="shared" si="80"/>
        <v>0.15029253183434732</v>
      </c>
      <c r="AF37" s="49">
        <f t="shared" ref="AF37:AP37" si="81">+(AF36/AB36-1)</f>
        <v>0.2798374143639164</v>
      </c>
      <c r="AG37" s="49">
        <f t="shared" si="81"/>
        <v>2.7585866073635001E-2</v>
      </c>
      <c r="AH37" s="49">
        <f t="shared" si="81"/>
        <v>0.15750845695023807</v>
      </c>
      <c r="AI37" s="49">
        <f t="shared" si="81"/>
        <v>-1.0322027306000736E-2</v>
      </c>
      <c r="AJ37" s="49">
        <f t="shared" si="81"/>
        <v>1.952498036403405E-2</v>
      </c>
      <c r="AK37" s="49">
        <f t="shared" si="81"/>
        <v>0.10405324817728845</v>
      </c>
      <c r="AL37" s="751">
        <f t="shared" si="81"/>
        <v>-0.14042298318807056</v>
      </c>
      <c r="AM37" s="49">
        <f t="shared" si="81"/>
        <v>0.1490185013503158</v>
      </c>
      <c r="AN37" s="751">
        <f t="shared" si="81"/>
        <v>0.10261348696606043</v>
      </c>
      <c r="AO37" s="751">
        <f t="shared" si="81"/>
        <v>2.0725885140786549E-2</v>
      </c>
      <c r="AP37" s="751">
        <f t="shared" si="81"/>
        <v>0.38561714601504105</v>
      </c>
      <c r="AQ37" s="751">
        <f t="shared" ref="AQ37:AU37" si="82">+(AQ36/AM36-1)</f>
        <v>3.1651231319722806E-2</v>
      </c>
      <c r="AR37" s="751">
        <f t="shared" si="82"/>
        <v>-1.5644817084747298E-2</v>
      </c>
      <c r="AS37" s="751">
        <f t="shared" si="82"/>
        <v>-0.10901052380017562</v>
      </c>
      <c r="AT37" s="751">
        <f t="shared" si="82"/>
        <v>-0.21448637025733419</v>
      </c>
      <c r="AU37" s="751">
        <f t="shared" si="82"/>
        <v>-0.11585245888687434</v>
      </c>
      <c r="AV37" s="42"/>
      <c r="AW37" s="668">
        <v>-0.22169260423014392</v>
      </c>
      <c r="AX37" s="38"/>
      <c r="AY37" s="42"/>
      <c r="AZ37" s="42"/>
      <c r="BA37" s="496"/>
      <c r="BB37" s="496"/>
      <c r="BC37" s="496"/>
      <c r="BD37" s="496"/>
      <c r="BE37" s="496"/>
      <c r="BF37" s="496"/>
      <c r="BG37" s="496"/>
    </row>
    <row r="38" spans="1:59" s="362" customFormat="1">
      <c r="A38" s="42" t="s">
        <v>163</v>
      </c>
      <c r="B38" s="42" t="s">
        <v>517</v>
      </c>
      <c r="C38" s="44"/>
      <c r="D38" s="42">
        <f t="shared" ref="D38:AE38" si="83">+(D36/C36-1)</f>
        <v>1.2476087498960009E-2</v>
      </c>
      <c r="E38" s="42">
        <f t="shared" si="83"/>
        <v>-4.299131958705793E-3</v>
      </c>
      <c r="F38" s="42">
        <f t="shared" si="83"/>
        <v>-0.10266211979539142</v>
      </c>
      <c r="G38" s="49">
        <f t="shared" si="83"/>
        <v>-0.15749793128811762</v>
      </c>
      <c r="H38" s="42">
        <f t="shared" si="83"/>
        <v>0.37522735540196472</v>
      </c>
      <c r="I38" s="42">
        <f t="shared" si="83"/>
        <v>-2.9281841026319255E-2</v>
      </c>
      <c r="J38" s="49">
        <f t="shared" si="83"/>
        <v>-0.28723636165458588</v>
      </c>
      <c r="K38" s="49">
        <f t="shared" si="83"/>
        <v>1.9956417020300821E-2</v>
      </c>
      <c r="L38" s="42">
        <f t="shared" si="83"/>
        <v>0.28872896285467919</v>
      </c>
      <c r="M38" s="42">
        <f t="shared" si="83"/>
        <v>-0.11046477808155497</v>
      </c>
      <c r="N38" s="49">
        <f t="shared" si="83"/>
        <v>-9.8090504839117854E-3</v>
      </c>
      <c r="O38" s="49">
        <f t="shared" si="83"/>
        <v>0.50383040549464941</v>
      </c>
      <c r="P38" s="42">
        <f t="shared" si="83"/>
        <v>0.39763295419612676</v>
      </c>
      <c r="Q38" s="42">
        <f t="shared" si="83"/>
        <v>0.13671427000361391</v>
      </c>
      <c r="R38" s="42">
        <f t="shared" si="83"/>
        <v>7.4039777203433355E-2</v>
      </c>
      <c r="S38" s="42">
        <f t="shared" si="83"/>
        <v>-2.1876206408522059E-4</v>
      </c>
      <c r="T38" s="42">
        <f t="shared" si="83"/>
        <v>0.15476297735960776</v>
      </c>
      <c r="U38" s="42">
        <f t="shared" si="83"/>
        <v>-5.3334373641561017E-2</v>
      </c>
      <c r="V38" s="42">
        <f t="shared" si="83"/>
        <v>-5.4055008712852848E-2</v>
      </c>
      <c r="W38" s="42">
        <f t="shared" si="83"/>
        <v>4.534422026113738E-2</v>
      </c>
      <c r="X38" s="42">
        <f t="shared" si="83"/>
        <v>0.25901362164221697</v>
      </c>
      <c r="Y38" s="42">
        <f t="shared" si="83"/>
        <v>-6.9266198208763674E-2</v>
      </c>
      <c r="Z38" s="42">
        <f t="shared" si="83"/>
        <v>-6.4564640850294119E-2</v>
      </c>
      <c r="AA38" s="42">
        <f t="shared" si="83"/>
        <v>-5.3107246439783151E-2</v>
      </c>
      <c r="AB38" s="42">
        <f t="shared" si="83"/>
        <v>4.9913961225192427E-2</v>
      </c>
      <c r="AC38" s="42">
        <f t="shared" si="83"/>
        <v>0.10548398728160713</v>
      </c>
      <c r="AD38" s="42">
        <f t="shared" si="83"/>
        <v>-0.17312577217692071</v>
      </c>
      <c r="AE38" s="42">
        <f t="shared" si="83"/>
        <v>0.19856799627057486</v>
      </c>
      <c r="AF38" s="42">
        <f t="shared" ref="AF38:AP38" si="84">+(AF36/AE36-1)</f>
        <v>0.16815430184200753</v>
      </c>
      <c r="AG38" s="42">
        <f t="shared" si="84"/>
        <v>-0.11240310077519389</v>
      </c>
      <c r="AH38" s="42">
        <f t="shared" si="84"/>
        <v>-6.8580112729161424E-2</v>
      </c>
      <c r="AI38" s="42">
        <f t="shared" si="84"/>
        <v>2.4784171176009506E-2</v>
      </c>
      <c r="AJ38" s="42">
        <f t="shared" si="84"/>
        <v>0.20338385263412451</v>
      </c>
      <c r="AK38" s="42">
        <f t="shared" si="84"/>
        <v>-3.881291921721064E-2</v>
      </c>
      <c r="AL38" s="751">
        <f t="shared" si="84"/>
        <v>-0.27482924449400603</v>
      </c>
      <c r="AM38" s="42">
        <f t="shared" si="84"/>
        <v>0.36985511425070272</v>
      </c>
      <c r="AN38" s="751">
        <f t="shared" si="84"/>
        <v>0.15478320353609809</v>
      </c>
      <c r="AO38" s="751">
        <f t="shared" si="84"/>
        <v>-0.11019723101926748</v>
      </c>
      <c r="AP38" s="751">
        <f t="shared" si="84"/>
        <v>-1.5593660114541663E-2</v>
      </c>
      <c r="AQ38" s="751">
        <f t="shared" ref="AQ38:AU38" si="85">+(AQ36/AP36-1)</f>
        <v>1.9915724491919917E-2</v>
      </c>
      <c r="AR38" s="751">
        <f t="shared" si="85"/>
        <v>0.10184217013933194</v>
      </c>
      <c r="AS38" s="751">
        <f t="shared" si="85"/>
        <v>-0.19459467800297836</v>
      </c>
      <c r="AT38" s="751">
        <f t="shared" si="85"/>
        <v>-0.13212824860380634</v>
      </c>
      <c r="AU38" s="751">
        <f t="shared" si="85"/>
        <v>0.14798260120267837</v>
      </c>
      <c r="AV38" s="42"/>
      <c r="AW38" s="669">
        <v>-0.14009002884815636</v>
      </c>
      <c r="AX38" s="38"/>
      <c r="AY38" s="49"/>
      <c r="AZ38" s="42"/>
      <c r="BA38" s="496"/>
      <c r="BB38" s="496"/>
      <c r="BC38" s="496"/>
      <c r="BD38" s="496"/>
      <c r="BE38" s="496"/>
      <c r="BF38" s="496"/>
      <c r="BG38" s="496"/>
    </row>
    <row r="39" spans="1:59">
      <c r="A39" s="38"/>
      <c r="B39" s="12" t="s">
        <v>222</v>
      </c>
      <c r="C39" s="122">
        <f t="shared" ref="C39:AF39" si="86">ROUND(C87,3)</f>
        <v>0.16400000000000001</v>
      </c>
      <c r="D39" s="122">
        <f t="shared" si="86"/>
        <v>0.15</v>
      </c>
      <c r="E39" s="122">
        <f t="shared" si="86"/>
        <v>0.14199999999999999</v>
      </c>
      <c r="F39" s="122">
        <f t="shared" si="86"/>
        <v>0.14099999999999999</v>
      </c>
      <c r="G39" s="122">
        <f t="shared" si="86"/>
        <v>0.13</v>
      </c>
      <c r="H39" s="122">
        <f t="shared" si="86"/>
        <v>0.16</v>
      </c>
      <c r="I39" s="122">
        <f t="shared" si="86"/>
        <v>0.14699999999999999</v>
      </c>
      <c r="J39" s="122">
        <f t="shared" si="86"/>
        <v>0.126</v>
      </c>
      <c r="K39" s="122">
        <f t="shared" si="86"/>
        <v>0.115</v>
      </c>
      <c r="L39" s="122">
        <f t="shared" si="86"/>
        <v>0.13500000000000001</v>
      </c>
      <c r="M39" s="122">
        <f t="shared" si="86"/>
        <v>0.14499999999999999</v>
      </c>
      <c r="N39" s="122">
        <f t="shared" si="86"/>
        <v>0.161</v>
      </c>
      <c r="O39" s="122">
        <f t="shared" si="86"/>
        <v>0.19500000000000001</v>
      </c>
      <c r="P39" s="122">
        <f t="shared" si="86"/>
        <v>0.22</v>
      </c>
      <c r="Q39" s="122">
        <f t="shared" si="86"/>
        <v>0.22</v>
      </c>
      <c r="R39" s="122">
        <f t="shared" si="86"/>
        <v>0.22900000000000001</v>
      </c>
      <c r="S39" s="122">
        <f t="shared" si="86"/>
        <v>0.2</v>
      </c>
      <c r="T39" s="179">
        <f t="shared" si="86"/>
        <v>0.20699999999999999</v>
      </c>
      <c r="U39" s="179">
        <f t="shared" si="86"/>
        <v>0.20300000000000001</v>
      </c>
      <c r="V39" s="179">
        <f t="shared" si="86"/>
        <v>0.19400000000000001</v>
      </c>
      <c r="W39" s="179">
        <f t="shared" si="86"/>
        <v>0.17799999999999999</v>
      </c>
      <c r="X39" s="179">
        <f t="shared" si="86"/>
        <v>0.20100000000000001</v>
      </c>
      <c r="Y39" s="179">
        <f t="shared" si="86"/>
        <v>0.19700000000000001</v>
      </c>
      <c r="Z39" s="179">
        <f t="shared" si="86"/>
        <v>0.19800000000000001</v>
      </c>
      <c r="AA39" s="179">
        <f t="shared" si="86"/>
        <v>0.17899999999999999</v>
      </c>
      <c r="AB39" s="179">
        <f t="shared" si="86"/>
        <v>0.184</v>
      </c>
      <c r="AC39" s="179">
        <f t="shared" si="86"/>
        <v>0.187</v>
      </c>
      <c r="AD39" s="179">
        <f t="shared" si="86"/>
        <v>0.17599999999999999</v>
      </c>
      <c r="AE39" s="179">
        <f t="shared" si="86"/>
        <v>0.20399999999999999</v>
      </c>
      <c r="AF39" s="179">
        <f t="shared" si="86"/>
        <v>0.22600000000000001</v>
      </c>
      <c r="AG39" s="179">
        <f t="shared" ref="AG39:AM39" si="87">ROUND(AG87,3)</f>
        <v>0.20300000000000001</v>
      </c>
      <c r="AH39" s="179">
        <f t="shared" si="87"/>
        <v>0.19600000000000001</v>
      </c>
      <c r="AI39" s="179">
        <f t="shared" si="87"/>
        <v>0.189</v>
      </c>
      <c r="AJ39" s="179">
        <f t="shared" si="87"/>
        <v>0.2</v>
      </c>
      <c r="AK39" s="179">
        <f t="shared" si="87"/>
        <v>0.20300000000000001</v>
      </c>
      <c r="AL39" s="753">
        <f t="shared" si="87"/>
        <v>0.17599999999999999</v>
      </c>
      <c r="AM39" s="179">
        <f t="shared" si="87"/>
        <v>0.20399999999999999</v>
      </c>
      <c r="AN39" s="753">
        <f t="shared" ref="AN39:AO39" si="88">ROUND(AN87,3)</f>
        <v>0.217</v>
      </c>
      <c r="AO39" s="753">
        <f t="shared" si="88"/>
        <v>0.21099999999999999</v>
      </c>
      <c r="AP39" s="753">
        <f t="shared" ref="AP39:AR39" si="89">ROUND(AP87,3)</f>
        <v>0.215</v>
      </c>
      <c r="AQ39" s="753">
        <f t="shared" si="89"/>
        <v>0.20499999999999999</v>
      </c>
      <c r="AR39" s="753">
        <f t="shared" si="89"/>
        <v>0.214</v>
      </c>
      <c r="AS39" s="753">
        <f t="shared" ref="AS39" si="90">ROUND(AS87,3)</f>
        <v>0.20599999999999999</v>
      </c>
      <c r="AT39" s="753">
        <f t="shared" ref="AT39" si="91">ROUND(AT87,3)</f>
        <v>0.185</v>
      </c>
      <c r="AU39" s="753">
        <f t="shared" ref="AU39" si="92">ROUND(AU87,3)</f>
        <v>0.192</v>
      </c>
      <c r="AV39" s="403"/>
      <c r="AW39" s="675">
        <v>0.192</v>
      </c>
      <c r="AX39" s="179"/>
      <c r="AY39" s="122"/>
      <c r="AZ39" s="122"/>
      <c r="BA39" s="475"/>
      <c r="BB39" s="475"/>
      <c r="BC39" s="475"/>
      <c r="BD39" s="475"/>
      <c r="BE39" s="475"/>
      <c r="BF39" s="475"/>
      <c r="BG39" s="475"/>
    </row>
    <row r="40" spans="1:59">
      <c r="A40" s="38"/>
      <c r="B40" s="12"/>
      <c r="C40" s="122"/>
      <c r="D40" s="122"/>
      <c r="E40" s="122"/>
      <c r="F40" s="122"/>
      <c r="G40" s="122"/>
      <c r="H40" s="122"/>
      <c r="I40" s="122"/>
      <c r="J40" s="122"/>
      <c r="K40" s="122"/>
      <c r="L40" s="122"/>
      <c r="M40" s="122"/>
      <c r="N40" s="122"/>
      <c r="O40" s="122"/>
      <c r="P40" s="122"/>
      <c r="Q40" s="122"/>
      <c r="R40" s="122"/>
      <c r="S40" s="122"/>
      <c r="T40" s="179"/>
      <c r="U40" s="179"/>
      <c r="V40" s="179"/>
      <c r="W40" s="179"/>
      <c r="X40" s="179"/>
      <c r="Y40" s="179"/>
      <c r="Z40" s="179"/>
      <c r="AA40" s="179"/>
      <c r="AB40" s="179"/>
      <c r="AC40" s="179"/>
      <c r="AD40" s="179"/>
      <c r="AE40" s="179"/>
      <c r="AF40" s="179"/>
      <c r="AG40" s="179"/>
      <c r="AH40" s="179"/>
      <c r="AI40" s="179"/>
      <c r="AJ40" s="179"/>
      <c r="AK40" s="179"/>
      <c r="AL40" s="753"/>
      <c r="AM40" s="179"/>
      <c r="AN40" s="753"/>
      <c r="AO40" s="753"/>
      <c r="AP40" s="753"/>
      <c r="AQ40" s="753"/>
      <c r="AR40" s="753"/>
      <c r="AS40" s="753"/>
      <c r="AT40" s="753"/>
      <c r="AU40" s="753"/>
      <c r="AV40" s="403"/>
      <c r="AW40" s="675"/>
      <c r="AX40" s="38"/>
      <c r="AY40" s="974"/>
      <c r="AZ40" s="974" t="s">
        <v>610</v>
      </c>
      <c r="BA40" s="975" t="s">
        <v>2565</v>
      </c>
      <c r="BB40" s="475"/>
      <c r="BC40" s="475"/>
      <c r="BD40" s="475"/>
      <c r="BE40" s="475"/>
      <c r="BF40" s="475"/>
      <c r="BG40" s="475"/>
    </row>
    <row r="41" spans="1:59">
      <c r="A41" s="38" t="s">
        <v>679</v>
      </c>
      <c r="B41" s="38" t="s">
        <v>660</v>
      </c>
      <c r="C41" s="38">
        <v>481.2</v>
      </c>
      <c r="D41" s="38">
        <v>491.7</v>
      </c>
      <c r="E41" s="38">
        <v>472.1</v>
      </c>
      <c r="F41" s="38">
        <v>457.6</v>
      </c>
      <c r="G41" s="52">
        <v>490.2</v>
      </c>
      <c r="H41" s="38">
        <v>487.2</v>
      </c>
      <c r="I41" s="38">
        <v>418.3</v>
      </c>
      <c r="J41" s="52">
        <v>413.9</v>
      </c>
      <c r="K41" s="52">
        <v>335.3</v>
      </c>
      <c r="L41" s="38">
        <v>330.8</v>
      </c>
      <c r="M41" s="48">
        <v>318.89999999999998</v>
      </c>
      <c r="N41" s="38">
        <v>312.89999999999998</v>
      </c>
      <c r="O41" s="38">
        <v>330.8</v>
      </c>
      <c r="P41" s="38">
        <v>335.8</v>
      </c>
      <c r="Q41" s="38">
        <v>356.8</v>
      </c>
      <c r="R41" s="38">
        <v>341.1</v>
      </c>
      <c r="S41" s="38">
        <v>318.2</v>
      </c>
      <c r="T41" s="38">
        <v>299.5</v>
      </c>
      <c r="U41" s="38">
        <v>310.2</v>
      </c>
      <c r="V41" s="38">
        <v>300.5</v>
      </c>
      <c r="W41" s="38">
        <v>306.39999999999998</v>
      </c>
      <c r="X41" s="38">
        <v>394.2</v>
      </c>
      <c r="Y41" s="38">
        <v>321.39999999999998</v>
      </c>
      <c r="Z41" s="38">
        <f>434.2-140</f>
        <v>294.2</v>
      </c>
      <c r="AA41" s="38">
        <v>352.4</v>
      </c>
      <c r="AB41" s="38">
        <v>410.4</v>
      </c>
      <c r="AC41" s="38">
        <v>410.8</v>
      </c>
      <c r="AD41" s="38">
        <v>466.1</v>
      </c>
      <c r="AE41" s="38">
        <v>443.9</v>
      </c>
      <c r="AF41" s="38">
        <v>442.9</v>
      </c>
      <c r="AG41" s="38">
        <v>459.5</v>
      </c>
      <c r="AH41" s="38">
        <v>444.8</v>
      </c>
      <c r="AI41" s="38">
        <v>692</v>
      </c>
      <c r="AJ41" s="38">
        <v>686.2</v>
      </c>
      <c r="AK41" s="38">
        <v>657.7</v>
      </c>
      <c r="AL41" s="749">
        <v>638.1</v>
      </c>
      <c r="AM41" s="52">
        <v>784.1</v>
      </c>
      <c r="AN41" s="910">
        <v>780.1</v>
      </c>
      <c r="AO41" s="910">
        <v>746.4</v>
      </c>
      <c r="AP41" s="910">
        <v>761</v>
      </c>
      <c r="AQ41" s="910">
        <v>774.7</v>
      </c>
      <c r="AR41" s="910">
        <v>769.5</v>
      </c>
      <c r="AS41" s="910">
        <v>771.7</v>
      </c>
      <c r="AT41" s="910">
        <v>757</v>
      </c>
      <c r="AU41" s="910">
        <v>780</v>
      </c>
      <c r="AV41" s="38"/>
      <c r="AW41" s="671">
        <v>780</v>
      </c>
      <c r="AX41" s="38"/>
      <c r="AY41" s="42" t="s">
        <v>764</v>
      </c>
      <c r="AZ41" s="38"/>
      <c r="BA41" s="976">
        <f>+AW14</f>
        <v>46753.573853391747</v>
      </c>
      <c r="BB41" s="979">
        <f>+AZ41/BA41-1</f>
        <v>-1</v>
      </c>
      <c r="BC41" s="475"/>
      <c r="BD41" s="475"/>
      <c r="BE41" s="475"/>
      <c r="BF41" s="475"/>
      <c r="BG41" s="475"/>
    </row>
    <row r="42" spans="1:59">
      <c r="A42" s="38"/>
      <c r="B42" s="899" t="s">
        <v>580</v>
      </c>
      <c r="C42" s="654">
        <f t="shared" ref="C42:AM42" si="93">C41/C14*100</f>
        <v>2.1846313094167962</v>
      </c>
      <c r="D42" s="654">
        <f t="shared" si="93"/>
        <v>2.0184977647507973</v>
      </c>
      <c r="E42" s="654">
        <f t="shared" si="93"/>
        <v>1.8382309995600083</v>
      </c>
      <c r="F42" s="654">
        <f t="shared" si="93"/>
        <v>1.9779127315165006</v>
      </c>
      <c r="G42" s="654">
        <f t="shared" si="93"/>
        <v>2.3247101225902829</v>
      </c>
      <c r="H42" s="654">
        <f t="shared" si="93"/>
        <v>2.0628159639599968</v>
      </c>
      <c r="I42" s="654">
        <f t="shared" si="93"/>
        <v>1.6723638180909546</v>
      </c>
      <c r="J42" s="654">
        <f t="shared" si="93"/>
        <v>1.9952276507025957</v>
      </c>
      <c r="K42" s="654">
        <f t="shared" si="93"/>
        <v>1.4510314743570325</v>
      </c>
      <c r="L42" s="654">
        <f t="shared" si="93"/>
        <v>1.2980540960512943</v>
      </c>
      <c r="M42" s="654">
        <f t="shared" si="93"/>
        <v>1.5163330321905757</v>
      </c>
      <c r="N42" s="654">
        <f t="shared" si="93"/>
        <v>1.6613482990957888</v>
      </c>
      <c r="O42" s="654">
        <f t="shared" si="93"/>
        <v>1.4146001445389509</v>
      </c>
      <c r="P42" s="654">
        <f t="shared" si="93"/>
        <v>1.1629396954469422</v>
      </c>
      <c r="Q42" s="654">
        <f t="shared" si="93"/>
        <v>1.082672088118827</v>
      </c>
      <c r="R42" s="654">
        <f t="shared" si="93"/>
        <v>1.0033976084366589</v>
      </c>
      <c r="S42" s="654">
        <f t="shared" si="93"/>
        <v>0.81798224191914781</v>
      </c>
      <c r="T42" s="654">
        <f t="shared" si="93"/>
        <v>0.68980289371738124</v>
      </c>
      <c r="U42" s="654">
        <f t="shared" si="93"/>
        <v>0.74262403401419164</v>
      </c>
      <c r="V42" s="654">
        <f t="shared" si="93"/>
        <v>0.72500657451885375</v>
      </c>
      <c r="W42" s="654">
        <f t="shared" si="93"/>
        <v>0.65104360334785993</v>
      </c>
      <c r="X42" s="654">
        <f t="shared" si="93"/>
        <v>0.74839669961232225</v>
      </c>
      <c r="Y42" s="654">
        <f t="shared" si="93"/>
        <v>0.64461911514293335</v>
      </c>
      <c r="Z42" s="654">
        <f t="shared" si="93"/>
        <v>0.63249230345871388</v>
      </c>
      <c r="AA42" s="654">
        <f t="shared" si="93"/>
        <v>0.72425940160224922</v>
      </c>
      <c r="AB42" s="654">
        <f t="shared" si="93"/>
        <v>0.82535596492639363</v>
      </c>
      <c r="AC42" s="654">
        <f t="shared" si="93"/>
        <v>0.7589543869891423</v>
      </c>
      <c r="AD42" s="654">
        <f t="shared" si="93"/>
        <v>0.98199086480929032</v>
      </c>
      <c r="AE42" s="654">
        <f t="shared" si="93"/>
        <v>0.90387266370602037</v>
      </c>
      <c r="AF42" s="654">
        <f t="shared" si="93"/>
        <v>0.85586360289783925</v>
      </c>
      <c r="AG42" s="654">
        <f t="shared" si="93"/>
        <v>0.89549504603175845</v>
      </c>
      <c r="AH42" s="654">
        <f t="shared" si="93"/>
        <v>0.90181234274545907</v>
      </c>
      <c r="AI42" s="654">
        <f t="shared" si="93"/>
        <v>1.3174904472423137</v>
      </c>
      <c r="AJ42" s="654">
        <f t="shared" si="93"/>
        <v>1.1507456704493813</v>
      </c>
      <c r="AK42" s="654">
        <f t="shared" si="93"/>
        <v>1.1625954319916143</v>
      </c>
      <c r="AL42" s="904">
        <f t="shared" si="93"/>
        <v>1.3463900036713974</v>
      </c>
      <c r="AM42" s="654">
        <f t="shared" si="93"/>
        <v>1.4003586175365406</v>
      </c>
      <c r="AN42" s="904">
        <f t="shared" ref="AN42:AO42" si="94">AN41/AN14*100</f>
        <v>1.2830718724197936</v>
      </c>
      <c r="AO42" s="904">
        <f t="shared" si="94"/>
        <v>1.3453909005863554</v>
      </c>
      <c r="AP42" s="904">
        <f t="shared" ref="AP42:AQ42" si="95">AP41/AP14*100</f>
        <v>1.4199112228962083</v>
      </c>
      <c r="AQ42" s="904">
        <f t="shared" si="95"/>
        <v>1.3477848624292139</v>
      </c>
      <c r="AR42" s="904">
        <f t="shared" ref="AR42" si="96">AR41/AR14*100</f>
        <v>1.2709512892846997</v>
      </c>
      <c r="AS42" s="904">
        <f t="shared" ref="AS42" si="97">AS41/AS14*100</f>
        <v>1.5230249719255797</v>
      </c>
      <c r="AT42" s="904">
        <f t="shared" ref="AT42" si="98">AT41/AT14*100</f>
        <v>1.5457433861785628</v>
      </c>
      <c r="AU42" s="904">
        <f t="shared" ref="AU42" si="99">AU41/AU14*100</f>
        <v>1.4399317734883184</v>
      </c>
      <c r="AV42" s="38"/>
      <c r="AW42" s="665">
        <v>1.6683216612400524</v>
      </c>
      <c r="AX42" s="38"/>
      <c r="AY42" s="42" t="s">
        <v>899</v>
      </c>
      <c r="AZ42" s="38"/>
      <c r="BA42" s="976">
        <f>+AW47</f>
        <v>8196.6861798512127</v>
      </c>
      <c r="BB42" s="979">
        <f>+AZ42/BA42-1</f>
        <v>-1</v>
      </c>
      <c r="BC42" s="475"/>
      <c r="BD42" s="475"/>
      <c r="BE42" s="475"/>
      <c r="BF42" s="475"/>
      <c r="BG42" s="475"/>
    </row>
    <row r="43" spans="1:59" s="362" customFormat="1">
      <c r="A43" s="42" t="s">
        <v>163</v>
      </c>
      <c r="B43" s="42" t="s">
        <v>516</v>
      </c>
      <c r="C43" s="44"/>
      <c r="D43" s="44"/>
      <c r="E43" s="44"/>
      <c r="F43" s="44"/>
      <c r="G43" s="49">
        <f t="shared" ref="G43:AE43" si="100">+(G41/C41-1)</f>
        <v>1.8703241895261735E-2</v>
      </c>
      <c r="H43" s="42">
        <f t="shared" si="100"/>
        <v>-9.1519219035997024E-3</v>
      </c>
      <c r="I43" s="42">
        <f t="shared" si="100"/>
        <v>-0.11395890701122646</v>
      </c>
      <c r="J43" s="49">
        <f t="shared" si="100"/>
        <v>-9.5498251748251883E-2</v>
      </c>
      <c r="K43" s="49">
        <f t="shared" si="100"/>
        <v>-0.3159934720522235</v>
      </c>
      <c r="L43" s="42">
        <f t="shared" si="100"/>
        <v>-0.32101806239737274</v>
      </c>
      <c r="M43" s="42">
        <f t="shared" si="100"/>
        <v>-0.23762849629452554</v>
      </c>
      <c r="N43" s="49">
        <f t="shared" si="100"/>
        <v>-0.24402029475718778</v>
      </c>
      <c r="O43" s="49">
        <f t="shared" si="100"/>
        <v>-1.3420817178645961E-2</v>
      </c>
      <c r="P43" s="49">
        <f t="shared" si="100"/>
        <v>1.5114873035066534E-2</v>
      </c>
      <c r="Q43" s="49">
        <f t="shared" si="100"/>
        <v>0.11884603323926002</v>
      </c>
      <c r="R43" s="49">
        <f t="shared" si="100"/>
        <v>9.0124640460211181E-2</v>
      </c>
      <c r="S43" s="49">
        <f t="shared" si="100"/>
        <v>-3.8089480048367652E-2</v>
      </c>
      <c r="T43" s="49">
        <f t="shared" si="100"/>
        <v>-0.1081000595592615</v>
      </c>
      <c r="U43" s="49">
        <f t="shared" si="100"/>
        <v>-0.13060538116591935</v>
      </c>
      <c r="V43" s="49">
        <f t="shared" si="100"/>
        <v>-0.11902667839343306</v>
      </c>
      <c r="W43" s="49">
        <f t="shared" si="100"/>
        <v>-3.7083595223130095E-2</v>
      </c>
      <c r="X43" s="49">
        <f t="shared" si="100"/>
        <v>0.31619365609348904</v>
      </c>
      <c r="Y43" s="49">
        <f t="shared" si="100"/>
        <v>3.6105738233397799E-2</v>
      </c>
      <c r="Z43" s="49">
        <f t="shared" si="100"/>
        <v>-2.0965058236272927E-2</v>
      </c>
      <c r="AA43" s="49">
        <f t="shared" si="100"/>
        <v>0.15013054830287209</v>
      </c>
      <c r="AB43" s="49">
        <f t="shared" si="100"/>
        <v>4.1095890410958846E-2</v>
      </c>
      <c r="AC43" s="49">
        <f t="shared" si="100"/>
        <v>0.27815805849408859</v>
      </c>
      <c r="AD43" s="49">
        <f t="shared" si="100"/>
        <v>0.58429639700883773</v>
      </c>
      <c r="AE43" s="49">
        <f t="shared" si="100"/>
        <v>0.25964812712826335</v>
      </c>
      <c r="AF43" s="49">
        <f t="shared" ref="AF43:AP43" si="101">+(AF41/AB41-1)</f>
        <v>7.919103313840159E-2</v>
      </c>
      <c r="AG43" s="49">
        <f t="shared" si="101"/>
        <v>0.11854917234664075</v>
      </c>
      <c r="AH43" s="49">
        <f t="shared" si="101"/>
        <v>-4.5698347993992749E-2</v>
      </c>
      <c r="AI43" s="49">
        <f t="shared" si="101"/>
        <v>0.55890966433881517</v>
      </c>
      <c r="AJ43" s="49">
        <f t="shared" si="101"/>
        <v>0.54933393542560416</v>
      </c>
      <c r="AK43" s="49">
        <f t="shared" si="101"/>
        <v>0.43133841131664874</v>
      </c>
      <c r="AL43" s="751">
        <f t="shared" si="101"/>
        <v>0.43457733812949639</v>
      </c>
      <c r="AM43" s="49">
        <f t="shared" si="101"/>
        <v>0.13309248554913289</v>
      </c>
      <c r="AN43" s="751">
        <f t="shared" si="101"/>
        <v>0.13684057126202265</v>
      </c>
      <c r="AO43" s="751">
        <f t="shared" si="101"/>
        <v>0.13486391972023704</v>
      </c>
      <c r="AP43" s="751">
        <f t="shared" si="101"/>
        <v>0.19260304027581876</v>
      </c>
      <c r="AQ43" s="751">
        <f t="shared" ref="AQ43:AU43" si="102">+(AQ41/AM41-1)</f>
        <v>-1.1988266802703706E-2</v>
      </c>
      <c r="AR43" s="751">
        <f t="shared" si="102"/>
        <v>-1.3588001538264338E-2</v>
      </c>
      <c r="AS43" s="751">
        <f t="shared" si="102"/>
        <v>3.3896034297963729E-2</v>
      </c>
      <c r="AT43" s="751">
        <f t="shared" si="102"/>
        <v>-5.2562417871222511E-3</v>
      </c>
      <c r="AU43" s="751">
        <f t="shared" si="102"/>
        <v>6.8413579450108397E-3</v>
      </c>
      <c r="AV43" s="42"/>
      <c r="AW43" s="668">
        <v>2.4967148488830526E-2</v>
      </c>
      <c r="AX43" s="38"/>
      <c r="AY43" s="38" t="s">
        <v>660</v>
      </c>
      <c r="AZ43" s="38"/>
      <c r="BA43" s="976">
        <f>+AW41</f>
        <v>780</v>
      </c>
      <c r="BB43" s="979">
        <f>+AZ43/BA43-1</f>
        <v>-1</v>
      </c>
      <c r="BC43" s="496"/>
      <c r="BD43" s="496"/>
      <c r="BE43" s="496"/>
      <c r="BF43" s="496"/>
      <c r="BG43" s="496"/>
    </row>
    <row r="44" spans="1:59" s="362" customFormat="1">
      <c r="A44" s="42" t="s">
        <v>163</v>
      </c>
      <c r="B44" s="42" t="s">
        <v>517</v>
      </c>
      <c r="C44" s="44"/>
      <c r="D44" s="42">
        <f t="shared" ref="D44:AE44" si="103">+(D41/C41-1)</f>
        <v>2.1820448877805543E-2</v>
      </c>
      <c r="E44" s="42">
        <f t="shared" si="103"/>
        <v>-3.9861704291234479E-2</v>
      </c>
      <c r="F44" s="42">
        <f t="shared" si="103"/>
        <v>-3.0713831815293413E-2</v>
      </c>
      <c r="G44" s="49">
        <f t="shared" si="103"/>
        <v>7.1241258741258751E-2</v>
      </c>
      <c r="H44" s="42">
        <f t="shared" si="103"/>
        <v>-6.1199510403916468E-3</v>
      </c>
      <c r="I44" s="42">
        <f t="shared" si="103"/>
        <v>-0.14142036124794743</v>
      </c>
      <c r="J44" s="49">
        <f t="shared" si="103"/>
        <v>-1.0518766435572591E-2</v>
      </c>
      <c r="K44" s="49">
        <f t="shared" si="103"/>
        <v>-0.1899009422565836</v>
      </c>
      <c r="L44" s="42">
        <f t="shared" si="103"/>
        <v>-1.3420817178645961E-2</v>
      </c>
      <c r="M44" s="42">
        <f t="shared" si="103"/>
        <v>-3.5973397823458431E-2</v>
      </c>
      <c r="N44" s="49">
        <f t="shared" si="103"/>
        <v>-1.8814675446848561E-2</v>
      </c>
      <c r="O44" s="49">
        <f t="shared" si="103"/>
        <v>5.7206775327580894E-2</v>
      </c>
      <c r="P44" s="42">
        <f t="shared" si="103"/>
        <v>1.5114873035066534E-2</v>
      </c>
      <c r="Q44" s="42">
        <f t="shared" si="103"/>
        <v>6.2537224538415703E-2</v>
      </c>
      <c r="R44" s="42">
        <f t="shared" si="103"/>
        <v>-4.4002242152466287E-2</v>
      </c>
      <c r="S44" s="42">
        <f t="shared" si="103"/>
        <v>-6.7135737320433986E-2</v>
      </c>
      <c r="T44" s="42">
        <f t="shared" si="103"/>
        <v>-5.8768070395977312E-2</v>
      </c>
      <c r="U44" s="42">
        <f t="shared" si="103"/>
        <v>3.5726210350584209E-2</v>
      </c>
      <c r="V44" s="42">
        <f t="shared" si="103"/>
        <v>-3.1270148291424826E-2</v>
      </c>
      <c r="W44" s="42">
        <f t="shared" si="103"/>
        <v>1.9633943427620482E-2</v>
      </c>
      <c r="X44" s="42">
        <f t="shared" si="103"/>
        <v>0.28655352480417751</v>
      </c>
      <c r="Y44" s="42">
        <f t="shared" si="103"/>
        <v>-0.18467782851344494</v>
      </c>
      <c r="Z44" s="42">
        <f t="shared" si="103"/>
        <v>-8.4629744866210332E-2</v>
      </c>
      <c r="AA44" s="42">
        <f t="shared" si="103"/>
        <v>0.19782460910944932</v>
      </c>
      <c r="AB44" s="42">
        <f t="shared" si="103"/>
        <v>0.1645856980703746</v>
      </c>
      <c r="AC44" s="42">
        <f t="shared" si="103"/>
        <v>9.746588693957392E-4</v>
      </c>
      <c r="AD44" s="42">
        <f t="shared" si="103"/>
        <v>0.13461538461538458</v>
      </c>
      <c r="AE44" s="42">
        <f t="shared" si="103"/>
        <v>-4.7629264106414992E-2</v>
      </c>
      <c r="AF44" s="42">
        <f t="shared" ref="AF44:AP44" si="104">+(AF41/AE41-1)</f>
        <v>-2.2527596305473852E-3</v>
      </c>
      <c r="AG44" s="42">
        <f t="shared" si="104"/>
        <v>3.7480243847369588E-2</v>
      </c>
      <c r="AH44" s="42">
        <f t="shared" si="104"/>
        <v>-3.1991294885745369E-2</v>
      </c>
      <c r="AI44" s="42">
        <f t="shared" si="104"/>
        <v>0.55575539568345311</v>
      </c>
      <c r="AJ44" s="42">
        <f t="shared" si="104"/>
        <v>-8.3815028901733646E-3</v>
      </c>
      <c r="AK44" s="42">
        <f t="shared" si="104"/>
        <v>-4.1533080734479699E-2</v>
      </c>
      <c r="AL44" s="751">
        <f t="shared" si="104"/>
        <v>-2.9800821043028725E-2</v>
      </c>
      <c r="AM44" s="42">
        <f t="shared" si="104"/>
        <v>0.2288042626547564</v>
      </c>
      <c r="AN44" s="751">
        <f t="shared" si="104"/>
        <v>-5.1013901288100572E-3</v>
      </c>
      <c r="AO44" s="751">
        <f t="shared" si="104"/>
        <v>-4.3199589796179994E-2</v>
      </c>
      <c r="AP44" s="751">
        <f t="shared" si="104"/>
        <v>1.9560557341907758E-2</v>
      </c>
      <c r="AQ44" s="751">
        <f t="shared" ref="AQ44:AU44" si="105">+(AQ41/AP41-1)</f>
        <v>1.8002628120893593E-2</v>
      </c>
      <c r="AR44" s="751">
        <f t="shared" si="105"/>
        <v>-6.7122757196335092E-3</v>
      </c>
      <c r="AS44" s="751">
        <f t="shared" si="105"/>
        <v>2.8589993502274869E-3</v>
      </c>
      <c r="AT44" s="751">
        <f t="shared" si="105"/>
        <v>-1.9048853181288128E-2</v>
      </c>
      <c r="AU44" s="751">
        <f t="shared" si="105"/>
        <v>3.0383091149273511E-2</v>
      </c>
      <c r="AV44" s="42"/>
      <c r="AW44" s="669">
        <v>1.0755474925489228E-2</v>
      </c>
      <c r="AX44" s="38"/>
      <c r="AY44" s="38" t="s">
        <v>659</v>
      </c>
      <c r="AZ44" s="976">
        <f>AZ42+AZ43</f>
        <v>0</v>
      </c>
      <c r="BA44" s="976">
        <f>BA42+BA43</f>
        <v>8976.6861798512127</v>
      </c>
      <c r="BB44" s="496"/>
      <c r="BC44" s="496"/>
      <c r="BD44" s="496"/>
      <c r="BE44" s="496"/>
      <c r="BF44" s="496"/>
      <c r="BG44" s="496"/>
    </row>
    <row r="45" spans="1:59">
      <c r="A45" s="38" t="s">
        <v>679</v>
      </c>
      <c r="B45" s="38" t="s">
        <v>661</v>
      </c>
      <c r="C45" s="38"/>
      <c r="D45" s="38"/>
      <c r="E45" s="38"/>
      <c r="F45" s="38"/>
      <c r="G45" s="52"/>
      <c r="H45" s="38"/>
      <c r="I45" s="38"/>
      <c r="J45" s="52"/>
      <c r="K45" s="52"/>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749"/>
      <c r="AM45" s="38"/>
      <c r="AN45" s="749"/>
      <c r="AO45" s="749"/>
      <c r="AP45" s="749"/>
      <c r="AQ45" s="749"/>
      <c r="AR45" s="749"/>
      <c r="AS45" s="749"/>
      <c r="AT45" s="749"/>
      <c r="AU45" s="749"/>
      <c r="AV45" s="38"/>
      <c r="AW45" s="671"/>
      <c r="AX45" s="38"/>
      <c r="AY45" s="899" t="s">
        <v>2566</v>
      </c>
      <c r="AZ45" s="901" t="e">
        <f>AZ44/AZ41*100</f>
        <v>#DIV/0!</v>
      </c>
      <c r="BA45" s="977">
        <f>BA44/BA41*100</f>
        <v>19.199999999999996</v>
      </c>
      <c r="BB45" s="475"/>
      <c r="BC45" s="475"/>
      <c r="BD45" s="475"/>
      <c r="BE45" s="475"/>
      <c r="BF45" s="475"/>
      <c r="BG45" s="475"/>
    </row>
    <row r="46" spans="1:59">
      <c r="A46" s="38"/>
      <c r="B46" s="38"/>
      <c r="C46" s="38"/>
      <c r="D46" s="38"/>
      <c r="E46" s="38"/>
      <c r="F46" s="38"/>
      <c r="G46" s="52"/>
      <c r="H46" s="38"/>
      <c r="I46" s="38"/>
      <c r="J46" s="52"/>
      <c r="K46" s="52"/>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749"/>
      <c r="AM46" s="38"/>
      <c r="AN46" s="749"/>
      <c r="AO46" s="749"/>
      <c r="AP46" s="749"/>
      <c r="AQ46" s="749"/>
      <c r="AR46" s="749"/>
      <c r="AS46" s="749"/>
      <c r="AT46" s="749"/>
      <c r="AU46" s="749"/>
      <c r="AV46" s="38"/>
      <c r="AW46" s="671"/>
      <c r="AX46" s="38"/>
      <c r="AY46" s="42" t="s">
        <v>2143</v>
      </c>
      <c r="AZ46" s="45"/>
      <c r="BA46" s="978">
        <f>+AW67</f>
        <v>8011.2803258958484</v>
      </c>
      <c r="BB46" s="475"/>
      <c r="BC46" s="475"/>
      <c r="BD46" s="475"/>
      <c r="BE46" s="475"/>
      <c r="BF46" s="475"/>
      <c r="BG46" s="475"/>
    </row>
    <row r="47" spans="1:59" s="359" customFormat="1">
      <c r="A47" s="13"/>
      <c r="B47" s="13" t="s">
        <v>663</v>
      </c>
      <c r="C47" s="13">
        <f t="shared" ref="C47:AE47" si="106">+C36-C41-C45</f>
        <v>3125.6999999999989</v>
      </c>
      <c r="D47" s="13">
        <f t="shared" si="106"/>
        <v>3160.199999999998</v>
      </c>
      <c r="E47" s="13">
        <f t="shared" si="106"/>
        <v>3164.1000000000004</v>
      </c>
      <c r="F47" s="13">
        <f t="shared" si="106"/>
        <v>2805.2999999999979</v>
      </c>
      <c r="G47" s="54">
        <f t="shared" si="106"/>
        <v>2258.7999999999993</v>
      </c>
      <c r="H47" s="13">
        <f t="shared" si="106"/>
        <v>3293.3</v>
      </c>
      <c r="I47" s="13">
        <f t="shared" si="106"/>
        <v>3251.5</v>
      </c>
      <c r="J47" s="54">
        <f t="shared" si="106"/>
        <v>2201.8000000000006</v>
      </c>
      <c r="K47" s="54">
        <f t="shared" si="106"/>
        <v>2332.6000000000013</v>
      </c>
      <c r="L47" s="13">
        <f t="shared" si="106"/>
        <v>3107.4</v>
      </c>
      <c r="M47" s="13">
        <f t="shared" si="106"/>
        <v>2739.4999999999977</v>
      </c>
      <c r="N47" s="13">
        <f t="shared" si="106"/>
        <v>2715.5000000000018</v>
      </c>
      <c r="O47" s="13">
        <f t="shared" si="106"/>
        <v>4223.3999999999987</v>
      </c>
      <c r="P47" s="13">
        <f t="shared" si="106"/>
        <v>6029.2999999999984</v>
      </c>
      <c r="Q47" s="13">
        <f t="shared" si="106"/>
        <v>6878.5000000000009</v>
      </c>
      <c r="R47" s="13">
        <f t="shared" si="106"/>
        <v>7429.9000000000015</v>
      </c>
      <c r="S47" s="13">
        <f t="shared" si="106"/>
        <v>7451.0999999999958</v>
      </c>
      <c r="T47" s="13">
        <f t="shared" si="106"/>
        <v>8672.1999999999953</v>
      </c>
      <c r="U47" s="13">
        <f t="shared" si="106"/>
        <v>8183.0000000000027</v>
      </c>
      <c r="V47" s="13">
        <f t="shared" si="106"/>
        <v>7733.6</v>
      </c>
      <c r="W47" s="13">
        <f t="shared" si="106"/>
        <v>8092.0000000000055</v>
      </c>
      <c r="X47" s="13">
        <f t="shared" si="106"/>
        <v>10179.5</v>
      </c>
      <c r="Y47" s="13">
        <f t="shared" si="106"/>
        <v>9519.899999999996</v>
      </c>
      <c r="Z47" s="13">
        <f t="shared" si="106"/>
        <v>8911.6999999999953</v>
      </c>
      <c r="AA47" s="13">
        <f t="shared" si="106"/>
        <v>8364.5999999999967</v>
      </c>
      <c r="AB47" s="13">
        <f t="shared" si="106"/>
        <v>8741.6999999999989</v>
      </c>
      <c r="AC47" s="13">
        <f t="shared" si="106"/>
        <v>9706.6999999999953</v>
      </c>
      <c r="AD47" s="13">
        <f t="shared" si="106"/>
        <v>7899.7999999999993</v>
      </c>
      <c r="AE47" s="13">
        <f t="shared" si="106"/>
        <v>9583.2000000000025</v>
      </c>
      <c r="AF47" s="13">
        <f t="shared" ref="AF47:AM47" si="107">+AF36-AF41-AF45</f>
        <v>11270.299999999997</v>
      </c>
      <c r="AG47" s="13">
        <f t="shared" si="107"/>
        <v>9937.0999999999967</v>
      </c>
      <c r="AH47" s="13">
        <f t="shared" si="107"/>
        <v>9238.7999999999975</v>
      </c>
      <c r="AI47" s="13">
        <f t="shared" si="107"/>
        <v>9231.6000000000022</v>
      </c>
      <c r="AJ47" s="13">
        <f t="shared" si="107"/>
        <v>11255.7</v>
      </c>
      <c r="AK47" s="13">
        <f t="shared" si="107"/>
        <v>10820.699999999993</v>
      </c>
      <c r="AL47" s="752">
        <f t="shared" si="107"/>
        <v>7685.6999999999971</v>
      </c>
      <c r="AM47" s="13">
        <f t="shared" si="107"/>
        <v>10618.299999999996</v>
      </c>
      <c r="AN47" s="752">
        <f t="shared" ref="AN47:AO47" si="108">+AN36-AN41-AN45</f>
        <v>12387.199999999999</v>
      </c>
      <c r="AO47" s="752">
        <f t="shared" si="108"/>
        <v>10969.9</v>
      </c>
      <c r="AP47" s="752">
        <f t="shared" ref="AP47:AQ47" si="109">+AP36-AP41-AP45</f>
        <v>10772.599999999995</v>
      </c>
      <c r="AQ47" s="752">
        <f t="shared" si="109"/>
        <v>10988.600000000002</v>
      </c>
      <c r="AR47" s="752">
        <f t="shared" ref="AR47" si="110">+AR36-AR41-AR45</f>
        <v>12191.800000000007</v>
      </c>
      <c r="AS47" s="752">
        <f t="shared" ref="AS47" si="111">+AS36-AS41-AS45</f>
        <v>9667.4000000000015</v>
      </c>
      <c r="AT47" s="752">
        <f t="shared" ref="AT47" si="112">+AT36-AT41-AT45</f>
        <v>8302.8000000000065</v>
      </c>
      <c r="AU47" s="752">
        <f t="shared" ref="AU47" si="113">+AU36-AU41-AU45</f>
        <v>9620.4927703760331</v>
      </c>
      <c r="AV47" s="319"/>
      <c r="AW47" s="674">
        <v>8196.6861798512127</v>
      </c>
      <c r="AX47" s="12"/>
      <c r="AY47" s="13"/>
      <c r="AZ47" s="13"/>
      <c r="BA47" s="495"/>
      <c r="BB47" s="495"/>
      <c r="BC47" s="495"/>
      <c r="BD47" s="495"/>
      <c r="BE47" s="495"/>
      <c r="BF47" s="495"/>
      <c r="BG47" s="495"/>
    </row>
    <row r="48" spans="1:59" s="362" customFormat="1">
      <c r="A48" s="42" t="s">
        <v>163</v>
      </c>
      <c r="B48" s="42" t="s">
        <v>516</v>
      </c>
      <c r="C48" s="44"/>
      <c r="D48" s="44"/>
      <c r="E48" s="44"/>
      <c r="F48" s="44"/>
      <c r="G48" s="49">
        <f t="shared" ref="G48:AE48" si="114">+(G47/C47-1)</f>
        <v>-0.27734587452410653</v>
      </c>
      <c r="H48" s="42">
        <f t="shared" si="114"/>
        <v>4.2117587494463038E-2</v>
      </c>
      <c r="I48" s="42">
        <f t="shared" si="114"/>
        <v>2.7622388672924325E-2</v>
      </c>
      <c r="J48" s="49">
        <f t="shared" si="114"/>
        <v>-0.21512850675506989</v>
      </c>
      <c r="K48" s="49">
        <f t="shared" si="114"/>
        <v>3.2672215335577404E-2</v>
      </c>
      <c r="L48" s="42">
        <f t="shared" si="114"/>
        <v>-5.6447939756475329E-2</v>
      </c>
      <c r="M48" s="42">
        <f t="shared" si="114"/>
        <v>-0.15746578502229813</v>
      </c>
      <c r="N48" s="49">
        <f t="shared" si="114"/>
        <v>0.23330911072758709</v>
      </c>
      <c r="O48" s="49">
        <f t="shared" si="114"/>
        <v>0.8105976163937223</v>
      </c>
      <c r="P48" s="49">
        <f t="shared" si="114"/>
        <v>0.94030379095063332</v>
      </c>
      <c r="Q48" s="49">
        <f t="shared" si="114"/>
        <v>1.510859645920791</v>
      </c>
      <c r="R48" s="49">
        <f t="shared" si="114"/>
        <v>1.7361075308414642</v>
      </c>
      <c r="S48" s="49">
        <f t="shared" si="114"/>
        <v>0.76424207984088599</v>
      </c>
      <c r="T48" s="49">
        <f t="shared" si="114"/>
        <v>0.43834275952432256</v>
      </c>
      <c r="U48" s="49">
        <f t="shared" si="114"/>
        <v>0.18964890601148521</v>
      </c>
      <c r="V48" s="49">
        <f t="shared" si="114"/>
        <v>4.0875381902851782E-2</v>
      </c>
      <c r="W48" s="49">
        <f t="shared" si="114"/>
        <v>8.6014145562401501E-2</v>
      </c>
      <c r="X48" s="49">
        <f t="shared" si="114"/>
        <v>0.173808260879593</v>
      </c>
      <c r="Y48" s="49">
        <f t="shared" si="114"/>
        <v>0.16337529023585384</v>
      </c>
      <c r="Z48" s="49">
        <f t="shared" si="114"/>
        <v>0.15233526430123034</v>
      </c>
      <c r="AA48" s="49">
        <f t="shared" si="114"/>
        <v>3.3687592684131351E-2</v>
      </c>
      <c r="AB48" s="49">
        <f t="shared" si="114"/>
        <v>-0.14124465838204248</v>
      </c>
      <c r="AC48" s="49">
        <f t="shared" si="114"/>
        <v>1.9622054853517312E-2</v>
      </c>
      <c r="AD48" s="49">
        <f t="shared" si="114"/>
        <v>-0.11354735908973557</v>
      </c>
      <c r="AE48" s="49">
        <f t="shared" si="114"/>
        <v>0.14568538842263901</v>
      </c>
      <c r="AF48" s="49">
        <f t="shared" ref="AF48:AP48" si="115">+(AF47/AB47-1)</f>
        <v>0.28925723829461081</v>
      </c>
      <c r="AG48" s="49">
        <f t="shared" si="115"/>
        <v>2.3736182224649127E-2</v>
      </c>
      <c r="AH48" s="49">
        <f t="shared" si="115"/>
        <v>0.16949796197372069</v>
      </c>
      <c r="AI48" s="49">
        <f t="shared" si="115"/>
        <v>-3.6689206110693706E-2</v>
      </c>
      <c r="AJ48" s="49">
        <f t="shared" si="115"/>
        <v>-1.2954402278552157E-3</v>
      </c>
      <c r="AK48" s="49">
        <f t="shared" si="115"/>
        <v>8.8919302412172163E-2</v>
      </c>
      <c r="AL48" s="751">
        <f t="shared" si="115"/>
        <v>-0.16810624756461889</v>
      </c>
      <c r="AM48" s="49">
        <f t="shared" si="115"/>
        <v>0.15021231422505243</v>
      </c>
      <c r="AN48" s="751">
        <f t="shared" si="115"/>
        <v>0.10052684417672797</v>
      </c>
      <c r="AO48" s="751">
        <f t="shared" si="115"/>
        <v>1.3788387072925623E-2</v>
      </c>
      <c r="AP48" s="751">
        <f t="shared" si="115"/>
        <v>0.40164201048700821</v>
      </c>
      <c r="AQ48" s="751">
        <f t="shared" ref="AQ48:AU48" si="116">+(AQ47/AM47-1)</f>
        <v>3.487375568593909E-2</v>
      </c>
      <c r="AR48" s="751">
        <f t="shared" si="116"/>
        <v>-1.57743477137684E-2</v>
      </c>
      <c r="AS48" s="751">
        <f t="shared" si="116"/>
        <v>-0.11873399028250009</v>
      </c>
      <c r="AT48" s="751">
        <f t="shared" si="116"/>
        <v>-0.22926684365891148</v>
      </c>
      <c r="AU48" s="751">
        <f t="shared" si="116"/>
        <v>-0.12450241428607545</v>
      </c>
      <c r="AV48" s="42"/>
      <c r="AW48" s="668">
        <v>-0.2391171880649785</v>
      </c>
      <c r="AX48" s="38"/>
      <c r="AY48" s="42"/>
      <c r="AZ48" s="42"/>
      <c r="BA48" s="496"/>
      <c r="BB48" s="496"/>
      <c r="BC48" s="496"/>
      <c r="BD48" s="496"/>
      <c r="BE48" s="496"/>
      <c r="BF48" s="496"/>
      <c r="BG48" s="496"/>
    </row>
    <row r="49" spans="1:59" s="362" customFormat="1">
      <c r="A49" s="42" t="s">
        <v>163</v>
      </c>
      <c r="B49" s="42" t="s">
        <v>517</v>
      </c>
      <c r="C49" s="44"/>
      <c r="D49" s="42">
        <f t="shared" ref="D49:AE49" si="117">+(D47/C47-1)</f>
        <v>1.1037527593818597E-2</v>
      </c>
      <c r="E49" s="42">
        <f t="shared" si="117"/>
        <v>1.2340991076522645E-3</v>
      </c>
      <c r="F49" s="42">
        <f t="shared" si="117"/>
        <v>-0.11339717455200604</v>
      </c>
      <c r="G49" s="49">
        <f t="shared" si="117"/>
        <v>-0.19480982426121951</v>
      </c>
      <c r="H49" s="42">
        <f t="shared" si="117"/>
        <v>0.45798654152647478</v>
      </c>
      <c r="I49" s="42">
        <f t="shared" si="117"/>
        <v>-1.2692436158260767E-2</v>
      </c>
      <c r="J49" s="49">
        <f t="shared" si="117"/>
        <v>-0.3228356143318466</v>
      </c>
      <c r="K49" s="49">
        <f t="shared" si="117"/>
        <v>5.9405940594059681E-2</v>
      </c>
      <c r="L49" s="42">
        <f t="shared" si="117"/>
        <v>0.33216153648289404</v>
      </c>
      <c r="M49" s="42">
        <f t="shared" si="117"/>
        <v>-0.11839479951084586</v>
      </c>
      <c r="N49" s="49">
        <f t="shared" si="117"/>
        <v>-8.7607227596261383E-3</v>
      </c>
      <c r="O49" s="49">
        <f t="shared" si="117"/>
        <v>0.5552936844043439</v>
      </c>
      <c r="P49" s="42">
        <f t="shared" si="117"/>
        <v>0.42759388170668178</v>
      </c>
      <c r="Q49" s="42">
        <f t="shared" si="117"/>
        <v>0.14084553762460028</v>
      </c>
      <c r="R49" s="42">
        <f t="shared" si="117"/>
        <v>8.0162826197572201E-2</v>
      </c>
      <c r="S49" s="42">
        <f t="shared" si="117"/>
        <v>2.8533358457036861E-3</v>
      </c>
      <c r="T49" s="42">
        <f t="shared" si="117"/>
        <v>0.16388184294936314</v>
      </c>
      <c r="U49" s="42">
        <f t="shared" si="117"/>
        <v>-5.6410138142569677E-2</v>
      </c>
      <c r="V49" s="42">
        <f t="shared" si="117"/>
        <v>-5.491873396065039E-2</v>
      </c>
      <c r="W49" s="42">
        <f t="shared" si="117"/>
        <v>4.6343229543809539E-2</v>
      </c>
      <c r="X49" s="42">
        <f t="shared" si="117"/>
        <v>0.25797083539297994</v>
      </c>
      <c r="Y49" s="42">
        <f t="shared" si="117"/>
        <v>-6.4796895721794145E-2</v>
      </c>
      <c r="Z49" s="42">
        <f t="shared" si="117"/>
        <v>-6.3887225706152462E-2</v>
      </c>
      <c r="AA49" s="42">
        <f t="shared" si="117"/>
        <v>-6.1391204820628875E-2</v>
      </c>
      <c r="AB49" s="42">
        <f t="shared" si="117"/>
        <v>4.5082849149989501E-2</v>
      </c>
      <c r="AC49" s="42">
        <f t="shared" si="117"/>
        <v>0.11039042749121974</v>
      </c>
      <c r="AD49" s="42">
        <f t="shared" si="117"/>
        <v>-0.18614977283731826</v>
      </c>
      <c r="AE49" s="42">
        <f t="shared" si="117"/>
        <v>0.21309400237980758</v>
      </c>
      <c r="AF49" s="42">
        <f t="shared" ref="AF49:AP49" si="118">+(AF47/AE47-1)</f>
        <v>0.1760476667501456</v>
      </c>
      <c r="AG49" s="42">
        <f t="shared" si="118"/>
        <v>-0.11829321313540908</v>
      </c>
      <c r="AH49" s="42">
        <f t="shared" si="118"/>
        <v>-7.0272010948868369E-2</v>
      </c>
      <c r="AI49" s="42">
        <f t="shared" si="118"/>
        <v>-7.7932198986829793E-4</v>
      </c>
      <c r="AJ49" s="42">
        <f t="shared" si="118"/>
        <v>0.21925776680098763</v>
      </c>
      <c r="AK49" s="42">
        <f t="shared" si="118"/>
        <v>-3.8647085476692489E-2</v>
      </c>
      <c r="AL49" s="751">
        <f t="shared" si="118"/>
        <v>-0.28972247636474524</v>
      </c>
      <c r="AM49" s="42">
        <f t="shared" si="118"/>
        <v>0.38156576499212824</v>
      </c>
      <c r="AN49" s="751">
        <f t="shared" si="118"/>
        <v>0.16658975542224308</v>
      </c>
      <c r="AO49" s="751">
        <f t="shared" si="118"/>
        <v>-0.11441649444587954</v>
      </c>
      <c r="AP49" s="751">
        <f t="shared" si="118"/>
        <v>-1.7985578719952322E-2</v>
      </c>
      <c r="AQ49" s="751">
        <f t="shared" ref="AQ49:AU49" si="119">+(AQ47/AP47-1)</f>
        <v>2.0050869799306259E-2</v>
      </c>
      <c r="AR49" s="751">
        <f t="shared" si="119"/>
        <v>0.10949529512403799</v>
      </c>
      <c r="AS49" s="751">
        <f t="shared" si="119"/>
        <v>-0.20705720238192915</v>
      </c>
      <c r="AT49" s="751">
        <f t="shared" si="119"/>
        <v>-0.14115480894552768</v>
      </c>
      <c r="AU49" s="751">
        <f t="shared" si="119"/>
        <v>0.15870462619550341</v>
      </c>
      <c r="AV49" s="42"/>
      <c r="AW49" s="669">
        <v>-0.15213126798816523</v>
      </c>
      <c r="AX49" s="38"/>
      <c r="AY49" s="49"/>
      <c r="AZ49" s="42"/>
      <c r="BA49" s="496"/>
      <c r="BB49" s="496"/>
      <c r="BC49" s="496"/>
      <c r="BD49" s="496"/>
      <c r="BE49" s="496"/>
      <c r="BF49" s="496"/>
      <c r="BG49" s="496"/>
    </row>
    <row r="50" spans="1:59">
      <c r="A50" s="38" t="s">
        <v>679</v>
      </c>
      <c r="B50" s="38" t="s">
        <v>487</v>
      </c>
      <c r="C50" s="38">
        <v>7.3</v>
      </c>
      <c r="D50" s="38">
        <v>20</v>
      </c>
      <c r="E50" s="38">
        <v>2.2000000000000002</v>
      </c>
      <c r="F50" s="38">
        <v>23.9</v>
      </c>
      <c r="G50" s="52">
        <v>0.6</v>
      </c>
      <c r="H50" s="38">
        <v>13.6</v>
      </c>
      <c r="I50" s="38">
        <v>19.3</v>
      </c>
      <c r="J50" s="52">
        <v>18.100000000000001</v>
      </c>
      <c r="K50" s="52">
        <v>9.1999999999999993</v>
      </c>
      <c r="L50" s="38">
        <v>58.7</v>
      </c>
      <c r="M50" s="65">
        <v>90.2</v>
      </c>
      <c r="N50" s="38">
        <v>52</v>
      </c>
      <c r="O50" s="38">
        <v>59.7</v>
      </c>
      <c r="P50" s="38">
        <v>0</v>
      </c>
      <c r="Q50" s="38">
        <v>0.02</v>
      </c>
      <c r="R50" s="38">
        <v>-0.1</v>
      </c>
      <c r="S50" s="38">
        <v>6.3</v>
      </c>
      <c r="T50" s="38">
        <v>6.5</v>
      </c>
      <c r="U50" s="38">
        <v>3.6</v>
      </c>
      <c r="V50" s="38">
        <v>0.5</v>
      </c>
      <c r="W50" s="38">
        <v>2.2999999999999998</v>
      </c>
      <c r="X50" s="38">
        <v>202.2</v>
      </c>
      <c r="Y50" s="38">
        <v>0.2</v>
      </c>
      <c r="Z50" s="38">
        <v>17.7</v>
      </c>
      <c r="AA50" s="38">
        <v>0.4</v>
      </c>
      <c r="AB50" s="38">
        <v>2.2000000000000002</v>
      </c>
      <c r="AC50" s="38">
        <v>1</v>
      </c>
      <c r="AD50" s="38">
        <v>1.8</v>
      </c>
      <c r="AE50" s="38">
        <v>0.9</v>
      </c>
      <c r="AF50" s="38">
        <v>0.4</v>
      </c>
      <c r="AG50" s="38">
        <v>1.9</v>
      </c>
      <c r="AH50" s="38">
        <v>1.7</v>
      </c>
      <c r="AI50" s="38">
        <v>1.1000000000000001</v>
      </c>
      <c r="AJ50" s="38">
        <v>0.5</v>
      </c>
      <c r="AK50" s="38">
        <v>0.7</v>
      </c>
      <c r="AL50" s="749">
        <v>61.6</v>
      </c>
      <c r="AM50" s="52">
        <v>1.1000000000000001</v>
      </c>
      <c r="AN50" s="910">
        <v>3.4</v>
      </c>
      <c r="AO50" s="910">
        <v>2.1</v>
      </c>
      <c r="AP50" s="910">
        <v>3.9</v>
      </c>
      <c r="AQ50" s="910">
        <v>2.2000000000000002</v>
      </c>
      <c r="AR50" s="910">
        <v>6.8</v>
      </c>
      <c r="AS50" s="910">
        <v>2.6</v>
      </c>
      <c r="AT50" s="910">
        <v>2.4</v>
      </c>
      <c r="AU50" s="910">
        <v>2</v>
      </c>
      <c r="AV50" s="38"/>
      <c r="AW50" s="671">
        <v>2</v>
      </c>
      <c r="AX50" s="38"/>
      <c r="AY50" s="38"/>
      <c r="AZ50" s="38"/>
      <c r="BA50" s="475"/>
      <c r="BB50" s="475"/>
      <c r="BC50" s="475"/>
      <c r="BD50" s="475"/>
      <c r="BE50" s="475"/>
      <c r="BF50" s="475"/>
      <c r="BG50" s="475"/>
    </row>
    <row r="51" spans="1:59">
      <c r="A51" s="38" t="s">
        <v>678</v>
      </c>
      <c r="B51" s="38" t="s">
        <v>665</v>
      </c>
      <c r="C51" s="38">
        <v>945.6</v>
      </c>
      <c r="D51" s="38">
        <v>1424.3</v>
      </c>
      <c r="E51" s="38">
        <v>1609.5</v>
      </c>
      <c r="F51" s="38">
        <v>1577</v>
      </c>
      <c r="G51" s="52">
        <v>1026.9000000000001</v>
      </c>
      <c r="H51" s="38">
        <v>1472.3</v>
      </c>
      <c r="I51" s="38">
        <v>429.5</v>
      </c>
      <c r="J51" s="52">
        <v>204.4</v>
      </c>
      <c r="K51" s="52">
        <v>287.8</v>
      </c>
      <c r="L51" s="38">
        <v>221</v>
      </c>
      <c r="M51" s="38">
        <f>378.8</f>
        <v>378.8</v>
      </c>
      <c r="N51" s="38">
        <f>(3314-1023)/10</f>
        <v>229.1</v>
      </c>
      <c r="O51" s="38">
        <v>231.4</v>
      </c>
      <c r="P51" s="38">
        <v>217.3</v>
      </c>
      <c r="Q51" s="38">
        <v>351.3</v>
      </c>
      <c r="R51" s="38">
        <v>425</v>
      </c>
      <c r="S51" s="38">
        <v>816.7</v>
      </c>
      <c r="T51" s="38">
        <v>837.1</v>
      </c>
      <c r="U51" s="38">
        <v>994.6</v>
      </c>
      <c r="V51" s="38">
        <v>1561.5</v>
      </c>
      <c r="W51" s="38">
        <v>1440.9</v>
      </c>
      <c r="X51" s="38">
        <v>744.8</v>
      </c>
      <c r="Y51" s="38">
        <v>1680.8</v>
      </c>
      <c r="Z51" s="38">
        <v>1394.9</v>
      </c>
      <c r="AA51" s="38">
        <v>1819.7</v>
      </c>
      <c r="AB51" s="38">
        <v>1667.2</v>
      </c>
      <c r="AC51" s="38">
        <v>2031.9</v>
      </c>
      <c r="AD51" s="38">
        <v>2436.1</v>
      </c>
      <c r="AE51" s="38">
        <v>1756</v>
      </c>
      <c r="AF51" s="38">
        <v>1241.5999999999999</v>
      </c>
      <c r="AG51" s="38">
        <v>2218.4</v>
      </c>
      <c r="AH51" s="38">
        <v>1848.1</v>
      </c>
      <c r="AI51" s="38">
        <v>2192.6999999999998</v>
      </c>
      <c r="AJ51" s="38">
        <v>1136.0999999999999</v>
      </c>
      <c r="AK51" s="38">
        <v>952.7</v>
      </c>
      <c r="AL51" s="38">
        <v>1542.7</v>
      </c>
      <c r="AM51" s="52">
        <v>3062.6</v>
      </c>
      <c r="AN51" s="747">
        <v>2679.8</v>
      </c>
      <c r="AO51" s="747">
        <v>2424.6</v>
      </c>
      <c r="AP51" s="747">
        <v>2568.9</v>
      </c>
      <c r="AQ51" s="747">
        <v>2670.6</v>
      </c>
      <c r="AR51" s="747">
        <v>3420.2</v>
      </c>
      <c r="AS51" s="747">
        <v>3192.9</v>
      </c>
      <c r="AT51" s="747">
        <v>2936</v>
      </c>
      <c r="AU51" s="747">
        <v>3250</v>
      </c>
      <c r="AV51" s="38"/>
      <c r="AW51" s="676">
        <v>3250</v>
      </c>
      <c r="AX51" s="38"/>
      <c r="AY51" s="38"/>
      <c r="AZ51" s="38"/>
      <c r="BA51" s="475"/>
      <c r="BB51" s="475"/>
      <c r="BC51" s="475"/>
      <c r="BD51" s="475"/>
      <c r="BE51" s="475"/>
      <c r="BF51" s="475"/>
      <c r="BG51" s="475"/>
    </row>
    <row r="52" spans="1:59" s="356" customFormat="1">
      <c r="A52" s="3"/>
      <c r="B52" s="899" t="s">
        <v>581</v>
      </c>
      <c r="C52" s="901">
        <f t="shared" ref="C52:AM52" si="120">C51/C14*100</f>
        <v>4.2929912015472205</v>
      </c>
      <c r="D52" s="901">
        <f t="shared" si="120"/>
        <v>5.8469521381626208</v>
      </c>
      <c r="E52" s="901">
        <f t="shared" si="120"/>
        <v>6.2669620711540643</v>
      </c>
      <c r="F52" s="901">
        <f t="shared" si="120"/>
        <v>6.8163644615417862</v>
      </c>
      <c r="G52" s="900">
        <f t="shared" si="120"/>
        <v>4.8699404832475759</v>
      </c>
      <c r="H52" s="901">
        <f t="shared" si="120"/>
        <v>6.2337519370654828</v>
      </c>
      <c r="I52" s="901">
        <f t="shared" si="120"/>
        <v>1.7171414292853575</v>
      </c>
      <c r="J52" s="900">
        <f t="shared" si="120"/>
        <v>0.98532141049434796</v>
      </c>
      <c r="K52" s="900">
        <f t="shared" si="120"/>
        <v>1.2454722884579599</v>
      </c>
      <c r="L52" s="900">
        <f t="shared" si="120"/>
        <v>0.86720059016727957</v>
      </c>
      <c r="M52" s="900">
        <f t="shared" si="120"/>
        <v>1.8011506823260901</v>
      </c>
      <c r="N52" s="900">
        <f t="shared" si="120"/>
        <v>1.2164106593890867</v>
      </c>
      <c r="O52" s="900">
        <f t="shared" si="120"/>
        <v>0.98953589312670265</v>
      </c>
      <c r="P52" s="900">
        <f t="shared" si="120"/>
        <v>0.75255150631512979</v>
      </c>
      <c r="Q52" s="900">
        <f t="shared" si="120"/>
        <v>1.0659829163569055</v>
      </c>
      <c r="R52" s="900">
        <f t="shared" si="120"/>
        <v>1.2502022385974203</v>
      </c>
      <c r="S52" s="900">
        <f t="shared" si="120"/>
        <v>2.0994534788666503</v>
      </c>
      <c r="T52" s="900">
        <f t="shared" si="120"/>
        <v>1.927993329986043</v>
      </c>
      <c r="U52" s="900">
        <f t="shared" si="120"/>
        <v>2.3810891819165541</v>
      </c>
      <c r="V52" s="900">
        <f t="shared" si="120"/>
        <v>3.7673802532818308</v>
      </c>
      <c r="W52" s="900">
        <f t="shared" si="120"/>
        <v>3.061647284803954</v>
      </c>
      <c r="X52" s="900">
        <f t="shared" si="120"/>
        <v>1.4140179144374874</v>
      </c>
      <c r="Y52" s="900">
        <f t="shared" si="120"/>
        <v>3.3711132816809033</v>
      </c>
      <c r="Z52" s="900">
        <f t="shared" si="120"/>
        <v>2.9988562681664175</v>
      </c>
      <c r="AA52" s="900">
        <f t="shared" si="120"/>
        <v>3.7398831813155877</v>
      </c>
      <c r="AB52" s="900">
        <f t="shared" si="120"/>
        <v>3.3529080524495214</v>
      </c>
      <c r="AC52" s="900">
        <f t="shared" si="120"/>
        <v>3.7539421103292065</v>
      </c>
      <c r="AD52" s="900">
        <f t="shared" si="120"/>
        <v>5.1324349833982232</v>
      </c>
      <c r="AE52" s="900">
        <f t="shared" si="120"/>
        <v>3.575580981004217</v>
      </c>
      <c r="AF52" s="900">
        <f t="shared" si="120"/>
        <v>2.3992780522871016</v>
      </c>
      <c r="AG52" s="900">
        <f t="shared" si="120"/>
        <v>4.3233214583609421</v>
      </c>
      <c r="AH52" s="900">
        <f t="shared" si="120"/>
        <v>3.7469410760518946</v>
      </c>
      <c r="AI52" s="900">
        <f t="shared" si="120"/>
        <v>4.1746550631043657</v>
      </c>
      <c r="AJ52" s="900">
        <f t="shared" si="120"/>
        <v>1.9052202800896849</v>
      </c>
      <c r="AK52" s="900">
        <f t="shared" si="120"/>
        <v>1.6840575764914261</v>
      </c>
      <c r="AL52" s="905">
        <f t="shared" si="120"/>
        <v>3.2550945912300024</v>
      </c>
      <c r="AM52" s="900">
        <f t="shared" si="120"/>
        <v>5.4696318098041177</v>
      </c>
      <c r="AN52" s="905">
        <f t="shared" ref="AN52:AO52" si="121">AN51/AN14*100</f>
        <v>4.4076092856179505</v>
      </c>
      <c r="AO52" s="905">
        <f t="shared" si="121"/>
        <v>4.3703574190268979</v>
      </c>
      <c r="AP52" s="905">
        <f t="shared" ref="AP52:AR52" si="122">AP51/AP14*100</f>
        <v>4.7931799480920763</v>
      </c>
      <c r="AQ52" s="905">
        <f t="shared" si="122"/>
        <v>4.6461782026635579</v>
      </c>
      <c r="AR52" s="905">
        <f t="shared" si="122"/>
        <v>5.6490027285400002</v>
      </c>
      <c r="AS52" s="905">
        <f t="shared" ref="AS52" si="123">AS51/AS14*100</f>
        <v>6.3014985523664411</v>
      </c>
      <c r="AT52" s="905">
        <f t="shared" ref="AT52" si="124">AT51/AT14*100</f>
        <v>5.9951156959316521</v>
      </c>
      <c r="AU52" s="905">
        <f t="shared" ref="AU52" si="125">AU51/AU14*100</f>
        <v>5.999715722867994</v>
      </c>
      <c r="AV52" s="3"/>
      <c r="AW52" s="677">
        <v>6.951340255166885</v>
      </c>
      <c r="AX52" s="38"/>
      <c r="AY52" s="55"/>
      <c r="AZ52" s="3"/>
      <c r="BA52" s="477"/>
      <c r="BB52" s="477"/>
      <c r="BC52" s="477"/>
      <c r="BD52" s="477"/>
      <c r="BE52" s="477"/>
      <c r="BF52" s="477"/>
      <c r="BG52" s="477"/>
    </row>
    <row r="53" spans="1:59">
      <c r="A53" s="38" t="s">
        <v>678</v>
      </c>
      <c r="B53" s="38" t="s">
        <v>666</v>
      </c>
      <c r="C53" s="38"/>
      <c r="D53" s="38"/>
      <c r="E53" s="38"/>
      <c r="F53" s="38"/>
      <c r="G53" s="52"/>
      <c r="H53" s="38"/>
      <c r="I53" s="38">
        <v>-511.8</v>
      </c>
      <c r="J53" s="52">
        <v>-511.8</v>
      </c>
      <c r="K53" s="52"/>
      <c r="L53" s="38">
        <v>-611</v>
      </c>
      <c r="M53" s="38">
        <v>-611</v>
      </c>
      <c r="N53" s="38">
        <f>((-(6110+2180))/10)-170</f>
        <v>-999</v>
      </c>
      <c r="O53" s="38">
        <f>-458.2+218</f>
        <v>-240.2</v>
      </c>
      <c r="P53" s="38">
        <v>-458.3</v>
      </c>
      <c r="Q53" s="38">
        <f>-458.2</f>
        <v>-458.2</v>
      </c>
      <c r="R53" s="38">
        <v>-458.3</v>
      </c>
      <c r="S53" s="38"/>
      <c r="T53" s="38"/>
      <c r="U53" s="38"/>
      <c r="V53" s="38">
        <f>8268.2-1022.7</f>
        <v>7245.5000000000009</v>
      </c>
      <c r="W53" s="38"/>
      <c r="X53" s="38">
        <v>-954.1</v>
      </c>
      <c r="Y53" s="38">
        <v>-588.6</v>
      </c>
      <c r="Z53" s="38">
        <f>202.7-140</f>
        <v>62.699999999999989</v>
      </c>
      <c r="AA53" s="38"/>
      <c r="AB53" s="38"/>
      <c r="AC53" s="38"/>
      <c r="AD53" s="38"/>
      <c r="AE53" s="38">
        <v>-960</v>
      </c>
      <c r="AF53" s="38">
        <v>-393.6</v>
      </c>
      <c r="AG53" s="38">
        <v>955.2</v>
      </c>
      <c r="AH53" s="38">
        <f>13.7-369.7</f>
        <v>-356</v>
      </c>
      <c r="AI53" s="38">
        <v>-672.3</v>
      </c>
      <c r="AJ53" s="38">
        <f>-3402.9-674.1</f>
        <v>-4077</v>
      </c>
      <c r="AK53" s="38">
        <v>789.9</v>
      </c>
      <c r="AL53" s="749">
        <v>54.3</v>
      </c>
      <c r="AM53" s="816"/>
      <c r="AN53" s="822"/>
      <c r="AO53" s="822"/>
      <c r="AP53" s="822"/>
      <c r="AQ53" s="822"/>
      <c r="AR53" s="822"/>
      <c r="AS53" s="822"/>
      <c r="AT53" s="822"/>
      <c r="AU53" s="822"/>
      <c r="AV53" s="38"/>
      <c r="AW53" s="671"/>
      <c r="AX53" s="38"/>
      <c r="AY53" s="38"/>
      <c r="AZ53" s="38"/>
      <c r="BA53" s="475"/>
      <c r="BB53" s="475"/>
      <c r="BC53" s="475"/>
      <c r="BD53" s="475"/>
      <c r="BE53" s="475"/>
      <c r="BF53" s="475"/>
      <c r="BG53" s="475"/>
    </row>
    <row r="54" spans="1:59">
      <c r="A54" s="38"/>
      <c r="B54" s="38"/>
      <c r="C54" s="38"/>
      <c r="D54" s="38"/>
      <c r="E54" s="38"/>
      <c r="F54" s="38"/>
      <c r="G54" s="52"/>
      <c r="H54" s="38"/>
      <c r="I54" s="38"/>
      <c r="J54" s="52"/>
      <c r="K54" s="52"/>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749"/>
      <c r="AM54" s="38"/>
      <c r="AN54" s="749"/>
      <c r="AO54" s="746"/>
      <c r="AP54" s="749"/>
      <c r="AQ54" s="749"/>
      <c r="AR54" s="749"/>
      <c r="AS54" s="749"/>
      <c r="AT54" s="749"/>
      <c r="AU54" s="749"/>
      <c r="AV54" s="38"/>
      <c r="AW54" s="671"/>
      <c r="AX54" s="38"/>
      <c r="AY54" s="38"/>
      <c r="AZ54" s="38"/>
      <c r="BA54" s="475"/>
      <c r="BB54" s="475"/>
      <c r="BC54" s="475"/>
      <c r="BD54" s="475"/>
      <c r="BE54" s="475"/>
      <c r="BF54" s="475"/>
      <c r="BG54" s="475"/>
    </row>
    <row r="55" spans="1:59" s="359" customFormat="1">
      <c r="A55" s="13"/>
      <c r="B55" s="13" t="s">
        <v>667</v>
      </c>
      <c r="C55" s="13">
        <f t="shared" ref="C55:AE55" si="126">+C47-C50+C51+C53</f>
        <v>4063.9999999999986</v>
      </c>
      <c r="D55" s="13">
        <f t="shared" si="126"/>
        <v>4564.4999999999982</v>
      </c>
      <c r="E55" s="13">
        <f t="shared" si="126"/>
        <v>4771.4000000000005</v>
      </c>
      <c r="F55" s="13">
        <f t="shared" si="126"/>
        <v>4358.3999999999978</v>
      </c>
      <c r="G55" s="54">
        <f t="shared" si="126"/>
        <v>3285.0999999999995</v>
      </c>
      <c r="H55" s="13">
        <f t="shared" si="126"/>
        <v>4752</v>
      </c>
      <c r="I55" s="13">
        <f t="shared" si="126"/>
        <v>3149.8999999999996</v>
      </c>
      <c r="J55" s="54">
        <f t="shared" si="126"/>
        <v>1876.3000000000009</v>
      </c>
      <c r="K55" s="54">
        <f t="shared" si="126"/>
        <v>2611.2000000000016</v>
      </c>
      <c r="L55" s="13">
        <f t="shared" si="126"/>
        <v>2658.7000000000003</v>
      </c>
      <c r="M55" s="13">
        <f t="shared" si="126"/>
        <v>2417.0999999999981</v>
      </c>
      <c r="N55" s="13">
        <f t="shared" si="126"/>
        <v>1893.6000000000017</v>
      </c>
      <c r="O55" s="13">
        <f t="shared" si="126"/>
        <v>4154.8999999999987</v>
      </c>
      <c r="P55" s="13">
        <f t="shared" si="126"/>
        <v>5788.2999999999984</v>
      </c>
      <c r="Q55" s="13">
        <f t="shared" si="126"/>
        <v>6771.5800000000008</v>
      </c>
      <c r="R55" s="13">
        <f t="shared" si="126"/>
        <v>7396.7000000000016</v>
      </c>
      <c r="S55" s="13">
        <f t="shared" si="126"/>
        <v>8261.4999999999964</v>
      </c>
      <c r="T55" s="13">
        <f t="shared" si="126"/>
        <v>9502.7999999999956</v>
      </c>
      <c r="U55" s="13">
        <f t="shared" si="126"/>
        <v>9174.0000000000018</v>
      </c>
      <c r="V55" s="13">
        <f t="shared" si="126"/>
        <v>16540.100000000002</v>
      </c>
      <c r="W55" s="13">
        <f t="shared" si="126"/>
        <v>9530.6000000000058</v>
      </c>
      <c r="X55" s="13">
        <f t="shared" si="126"/>
        <v>9767.9999999999982</v>
      </c>
      <c r="Y55" s="13">
        <f t="shared" si="126"/>
        <v>10611.899999999994</v>
      </c>
      <c r="Z55" s="13">
        <f t="shared" si="126"/>
        <v>10351.599999999995</v>
      </c>
      <c r="AA55" s="13">
        <f t="shared" si="126"/>
        <v>10183.899999999998</v>
      </c>
      <c r="AB55" s="13">
        <f t="shared" si="126"/>
        <v>10406.699999999999</v>
      </c>
      <c r="AC55" s="13">
        <f t="shared" si="126"/>
        <v>11737.599999999995</v>
      </c>
      <c r="AD55" s="13">
        <f t="shared" si="126"/>
        <v>10334.099999999999</v>
      </c>
      <c r="AE55" s="13">
        <f t="shared" si="126"/>
        <v>10378.300000000003</v>
      </c>
      <c r="AF55" s="13">
        <f t="shared" ref="AF55:AM55" si="127">+AF47-AF50+AF51+AF53</f>
        <v>12117.899999999998</v>
      </c>
      <c r="AG55" s="13">
        <f t="shared" si="127"/>
        <v>13108.799999999997</v>
      </c>
      <c r="AH55" s="13">
        <f t="shared" si="127"/>
        <v>10729.199999999997</v>
      </c>
      <c r="AI55" s="13">
        <f t="shared" si="127"/>
        <v>10750.900000000001</v>
      </c>
      <c r="AJ55" s="13">
        <f t="shared" si="127"/>
        <v>8314.3000000000011</v>
      </c>
      <c r="AK55" s="13">
        <f t="shared" si="127"/>
        <v>12562.599999999993</v>
      </c>
      <c r="AL55" s="752">
        <f t="shared" si="127"/>
        <v>9221.0999999999967</v>
      </c>
      <c r="AM55" s="983">
        <f t="shared" si="127"/>
        <v>13679.799999999996</v>
      </c>
      <c r="AN55" s="981">
        <f t="shared" ref="AN55:AO55" si="128">+AN47-AN50+AN51+AN53</f>
        <v>15063.599999999999</v>
      </c>
      <c r="AO55" s="981">
        <f t="shared" si="128"/>
        <v>13392.4</v>
      </c>
      <c r="AP55" s="981">
        <f t="shared" ref="AP55:AS55" si="129">+AP47-AP50+AP51+AP53</f>
        <v>13337.599999999995</v>
      </c>
      <c r="AQ55" s="981">
        <f t="shared" si="129"/>
        <v>13657.000000000002</v>
      </c>
      <c r="AR55" s="981">
        <f t="shared" si="129"/>
        <v>15605.200000000008</v>
      </c>
      <c r="AS55" s="981">
        <f t="shared" si="129"/>
        <v>12857.7</v>
      </c>
      <c r="AT55" s="981">
        <f t="shared" ref="AT55" si="130">+AT47-AT50+AT51+AT53</f>
        <v>11236.400000000007</v>
      </c>
      <c r="AU55" s="981">
        <f t="shared" ref="AU55" si="131">+AU47-AU50+AU51+AU53</f>
        <v>12868.492770376033</v>
      </c>
      <c r="AV55" s="319"/>
      <c r="AW55" s="674">
        <v>11444.686179851213</v>
      </c>
      <c r="AX55" s="12"/>
      <c r="AY55" s="13"/>
      <c r="AZ55" s="13"/>
      <c r="BA55" s="495"/>
      <c r="BB55" s="495"/>
      <c r="BC55" s="495"/>
      <c r="BD55" s="495"/>
      <c r="BE55" s="495"/>
      <c r="BF55" s="495"/>
      <c r="BG55" s="495"/>
    </row>
    <row r="56" spans="1:59">
      <c r="A56" s="38" t="s">
        <v>678</v>
      </c>
      <c r="B56" s="38" t="s">
        <v>676</v>
      </c>
      <c r="C56" s="38">
        <v>-103.9</v>
      </c>
      <c r="D56" s="38">
        <v>-126</v>
      </c>
      <c r="E56" s="38">
        <v>-123.2</v>
      </c>
      <c r="F56" s="38">
        <v>-124.4</v>
      </c>
      <c r="G56" s="52">
        <v>0</v>
      </c>
      <c r="H56" s="38">
        <v>-77.400000000000006</v>
      </c>
      <c r="I56" s="38">
        <v>0</v>
      </c>
      <c r="J56" s="52">
        <v>1.2</v>
      </c>
      <c r="K56" s="52">
        <v>0</v>
      </c>
      <c r="L56" s="38"/>
      <c r="M56" s="38">
        <v>-19.399999999999999</v>
      </c>
      <c r="N56" s="38">
        <v>-0.4</v>
      </c>
      <c r="O56" s="38"/>
      <c r="P56" s="38"/>
      <c r="Q56" s="38"/>
      <c r="R56" s="38"/>
      <c r="S56" s="38"/>
      <c r="T56" s="38"/>
      <c r="U56" s="38"/>
      <c r="V56" s="38"/>
      <c r="W56" s="38"/>
      <c r="X56" s="38"/>
      <c r="Y56" s="38"/>
      <c r="Z56" s="38"/>
      <c r="AA56" s="38"/>
      <c r="AB56" s="38"/>
      <c r="AC56" s="38"/>
      <c r="AD56" s="38"/>
      <c r="AE56" s="38"/>
      <c r="AF56" s="38"/>
      <c r="AG56" s="38"/>
      <c r="AH56" s="38"/>
      <c r="AI56" s="38"/>
      <c r="AJ56" s="38"/>
      <c r="AK56" s="38"/>
      <c r="AL56" s="749"/>
      <c r="AM56" s="38"/>
      <c r="AN56" s="749"/>
      <c r="AO56" s="749"/>
      <c r="AP56" s="749"/>
      <c r="AQ56" s="749"/>
      <c r="AR56" s="749"/>
      <c r="AS56" s="749"/>
      <c r="AT56" s="749"/>
      <c r="AU56" s="749"/>
      <c r="AV56" s="38"/>
      <c r="AW56" s="671"/>
      <c r="AX56" s="38"/>
      <c r="AY56" s="38"/>
      <c r="AZ56" s="38"/>
      <c r="BA56" s="475"/>
      <c r="BB56" s="475"/>
      <c r="BC56" s="475"/>
      <c r="BD56" s="475"/>
      <c r="BE56" s="475"/>
      <c r="BF56" s="475"/>
      <c r="BG56" s="475"/>
    </row>
    <row r="57" spans="1:59">
      <c r="A57" s="38" t="s">
        <v>679</v>
      </c>
      <c r="B57" s="38" t="s">
        <v>675</v>
      </c>
      <c r="C57" s="38">
        <v>1300</v>
      </c>
      <c r="D57" s="38">
        <v>1250</v>
      </c>
      <c r="E57" s="38">
        <v>1200</v>
      </c>
      <c r="F57" s="38">
        <v>1150.9000000000001</v>
      </c>
      <c r="G57" s="52">
        <v>1025</v>
      </c>
      <c r="H57" s="38">
        <v>1315</v>
      </c>
      <c r="I57" s="38">
        <v>1013.1</v>
      </c>
      <c r="J57" s="52">
        <v>669.6</v>
      </c>
      <c r="K57" s="52">
        <v>860</v>
      </c>
      <c r="L57" s="52">
        <v>810</v>
      </c>
      <c r="M57" s="38">
        <v>755</v>
      </c>
      <c r="N57" s="38">
        <v>591.1</v>
      </c>
      <c r="O57" s="38">
        <v>1220</v>
      </c>
      <c r="P57" s="38">
        <v>1760</v>
      </c>
      <c r="Q57" s="38">
        <v>2020</v>
      </c>
      <c r="R57" s="38">
        <v>2075</v>
      </c>
      <c r="S57" s="38">
        <v>2360</v>
      </c>
      <c r="T57" s="38">
        <v>2682</v>
      </c>
      <c r="U57" s="38">
        <v>2502.9</v>
      </c>
      <c r="V57" s="38">
        <v>2535.3000000000002</v>
      </c>
      <c r="W57" s="38">
        <v>2420</v>
      </c>
      <c r="X57" s="38">
        <v>2510</v>
      </c>
      <c r="Y57" s="38">
        <v>2660</v>
      </c>
      <c r="Z57" s="38">
        <v>2631.2</v>
      </c>
      <c r="AA57" s="38">
        <v>3000</v>
      </c>
      <c r="AB57" s="38">
        <v>3000</v>
      </c>
      <c r="AC57" s="38">
        <v>3550.2</v>
      </c>
      <c r="AD57" s="38">
        <v>2676.4</v>
      </c>
      <c r="AE57" s="38">
        <v>3001.5</v>
      </c>
      <c r="AF57" s="38">
        <v>3746.3</v>
      </c>
      <c r="AG57" s="38">
        <v>4063.3</v>
      </c>
      <c r="AH57" s="38">
        <v>3089.9</v>
      </c>
      <c r="AI57" s="38">
        <v>3351.1</v>
      </c>
      <c r="AJ57" s="38">
        <v>2405.3000000000002</v>
      </c>
      <c r="AK57" s="38">
        <v>3950.2</v>
      </c>
      <c r="AL57" s="749">
        <v>3003.9</v>
      </c>
      <c r="AM57" s="52">
        <v>4106.2</v>
      </c>
      <c r="AN57" s="910">
        <v>4539.7</v>
      </c>
      <c r="AO57" s="910">
        <v>3686.3</v>
      </c>
      <c r="AP57" s="910">
        <f>3151.7+692.6</f>
        <v>3844.2999999999997</v>
      </c>
      <c r="AQ57" s="910">
        <v>3873.3</v>
      </c>
      <c r="AR57" s="910">
        <v>4377.7</v>
      </c>
      <c r="AS57" s="910">
        <v>3611.5</v>
      </c>
      <c r="AT57" s="910">
        <f>3139.7+78.5</f>
        <v>3218.2</v>
      </c>
      <c r="AU57" s="910">
        <f>+AU55*AU58%</f>
        <v>3860.5478311128099</v>
      </c>
      <c r="AV57" s="38"/>
      <c r="AW57" s="671">
        <v>3433.4058539553639</v>
      </c>
      <c r="AX57" s="38"/>
      <c r="AY57" s="38"/>
      <c r="AZ57" s="50"/>
      <c r="BA57" s="475"/>
      <c r="BB57" s="475"/>
      <c r="BC57" s="475"/>
      <c r="BD57" s="475"/>
      <c r="BE57" s="475"/>
      <c r="BF57" s="475"/>
      <c r="BG57" s="475"/>
    </row>
    <row r="58" spans="1:59">
      <c r="A58" s="38"/>
      <c r="B58" s="883" t="s">
        <v>582</v>
      </c>
      <c r="C58" s="654">
        <f t="shared" ref="C58:AE58" si="132">C57/C55*100</f>
        <v>31.988188976377963</v>
      </c>
      <c r="D58" s="654">
        <f t="shared" si="132"/>
        <v>27.385255778288979</v>
      </c>
      <c r="E58" s="654">
        <f t="shared" si="132"/>
        <v>25.149851196713751</v>
      </c>
      <c r="F58" s="654">
        <f t="shared" si="132"/>
        <v>26.406479441997078</v>
      </c>
      <c r="G58" s="906">
        <f t="shared" si="132"/>
        <v>31.201485495114312</v>
      </c>
      <c r="H58" s="654">
        <f t="shared" si="132"/>
        <v>27.67255892255892</v>
      </c>
      <c r="I58" s="654">
        <f t="shared" si="132"/>
        <v>32.162925807168484</v>
      </c>
      <c r="J58" s="906">
        <f t="shared" si="132"/>
        <v>35.687256835260875</v>
      </c>
      <c r="K58" s="906">
        <f t="shared" si="132"/>
        <v>32.935049019607817</v>
      </c>
      <c r="L58" s="906">
        <f t="shared" si="132"/>
        <v>30.466017226464061</v>
      </c>
      <c r="M58" s="906">
        <f t="shared" si="132"/>
        <v>31.235778412146814</v>
      </c>
      <c r="N58" s="906">
        <f t="shared" si="132"/>
        <v>31.215673848753667</v>
      </c>
      <c r="O58" s="906">
        <f t="shared" si="132"/>
        <v>29.362920888589382</v>
      </c>
      <c r="P58" s="906">
        <f t="shared" si="132"/>
        <v>30.406164158734008</v>
      </c>
      <c r="Q58" s="906">
        <f t="shared" si="132"/>
        <v>29.830556531858143</v>
      </c>
      <c r="R58" s="906">
        <f t="shared" si="132"/>
        <v>28.05305068476482</v>
      </c>
      <c r="S58" s="906">
        <f t="shared" si="132"/>
        <v>28.566240997397578</v>
      </c>
      <c r="T58" s="906">
        <f t="shared" si="132"/>
        <v>28.223260512691013</v>
      </c>
      <c r="U58" s="906">
        <f t="shared" si="132"/>
        <v>27.282537606278613</v>
      </c>
      <c r="V58" s="906">
        <f t="shared" si="132"/>
        <v>15.328202368788579</v>
      </c>
      <c r="W58" s="906">
        <f t="shared" si="132"/>
        <v>25.391895578452552</v>
      </c>
      <c r="X58" s="906">
        <f t="shared" si="132"/>
        <v>25.696150696150699</v>
      </c>
      <c r="Y58" s="906">
        <f t="shared" si="132"/>
        <v>25.066199266860799</v>
      </c>
      <c r="Z58" s="906">
        <f t="shared" si="132"/>
        <v>25.418292824297705</v>
      </c>
      <c r="AA58" s="906">
        <f t="shared" si="132"/>
        <v>29.458262551674707</v>
      </c>
      <c r="AB58" s="906">
        <f t="shared" si="132"/>
        <v>28.827582230678317</v>
      </c>
      <c r="AC58" s="906">
        <f t="shared" si="132"/>
        <v>30.246387677208297</v>
      </c>
      <c r="AD58" s="906">
        <f t="shared" si="132"/>
        <v>25.898723643084548</v>
      </c>
      <c r="AE58" s="906">
        <f t="shared" si="132"/>
        <v>28.920921538209527</v>
      </c>
      <c r="AF58" s="906">
        <f t="shared" ref="AF58:AM58" si="133">AF57/AF55*100</f>
        <v>30.91542263923618</v>
      </c>
      <c r="AG58" s="906">
        <f t="shared" si="133"/>
        <v>30.99673501769804</v>
      </c>
      <c r="AH58" s="906">
        <f t="shared" si="133"/>
        <v>28.798978488610526</v>
      </c>
      <c r="AI58" s="906">
        <f t="shared" si="133"/>
        <v>31.17041363978829</v>
      </c>
      <c r="AJ58" s="906">
        <f t="shared" si="133"/>
        <v>28.929675378564639</v>
      </c>
      <c r="AK58" s="906">
        <f t="shared" si="133"/>
        <v>31.444127807937861</v>
      </c>
      <c r="AL58" s="904">
        <f t="shared" si="133"/>
        <v>32.576373751504711</v>
      </c>
      <c r="AM58" s="904">
        <f t="shared" si="133"/>
        <v>30.016520709367107</v>
      </c>
      <c r="AN58" s="904">
        <f t="shared" ref="AN58:AO58" si="134">AN57/AN55*100</f>
        <v>30.136886268886588</v>
      </c>
      <c r="AO58" s="904">
        <f t="shared" si="134"/>
        <v>27.525312864012424</v>
      </c>
      <c r="AP58" s="904">
        <f t="shared" ref="AP58:AS58" si="135">AP57/AP55*100</f>
        <v>28.823026631477937</v>
      </c>
      <c r="AQ58" s="904">
        <f t="shared" si="135"/>
        <v>28.361279929706374</v>
      </c>
      <c r="AR58" s="904">
        <f t="shared" si="135"/>
        <v>28.052828544331359</v>
      </c>
      <c r="AS58" s="904">
        <f t="shared" si="135"/>
        <v>28.088227287928628</v>
      </c>
      <c r="AT58" s="904">
        <f t="shared" ref="AT58" si="136">AT57/AT55*100</f>
        <v>28.640845822505412</v>
      </c>
      <c r="AU58" s="904">
        <v>30</v>
      </c>
      <c r="AV58" s="38"/>
      <c r="AW58" s="678">
        <v>30</v>
      </c>
      <c r="AX58" s="56"/>
      <c r="AY58" s="320"/>
      <c r="AZ58" s="56"/>
      <c r="BA58" s="475"/>
      <c r="BB58" s="475"/>
      <c r="BC58" s="475"/>
      <c r="BD58" s="475"/>
      <c r="BE58" s="475"/>
      <c r="BF58" s="475"/>
      <c r="BG58" s="475"/>
    </row>
    <row r="59" spans="1:59">
      <c r="A59" s="38" t="s">
        <v>679</v>
      </c>
      <c r="B59" s="38" t="s">
        <v>92</v>
      </c>
      <c r="C59" s="38"/>
      <c r="D59" s="38"/>
      <c r="E59" s="38"/>
      <c r="F59" s="38"/>
      <c r="G59" s="52"/>
      <c r="H59" s="38"/>
      <c r="I59" s="38"/>
      <c r="J59" s="52"/>
      <c r="K59" s="52"/>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749"/>
      <c r="AM59" s="38"/>
      <c r="AN59" s="749"/>
      <c r="AO59" s="749"/>
      <c r="AP59" s="749"/>
      <c r="AQ59" s="749"/>
      <c r="AR59" s="749"/>
      <c r="AS59" s="749"/>
      <c r="AT59" s="749"/>
      <c r="AU59" s="749"/>
      <c r="AV59" s="38"/>
      <c r="AW59" s="671"/>
      <c r="AX59" s="38"/>
      <c r="AY59" s="38"/>
      <c r="AZ59" s="38"/>
      <c r="BA59" s="475"/>
      <c r="BB59" s="475"/>
      <c r="BC59" s="475"/>
      <c r="BD59" s="475"/>
      <c r="BE59" s="475"/>
      <c r="BF59" s="475"/>
      <c r="BG59" s="475"/>
    </row>
    <row r="60" spans="1:59">
      <c r="A60" s="38" t="s">
        <v>678</v>
      </c>
      <c r="B60" s="38" t="s">
        <v>488</v>
      </c>
      <c r="C60" s="38"/>
      <c r="D60" s="38"/>
      <c r="E60" s="38"/>
      <c r="F60" s="38"/>
      <c r="G60" s="52"/>
      <c r="H60" s="38"/>
      <c r="I60" s="38"/>
      <c r="J60" s="52"/>
      <c r="K60" s="52"/>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749"/>
      <c r="AM60" s="38"/>
      <c r="AN60" s="749"/>
      <c r="AO60" s="749"/>
      <c r="AP60" s="749"/>
      <c r="AQ60" s="749"/>
      <c r="AR60" s="749"/>
      <c r="AS60" s="749"/>
      <c r="AT60" s="749"/>
      <c r="AU60" s="749"/>
      <c r="AV60" s="38"/>
      <c r="AW60" s="671"/>
      <c r="AX60" s="38"/>
      <c r="AY60" s="38"/>
      <c r="AZ60" s="38"/>
      <c r="BA60" s="475"/>
      <c r="BB60" s="475"/>
      <c r="BC60" s="475"/>
      <c r="BD60" s="475"/>
      <c r="BE60" s="475"/>
      <c r="BF60" s="475"/>
      <c r="BG60" s="475"/>
    </row>
    <row r="61" spans="1:59">
      <c r="A61" s="38"/>
      <c r="B61" s="38"/>
      <c r="C61" s="38"/>
      <c r="D61" s="38"/>
      <c r="E61" s="38"/>
      <c r="F61" s="38"/>
      <c r="G61" s="52"/>
      <c r="H61" s="38"/>
      <c r="I61" s="38"/>
      <c r="J61" s="52"/>
      <c r="K61" s="52"/>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749"/>
      <c r="AM61" s="38"/>
      <c r="AN61" s="749"/>
      <c r="AO61" s="749"/>
      <c r="AP61" s="749"/>
      <c r="AQ61" s="749"/>
      <c r="AR61" s="749"/>
      <c r="AS61" s="749"/>
      <c r="AT61" s="749"/>
      <c r="AU61" s="749"/>
      <c r="AV61" s="38"/>
      <c r="AW61" s="671"/>
      <c r="AX61" s="38"/>
      <c r="AY61" s="38"/>
      <c r="AZ61" s="38"/>
      <c r="BA61" s="475"/>
      <c r="BB61" s="475"/>
      <c r="BC61" s="475"/>
      <c r="BD61" s="475"/>
      <c r="BE61" s="475"/>
      <c r="BF61" s="475"/>
      <c r="BG61" s="475"/>
    </row>
    <row r="62" spans="1:59" s="359" customFormat="1">
      <c r="A62" s="13"/>
      <c r="B62" s="13" t="s">
        <v>677</v>
      </c>
      <c r="C62" s="13">
        <f t="shared" ref="C62:AE62" si="137">+C55+C56-C57-C59+C60</f>
        <v>2660.0999999999985</v>
      </c>
      <c r="D62" s="13">
        <f t="shared" si="137"/>
        <v>3188.4999999999982</v>
      </c>
      <c r="E62" s="13">
        <f t="shared" si="137"/>
        <v>3448.2000000000007</v>
      </c>
      <c r="F62" s="13">
        <f t="shared" si="137"/>
        <v>3083.0999999999981</v>
      </c>
      <c r="G62" s="54">
        <f t="shared" si="137"/>
        <v>2260.0999999999995</v>
      </c>
      <c r="H62" s="13">
        <f t="shared" si="137"/>
        <v>3359.6000000000004</v>
      </c>
      <c r="I62" s="13">
        <f t="shared" si="137"/>
        <v>2136.7999999999997</v>
      </c>
      <c r="J62" s="54">
        <f t="shared" si="137"/>
        <v>1207.900000000001</v>
      </c>
      <c r="K62" s="54">
        <f t="shared" si="137"/>
        <v>1751.2000000000016</v>
      </c>
      <c r="L62" s="13">
        <f t="shared" si="137"/>
        <v>1848.7000000000003</v>
      </c>
      <c r="M62" s="13">
        <f t="shared" si="137"/>
        <v>1642.699999999998</v>
      </c>
      <c r="N62" s="13">
        <f t="shared" si="137"/>
        <v>1302.1000000000017</v>
      </c>
      <c r="O62" s="13">
        <f t="shared" si="137"/>
        <v>2934.8999999999987</v>
      </c>
      <c r="P62" s="13">
        <f t="shared" si="137"/>
        <v>4028.2999999999984</v>
      </c>
      <c r="Q62" s="13">
        <f t="shared" si="137"/>
        <v>4751.5800000000008</v>
      </c>
      <c r="R62" s="13">
        <f t="shared" si="137"/>
        <v>5321.7000000000016</v>
      </c>
      <c r="S62" s="13">
        <f t="shared" si="137"/>
        <v>5901.4999999999964</v>
      </c>
      <c r="T62" s="13">
        <f t="shared" si="137"/>
        <v>6820.7999999999956</v>
      </c>
      <c r="U62" s="13">
        <f t="shared" si="137"/>
        <v>6671.1000000000022</v>
      </c>
      <c r="V62" s="13">
        <f t="shared" si="137"/>
        <v>14004.800000000003</v>
      </c>
      <c r="W62" s="13">
        <f t="shared" si="137"/>
        <v>7110.6000000000058</v>
      </c>
      <c r="X62" s="13">
        <f t="shared" si="137"/>
        <v>7257.9999999999982</v>
      </c>
      <c r="Y62" s="13">
        <f t="shared" si="137"/>
        <v>7951.8999999999942</v>
      </c>
      <c r="Z62" s="13">
        <f t="shared" si="137"/>
        <v>7720.3999999999951</v>
      </c>
      <c r="AA62" s="13">
        <f t="shared" si="137"/>
        <v>7183.8999999999978</v>
      </c>
      <c r="AB62" s="13">
        <f t="shared" si="137"/>
        <v>7406.6999999999989</v>
      </c>
      <c r="AC62" s="13">
        <f t="shared" si="137"/>
        <v>8187.3999999999951</v>
      </c>
      <c r="AD62" s="13">
        <f t="shared" si="137"/>
        <v>7657.6999999999989</v>
      </c>
      <c r="AE62" s="13">
        <f t="shared" si="137"/>
        <v>7376.8000000000029</v>
      </c>
      <c r="AF62" s="13">
        <f t="shared" ref="AF62:AM62" si="138">+AF55+AF56-AF57-AF59+AF60</f>
        <v>8371.5999999999985</v>
      </c>
      <c r="AG62" s="13">
        <f t="shared" si="138"/>
        <v>9045.4999999999964</v>
      </c>
      <c r="AH62" s="13">
        <f t="shared" si="138"/>
        <v>7639.2999999999975</v>
      </c>
      <c r="AI62" s="13">
        <f t="shared" si="138"/>
        <v>7399.8000000000011</v>
      </c>
      <c r="AJ62" s="13">
        <f t="shared" si="138"/>
        <v>5909.0000000000009</v>
      </c>
      <c r="AK62" s="13">
        <f t="shared" si="138"/>
        <v>8612.3999999999942</v>
      </c>
      <c r="AL62" s="752">
        <f t="shared" si="138"/>
        <v>6217.1999999999971</v>
      </c>
      <c r="AM62" s="13">
        <f t="shared" si="138"/>
        <v>9573.5999999999949</v>
      </c>
      <c r="AN62" s="981">
        <f t="shared" ref="AN62:AO62" si="139">+AN55+AN56-AN57-AN59+AN60</f>
        <v>10523.899999999998</v>
      </c>
      <c r="AO62" s="981">
        <f t="shared" si="139"/>
        <v>9706.0999999999985</v>
      </c>
      <c r="AP62" s="981">
        <f t="shared" ref="AP62:AR62" si="140">+AP55+AP56-AP57-AP59+AP60</f>
        <v>9493.2999999999956</v>
      </c>
      <c r="AQ62" s="981">
        <f t="shared" si="140"/>
        <v>9783.7000000000007</v>
      </c>
      <c r="AR62" s="981">
        <f t="shared" si="140"/>
        <v>11227.500000000007</v>
      </c>
      <c r="AS62" s="981">
        <f t="shared" ref="AS62" si="141">+AS55+AS56-AS57-AS59+AS60</f>
        <v>9246.2000000000007</v>
      </c>
      <c r="AT62" s="981">
        <f t="shared" ref="AT62" si="142">+AT55+AT56-AT57-AT59+AT60</f>
        <v>8018.2000000000071</v>
      </c>
      <c r="AU62" s="981">
        <f t="shared" ref="AU62" si="143">+AU55+AU56-AU57-AU59+AU60</f>
        <v>9007.9449392632232</v>
      </c>
      <c r="AV62" s="319"/>
      <c r="AW62" s="674">
        <v>8011.2803258958484</v>
      </c>
      <c r="AX62" s="38"/>
      <c r="AY62" s="13"/>
      <c r="AZ62" s="13"/>
      <c r="BA62" s="495"/>
      <c r="BB62" s="495"/>
      <c r="BC62" s="495"/>
      <c r="BD62" s="495"/>
      <c r="BE62" s="495"/>
      <c r="BF62" s="495"/>
      <c r="BG62" s="495"/>
    </row>
    <row r="63" spans="1:59" s="362" customFormat="1">
      <c r="A63" s="42" t="s">
        <v>163</v>
      </c>
      <c r="B63" s="42" t="s">
        <v>516</v>
      </c>
      <c r="C63" s="44"/>
      <c r="D63" s="44"/>
      <c r="E63" s="44"/>
      <c r="F63" s="44"/>
      <c r="G63" s="49">
        <f t="shared" ref="G63:AE63" si="144">+(G62/C62-1)</f>
        <v>-0.15037028683132192</v>
      </c>
      <c r="H63" s="42">
        <f t="shared" si="144"/>
        <v>5.3661596361926467E-2</v>
      </c>
      <c r="I63" s="42">
        <f t="shared" si="144"/>
        <v>-0.38031436691607234</v>
      </c>
      <c r="J63" s="49">
        <f t="shared" si="144"/>
        <v>-0.60821900035678311</v>
      </c>
      <c r="K63" s="49">
        <f t="shared" si="144"/>
        <v>-0.22516702800760935</v>
      </c>
      <c r="L63" s="42">
        <f t="shared" si="144"/>
        <v>-0.44972615787593762</v>
      </c>
      <c r="M63" s="42">
        <f t="shared" si="144"/>
        <v>-0.23123362036690465</v>
      </c>
      <c r="N63" s="49">
        <f t="shared" si="144"/>
        <v>7.7986588293733394E-2</v>
      </c>
      <c r="O63" s="49">
        <f t="shared" si="144"/>
        <v>0.67593650068524203</v>
      </c>
      <c r="P63" s="49">
        <f t="shared" si="144"/>
        <v>1.1789906420728067</v>
      </c>
      <c r="Q63" s="49">
        <f t="shared" si="144"/>
        <v>1.8925427649601305</v>
      </c>
      <c r="R63" s="49">
        <f t="shared" si="144"/>
        <v>3.087013286229932</v>
      </c>
      <c r="S63" s="49">
        <f t="shared" si="144"/>
        <v>1.0108010494395034</v>
      </c>
      <c r="T63" s="49">
        <f t="shared" si="144"/>
        <v>0.69322046520864844</v>
      </c>
      <c r="U63" s="49">
        <f t="shared" si="144"/>
        <v>0.40397509880923832</v>
      </c>
      <c r="V63" s="49">
        <f t="shared" si="144"/>
        <v>1.6316402653287483</v>
      </c>
      <c r="W63" s="49">
        <f t="shared" si="144"/>
        <v>0.20488011522494465</v>
      </c>
      <c r="X63" s="49">
        <f t="shared" si="144"/>
        <v>6.4098053014309597E-2</v>
      </c>
      <c r="Y63" s="49">
        <f t="shared" si="144"/>
        <v>0.19199232510380471</v>
      </c>
      <c r="Z63" s="49">
        <f t="shared" si="144"/>
        <v>-0.4487318633611338</v>
      </c>
      <c r="AA63" s="49">
        <f t="shared" si="144"/>
        <v>1.0308553427276435E-2</v>
      </c>
      <c r="AB63" s="49">
        <f t="shared" si="144"/>
        <v>2.0487737668779316E-2</v>
      </c>
      <c r="AC63" s="49">
        <f t="shared" si="144"/>
        <v>2.9615563576000925E-2</v>
      </c>
      <c r="AD63" s="49">
        <f t="shared" si="144"/>
        <v>-8.1213408631671813E-3</v>
      </c>
      <c r="AE63" s="49">
        <f t="shared" si="144"/>
        <v>2.6851710073916069E-2</v>
      </c>
      <c r="AF63" s="49">
        <f t="shared" ref="AF63:AP63" si="145">+(AF62/AB62-1)</f>
        <v>0.13027394116138091</v>
      </c>
      <c r="AG63" s="49">
        <f t="shared" si="145"/>
        <v>0.10480738696045155</v>
      </c>
      <c r="AH63" s="49">
        <f t="shared" si="145"/>
        <v>-2.4028102432847032E-3</v>
      </c>
      <c r="AI63" s="49">
        <f t="shared" si="145"/>
        <v>3.1178830929396995E-3</v>
      </c>
      <c r="AJ63" s="49">
        <f t="shared" si="145"/>
        <v>-0.29416121171580079</v>
      </c>
      <c r="AK63" s="49">
        <f t="shared" si="145"/>
        <v>-4.7880161406224309E-2</v>
      </c>
      <c r="AL63" s="751">
        <f t="shared" si="145"/>
        <v>-0.18615579961514805</v>
      </c>
      <c r="AM63" s="49">
        <f t="shared" si="145"/>
        <v>0.29376469634314351</v>
      </c>
      <c r="AN63" s="751">
        <f t="shared" si="145"/>
        <v>0.78099509223218755</v>
      </c>
      <c r="AO63" s="751">
        <f t="shared" si="145"/>
        <v>0.12699131484835879</v>
      </c>
      <c r="AP63" s="751">
        <f t="shared" si="145"/>
        <v>0.52694138840635651</v>
      </c>
      <c r="AQ63" s="751">
        <f t="shared" ref="AQ63:AU63" si="146">+(AQ62/AM62-1)</f>
        <v>2.1945767527367543E-2</v>
      </c>
      <c r="AR63" s="751">
        <f t="shared" si="146"/>
        <v>6.6857343760393873E-2</v>
      </c>
      <c r="AS63" s="751">
        <f t="shared" si="146"/>
        <v>-4.7382573845313525E-2</v>
      </c>
      <c r="AT63" s="751">
        <f t="shared" si="146"/>
        <v>-0.15538327030642551</v>
      </c>
      <c r="AU63" s="751">
        <f t="shared" si="146"/>
        <v>-7.9290560906076224E-2</v>
      </c>
      <c r="AV63" s="895"/>
      <c r="AW63" s="668">
        <v>-0.15611217112112241</v>
      </c>
      <c r="AX63" s="38"/>
      <c r="AY63" s="42"/>
      <c r="AZ63" s="42"/>
      <c r="BA63" s="496"/>
      <c r="BB63" s="496"/>
      <c r="BC63" s="496"/>
      <c r="BD63" s="496"/>
      <c r="BE63" s="496"/>
      <c r="BF63" s="496"/>
      <c r="BG63" s="496"/>
    </row>
    <row r="64" spans="1:59" s="362" customFormat="1">
      <c r="A64" s="42" t="s">
        <v>163</v>
      </c>
      <c r="B64" s="42" t="s">
        <v>517</v>
      </c>
      <c r="C64" s="44"/>
      <c r="D64" s="42">
        <f t="shared" ref="D64:AE64" si="147">+(D62/C62-1)</f>
        <v>0.19863914890417655</v>
      </c>
      <c r="E64" s="42">
        <f t="shared" si="147"/>
        <v>8.1448957189901972E-2</v>
      </c>
      <c r="F64" s="42">
        <f t="shared" si="147"/>
        <v>-0.10588132938924733</v>
      </c>
      <c r="G64" s="49">
        <f t="shared" si="147"/>
        <v>-0.26693911971716755</v>
      </c>
      <c r="H64" s="42">
        <f t="shared" si="147"/>
        <v>0.48648289898677111</v>
      </c>
      <c r="I64" s="42">
        <f t="shared" si="147"/>
        <v>-0.36397190141683544</v>
      </c>
      <c r="J64" s="49">
        <f t="shared" si="147"/>
        <v>-0.43471546237364234</v>
      </c>
      <c r="K64" s="49">
        <f t="shared" si="147"/>
        <v>0.4497888898087592</v>
      </c>
      <c r="L64" s="42">
        <f t="shared" si="147"/>
        <v>5.5676107811785336E-2</v>
      </c>
      <c r="M64" s="42">
        <f t="shared" si="147"/>
        <v>-0.11142965326986654</v>
      </c>
      <c r="N64" s="49">
        <f t="shared" si="147"/>
        <v>-0.20734157180251822</v>
      </c>
      <c r="O64" s="49">
        <f t="shared" si="147"/>
        <v>1.2539743491283271</v>
      </c>
      <c r="P64" s="42">
        <f t="shared" si="147"/>
        <v>0.37255102388497052</v>
      </c>
      <c r="Q64" s="42">
        <f t="shared" si="147"/>
        <v>0.17954968597175047</v>
      </c>
      <c r="R64" s="42">
        <f t="shared" si="147"/>
        <v>0.11998535224072859</v>
      </c>
      <c r="S64" s="42">
        <f t="shared" si="147"/>
        <v>0.10895014750925358</v>
      </c>
      <c r="T64" s="42">
        <f t="shared" si="147"/>
        <v>0.1557739557739557</v>
      </c>
      <c r="U64" s="42">
        <f t="shared" si="147"/>
        <v>-2.1947572132300253E-2</v>
      </c>
      <c r="V64" s="42">
        <f t="shared" si="147"/>
        <v>1.0993239495735332</v>
      </c>
      <c r="W64" s="42">
        <f t="shared" si="147"/>
        <v>-0.49227407745915652</v>
      </c>
      <c r="X64" s="42">
        <f t="shared" si="147"/>
        <v>2.0729614941072727E-2</v>
      </c>
      <c r="Y64" s="42">
        <f t="shared" si="147"/>
        <v>9.5604849820886795E-2</v>
      </c>
      <c r="Z64" s="42">
        <f t="shared" si="147"/>
        <v>-2.9112539141588734E-2</v>
      </c>
      <c r="AA64" s="42">
        <f t="shared" si="147"/>
        <v>-6.949121807160219E-2</v>
      </c>
      <c r="AB64" s="42">
        <f t="shared" si="147"/>
        <v>3.1013794735450295E-2</v>
      </c>
      <c r="AC64" s="42">
        <f t="shared" si="147"/>
        <v>0.10540456613606541</v>
      </c>
      <c r="AD64" s="42">
        <f t="shared" si="147"/>
        <v>-6.469697339814795E-2</v>
      </c>
      <c r="AE64" s="42">
        <f t="shared" si="147"/>
        <v>-3.6682032464055214E-2</v>
      </c>
      <c r="AF64" s="42">
        <f t="shared" ref="AF64:AP64" si="148">+(AF62/AE62-1)</f>
        <v>0.13485522177637943</v>
      </c>
      <c r="AG64" s="42">
        <f t="shared" si="148"/>
        <v>8.0498351569592286E-2</v>
      </c>
      <c r="AH64" s="42">
        <f t="shared" si="148"/>
        <v>-0.15545851528384269</v>
      </c>
      <c r="AI64" s="42">
        <f t="shared" si="148"/>
        <v>-3.1351040016755038E-2</v>
      </c>
      <c r="AJ64" s="42">
        <f t="shared" si="148"/>
        <v>-0.20146490445687726</v>
      </c>
      <c r="AK64" s="42">
        <f t="shared" si="148"/>
        <v>0.45750550008461555</v>
      </c>
      <c r="AL64" s="751">
        <f t="shared" si="148"/>
        <v>-0.27811063118294532</v>
      </c>
      <c r="AM64" s="42">
        <f t="shared" si="148"/>
        <v>0.5398571704304187</v>
      </c>
      <c r="AN64" s="751">
        <f t="shared" si="148"/>
        <v>9.9262555360575266E-2</v>
      </c>
      <c r="AO64" s="751">
        <f t="shared" si="148"/>
        <v>-7.7708834177443675E-2</v>
      </c>
      <c r="AP64" s="751">
        <f t="shared" si="148"/>
        <v>-2.1924356847755844E-2</v>
      </c>
      <c r="AQ64" s="751">
        <f t="shared" ref="AQ64:AU64" si="149">+(AQ62/AP62-1)</f>
        <v>3.0589995049140395E-2</v>
      </c>
      <c r="AR64" s="751">
        <f t="shared" si="149"/>
        <v>0.14757198197001209</v>
      </c>
      <c r="AS64" s="751">
        <f t="shared" si="149"/>
        <v>-0.17646849254063735</v>
      </c>
      <c r="AT64" s="751">
        <f t="shared" si="149"/>
        <v>-0.1328113170816112</v>
      </c>
      <c r="AU64" s="751">
        <f t="shared" si="149"/>
        <v>0.12343729755596211</v>
      </c>
      <c r="AV64" s="42"/>
      <c r="AW64" s="669">
        <v>-0.13355969740046203</v>
      </c>
      <c r="AX64" s="38"/>
      <c r="AY64" s="49"/>
      <c r="AZ64" s="42"/>
      <c r="BA64" s="496"/>
      <c r="BB64" s="496"/>
      <c r="BC64" s="496"/>
      <c r="BD64" s="496"/>
      <c r="BE64" s="496"/>
      <c r="BF64" s="496"/>
      <c r="BG64" s="496"/>
    </row>
    <row r="65" spans="1:59" s="362" customFormat="1">
      <c r="A65" s="42"/>
      <c r="B65" s="42"/>
      <c r="C65" s="44"/>
      <c r="D65" s="42"/>
      <c r="E65" s="42"/>
      <c r="F65" s="42"/>
      <c r="G65" s="49"/>
      <c r="H65" s="42"/>
      <c r="I65" s="42"/>
      <c r="J65" s="49"/>
      <c r="K65" s="49"/>
      <c r="L65" s="42"/>
      <c r="M65" s="42"/>
      <c r="N65" s="42"/>
      <c r="O65" s="42"/>
      <c r="P65" s="42"/>
      <c r="Q65" s="42"/>
      <c r="R65" s="42"/>
      <c r="S65" s="42"/>
      <c r="T65" s="42"/>
      <c r="U65" s="42"/>
      <c r="V65" s="42"/>
      <c r="W65" s="42"/>
      <c r="X65" s="42"/>
      <c r="Y65" s="42"/>
      <c r="Z65" s="42"/>
      <c r="AA65" s="42"/>
      <c r="AB65" s="42"/>
      <c r="AC65" s="42"/>
      <c r="AD65" s="42"/>
      <c r="AE65" s="42"/>
      <c r="AF65" s="42"/>
      <c r="AG65" s="42"/>
      <c r="AH65" s="42"/>
      <c r="AI65" s="42"/>
      <c r="AJ65" s="42"/>
      <c r="AK65" s="42"/>
      <c r="AL65" s="751"/>
      <c r="AM65" s="42"/>
      <c r="AN65" s="751"/>
      <c r="AO65" s="751"/>
      <c r="AP65" s="751"/>
      <c r="AQ65" s="751"/>
      <c r="AR65" s="751"/>
      <c r="AS65" s="751"/>
      <c r="AT65" s="751"/>
      <c r="AU65" s="751"/>
      <c r="AV65" s="42"/>
      <c r="AW65" s="669"/>
      <c r="AX65" s="38"/>
      <c r="AY65" s="42"/>
      <c r="AZ65" s="42"/>
      <c r="BA65" s="496"/>
      <c r="BB65" s="496"/>
      <c r="BC65" s="496"/>
      <c r="BD65" s="496"/>
      <c r="BE65" s="496"/>
      <c r="BF65" s="496"/>
      <c r="BG65" s="496"/>
    </row>
    <row r="66" spans="1:59">
      <c r="A66" s="38" t="s">
        <v>678</v>
      </c>
      <c r="B66" s="38" t="s">
        <v>686</v>
      </c>
      <c r="C66" s="38"/>
      <c r="D66" s="38"/>
      <c r="E66" s="38"/>
      <c r="F66" s="38"/>
      <c r="G66" s="52"/>
      <c r="H66" s="38"/>
      <c r="I66" s="38">
        <f>(-I53*0.67)-2.9</f>
        <v>340.00600000000003</v>
      </c>
      <c r="J66" s="52">
        <f>-J56*0.67</f>
        <v>-0.80400000000000005</v>
      </c>
      <c r="K66" s="52"/>
      <c r="L66" s="52">
        <f>-L53*0.67</f>
        <v>409.37</v>
      </c>
      <c r="M66" s="52">
        <f>-M53*0.67</f>
        <v>409.37</v>
      </c>
      <c r="N66" s="52">
        <f>-N53*0.67</f>
        <v>669.33</v>
      </c>
      <c r="O66" s="52">
        <f>458.2*0.67-218</f>
        <v>88.994000000000028</v>
      </c>
      <c r="P66" s="52">
        <f>-P53*0.67</f>
        <v>307.06100000000004</v>
      </c>
      <c r="Q66" s="52">
        <f>-Q53*0.67</f>
        <v>306.99400000000003</v>
      </c>
      <c r="R66" s="52">
        <f>-26.2-9-R53*0.67</f>
        <v>271.86100000000005</v>
      </c>
      <c r="S66" s="52"/>
      <c r="T66" s="52"/>
      <c r="U66" s="52"/>
      <c r="V66" s="52">
        <f>-V53</f>
        <v>-7245.5000000000009</v>
      </c>
      <c r="W66" s="52">
        <f>-W53</f>
        <v>0</v>
      </c>
      <c r="X66" s="52">
        <f>-X53*0.7</f>
        <v>667.87</v>
      </c>
      <c r="Y66" s="52">
        <f>-Y53*0.7</f>
        <v>412.02</v>
      </c>
      <c r="Z66" s="52">
        <f>-Z53</f>
        <v>-62.699999999999989</v>
      </c>
      <c r="AA66" s="52">
        <f>-AA53</f>
        <v>0</v>
      </c>
      <c r="AB66" s="52">
        <f>-AB53</f>
        <v>0</v>
      </c>
      <c r="AC66" s="52">
        <f>-AC53</f>
        <v>0</v>
      </c>
      <c r="AD66" s="52">
        <f>-AD53</f>
        <v>0</v>
      </c>
      <c r="AE66" s="52">
        <f t="shared" ref="AE66:AM66" si="150">-AE53*0.7</f>
        <v>672</v>
      </c>
      <c r="AF66" s="52">
        <f t="shared" si="150"/>
        <v>275.52</v>
      </c>
      <c r="AG66" s="52">
        <f t="shared" si="150"/>
        <v>-668.64</v>
      </c>
      <c r="AH66" s="52">
        <f t="shared" si="150"/>
        <v>249.2</v>
      </c>
      <c r="AI66" s="52">
        <f t="shared" si="150"/>
        <v>470.60999999999996</v>
      </c>
      <c r="AJ66" s="52">
        <f t="shared" si="150"/>
        <v>2853.8999999999996</v>
      </c>
      <c r="AK66" s="52">
        <f t="shared" si="150"/>
        <v>-552.92999999999995</v>
      </c>
      <c r="AL66" s="749">
        <f t="shared" si="150"/>
        <v>-38.01</v>
      </c>
      <c r="AM66" s="749">
        <f t="shared" si="150"/>
        <v>0</v>
      </c>
      <c r="AN66" s="749">
        <f t="shared" ref="AN66:AO66" si="151">-AN53*0.7</f>
        <v>0</v>
      </c>
      <c r="AO66" s="749">
        <f t="shared" si="151"/>
        <v>0</v>
      </c>
      <c r="AP66" s="749">
        <f t="shared" ref="AP66:AR66" si="152">-AP53*0.7</f>
        <v>0</v>
      </c>
      <c r="AQ66" s="749">
        <f t="shared" si="152"/>
        <v>0</v>
      </c>
      <c r="AR66" s="749">
        <f t="shared" si="152"/>
        <v>0</v>
      </c>
      <c r="AS66" s="749">
        <f t="shared" ref="AS66" si="153">-AS53*0.7</f>
        <v>0</v>
      </c>
      <c r="AT66" s="749">
        <f t="shared" ref="AT66" si="154">-AT53*0.7</f>
        <v>0</v>
      </c>
      <c r="AU66" s="749">
        <f t="shared" ref="AU66" si="155">-AU53*0.7</f>
        <v>0</v>
      </c>
      <c r="AV66" s="38">
        <v>10240</v>
      </c>
      <c r="AW66" s="679">
        <v>0</v>
      </c>
      <c r="AX66" s="38"/>
      <c r="AY66" s="52"/>
      <c r="AZ66" s="52"/>
      <c r="BA66" s="475"/>
      <c r="BB66" s="475"/>
      <c r="BC66" s="475"/>
      <c r="BD66" s="475"/>
      <c r="BE66" s="475"/>
      <c r="BF66" s="475"/>
      <c r="BG66" s="475"/>
    </row>
    <row r="67" spans="1:59" s="359" customFormat="1">
      <c r="A67" s="13"/>
      <c r="B67" s="13" t="s">
        <v>687</v>
      </c>
      <c r="C67" s="13">
        <f t="shared" ref="C67:AM67" si="156">+C62+C66</f>
        <v>2660.0999999999985</v>
      </c>
      <c r="D67" s="13">
        <f t="shared" si="156"/>
        <v>3188.4999999999982</v>
      </c>
      <c r="E67" s="13">
        <f t="shared" si="156"/>
        <v>3448.2000000000007</v>
      </c>
      <c r="F67" s="13">
        <f t="shared" si="156"/>
        <v>3083.0999999999981</v>
      </c>
      <c r="G67" s="54">
        <f t="shared" si="156"/>
        <v>2260.0999999999995</v>
      </c>
      <c r="H67" s="13">
        <f t="shared" si="156"/>
        <v>3359.6000000000004</v>
      </c>
      <c r="I67" s="13">
        <f t="shared" si="156"/>
        <v>2476.8059999999996</v>
      </c>
      <c r="J67" s="54">
        <f t="shared" si="156"/>
        <v>1207.0960000000009</v>
      </c>
      <c r="K67" s="54">
        <f t="shared" si="156"/>
        <v>1751.2000000000016</v>
      </c>
      <c r="L67" s="13">
        <f t="shared" si="156"/>
        <v>2258.0700000000002</v>
      </c>
      <c r="M67" s="13">
        <f t="shared" si="156"/>
        <v>2052.0699999999979</v>
      </c>
      <c r="N67" s="13">
        <f t="shared" si="156"/>
        <v>1971.4300000000017</v>
      </c>
      <c r="O67" s="13">
        <f t="shared" si="156"/>
        <v>3023.8939999999989</v>
      </c>
      <c r="P67" s="13">
        <f t="shared" si="156"/>
        <v>4335.3609999999981</v>
      </c>
      <c r="Q67" s="13">
        <f t="shared" si="156"/>
        <v>5058.5740000000005</v>
      </c>
      <c r="R67" s="13">
        <f t="shared" si="156"/>
        <v>5593.5610000000015</v>
      </c>
      <c r="S67" s="13">
        <f t="shared" si="156"/>
        <v>5901.4999999999964</v>
      </c>
      <c r="T67" s="13">
        <f t="shared" si="156"/>
        <v>6820.7999999999956</v>
      </c>
      <c r="U67" s="13">
        <f t="shared" si="156"/>
        <v>6671.1000000000022</v>
      </c>
      <c r="V67" s="13">
        <f t="shared" si="156"/>
        <v>6759.300000000002</v>
      </c>
      <c r="W67" s="13">
        <f t="shared" si="156"/>
        <v>7110.6000000000058</v>
      </c>
      <c r="X67" s="13">
        <f t="shared" si="156"/>
        <v>7925.8699999999981</v>
      </c>
      <c r="Y67" s="13">
        <f t="shared" si="156"/>
        <v>8363.9199999999946</v>
      </c>
      <c r="Z67" s="13">
        <f t="shared" si="156"/>
        <v>7657.6999999999953</v>
      </c>
      <c r="AA67" s="13">
        <f t="shared" si="156"/>
        <v>7183.8999999999978</v>
      </c>
      <c r="AB67" s="13">
        <f t="shared" si="156"/>
        <v>7406.6999999999989</v>
      </c>
      <c r="AC67" s="13">
        <f t="shared" si="156"/>
        <v>8187.3999999999951</v>
      </c>
      <c r="AD67" s="13">
        <f t="shared" si="156"/>
        <v>7657.6999999999989</v>
      </c>
      <c r="AE67" s="13">
        <f t="shared" si="156"/>
        <v>8048.8000000000029</v>
      </c>
      <c r="AF67" s="13">
        <f t="shared" ref="AF67:AK67" si="157">+AF62+AF66</f>
        <v>8647.119999999999</v>
      </c>
      <c r="AG67" s="13">
        <f t="shared" si="157"/>
        <v>8376.8599999999969</v>
      </c>
      <c r="AH67" s="13">
        <f t="shared" si="157"/>
        <v>7888.4999999999973</v>
      </c>
      <c r="AI67" s="13">
        <f t="shared" si="157"/>
        <v>7870.4100000000008</v>
      </c>
      <c r="AJ67" s="13">
        <f t="shared" si="157"/>
        <v>8762.9000000000015</v>
      </c>
      <c r="AK67" s="13">
        <f t="shared" si="157"/>
        <v>8059.4699999999939</v>
      </c>
      <c r="AL67" s="981">
        <f t="shared" si="156"/>
        <v>6179.1899999999969</v>
      </c>
      <c r="AM67" s="982">
        <f t="shared" si="156"/>
        <v>9573.5999999999949</v>
      </c>
      <c r="AN67" s="982">
        <f t="shared" ref="AN67:AO67" si="158">+AN62+AN66</f>
        <v>10523.899999999998</v>
      </c>
      <c r="AO67" s="982">
        <f t="shared" si="158"/>
        <v>9706.0999999999985</v>
      </c>
      <c r="AP67" s="982">
        <f t="shared" ref="AP67:AQ67" si="159">+AP62+AP66</f>
        <v>9493.2999999999956</v>
      </c>
      <c r="AQ67" s="982">
        <f t="shared" si="159"/>
        <v>9783.7000000000007</v>
      </c>
      <c r="AR67" s="982">
        <f t="shared" ref="AR67" si="160">+AR62+AR66</f>
        <v>11227.500000000007</v>
      </c>
      <c r="AS67" s="982">
        <f t="shared" ref="AS67" si="161">+AS62+AS66</f>
        <v>9246.2000000000007</v>
      </c>
      <c r="AT67" s="982">
        <f t="shared" ref="AT67" si="162">+AT62+AT66</f>
        <v>8018.2000000000071</v>
      </c>
      <c r="AU67" s="982">
        <f t="shared" ref="AU67" si="163">+AU62+AU66</f>
        <v>9007.9449392632232</v>
      </c>
      <c r="AV67" s="909">
        <f>+AR67/AW67-1</f>
        <v>0.40146138235956808</v>
      </c>
      <c r="AW67" s="674">
        <v>8011.2803258958484</v>
      </c>
      <c r="AX67" s="38"/>
      <c r="AY67" s="13"/>
      <c r="AZ67" s="13"/>
      <c r="BA67" s="495"/>
      <c r="BB67" s="495"/>
      <c r="BC67" s="495"/>
      <c r="BD67" s="495"/>
      <c r="BE67" s="495"/>
      <c r="BF67" s="495"/>
      <c r="BG67" s="495"/>
    </row>
    <row r="68" spans="1:59" s="362" customFormat="1">
      <c r="A68" s="42" t="s">
        <v>163</v>
      </c>
      <c r="B68" s="42" t="s">
        <v>516</v>
      </c>
      <c r="C68" s="44"/>
      <c r="D68" s="44"/>
      <c r="E68" s="44"/>
      <c r="F68" s="44"/>
      <c r="G68" s="49">
        <f t="shared" ref="G68:AE68" si="164">+(G67/C67-1)</f>
        <v>-0.15037028683132192</v>
      </c>
      <c r="H68" s="42">
        <f t="shared" si="164"/>
        <v>5.3661596361926467E-2</v>
      </c>
      <c r="I68" s="42">
        <f t="shared" si="164"/>
        <v>-0.28171045763006808</v>
      </c>
      <c r="J68" s="49">
        <f t="shared" si="164"/>
        <v>-0.60847977684797716</v>
      </c>
      <c r="K68" s="49">
        <f t="shared" si="164"/>
        <v>-0.22516702800760935</v>
      </c>
      <c r="L68" s="42">
        <f t="shared" si="164"/>
        <v>-0.32787534230265514</v>
      </c>
      <c r="M68" s="42">
        <f t="shared" si="164"/>
        <v>-0.17148537269370379</v>
      </c>
      <c r="N68" s="49">
        <f t="shared" si="164"/>
        <v>0.63320067335158114</v>
      </c>
      <c r="O68" s="49">
        <f t="shared" si="164"/>
        <v>0.72675536774782779</v>
      </c>
      <c r="P68" s="49">
        <f t="shared" si="164"/>
        <v>0.91994092300061459</v>
      </c>
      <c r="Q68" s="49">
        <f t="shared" si="164"/>
        <v>1.4651079154219913</v>
      </c>
      <c r="R68" s="49">
        <f t="shared" si="164"/>
        <v>1.8373114947018139</v>
      </c>
      <c r="S68" s="49">
        <f t="shared" si="164"/>
        <v>0.95162264285718967</v>
      </c>
      <c r="T68" s="49">
        <f t="shared" si="164"/>
        <v>0.57329458838606495</v>
      </c>
      <c r="U68" s="49">
        <f t="shared" si="164"/>
        <v>0.31877086309303793</v>
      </c>
      <c r="V68" s="49">
        <f t="shared" si="164"/>
        <v>0.20840730976206401</v>
      </c>
      <c r="W68" s="49">
        <f t="shared" si="164"/>
        <v>0.20488011522494465</v>
      </c>
      <c r="X68" s="49">
        <f t="shared" si="164"/>
        <v>0.16201471968097625</v>
      </c>
      <c r="Y68" s="49">
        <f t="shared" si="164"/>
        <v>0.2537542534214734</v>
      </c>
      <c r="Z68" s="49">
        <f t="shared" si="164"/>
        <v>0.13291317148225312</v>
      </c>
      <c r="AA68" s="49">
        <f t="shared" si="164"/>
        <v>1.0308553427276435E-2</v>
      </c>
      <c r="AB68" s="49">
        <f t="shared" si="164"/>
        <v>-6.550321920495783E-2</v>
      </c>
      <c r="AC68" s="49">
        <f t="shared" si="164"/>
        <v>-2.110493644128586E-2</v>
      </c>
      <c r="AD68" s="49">
        <f t="shared" si="164"/>
        <v>4.4408920985006262E-16</v>
      </c>
      <c r="AE68" s="49">
        <f t="shared" si="164"/>
        <v>0.12039421484152135</v>
      </c>
      <c r="AF68" s="49">
        <f t="shared" ref="AF68:AP68" si="165">+(AF67/AB67-1)</f>
        <v>0.16747269364224282</v>
      </c>
      <c r="AG68" s="49">
        <f t="shared" si="165"/>
        <v>2.3140435303026896E-2</v>
      </c>
      <c r="AH68" s="49">
        <f t="shared" si="165"/>
        <v>3.0139598051634131E-2</v>
      </c>
      <c r="AI68" s="49">
        <f t="shared" si="165"/>
        <v>-2.2163552330782488E-2</v>
      </c>
      <c r="AJ68" s="49">
        <f t="shared" si="165"/>
        <v>1.3389429081590354E-2</v>
      </c>
      <c r="AK68" s="49">
        <f t="shared" si="165"/>
        <v>-3.7888898704288132E-2</v>
      </c>
      <c r="AL68" s="751">
        <f t="shared" si="165"/>
        <v>-0.21668378018634737</v>
      </c>
      <c r="AM68" s="49">
        <f t="shared" si="165"/>
        <v>0.21640422798812176</v>
      </c>
      <c r="AN68" s="751">
        <f t="shared" si="165"/>
        <v>0.20096086911867039</v>
      </c>
      <c r="AO68" s="751">
        <f t="shared" si="165"/>
        <v>0.20430996082869046</v>
      </c>
      <c r="AP68" s="751">
        <f t="shared" si="165"/>
        <v>0.53633405025577785</v>
      </c>
      <c r="AQ68" s="751">
        <f t="shared" ref="AQ68:AU68" si="166">+(AQ67/AM67-1)</f>
        <v>2.1945767527367543E-2</v>
      </c>
      <c r="AR68" s="751">
        <f t="shared" si="166"/>
        <v>6.6857343760393873E-2</v>
      </c>
      <c r="AS68" s="751">
        <f t="shared" si="166"/>
        <v>-4.7382573845313525E-2</v>
      </c>
      <c r="AT68" s="751">
        <f t="shared" si="166"/>
        <v>-0.15538327030642551</v>
      </c>
      <c r="AU68" s="751">
        <f t="shared" si="166"/>
        <v>-7.9290560906076224E-2</v>
      </c>
      <c r="AV68" s="915">
        <f>+AR67/AV66-1</f>
        <v>9.6435546875000666E-2</v>
      </c>
      <c r="AW68" s="668">
        <v>-0.15611217112112241</v>
      </c>
      <c r="AX68" s="38"/>
      <c r="AY68" s="42"/>
      <c r="AZ68" s="42"/>
      <c r="BA68" s="496"/>
      <c r="BB68" s="496"/>
      <c r="BC68" s="496"/>
      <c r="BD68" s="496"/>
      <c r="BE68" s="496"/>
      <c r="BF68" s="496"/>
      <c r="BG68" s="496"/>
    </row>
    <row r="69" spans="1:59" s="362" customFormat="1">
      <c r="A69" s="42" t="s">
        <v>163</v>
      </c>
      <c r="B69" s="42" t="s">
        <v>517</v>
      </c>
      <c r="C69" s="44"/>
      <c r="D69" s="42">
        <f t="shared" ref="D69:AE69" si="167">+(D67/C67-1)</f>
        <v>0.19863914890417655</v>
      </c>
      <c r="E69" s="42">
        <f t="shared" si="167"/>
        <v>8.1448957189901972E-2</v>
      </c>
      <c r="F69" s="42">
        <f t="shared" si="167"/>
        <v>-0.10588132938924733</v>
      </c>
      <c r="G69" s="49">
        <f t="shared" si="167"/>
        <v>-0.26693911971716755</v>
      </c>
      <c r="H69" s="42">
        <f t="shared" si="167"/>
        <v>0.48648289898677111</v>
      </c>
      <c r="I69" s="42">
        <f t="shared" si="167"/>
        <v>-0.26276759137992634</v>
      </c>
      <c r="J69" s="49">
        <f t="shared" si="167"/>
        <v>-0.51264006950887508</v>
      </c>
      <c r="K69" s="49">
        <f t="shared" si="167"/>
        <v>0.45075453816432187</v>
      </c>
      <c r="L69" s="42">
        <f t="shared" si="167"/>
        <v>0.28944152581087135</v>
      </c>
      <c r="M69" s="42">
        <f t="shared" si="167"/>
        <v>-9.1228349874008408E-2</v>
      </c>
      <c r="N69" s="49">
        <f t="shared" si="167"/>
        <v>-3.9296905076335764E-2</v>
      </c>
      <c r="O69" s="49">
        <f t="shared" si="167"/>
        <v>0.53385816387089391</v>
      </c>
      <c r="P69" s="42">
        <f t="shared" si="167"/>
        <v>0.43370137974413114</v>
      </c>
      <c r="Q69" s="42">
        <f t="shared" si="167"/>
        <v>0.16681725005138048</v>
      </c>
      <c r="R69" s="42">
        <f t="shared" si="167"/>
        <v>0.1057584607836124</v>
      </c>
      <c r="S69" s="42">
        <f t="shared" si="167"/>
        <v>5.5052407580786999E-2</v>
      </c>
      <c r="T69" s="42">
        <f t="shared" si="167"/>
        <v>0.1557739557739557</v>
      </c>
      <c r="U69" s="42">
        <f t="shared" si="167"/>
        <v>-2.1947572132300253E-2</v>
      </c>
      <c r="V69" s="42">
        <f t="shared" si="167"/>
        <v>1.3221207896748632E-2</v>
      </c>
      <c r="W69" s="42">
        <f t="shared" si="167"/>
        <v>5.1972837423994056E-2</v>
      </c>
      <c r="X69" s="42">
        <f t="shared" si="167"/>
        <v>0.11465558462014336</v>
      </c>
      <c r="Y69" s="42">
        <f t="shared" si="167"/>
        <v>5.52683806320311E-2</v>
      </c>
      <c r="Z69" s="42">
        <f t="shared" si="167"/>
        <v>-8.4436484327922723E-2</v>
      </c>
      <c r="AA69" s="42">
        <f t="shared" si="167"/>
        <v>-6.1872363764576499E-2</v>
      </c>
      <c r="AB69" s="42">
        <f t="shared" si="167"/>
        <v>3.1013794735450295E-2</v>
      </c>
      <c r="AC69" s="42">
        <f t="shared" si="167"/>
        <v>0.10540456613606541</v>
      </c>
      <c r="AD69" s="42">
        <f t="shared" si="167"/>
        <v>-6.469697339814795E-2</v>
      </c>
      <c r="AE69" s="42">
        <f t="shared" si="167"/>
        <v>5.1072776421119181E-2</v>
      </c>
      <c r="AF69" s="42">
        <f t="shared" ref="AF69:AP69" si="168">+(AF67/AE67-1)</f>
        <v>7.4336547062915592E-2</v>
      </c>
      <c r="AG69" s="42">
        <f t="shared" si="168"/>
        <v>-3.1254336704012675E-2</v>
      </c>
      <c r="AH69" s="42">
        <f t="shared" si="168"/>
        <v>-5.8298694260140449E-2</v>
      </c>
      <c r="AI69" s="42">
        <f t="shared" si="168"/>
        <v>-2.2932116371929823E-3</v>
      </c>
      <c r="AJ69" s="42">
        <f t="shared" si="168"/>
        <v>0.11339815841868472</v>
      </c>
      <c r="AK69" s="42">
        <f t="shared" si="168"/>
        <v>-8.0273653699118763E-2</v>
      </c>
      <c r="AL69" s="42">
        <f t="shared" si="168"/>
        <v>-0.23330070091457611</v>
      </c>
      <c r="AM69" s="42">
        <f t="shared" si="168"/>
        <v>0.54932928102226986</v>
      </c>
      <c r="AN69" s="751">
        <f t="shared" si="168"/>
        <v>9.9262555360575266E-2</v>
      </c>
      <c r="AO69" s="751">
        <f t="shared" si="168"/>
        <v>-7.7708834177443675E-2</v>
      </c>
      <c r="AP69" s="751">
        <f t="shared" si="168"/>
        <v>-2.1924356847755844E-2</v>
      </c>
      <c r="AQ69" s="751">
        <f t="shared" ref="AQ69:AU69" si="169">+(AQ67/AP67-1)</f>
        <v>3.0589995049140395E-2</v>
      </c>
      <c r="AR69" s="751">
        <f t="shared" si="169"/>
        <v>0.14757198197001209</v>
      </c>
      <c r="AS69" s="751">
        <f t="shared" si="169"/>
        <v>-0.17646849254063735</v>
      </c>
      <c r="AT69" s="751">
        <f t="shared" si="169"/>
        <v>-0.1328113170816112</v>
      </c>
      <c r="AU69" s="751">
        <f t="shared" si="169"/>
        <v>0.12343729755596211</v>
      </c>
      <c r="AV69" s="42"/>
      <c r="AW69" s="669">
        <v>-0.13355969740046203</v>
      </c>
      <c r="AX69" s="38"/>
      <c r="AY69" s="49"/>
      <c r="AZ69" s="42"/>
      <c r="BA69" s="496"/>
      <c r="BB69" s="496"/>
      <c r="BC69" s="496"/>
      <c r="BD69" s="496"/>
      <c r="BE69" s="496"/>
      <c r="BF69" s="496"/>
      <c r="BG69" s="496"/>
    </row>
    <row r="70" spans="1:59">
      <c r="A70" s="38"/>
      <c r="B70" s="38"/>
      <c r="C70" s="38"/>
      <c r="D70" s="38"/>
      <c r="E70" s="38"/>
      <c r="F70" s="38"/>
      <c r="G70" s="52"/>
      <c r="H70" s="38"/>
      <c r="I70" s="38"/>
      <c r="J70" s="52"/>
      <c r="K70" s="52"/>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749"/>
      <c r="AO70" s="749"/>
      <c r="AP70" s="749"/>
      <c r="AQ70" s="749"/>
      <c r="AR70" s="749"/>
      <c r="AS70" s="749"/>
      <c r="AT70" s="749"/>
      <c r="AU70" s="749"/>
      <c r="AV70" s="38"/>
      <c r="AW70" s="671"/>
      <c r="AX70" s="38"/>
      <c r="AY70" s="38"/>
      <c r="AZ70" s="38"/>
      <c r="BA70" s="475"/>
      <c r="BB70" s="475"/>
      <c r="BC70" s="475"/>
      <c r="BD70" s="475"/>
      <c r="BE70" s="475"/>
      <c r="BF70" s="475"/>
      <c r="BG70" s="475"/>
    </row>
    <row r="71" spans="1:59" s="357" customFormat="1">
      <c r="A71" s="12"/>
      <c r="B71" s="12" t="s">
        <v>572</v>
      </c>
      <c r="C71" s="12"/>
      <c r="D71" s="12"/>
      <c r="E71" s="12"/>
      <c r="F71" s="12"/>
      <c r="G71" s="53"/>
      <c r="H71" s="12"/>
      <c r="I71" s="12"/>
      <c r="J71" s="53"/>
      <c r="K71" s="53"/>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750"/>
      <c r="AO71" s="750"/>
      <c r="AP71" s="750"/>
      <c r="AQ71" s="750"/>
      <c r="AR71" s="750"/>
      <c r="AS71" s="750"/>
      <c r="AT71" s="750"/>
      <c r="AU71" s="750"/>
      <c r="AV71" s="12"/>
      <c r="AW71" s="670"/>
      <c r="AX71" s="38"/>
      <c r="AY71" s="12"/>
      <c r="AZ71" s="12"/>
      <c r="BA71" s="494"/>
      <c r="BB71" s="494"/>
      <c r="BC71" s="494"/>
      <c r="BD71" s="494"/>
      <c r="BE71" s="494"/>
      <c r="BF71" s="494"/>
      <c r="BG71" s="494"/>
    </row>
    <row r="72" spans="1:59" s="363" customFormat="1">
      <c r="A72" s="45"/>
      <c r="B72" s="45" t="s">
        <v>680</v>
      </c>
      <c r="C72" s="45">
        <f t="shared" ref="C72:R73" si="170">+C$62/C$80</f>
        <v>26.290768926665336</v>
      </c>
      <c r="D72" s="45">
        <f t="shared" si="170"/>
        <v>31.513144890294509</v>
      </c>
      <c r="E72" s="45">
        <f t="shared" si="170"/>
        <v>34.079857679383288</v>
      </c>
      <c r="F72" s="45">
        <f t="shared" si="170"/>
        <v>30.471437042893836</v>
      </c>
      <c r="G72" s="57">
        <f t="shared" si="170"/>
        <v>22.337418462146665</v>
      </c>
      <c r="H72" s="45">
        <f t="shared" si="170"/>
        <v>33.204190551492395</v>
      </c>
      <c r="I72" s="45">
        <f t="shared" si="170"/>
        <v>15.506531204644409</v>
      </c>
      <c r="J72" s="57">
        <f t="shared" si="170"/>
        <v>4.1743848493226468</v>
      </c>
      <c r="K72" s="57">
        <f t="shared" si="170"/>
        <v>6.0519767763339836</v>
      </c>
      <c r="L72" s="57">
        <f t="shared" si="170"/>
        <v>6.3889272878075758</v>
      </c>
      <c r="M72" s="45">
        <f t="shared" si="170"/>
        <v>5.6770113353607892</v>
      </c>
      <c r="N72" s="45">
        <f t="shared" si="170"/>
        <v>4.4999308819463701</v>
      </c>
      <c r="O72" s="45">
        <f t="shared" si="170"/>
        <v>10.14272878075753</v>
      </c>
      <c r="P72" s="45">
        <f t="shared" si="170"/>
        <v>13.921412773016305</v>
      </c>
      <c r="Q72" s="45">
        <f t="shared" si="170"/>
        <v>16.420998064694501</v>
      </c>
      <c r="R72" s="45">
        <f t="shared" si="170"/>
        <v>18.391277301631192</v>
      </c>
      <c r="S72" s="45">
        <f t="shared" ref="S72:AH73" si="171">+S$62/S$80</f>
        <v>20.395009676527497</v>
      </c>
      <c r="T72" s="45">
        <f t="shared" si="171"/>
        <v>23.572021011888289</v>
      </c>
      <c r="U72" s="45">
        <f t="shared" si="171"/>
        <v>23.054672380425774</v>
      </c>
      <c r="V72" s="45">
        <f t="shared" si="171"/>
        <v>48.399225877799289</v>
      </c>
      <c r="W72" s="45">
        <f t="shared" si="171"/>
        <v>24.573541609068307</v>
      </c>
      <c r="X72" s="45">
        <f t="shared" si="171"/>
        <v>25.082941664362725</v>
      </c>
      <c r="Y72" s="45">
        <f t="shared" si="171"/>
        <v>27.480992535250184</v>
      </c>
      <c r="Z72" s="45">
        <f t="shared" si="171"/>
        <v>26.680951064418007</v>
      </c>
      <c r="AA72" s="45">
        <f t="shared" si="171"/>
        <v>24.826859275642789</v>
      </c>
      <c r="AB72" s="45">
        <f t="shared" si="171"/>
        <v>25.596834393143485</v>
      </c>
      <c r="AC72" s="45">
        <f t="shared" si="171"/>
        <v>28.294857616809491</v>
      </c>
      <c r="AD72" s="45">
        <f t="shared" si="171"/>
        <v>26.464265966270386</v>
      </c>
      <c r="AE72" s="45">
        <f t="shared" si="171"/>
        <v>25.493502902958262</v>
      </c>
      <c r="AF72" s="45">
        <f t="shared" si="171"/>
        <v>28.931434890793469</v>
      </c>
      <c r="AG72" s="45">
        <f t="shared" si="171"/>
        <v>31.260367708045326</v>
      </c>
      <c r="AH72" s="45">
        <f t="shared" si="171"/>
        <v>26.40067735692562</v>
      </c>
      <c r="AI72" s="45">
        <f t="shared" ref="AI72:AU73" si="172">+AI$62/AI$80</f>
        <v>25.572988664639205</v>
      </c>
      <c r="AJ72" s="45">
        <f t="shared" si="172"/>
        <v>20.420928946640863</v>
      </c>
      <c r="AK72" s="45">
        <f t="shared" si="172"/>
        <v>29.763616256566195</v>
      </c>
      <c r="AL72" s="45">
        <f t="shared" si="172"/>
        <v>21.486038153165595</v>
      </c>
      <c r="AM72" s="45">
        <f t="shared" si="172"/>
        <v>33.085429914293591</v>
      </c>
      <c r="AN72" s="823">
        <f t="shared" si="172"/>
        <v>36.369574232789596</v>
      </c>
      <c r="AO72" s="823">
        <f t="shared" si="172"/>
        <v>33.543337019629519</v>
      </c>
      <c r="AP72" s="823">
        <f t="shared" si="172"/>
        <v>32.807920928946622</v>
      </c>
      <c r="AQ72" s="823">
        <f t="shared" si="172"/>
        <v>33.811515067735691</v>
      </c>
      <c r="AR72" s="823">
        <f t="shared" si="172"/>
        <v>38.801147359690376</v>
      </c>
      <c r="AS72" s="823">
        <f t="shared" si="172"/>
        <v>31.953967376278683</v>
      </c>
      <c r="AT72" s="823">
        <f t="shared" si="172"/>
        <v>27.710118883052278</v>
      </c>
      <c r="AU72" s="823">
        <f t="shared" si="172"/>
        <v>31.130581072930685</v>
      </c>
      <c r="AV72" s="45"/>
      <c r="AW72" s="680">
        <v>27.686205162758668</v>
      </c>
      <c r="AX72" s="50"/>
      <c r="AY72" s="45"/>
      <c r="AZ72" s="45"/>
      <c r="BA72" s="498"/>
      <c r="BB72" s="498"/>
      <c r="BC72" s="498"/>
      <c r="BD72" s="498"/>
      <c r="BE72" s="498"/>
      <c r="BF72" s="498"/>
      <c r="BG72" s="498"/>
    </row>
    <row r="73" spans="1:59" s="363" customFormat="1">
      <c r="A73" s="45"/>
      <c r="B73" s="45" t="s">
        <v>681</v>
      </c>
      <c r="C73" s="45">
        <f t="shared" si="170"/>
        <v>26.290768926665336</v>
      </c>
      <c r="D73" s="45">
        <f t="shared" si="170"/>
        <v>31.513144890294509</v>
      </c>
      <c r="E73" s="45">
        <f t="shared" si="170"/>
        <v>34.079857679383288</v>
      </c>
      <c r="F73" s="45">
        <f t="shared" si="170"/>
        <v>30.471437042893836</v>
      </c>
      <c r="G73" s="57">
        <f t="shared" si="170"/>
        <v>22.337418462146665</v>
      </c>
      <c r="H73" s="45">
        <f t="shared" si="170"/>
        <v>33.204190551492395</v>
      </c>
      <c r="I73" s="45">
        <f t="shared" si="170"/>
        <v>15.506531204644409</v>
      </c>
      <c r="J73" s="57">
        <f t="shared" si="170"/>
        <v>4.1743848493226468</v>
      </c>
      <c r="K73" s="57">
        <f t="shared" si="170"/>
        <v>6.0519767763339836</v>
      </c>
      <c r="L73" s="57">
        <f t="shared" si="170"/>
        <v>6.3889272878075758</v>
      </c>
      <c r="M73" s="45">
        <f t="shared" si="170"/>
        <v>5.6770113353607892</v>
      </c>
      <c r="N73" s="45">
        <f t="shared" si="170"/>
        <v>4.4999308819463701</v>
      </c>
      <c r="O73" s="45">
        <f t="shared" si="170"/>
        <v>10.14272878075753</v>
      </c>
      <c r="P73" s="45">
        <f t="shared" si="170"/>
        <v>13.921412773016305</v>
      </c>
      <c r="Q73" s="45">
        <f t="shared" si="170"/>
        <v>16.420998064694501</v>
      </c>
      <c r="R73" s="45">
        <f t="shared" si="170"/>
        <v>18.391277301631192</v>
      </c>
      <c r="S73" s="45">
        <f t="shared" si="171"/>
        <v>20.395009676527497</v>
      </c>
      <c r="T73" s="45">
        <f t="shared" si="171"/>
        <v>23.572021011888289</v>
      </c>
      <c r="U73" s="45">
        <f t="shared" si="171"/>
        <v>23.054672380425774</v>
      </c>
      <c r="V73" s="45">
        <f t="shared" si="171"/>
        <v>48.399225877799289</v>
      </c>
      <c r="W73" s="45">
        <f t="shared" si="171"/>
        <v>24.573541609068307</v>
      </c>
      <c r="X73" s="45">
        <f t="shared" si="171"/>
        <v>25.082941664362725</v>
      </c>
      <c r="Y73" s="45">
        <f t="shared" si="171"/>
        <v>27.480992535250184</v>
      </c>
      <c r="Z73" s="45">
        <f t="shared" si="171"/>
        <v>26.680951064418007</v>
      </c>
      <c r="AA73" s="45">
        <f t="shared" si="171"/>
        <v>24.826859275642789</v>
      </c>
      <c r="AB73" s="45">
        <f t="shared" si="171"/>
        <v>25.596834393143485</v>
      </c>
      <c r="AC73" s="45">
        <f t="shared" si="171"/>
        <v>28.294857616809491</v>
      </c>
      <c r="AD73" s="45">
        <f t="shared" si="171"/>
        <v>26.464265966270386</v>
      </c>
      <c r="AE73" s="45">
        <f t="shared" si="171"/>
        <v>25.493502902958262</v>
      </c>
      <c r="AF73" s="45">
        <f t="shared" si="171"/>
        <v>28.931434890793469</v>
      </c>
      <c r="AG73" s="45">
        <f t="shared" si="171"/>
        <v>31.260367708045326</v>
      </c>
      <c r="AH73" s="45">
        <f t="shared" si="171"/>
        <v>26.40067735692562</v>
      </c>
      <c r="AI73" s="45">
        <f t="shared" si="172"/>
        <v>25.572988664639205</v>
      </c>
      <c r="AJ73" s="45">
        <f t="shared" si="172"/>
        <v>20.420928946640863</v>
      </c>
      <c r="AK73" s="45">
        <f t="shared" si="172"/>
        <v>29.763616256566195</v>
      </c>
      <c r="AL73" s="45">
        <f t="shared" si="172"/>
        <v>21.486038153165595</v>
      </c>
      <c r="AM73" s="45">
        <f t="shared" si="172"/>
        <v>33.085429914293591</v>
      </c>
      <c r="AN73" s="823">
        <f t="shared" si="172"/>
        <v>36.369574232789596</v>
      </c>
      <c r="AO73" s="823">
        <f t="shared" si="172"/>
        <v>33.543337019629519</v>
      </c>
      <c r="AP73" s="823">
        <f t="shared" si="172"/>
        <v>32.807920928946622</v>
      </c>
      <c r="AQ73" s="823">
        <f t="shared" si="172"/>
        <v>33.811515067735691</v>
      </c>
      <c r="AR73" s="823">
        <f t="shared" si="172"/>
        <v>38.801147359690376</v>
      </c>
      <c r="AS73" s="823">
        <f t="shared" si="172"/>
        <v>31.953967376278683</v>
      </c>
      <c r="AT73" s="823">
        <f t="shared" si="172"/>
        <v>27.710118883052278</v>
      </c>
      <c r="AU73" s="823">
        <f t="shared" si="172"/>
        <v>31.130581072930685</v>
      </c>
      <c r="AV73" s="45"/>
      <c r="AW73" s="680">
        <v>27.686205162758668</v>
      </c>
      <c r="AX73" s="50"/>
      <c r="AY73" s="45"/>
      <c r="AZ73" s="45"/>
      <c r="BA73" s="498"/>
      <c r="BB73" s="498"/>
      <c r="BC73" s="498"/>
      <c r="BD73" s="498"/>
      <c r="BE73" s="498"/>
      <c r="BF73" s="498"/>
      <c r="BG73" s="498"/>
    </row>
    <row r="74" spans="1:59">
      <c r="A74" s="38"/>
      <c r="B74" s="38"/>
      <c r="C74" s="38"/>
      <c r="D74" s="38"/>
      <c r="E74" s="38"/>
      <c r="F74" s="38"/>
      <c r="G74" s="52"/>
      <c r="H74" s="38"/>
      <c r="I74" s="38"/>
      <c r="J74" s="52"/>
      <c r="K74" s="52"/>
      <c r="L74" s="52"/>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749"/>
      <c r="AO74" s="749"/>
      <c r="AP74" s="749"/>
      <c r="AQ74" s="749"/>
      <c r="AR74" s="749"/>
      <c r="AS74" s="749"/>
      <c r="AT74" s="749"/>
      <c r="AU74" s="749"/>
      <c r="AV74" s="38"/>
      <c r="AW74" s="671"/>
      <c r="AX74" s="38"/>
      <c r="AY74" s="38"/>
      <c r="AZ74" s="38"/>
      <c r="BA74" s="475"/>
      <c r="BB74" s="475"/>
      <c r="BC74" s="475"/>
      <c r="BD74" s="475"/>
      <c r="BE74" s="475"/>
      <c r="BF74" s="475"/>
      <c r="BG74" s="475"/>
    </row>
    <row r="75" spans="1:59" s="357" customFormat="1">
      <c r="A75" s="12"/>
      <c r="B75" s="12" t="s">
        <v>573</v>
      </c>
      <c r="C75" s="12"/>
      <c r="D75" s="12"/>
      <c r="E75" s="12"/>
      <c r="F75" s="12"/>
      <c r="G75" s="53"/>
      <c r="H75" s="12"/>
      <c r="I75" s="12"/>
      <c r="J75" s="53"/>
      <c r="K75" s="53"/>
      <c r="L75" s="53"/>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670"/>
      <c r="AX75" s="38"/>
      <c r="AY75" s="12"/>
      <c r="AZ75" s="12"/>
      <c r="BA75" s="494"/>
      <c r="BB75" s="494"/>
      <c r="BC75" s="494"/>
      <c r="BD75" s="494"/>
      <c r="BE75" s="494"/>
      <c r="BF75" s="494"/>
      <c r="BG75" s="494"/>
    </row>
    <row r="76" spans="1:59" s="363" customFormat="1">
      <c r="A76" s="45"/>
      <c r="B76" s="45" t="s">
        <v>680</v>
      </c>
      <c r="C76" s="45">
        <f t="shared" ref="C76:R77" si="173">+C$67/C$80</f>
        <v>26.290768926665336</v>
      </c>
      <c r="D76" s="45">
        <f t="shared" si="173"/>
        <v>31.513144890294509</v>
      </c>
      <c r="E76" s="45">
        <f t="shared" si="173"/>
        <v>34.079857679383288</v>
      </c>
      <c r="F76" s="45">
        <f t="shared" si="173"/>
        <v>30.471437042893836</v>
      </c>
      <c r="G76" s="57">
        <f t="shared" si="173"/>
        <v>22.337418462146665</v>
      </c>
      <c r="H76" s="45">
        <f t="shared" si="173"/>
        <v>33.204190551492395</v>
      </c>
      <c r="I76" s="45">
        <f t="shared" si="173"/>
        <v>17.973918722786642</v>
      </c>
      <c r="J76" s="57">
        <f t="shared" si="173"/>
        <v>4.1716063035664943</v>
      </c>
      <c r="K76" s="57">
        <f t="shared" si="173"/>
        <v>6.0519767763339836</v>
      </c>
      <c r="L76" s="57">
        <f t="shared" si="173"/>
        <v>7.8036701686480514</v>
      </c>
      <c r="M76" s="45">
        <f t="shared" si="173"/>
        <v>7.0917542162012639</v>
      </c>
      <c r="N76" s="45">
        <f t="shared" si="173"/>
        <v>6.8130702239424989</v>
      </c>
      <c r="O76" s="45">
        <f t="shared" si="173"/>
        <v>10.450283384019901</v>
      </c>
      <c r="P76" s="45">
        <f t="shared" si="173"/>
        <v>14.982585706386502</v>
      </c>
      <c r="Q76" s="45">
        <f t="shared" si="173"/>
        <v>17.481939452585017</v>
      </c>
      <c r="R76" s="45">
        <f t="shared" si="173"/>
        <v>19.330802460602715</v>
      </c>
      <c r="S76" s="45">
        <f t="shared" ref="S76:AH77" si="174">+S$67/S$80</f>
        <v>20.395009676527497</v>
      </c>
      <c r="T76" s="45">
        <f t="shared" si="174"/>
        <v>23.572021011888289</v>
      </c>
      <c r="U76" s="45">
        <f t="shared" si="174"/>
        <v>23.054672380425774</v>
      </c>
      <c r="V76" s="45">
        <f t="shared" si="174"/>
        <v>23.35948299695881</v>
      </c>
      <c r="W76" s="45">
        <f t="shared" si="174"/>
        <v>24.573541609068307</v>
      </c>
      <c r="X76" s="45">
        <f t="shared" si="174"/>
        <v>27.391035388443452</v>
      </c>
      <c r="Y76" s="45">
        <f t="shared" si="174"/>
        <v>28.904893558197383</v>
      </c>
      <c r="Z76" s="45">
        <f t="shared" si="174"/>
        <v>26.464265966270371</v>
      </c>
      <c r="AA76" s="45">
        <f t="shared" si="174"/>
        <v>24.826859275642789</v>
      </c>
      <c r="AB76" s="45">
        <f t="shared" si="174"/>
        <v>25.596834393143485</v>
      </c>
      <c r="AC76" s="45">
        <f t="shared" si="174"/>
        <v>28.294857616809491</v>
      </c>
      <c r="AD76" s="45">
        <f t="shared" si="174"/>
        <v>26.464265966270386</v>
      </c>
      <c r="AE76" s="45">
        <f t="shared" si="174"/>
        <v>27.815869505114744</v>
      </c>
      <c r="AF76" s="45">
        <f t="shared" si="174"/>
        <v>29.883605197677628</v>
      </c>
      <c r="AG76" s="45">
        <f t="shared" si="174"/>
        <v>28.94961293889963</v>
      </c>
      <c r="AH76" s="45">
        <f t="shared" si="174"/>
        <v>27.261888305225312</v>
      </c>
      <c r="AI76" s="45">
        <f t="shared" ref="AI76:AU77" si="175">+AI$67/AI$80</f>
        <v>27.199371025711919</v>
      </c>
      <c r="AJ76" s="45">
        <f t="shared" si="175"/>
        <v>30.283729610174181</v>
      </c>
      <c r="AK76" s="45">
        <f t="shared" si="175"/>
        <v>27.852743986729312</v>
      </c>
      <c r="AL76" s="45">
        <f t="shared" si="175"/>
        <v>21.354679292231118</v>
      </c>
      <c r="AM76" s="45">
        <f t="shared" si="175"/>
        <v>33.085429914293591</v>
      </c>
      <c r="AN76" s="45">
        <f t="shared" si="175"/>
        <v>36.369574232789596</v>
      </c>
      <c r="AO76" s="45">
        <f t="shared" si="175"/>
        <v>33.543337019629519</v>
      </c>
      <c r="AP76" s="45">
        <f t="shared" si="175"/>
        <v>32.807920928946622</v>
      </c>
      <c r="AQ76" s="45">
        <f t="shared" si="175"/>
        <v>33.811515067735691</v>
      </c>
      <c r="AR76" s="45">
        <f t="shared" si="175"/>
        <v>38.801147359690376</v>
      </c>
      <c r="AS76" s="45">
        <f t="shared" si="175"/>
        <v>31.953967376278683</v>
      </c>
      <c r="AT76" s="45">
        <f t="shared" si="175"/>
        <v>27.710118883052278</v>
      </c>
      <c r="AU76" s="45">
        <f t="shared" si="175"/>
        <v>31.130581072930685</v>
      </c>
      <c r="AV76" s="45"/>
      <c r="AW76" s="680">
        <v>27.686205162758668</v>
      </c>
      <c r="AX76" s="50"/>
      <c r="AY76" s="45"/>
      <c r="AZ76" s="45"/>
      <c r="BA76" s="498"/>
      <c r="BB76" s="498"/>
      <c r="BC76" s="498"/>
      <c r="BD76" s="498"/>
      <c r="BE76" s="498"/>
      <c r="BF76" s="498"/>
      <c r="BG76" s="498"/>
    </row>
    <row r="77" spans="1:59" s="363" customFormat="1">
      <c r="A77" s="45"/>
      <c r="B77" s="45" t="s">
        <v>681</v>
      </c>
      <c r="C77" s="45">
        <f t="shared" si="173"/>
        <v>26.290768926665336</v>
      </c>
      <c r="D77" s="45">
        <f t="shared" si="173"/>
        <v>31.513144890294509</v>
      </c>
      <c r="E77" s="45">
        <f t="shared" si="173"/>
        <v>34.079857679383288</v>
      </c>
      <c r="F77" s="45">
        <f t="shared" si="173"/>
        <v>30.471437042893836</v>
      </c>
      <c r="G77" s="57">
        <f t="shared" si="173"/>
        <v>22.337418462146665</v>
      </c>
      <c r="H77" s="45">
        <f t="shared" si="173"/>
        <v>33.204190551492395</v>
      </c>
      <c r="I77" s="45">
        <f t="shared" si="173"/>
        <v>17.973918722786642</v>
      </c>
      <c r="J77" s="57">
        <f t="shared" si="173"/>
        <v>4.1716063035664943</v>
      </c>
      <c r="K77" s="57">
        <f t="shared" si="173"/>
        <v>6.0519767763339836</v>
      </c>
      <c r="L77" s="57">
        <f t="shared" si="173"/>
        <v>7.8036701686480514</v>
      </c>
      <c r="M77" s="45">
        <f t="shared" si="173"/>
        <v>7.0917542162012639</v>
      </c>
      <c r="N77" s="45">
        <f t="shared" si="173"/>
        <v>6.8130702239424989</v>
      </c>
      <c r="O77" s="45">
        <f t="shared" si="173"/>
        <v>10.450283384019901</v>
      </c>
      <c r="P77" s="45">
        <f t="shared" si="173"/>
        <v>14.982585706386502</v>
      </c>
      <c r="Q77" s="45">
        <f t="shared" si="173"/>
        <v>17.481939452585017</v>
      </c>
      <c r="R77" s="45">
        <f t="shared" si="173"/>
        <v>19.330802460602715</v>
      </c>
      <c r="S77" s="45">
        <f t="shared" si="174"/>
        <v>20.395009676527497</v>
      </c>
      <c r="T77" s="45">
        <f t="shared" si="174"/>
        <v>23.572021011888289</v>
      </c>
      <c r="U77" s="45">
        <f t="shared" si="174"/>
        <v>23.054672380425774</v>
      </c>
      <c r="V77" s="45">
        <f t="shared" si="174"/>
        <v>23.35948299695881</v>
      </c>
      <c r="W77" s="45">
        <f t="shared" si="174"/>
        <v>24.573541609068307</v>
      </c>
      <c r="X77" s="45">
        <f t="shared" si="174"/>
        <v>27.391035388443452</v>
      </c>
      <c r="Y77" s="45">
        <f t="shared" si="174"/>
        <v>28.904893558197383</v>
      </c>
      <c r="Z77" s="45">
        <f t="shared" si="174"/>
        <v>26.464265966270371</v>
      </c>
      <c r="AA77" s="45">
        <f t="shared" si="174"/>
        <v>24.826859275642789</v>
      </c>
      <c r="AB77" s="45">
        <f t="shared" si="174"/>
        <v>25.596834393143485</v>
      </c>
      <c r="AC77" s="45">
        <f t="shared" si="174"/>
        <v>28.294857616809491</v>
      </c>
      <c r="AD77" s="45">
        <f t="shared" si="174"/>
        <v>26.464265966270386</v>
      </c>
      <c r="AE77" s="45">
        <f t="shared" si="174"/>
        <v>27.815869505114744</v>
      </c>
      <c r="AF77" s="45">
        <f t="shared" si="174"/>
        <v>29.883605197677628</v>
      </c>
      <c r="AG77" s="45">
        <f t="shared" si="174"/>
        <v>28.94961293889963</v>
      </c>
      <c r="AH77" s="45">
        <f t="shared" si="174"/>
        <v>27.261888305225312</v>
      </c>
      <c r="AI77" s="45">
        <f t="shared" si="175"/>
        <v>27.199371025711919</v>
      </c>
      <c r="AJ77" s="45">
        <f t="shared" si="175"/>
        <v>30.283729610174181</v>
      </c>
      <c r="AK77" s="45">
        <f t="shared" si="175"/>
        <v>27.852743986729312</v>
      </c>
      <c r="AL77" s="45">
        <f t="shared" si="175"/>
        <v>21.354679292231118</v>
      </c>
      <c r="AM77" s="45">
        <f t="shared" si="175"/>
        <v>33.085429914293591</v>
      </c>
      <c r="AN77" s="45">
        <f t="shared" si="175"/>
        <v>36.369574232789596</v>
      </c>
      <c r="AO77" s="45">
        <f t="shared" si="175"/>
        <v>33.543337019629519</v>
      </c>
      <c r="AP77" s="45">
        <f t="shared" si="175"/>
        <v>32.807920928946622</v>
      </c>
      <c r="AQ77" s="45">
        <f t="shared" si="175"/>
        <v>33.811515067735691</v>
      </c>
      <c r="AR77" s="45">
        <f t="shared" si="175"/>
        <v>38.801147359690376</v>
      </c>
      <c r="AS77" s="45">
        <f t="shared" si="175"/>
        <v>31.953967376278683</v>
      </c>
      <c r="AT77" s="45">
        <f t="shared" si="175"/>
        <v>27.710118883052278</v>
      </c>
      <c r="AU77" s="45">
        <f t="shared" si="175"/>
        <v>31.130581072930685</v>
      </c>
      <c r="AV77" s="45"/>
      <c r="AW77" s="680">
        <v>27.686205162758668</v>
      </c>
      <c r="AX77" s="50"/>
      <c r="AY77" s="45"/>
      <c r="AZ77" s="45"/>
      <c r="BA77" s="498"/>
      <c r="BB77" s="498"/>
      <c r="BC77" s="498"/>
      <c r="BD77" s="498"/>
      <c r="BE77" s="498"/>
      <c r="BF77" s="498"/>
      <c r="BG77" s="498"/>
    </row>
    <row r="78" spans="1:59" s="363" customFormat="1">
      <c r="A78" s="45"/>
      <c r="B78" s="45"/>
      <c r="C78" s="45"/>
      <c r="D78" s="45"/>
      <c r="E78" s="45"/>
      <c r="F78" s="45"/>
      <c r="G78" s="57"/>
      <c r="H78" s="45"/>
      <c r="I78" s="45"/>
      <c r="J78" s="57">
        <v>2</v>
      </c>
      <c r="K78" s="57"/>
      <c r="L78" s="45"/>
      <c r="M78" s="45"/>
      <c r="N78" s="45"/>
      <c r="O78" s="45"/>
      <c r="P78" s="45"/>
      <c r="Q78" s="45"/>
      <c r="R78" s="45"/>
      <c r="S78" s="45">
        <v>2</v>
      </c>
      <c r="T78" s="45">
        <v>2</v>
      </c>
      <c r="U78" s="45">
        <v>2</v>
      </c>
      <c r="V78" s="45">
        <v>2</v>
      </c>
      <c r="W78" s="45">
        <v>2</v>
      </c>
      <c r="X78" s="45">
        <v>2</v>
      </c>
      <c r="Y78" s="45">
        <v>2</v>
      </c>
      <c r="Z78" s="45">
        <v>2</v>
      </c>
      <c r="AA78" s="45">
        <v>2</v>
      </c>
      <c r="AB78" s="45">
        <v>2</v>
      </c>
      <c r="AC78" s="45">
        <v>2</v>
      </c>
      <c r="AD78" s="45">
        <v>2</v>
      </c>
      <c r="AE78" s="45">
        <v>2</v>
      </c>
      <c r="AF78" s="45">
        <v>2</v>
      </c>
      <c r="AG78" s="45">
        <v>2</v>
      </c>
      <c r="AH78" s="45">
        <v>2</v>
      </c>
      <c r="AI78" s="45">
        <v>2</v>
      </c>
      <c r="AJ78" s="45">
        <v>2</v>
      </c>
      <c r="AK78" s="45">
        <v>2</v>
      </c>
      <c r="AL78" s="45">
        <v>2</v>
      </c>
      <c r="AM78" s="45">
        <v>2</v>
      </c>
      <c r="AN78" s="45">
        <v>2</v>
      </c>
      <c r="AO78" s="45">
        <v>2</v>
      </c>
      <c r="AP78" s="45">
        <v>2</v>
      </c>
      <c r="AQ78" s="45">
        <v>2</v>
      </c>
      <c r="AR78" s="45">
        <v>2</v>
      </c>
      <c r="AS78" s="45">
        <v>2</v>
      </c>
      <c r="AT78" s="45">
        <v>2</v>
      </c>
      <c r="AU78" s="45">
        <v>2</v>
      </c>
      <c r="AV78" s="45"/>
      <c r="AW78" s="680">
        <v>2</v>
      </c>
      <c r="AX78" s="45"/>
      <c r="AY78" s="45"/>
      <c r="AZ78" s="45"/>
      <c r="BA78" s="498"/>
      <c r="BB78" s="498"/>
      <c r="BC78" s="498"/>
      <c r="BD78" s="498"/>
      <c r="BE78" s="498"/>
      <c r="BF78" s="498"/>
      <c r="BG78" s="498"/>
    </row>
    <row r="79" spans="1:59" s="363" customFormat="1">
      <c r="A79" s="45"/>
      <c r="B79" s="45" t="s">
        <v>569</v>
      </c>
      <c r="C79" s="45">
        <v>1011.8</v>
      </c>
      <c r="D79" s="45">
        <v>1011.8</v>
      </c>
      <c r="E79" s="45">
        <v>1011.8</v>
      </c>
      <c r="F79" s="45">
        <v>1011.8</v>
      </c>
      <c r="G79" s="57">
        <v>1011.8</v>
      </c>
      <c r="H79" s="45">
        <v>1011.8</v>
      </c>
      <c r="I79" s="45">
        <f>I80*I81</f>
        <v>1378</v>
      </c>
      <c r="J79" s="57">
        <v>2893.6</v>
      </c>
      <c r="K79" s="56">
        <v>2893.6</v>
      </c>
      <c r="L79" s="56">
        <v>2893.6</v>
      </c>
      <c r="M79" s="50">
        <v>2893.6</v>
      </c>
      <c r="N79" s="50">
        <v>2893.6</v>
      </c>
      <c r="O79" s="50">
        <v>2893.6</v>
      </c>
      <c r="P79" s="50">
        <v>2893.6</v>
      </c>
      <c r="Q79" s="50">
        <v>2893.6</v>
      </c>
      <c r="R79" s="50">
        <v>2893.6</v>
      </c>
      <c r="S79" s="50">
        <v>2893.6</v>
      </c>
      <c r="T79" s="50">
        <v>2893.6</v>
      </c>
      <c r="U79" s="50">
        <v>2893.6</v>
      </c>
      <c r="V79" s="50">
        <v>2893.6</v>
      </c>
      <c r="W79" s="50">
        <v>2893.6</v>
      </c>
      <c r="X79" s="50">
        <v>2893.6</v>
      </c>
      <c r="Y79" s="50">
        <v>2893.6</v>
      </c>
      <c r="Z79" s="50">
        <v>2893.6</v>
      </c>
      <c r="AA79" s="50">
        <v>2893.6</v>
      </c>
      <c r="AB79" s="50">
        <v>2893.6</v>
      </c>
      <c r="AC79" s="50">
        <v>2893.6</v>
      </c>
      <c r="AD79" s="50">
        <v>2893.6</v>
      </c>
      <c r="AE79" s="50">
        <v>2893.6</v>
      </c>
      <c r="AF79" s="50">
        <v>2893.6</v>
      </c>
      <c r="AG79" s="50">
        <v>2893.6</v>
      </c>
      <c r="AH79" s="50">
        <v>2893.6</v>
      </c>
      <c r="AI79" s="50">
        <v>2893.6</v>
      </c>
      <c r="AJ79" s="50">
        <v>2893.6</v>
      </c>
      <c r="AK79" s="50">
        <v>2893.6</v>
      </c>
      <c r="AL79" s="50">
        <v>2893.6</v>
      </c>
      <c r="AM79" s="50">
        <v>2893.6</v>
      </c>
      <c r="AN79" s="50">
        <v>2893.6</v>
      </c>
      <c r="AO79" s="50">
        <v>2893.6</v>
      </c>
      <c r="AP79" s="50">
        <v>2893.6</v>
      </c>
      <c r="AQ79" s="50">
        <v>2893.6</v>
      </c>
      <c r="AR79" s="50">
        <v>2893.6</v>
      </c>
      <c r="AS79" s="50">
        <v>2893.6</v>
      </c>
      <c r="AT79" s="50">
        <v>2893.6</v>
      </c>
      <c r="AU79" s="50">
        <v>2893.6</v>
      </c>
      <c r="AV79" s="45"/>
      <c r="AW79" s="665">
        <v>2893.6</v>
      </c>
      <c r="AX79" s="50"/>
      <c r="AY79" s="45"/>
      <c r="AZ79" s="45"/>
      <c r="BA79" s="498"/>
      <c r="BB79" s="498"/>
      <c r="BC79" s="498"/>
      <c r="BD79" s="498"/>
      <c r="BE79" s="498"/>
      <c r="BF79" s="498"/>
      <c r="BG79" s="498"/>
    </row>
    <row r="80" spans="1:59" s="363" customFormat="1">
      <c r="A80" s="45"/>
      <c r="B80" s="45" t="s">
        <v>570</v>
      </c>
      <c r="C80" s="45">
        <f t="shared" ref="C80:H80" si="176">+C79/C81</f>
        <v>101.17999999999999</v>
      </c>
      <c r="D80" s="45">
        <f t="shared" si="176"/>
        <v>101.17999999999999</v>
      </c>
      <c r="E80" s="45">
        <f t="shared" si="176"/>
        <v>101.17999999999999</v>
      </c>
      <c r="F80" s="45">
        <f t="shared" si="176"/>
        <v>101.17999999999999</v>
      </c>
      <c r="G80" s="57">
        <f t="shared" si="176"/>
        <v>101.17999999999999</v>
      </c>
      <c r="H80" s="45">
        <f t="shared" si="176"/>
        <v>101.17999999999999</v>
      </c>
      <c r="I80" s="45">
        <v>137.80000000000001</v>
      </c>
      <c r="J80" s="45">
        <f t="shared" ref="J80:AM80" si="177">(+J79/J81)</f>
        <v>289.36</v>
      </c>
      <c r="K80" s="50">
        <f t="shared" si="177"/>
        <v>289.36</v>
      </c>
      <c r="L80" s="50">
        <f t="shared" si="177"/>
        <v>289.36</v>
      </c>
      <c r="M80" s="50">
        <f t="shared" si="177"/>
        <v>289.36</v>
      </c>
      <c r="N80" s="50">
        <f t="shared" si="177"/>
        <v>289.36</v>
      </c>
      <c r="O80" s="50">
        <f t="shared" si="177"/>
        <v>289.36</v>
      </c>
      <c r="P80" s="50">
        <f t="shared" si="177"/>
        <v>289.36</v>
      </c>
      <c r="Q80" s="50">
        <f t="shared" si="177"/>
        <v>289.36</v>
      </c>
      <c r="R80" s="50">
        <f t="shared" si="177"/>
        <v>289.36</v>
      </c>
      <c r="S80" s="50">
        <f t="shared" si="177"/>
        <v>289.36</v>
      </c>
      <c r="T80" s="50">
        <f t="shared" si="177"/>
        <v>289.36</v>
      </c>
      <c r="U80" s="50">
        <f t="shared" si="177"/>
        <v>289.36</v>
      </c>
      <c r="V80" s="50">
        <f t="shared" si="177"/>
        <v>289.36</v>
      </c>
      <c r="W80" s="50">
        <f t="shared" si="177"/>
        <v>289.36</v>
      </c>
      <c r="X80" s="50">
        <f t="shared" si="177"/>
        <v>289.36</v>
      </c>
      <c r="Y80" s="50">
        <f t="shared" si="177"/>
        <v>289.36</v>
      </c>
      <c r="Z80" s="50">
        <f t="shared" si="177"/>
        <v>289.36</v>
      </c>
      <c r="AA80" s="50">
        <f t="shared" si="177"/>
        <v>289.36</v>
      </c>
      <c r="AB80" s="50">
        <f t="shared" si="177"/>
        <v>289.36</v>
      </c>
      <c r="AC80" s="50">
        <f t="shared" si="177"/>
        <v>289.36</v>
      </c>
      <c r="AD80" s="50">
        <f t="shared" si="177"/>
        <v>289.36</v>
      </c>
      <c r="AE80" s="50">
        <f t="shared" si="177"/>
        <v>289.36</v>
      </c>
      <c r="AF80" s="50">
        <f t="shared" ref="AF80:AK80" si="178">(+AF79/AF81)</f>
        <v>289.36</v>
      </c>
      <c r="AG80" s="50">
        <f t="shared" si="178"/>
        <v>289.36</v>
      </c>
      <c r="AH80" s="50">
        <f t="shared" si="178"/>
        <v>289.36</v>
      </c>
      <c r="AI80" s="50">
        <f t="shared" si="178"/>
        <v>289.36</v>
      </c>
      <c r="AJ80" s="50">
        <f t="shared" si="178"/>
        <v>289.36</v>
      </c>
      <c r="AK80" s="50">
        <f t="shared" si="178"/>
        <v>289.36</v>
      </c>
      <c r="AL80" s="50">
        <f t="shared" si="177"/>
        <v>289.36</v>
      </c>
      <c r="AM80" s="50">
        <f t="shared" si="177"/>
        <v>289.36</v>
      </c>
      <c r="AN80" s="50">
        <f t="shared" ref="AN80:AO80" si="179">(+AN79/AN81)</f>
        <v>289.36</v>
      </c>
      <c r="AO80" s="50">
        <f t="shared" si="179"/>
        <v>289.36</v>
      </c>
      <c r="AP80" s="50">
        <f t="shared" ref="AP80:AQ80" si="180">(+AP79/AP81)</f>
        <v>289.36</v>
      </c>
      <c r="AQ80" s="50">
        <f t="shared" si="180"/>
        <v>289.36</v>
      </c>
      <c r="AR80" s="50">
        <f t="shared" ref="AR80" si="181">(+AR79/AR81)</f>
        <v>289.36</v>
      </c>
      <c r="AS80" s="50">
        <f t="shared" ref="AS80" si="182">(+AS79/AS81)</f>
        <v>289.36</v>
      </c>
      <c r="AT80" s="50">
        <f t="shared" ref="AT80" si="183">(+AT79/AT81)</f>
        <v>289.36</v>
      </c>
      <c r="AU80" s="50">
        <f t="shared" ref="AU80" si="184">(+AU79/AU81)</f>
        <v>289.36</v>
      </c>
      <c r="AV80" s="45"/>
      <c r="AW80" s="665">
        <v>289.36</v>
      </c>
      <c r="AX80" s="50"/>
      <c r="AY80" s="45"/>
      <c r="AZ80" s="45"/>
      <c r="BA80" s="498"/>
      <c r="BB80" s="498"/>
      <c r="BC80" s="498"/>
      <c r="BD80" s="498"/>
      <c r="BE80" s="498"/>
      <c r="BF80" s="498"/>
      <c r="BG80" s="498"/>
    </row>
    <row r="81" spans="1:59" s="363" customFormat="1">
      <c r="A81" s="45"/>
      <c r="B81" s="45" t="s">
        <v>571</v>
      </c>
      <c r="C81" s="45">
        <v>10</v>
      </c>
      <c r="D81" s="45">
        <v>10</v>
      </c>
      <c r="E81" s="45">
        <v>10</v>
      </c>
      <c r="F81" s="45">
        <v>10</v>
      </c>
      <c r="G81" s="57">
        <v>10</v>
      </c>
      <c r="H81" s="45">
        <v>10</v>
      </c>
      <c r="I81" s="45">
        <v>10</v>
      </c>
      <c r="J81" s="57">
        <v>10</v>
      </c>
      <c r="K81" s="57">
        <v>10</v>
      </c>
      <c r="L81" s="45">
        <v>10</v>
      </c>
      <c r="M81" s="45">
        <v>10</v>
      </c>
      <c r="N81" s="45">
        <v>10</v>
      </c>
      <c r="O81" s="45">
        <v>10</v>
      </c>
      <c r="P81" s="45">
        <v>10</v>
      </c>
      <c r="Q81" s="45">
        <v>10</v>
      </c>
      <c r="R81" s="45">
        <v>10</v>
      </c>
      <c r="S81" s="45">
        <v>10</v>
      </c>
      <c r="T81" s="45">
        <v>10</v>
      </c>
      <c r="U81" s="45">
        <v>10</v>
      </c>
      <c r="V81" s="45">
        <v>10</v>
      </c>
      <c r="W81" s="45">
        <v>10</v>
      </c>
      <c r="X81" s="45">
        <v>10</v>
      </c>
      <c r="Y81" s="45">
        <v>10</v>
      </c>
      <c r="Z81" s="45">
        <v>10</v>
      </c>
      <c r="AA81" s="45">
        <v>10</v>
      </c>
      <c r="AB81" s="45">
        <v>10</v>
      </c>
      <c r="AC81" s="45">
        <v>10</v>
      </c>
      <c r="AD81" s="45">
        <v>10</v>
      </c>
      <c r="AE81" s="45">
        <v>10</v>
      </c>
      <c r="AF81" s="45">
        <v>10</v>
      </c>
      <c r="AG81" s="45">
        <v>10</v>
      </c>
      <c r="AH81" s="45">
        <v>10</v>
      </c>
      <c r="AI81" s="45">
        <f>AH81</f>
        <v>10</v>
      </c>
      <c r="AJ81" s="45">
        <f>AI81</f>
        <v>10</v>
      </c>
      <c r="AK81" s="45">
        <f>AJ81</f>
        <v>10</v>
      </c>
      <c r="AL81" s="45">
        <v>10</v>
      </c>
      <c r="AM81" s="45">
        <v>10</v>
      </c>
      <c r="AN81" s="45">
        <v>10</v>
      </c>
      <c r="AO81" s="45">
        <v>10</v>
      </c>
      <c r="AP81" s="45">
        <v>10</v>
      </c>
      <c r="AQ81" s="45">
        <v>10</v>
      </c>
      <c r="AR81" s="45">
        <v>10</v>
      </c>
      <c r="AS81" s="45">
        <v>10</v>
      </c>
      <c r="AT81" s="45">
        <v>10</v>
      </c>
      <c r="AU81" s="45">
        <v>10</v>
      </c>
      <c r="AV81" s="45"/>
      <c r="AW81" s="680">
        <v>10</v>
      </c>
      <c r="AX81" s="45"/>
      <c r="AY81" s="45"/>
      <c r="AZ81" s="45"/>
      <c r="BA81" s="498"/>
      <c r="BB81" s="498"/>
      <c r="BC81" s="498"/>
      <c r="BD81" s="498"/>
      <c r="BE81" s="498"/>
      <c r="BF81" s="498"/>
      <c r="BG81" s="498"/>
    </row>
    <row r="82" spans="1:59">
      <c r="A82" s="38"/>
      <c r="B82" s="38"/>
      <c r="C82" s="38"/>
      <c r="D82" s="38"/>
      <c r="E82" s="38"/>
      <c r="F82" s="38"/>
      <c r="G82" s="52"/>
      <c r="H82" s="38"/>
      <c r="I82" s="38"/>
      <c r="J82" s="52"/>
      <c r="K82" s="52"/>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671"/>
      <c r="AX82" s="38"/>
      <c r="AY82" s="38"/>
      <c r="AZ82" s="38"/>
      <c r="BA82" s="475"/>
      <c r="BB82" s="475"/>
      <c r="BC82" s="475"/>
      <c r="BD82" s="475"/>
      <c r="BE82" s="475"/>
      <c r="BF82" s="475"/>
      <c r="BG82" s="475"/>
    </row>
    <row r="83" spans="1:59">
      <c r="A83" s="38"/>
      <c r="B83" s="38"/>
      <c r="C83" s="38"/>
      <c r="D83" s="38"/>
      <c r="E83" s="38"/>
      <c r="F83" s="38"/>
      <c r="G83" s="52"/>
      <c r="H83" s="38"/>
      <c r="I83" s="38"/>
      <c r="J83" s="52"/>
      <c r="K83" s="52"/>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671"/>
      <c r="AX83" s="38"/>
      <c r="AY83" s="38"/>
      <c r="AZ83" s="38"/>
      <c r="BA83" s="475"/>
      <c r="BB83" s="475"/>
      <c r="BC83" s="475"/>
      <c r="BD83" s="475"/>
      <c r="BE83" s="475"/>
      <c r="BF83" s="475"/>
      <c r="BG83" s="475"/>
    </row>
    <row r="84" spans="1:59" s="364" customFormat="1">
      <c r="A84" s="5"/>
      <c r="B84" s="37" t="s">
        <v>489</v>
      </c>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499"/>
      <c r="BB84" s="499"/>
      <c r="BC84" s="499"/>
      <c r="BD84" s="499"/>
      <c r="BE84" s="499"/>
      <c r="BF84" s="499"/>
      <c r="BG84" s="499"/>
    </row>
    <row r="85" spans="1:59">
      <c r="A85" s="38"/>
      <c r="B85" s="38"/>
      <c r="C85" s="38"/>
      <c r="D85" s="38"/>
      <c r="E85" s="38"/>
      <c r="F85" s="38"/>
      <c r="G85" s="52"/>
      <c r="H85" s="38"/>
      <c r="I85" s="38"/>
      <c r="J85" s="52"/>
      <c r="K85" s="52"/>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671"/>
      <c r="AX85" s="38"/>
      <c r="AY85" s="38"/>
      <c r="AZ85" s="38"/>
      <c r="BA85" s="475"/>
      <c r="BB85" s="475"/>
      <c r="BC85" s="475"/>
      <c r="BD85" s="475"/>
      <c r="BE85" s="475"/>
      <c r="BF85" s="475"/>
      <c r="BG85" s="475"/>
    </row>
    <row r="86" spans="1:59" s="360" customFormat="1">
      <c r="A86" s="46" t="s">
        <v>163</v>
      </c>
      <c r="B86" s="46" t="s">
        <v>662</v>
      </c>
      <c r="C86" s="46">
        <f t="shared" ref="C86:AE86" si="185">+C25/C14</f>
        <v>0.29431233145378766</v>
      </c>
      <c r="D86" s="46">
        <f t="shared" si="185"/>
        <v>0.27372668793129629</v>
      </c>
      <c r="E86" s="46">
        <f t="shared" si="185"/>
        <v>0.26580563267308616</v>
      </c>
      <c r="F86" s="46">
        <f t="shared" si="185"/>
        <v>0.26871690691793987</v>
      </c>
      <c r="G86" s="58">
        <f t="shared" si="185"/>
        <v>0.27630474474189642</v>
      </c>
      <c r="H86" s="46">
        <f t="shared" si="185"/>
        <v>0.27739201124556484</v>
      </c>
      <c r="I86" s="46">
        <f t="shared" si="185"/>
        <v>0.25491254372813593</v>
      </c>
      <c r="J86" s="58">
        <f t="shared" si="185"/>
        <v>0.26533297982597803</v>
      </c>
      <c r="K86" s="58">
        <f t="shared" si="185"/>
        <v>0.24465437927617206</v>
      </c>
      <c r="L86" s="46">
        <f t="shared" si="185"/>
        <v>0.25384256189104665</v>
      </c>
      <c r="M86" s="46">
        <f t="shared" si="185"/>
        <v>0.27905948361941885</v>
      </c>
      <c r="N86" s="46">
        <f t="shared" si="185"/>
        <v>0.31233772784470731</v>
      </c>
      <c r="O86" s="46">
        <f t="shared" si="185"/>
        <v>0.33844778851129154</v>
      </c>
      <c r="P86" s="46">
        <f t="shared" si="185"/>
        <v>0.33769926337917439</v>
      </c>
      <c r="Q86" s="46">
        <f t="shared" si="185"/>
        <v>0.31524024821350005</v>
      </c>
      <c r="R86" s="46">
        <f t="shared" si="185"/>
        <v>0.30742914294959484</v>
      </c>
      <c r="S86" s="46">
        <f t="shared" si="185"/>
        <v>0.28839658000133667</v>
      </c>
      <c r="T86" s="46">
        <f t="shared" si="185"/>
        <v>0.29264916555730075</v>
      </c>
      <c r="U86" s="46">
        <f t="shared" si="185"/>
        <v>0.2859605274497975</v>
      </c>
      <c r="V86" s="46">
        <f t="shared" si="185"/>
        <v>0.28178749707464068</v>
      </c>
      <c r="W86" s="46">
        <f t="shared" si="185"/>
        <v>0.26356429374305462</v>
      </c>
      <c r="X86" s="46">
        <f t="shared" si="185"/>
        <v>0.28586020055968381</v>
      </c>
      <c r="Y86" s="46">
        <f t="shared" si="185"/>
        <v>0.28526100656051367</v>
      </c>
      <c r="Z86" s="46">
        <f t="shared" si="185"/>
        <v>0.28783129525480272</v>
      </c>
      <c r="AA86" s="46">
        <f t="shared" si="185"/>
        <v>0.27902072894530233</v>
      </c>
      <c r="AB86" s="46">
        <f t="shared" si="185"/>
        <v>0.28231236425066358</v>
      </c>
      <c r="AC86" s="46">
        <f t="shared" si="185"/>
        <v>0.27558099362426575</v>
      </c>
      <c r="AD86" s="46">
        <f t="shared" si="185"/>
        <v>0.2818193693010399</v>
      </c>
      <c r="AE86" s="46">
        <f t="shared" si="185"/>
        <v>0.30633321726948604</v>
      </c>
      <c r="AF86" s="46">
        <f t="shared" ref="AF86:AM86" si="186">+AF25/AF14</f>
        <v>0.32973068026566743</v>
      </c>
      <c r="AG86" s="46">
        <f t="shared" si="186"/>
        <v>0.30498865771236577</v>
      </c>
      <c r="AH86" s="46">
        <f t="shared" si="186"/>
        <v>0.30353446370752729</v>
      </c>
      <c r="AI86" s="46">
        <f t="shared" si="186"/>
        <v>0.2993273563944932</v>
      </c>
      <c r="AJ86" s="46">
        <f t="shared" si="186"/>
        <v>0.31075164050852833</v>
      </c>
      <c r="AK86" s="46">
        <f t="shared" si="186"/>
        <v>0.31733004311342944</v>
      </c>
      <c r="AL86" s="46">
        <f t="shared" si="186"/>
        <v>0.32531744926508749</v>
      </c>
      <c r="AM86" s="46">
        <f t="shared" si="186"/>
        <v>0.32620801245874459</v>
      </c>
      <c r="AN86" s="46">
        <f t="shared" ref="AN86" si="187">+AN25/AN14</f>
        <v>0.33303947078425111</v>
      </c>
      <c r="AO86" s="46">
        <f t="shared" ref="AO86" si="188">+AO25/AO14</f>
        <v>0.33383503099410033</v>
      </c>
      <c r="AP86" s="46">
        <f t="shared" ref="AP86:AQ86" si="189">+AP25/AP14</f>
        <v>0.34074697405909882</v>
      </c>
      <c r="AQ86" s="46">
        <f t="shared" si="189"/>
        <v>0.32797432127976067</v>
      </c>
      <c r="AR86" s="46">
        <f t="shared" ref="AR86" si="190">+AR25/AR14</f>
        <v>0.32991219782906006</v>
      </c>
      <c r="AS86" s="46">
        <f t="shared" ref="AS86" si="191">+AS25/AS14</f>
        <v>0.33212483397113418</v>
      </c>
      <c r="AT86" s="46">
        <f t="shared" ref="AT86" si="192">+AT25/AT14</f>
        <v>0.32202306567673761</v>
      </c>
      <c r="AU86" s="46">
        <f t="shared" ref="AU86" si="193">+AU25/AU14</f>
        <v>0.32999999999999996</v>
      </c>
      <c r="AV86" s="46"/>
      <c r="AW86" s="681">
        <v>0.32999999999999996</v>
      </c>
      <c r="AX86" s="46"/>
      <c r="AY86" s="46"/>
      <c r="AZ86" s="46"/>
      <c r="BA86" s="500"/>
      <c r="BB86" s="500"/>
      <c r="BC86" s="500"/>
      <c r="BD86" s="500"/>
      <c r="BE86" s="500"/>
      <c r="BF86" s="500"/>
      <c r="BG86" s="500"/>
    </row>
    <row r="87" spans="1:59" s="360" customFormat="1">
      <c r="A87" s="58" t="s">
        <v>163</v>
      </c>
      <c r="B87" s="58" t="s">
        <v>659</v>
      </c>
      <c r="C87" s="58">
        <f t="shared" ref="C87:AF87" si="194">+C36/C14</f>
        <v>0.16375200893465169</v>
      </c>
      <c r="D87" s="58">
        <f t="shared" si="194"/>
        <v>0.14991563935516439</v>
      </c>
      <c r="E87" s="58">
        <f t="shared" si="194"/>
        <v>0.14158389240839023</v>
      </c>
      <c r="F87" s="58">
        <f t="shared" si="194"/>
        <v>0.14103434116401192</v>
      </c>
      <c r="G87" s="58">
        <f t="shared" si="194"/>
        <v>0.1303677708486472</v>
      </c>
      <c r="H87" s="58">
        <f t="shared" si="194"/>
        <v>0.16006723628388275</v>
      </c>
      <c r="I87" s="58">
        <f t="shared" si="194"/>
        <v>0.14671864067966017</v>
      </c>
      <c r="J87" s="58">
        <f t="shared" si="194"/>
        <v>0.12609125310323221</v>
      </c>
      <c r="K87" s="58">
        <f t="shared" si="194"/>
        <v>0.11545502148634444</v>
      </c>
      <c r="L87" s="58">
        <f t="shared" si="194"/>
        <v>0.1349144375164317</v>
      </c>
      <c r="M87" s="58">
        <f t="shared" si="194"/>
        <v>0.14542342256668717</v>
      </c>
      <c r="N87" s="58">
        <f t="shared" si="194"/>
        <v>0.16079345442574913</v>
      </c>
      <c r="O87" s="58">
        <f t="shared" si="194"/>
        <v>0.19475126899211875</v>
      </c>
      <c r="P87" s="58">
        <f t="shared" si="194"/>
        <v>0.22043560022302949</v>
      </c>
      <c r="Q87" s="58">
        <f t="shared" si="194"/>
        <v>0.21954757172550868</v>
      </c>
      <c r="R87" s="58">
        <f t="shared" si="194"/>
        <v>0.22859580226213069</v>
      </c>
      <c r="S87" s="58">
        <f t="shared" si="194"/>
        <v>0.19972185518989413</v>
      </c>
      <c r="T87" s="58">
        <f t="shared" si="194"/>
        <v>0.2066345449604082</v>
      </c>
      <c r="U87" s="58">
        <f t="shared" si="194"/>
        <v>0.20332864106026224</v>
      </c>
      <c r="V87" s="58">
        <f t="shared" si="194"/>
        <v>0.19383611714948165</v>
      </c>
      <c r="W87" s="58">
        <f t="shared" si="194"/>
        <v>0.17845054172182345</v>
      </c>
      <c r="X87" s="58">
        <f t="shared" si="194"/>
        <v>0.20074384025090847</v>
      </c>
      <c r="Y87" s="58">
        <f t="shared" si="194"/>
        <v>0.19738301486795728</v>
      </c>
      <c r="Z87" s="58">
        <f t="shared" si="194"/>
        <v>0.19791505426276584</v>
      </c>
      <c r="AA87" s="58">
        <f t="shared" si="194"/>
        <v>0.17915349613413178</v>
      </c>
      <c r="AB87" s="58">
        <f t="shared" si="194"/>
        <v>0.18405800016088808</v>
      </c>
      <c r="AC87" s="58">
        <f t="shared" si="194"/>
        <v>0.18692115409840901</v>
      </c>
      <c r="AD87" s="58">
        <f t="shared" si="194"/>
        <v>0.17625482462793479</v>
      </c>
      <c r="AE87" s="58">
        <f t="shared" si="194"/>
        <v>0.20417259712202387</v>
      </c>
      <c r="AF87" s="58">
        <f t="shared" si="194"/>
        <v>0.22634684022269067</v>
      </c>
      <c r="AG87" s="58">
        <f t="shared" ref="AG87:AM87" si="195">+AG36/AG14</f>
        <v>0.20261379315720948</v>
      </c>
      <c r="AH87" s="58">
        <f t="shared" si="195"/>
        <v>0.19633071048133821</v>
      </c>
      <c r="AI87" s="58">
        <f t="shared" si="195"/>
        <v>0.18893422257592235</v>
      </c>
      <c r="AJ87" s="58">
        <f t="shared" si="195"/>
        <v>0.20026362171290391</v>
      </c>
      <c r="AK87" s="58">
        <f t="shared" si="195"/>
        <v>0.20290003659073344</v>
      </c>
      <c r="AL87" s="58">
        <f t="shared" si="195"/>
        <v>0.17563205003228291</v>
      </c>
      <c r="AM87" s="58">
        <f t="shared" si="195"/>
        <v>0.20364046806017908</v>
      </c>
      <c r="AN87" s="58">
        <f t="shared" ref="AN87" si="196">+AN36/AN14</f>
        <v>0.21656957141024416</v>
      </c>
      <c r="AO87" s="58">
        <f t="shared" ref="AO87" si="197">+AO36/AO14</f>
        <v>0.21118707674892703</v>
      </c>
      <c r="AP87" s="58">
        <f t="shared" ref="AP87:AQ87" si="198">+AP36/AP14</f>
        <v>0.21519958055710514</v>
      </c>
      <c r="AQ87" s="58">
        <f t="shared" si="198"/>
        <v>0.20465209335502227</v>
      </c>
      <c r="AR87" s="58">
        <f t="shared" ref="AR87" si="199">+AR36/AR14</f>
        <v>0.21407642554653394</v>
      </c>
      <c r="AS87" s="58">
        <f t="shared" ref="AS87" si="200">+AS36/AS14</f>
        <v>0.20602578702123003</v>
      </c>
      <c r="AT87" s="58">
        <f t="shared" ref="AT87" si="201">+AT36/AT14</f>
        <v>0.18499505852180387</v>
      </c>
      <c r="AU87" s="58">
        <f t="shared" ref="AU87" si="202">+AU36/AU14</f>
        <v>0.19199999999999995</v>
      </c>
      <c r="AV87" s="58"/>
      <c r="AW87" s="682">
        <v>0.19199999999999995</v>
      </c>
      <c r="AX87" s="58"/>
      <c r="AY87" s="58"/>
      <c r="AZ87" s="58"/>
      <c r="BA87" s="500"/>
      <c r="BB87" s="500"/>
      <c r="BC87" s="500"/>
      <c r="BD87" s="500"/>
      <c r="BE87" s="500"/>
      <c r="BF87" s="500"/>
      <c r="BG87" s="500"/>
    </row>
    <row r="88" spans="1:59" s="360" customFormat="1">
      <c r="A88" s="46" t="s">
        <v>163</v>
      </c>
      <c r="B88" s="46" t="s">
        <v>663</v>
      </c>
      <c r="C88" s="46">
        <f t="shared" ref="C88:AF88" si="203">+C47/C14</f>
        <v>0.14190569584048374</v>
      </c>
      <c r="D88" s="46">
        <f t="shared" si="203"/>
        <v>0.1297306617076564</v>
      </c>
      <c r="E88" s="46">
        <f t="shared" si="203"/>
        <v>0.12320158241279015</v>
      </c>
      <c r="F88" s="46">
        <f t="shared" si="203"/>
        <v>0.12125521384884692</v>
      </c>
      <c r="G88" s="58">
        <f t="shared" si="203"/>
        <v>0.10712066962274437</v>
      </c>
      <c r="H88" s="46">
        <f t="shared" si="203"/>
        <v>0.13943907664428279</v>
      </c>
      <c r="I88" s="46">
        <f t="shared" si="203"/>
        <v>0.12999500249875062</v>
      </c>
      <c r="J88" s="58">
        <f t="shared" si="203"/>
        <v>0.10613897659620626</v>
      </c>
      <c r="K88" s="58">
        <f t="shared" si="203"/>
        <v>0.1009447067427741</v>
      </c>
      <c r="L88" s="46">
        <f t="shared" si="203"/>
        <v>0.12193389655591876</v>
      </c>
      <c r="M88" s="46">
        <f t="shared" si="203"/>
        <v>0.13026009224478141</v>
      </c>
      <c r="N88" s="46">
        <f t="shared" si="203"/>
        <v>0.14417997143479122</v>
      </c>
      <c r="O88" s="46">
        <f t="shared" si="203"/>
        <v>0.18060526754672923</v>
      </c>
      <c r="P88" s="46">
        <f t="shared" si="203"/>
        <v>0.20880620326856006</v>
      </c>
      <c r="Q88" s="46">
        <f t="shared" si="203"/>
        <v>0.2087208508443204</v>
      </c>
      <c r="R88" s="46">
        <f t="shared" si="203"/>
        <v>0.2185618261777641</v>
      </c>
      <c r="S88" s="46">
        <f t="shared" si="203"/>
        <v>0.19154203277070267</v>
      </c>
      <c r="T88" s="46">
        <f t="shared" si="203"/>
        <v>0.19973651602323439</v>
      </c>
      <c r="U88" s="46">
        <f t="shared" si="203"/>
        <v>0.19590240072012033</v>
      </c>
      <c r="V88" s="46">
        <f t="shared" si="203"/>
        <v>0.1865860514042931</v>
      </c>
      <c r="W88" s="46">
        <f t="shared" si="203"/>
        <v>0.17194010568834486</v>
      </c>
      <c r="X88" s="46">
        <f t="shared" si="203"/>
        <v>0.19325987325478522</v>
      </c>
      <c r="Y88" s="46">
        <f t="shared" si="203"/>
        <v>0.19093682371652795</v>
      </c>
      <c r="Z88" s="46">
        <f t="shared" si="203"/>
        <v>0.1915901312281787</v>
      </c>
      <c r="AA88" s="46">
        <f t="shared" si="203"/>
        <v>0.1719109021181093</v>
      </c>
      <c r="AB88" s="46">
        <f t="shared" si="203"/>
        <v>0.17580444051162414</v>
      </c>
      <c r="AC88" s="46">
        <f t="shared" si="203"/>
        <v>0.17933161022851762</v>
      </c>
      <c r="AD88" s="46">
        <f t="shared" si="203"/>
        <v>0.16643491597984189</v>
      </c>
      <c r="AE88" s="46">
        <f t="shared" si="203"/>
        <v>0.19513387048496367</v>
      </c>
      <c r="AF88" s="46">
        <f t="shared" si="203"/>
        <v>0.21778820419371228</v>
      </c>
      <c r="AG88" s="46">
        <f t="shared" ref="AG88:AM88" si="204">+AG47/AG14</f>
        <v>0.1936588426968919</v>
      </c>
      <c r="AH88" s="46">
        <f t="shared" si="204"/>
        <v>0.18731258705388362</v>
      </c>
      <c r="AI88" s="46">
        <f t="shared" si="204"/>
        <v>0.17575931810349921</v>
      </c>
      <c r="AJ88" s="46">
        <f t="shared" si="204"/>
        <v>0.18875616500841008</v>
      </c>
      <c r="AK88" s="46">
        <f t="shared" si="204"/>
        <v>0.19127408227081727</v>
      </c>
      <c r="AL88" s="46">
        <f t="shared" si="204"/>
        <v>0.16216814999556894</v>
      </c>
      <c r="AM88" s="46">
        <f t="shared" si="204"/>
        <v>0.18963688188481367</v>
      </c>
      <c r="AN88" s="46">
        <f t="shared" ref="AN88" si="205">+AN47/AN14</f>
        <v>0.20373885268604622</v>
      </c>
      <c r="AO88" s="46">
        <f t="shared" ref="AO88" si="206">+AO47/AO14</f>
        <v>0.19773316774306349</v>
      </c>
      <c r="AP88" s="46">
        <f t="shared" ref="AP88:AQ88" si="207">+AP47/AP14</f>
        <v>0.20100046832814306</v>
      </c>
      <c r="AQ88" s="46">
        <f t="shared" si="207"/>
        <v>0.19117424473073014</v>
      </c>
      <c r="AR88" s="46">
        <f t="shared" ref="AR88" si="208">+AR47/AR14</f>
        <v>0.20136691265368695</v>
      </c>
      <c r="AS88" s="46">
        <f t="shared" ref="AS88" si="209">+AS47/AS14</f>
        <v>0.19079553730197421</v>
      </c>
      <c r="AT88" s="46">
        <f t="shared" ref="AT88" si="210">+AT47/AT14</f>
        <v>0.16953762466001826</v>
      </c>
      <c r="AU88" s="46">
        <f t="shared" ref="AU88" si="211">+AU47/AU14</f>
        <v>0.17760068226511677</v>
      </c>
      <c r="AV88" s="46"/>
      <c r="AW88" s="681">
        <v>0.17531678338759943</v>
      </c>
      <c r="AX88" s="46"/>
      <c r="AY88" s="46"/>
      <c r="AZ88" s="46"/>
      <c r="BA88" s="500"/>
      <c r="BB88" s="500"/>
      <c r="BC88" s="500"/>
      <c r="BD88" s="500"/>
      <c r="BE88" s="500"/>
      <c r="BF88" s="500"/>
      <c r="BG88" s="500"/>
    </row>
    <row r="89" spans="1:59" s="360" customFormat="1">
      <c r="A89" s="46" t="s">
        <v>163</v>
      </c>
      <c r="B89" s="46" t="s">
        <v>667</v>
      </c>
      <c r="C89" s="46">
        <f t="shared" ref="C89:AF89" si="212">+C55/C14</f>
        <v>0.18450419038798538</v>
      </c>
      <c r="D89" s="46">
        <f t="shared" si="212"/>
        <v>0.18737915491570084</v>
      </c>
      <c r="E89" s="46">
        <f t="shared" si="212"/>
        <v>0.18578554101462877</v>
      </c>
      <c r="F89" s="46">
        <f t="shared" si="212"/>
        <v>0.1883858140087743</v>
      </c>
      <c r="G89" s="58">
        <f t="shared" si="212"/>
        <v>0.15579162023095341</v>
      </c>
      <c r="H89" s="46">
        <f t="shared" si="212"/>
        <v>0.20120076889856128</v>
      </c>
      <c r="I89" s="46">
        <f t="shared" si="212"/>
        <v>0.12593303348325835</v>
      </c>
      <c r="J89" s="58">
        <f t="shared" si="212"/>
        <v>9.0448070572922978E-2</v>
      </c>
      <c r="K89" s="58">
        <f t="shared" si="212"/>
        <v>0.11300129394098078</v>
      </c>
      <c r="L89" s="46">
        <f t="shared" si="212"/>
        <v>0.10432697778632335</v>
      </c>
      <c r="M89" s="46">
        <f t="shared" si="212"/>
        <v>0.11493034092530066</v>
      </c>
      <c r="N89" s="46">
        <f t="shared" si="212"/>
        <v>0.10054103992226873</v>
      </c>
      <c r="O89" s="46">
        <f t="shared" si="212"/>
        <v>0.1776760018302565</v>
      </c>
      <c r="P89" s="46">
        <f t="shared" si="212"/>
        <v>0.20045991182714515</v>
      </c>
      <c r="Q89" s="46">
        <f t="shared" si="212"/>
        <v>0.20547647585380288</v>
      </c>
      <c r="R89" s="46">
        <f t="shared" si="212"/>
        <v>0.21758519760549505</v>
      </c>
      <c r="S89" s="46">
        <f t="shared" si="212"/>
        <v>0.21237461632982516</v>
      </c>
      <c r="T89" s="46">
        <f t="shared" si="212"/>
        <v>0.21886674251811444</v>
      </c>
      <c r="U89" s="46">
        <f t="shared" si="212"/>
        <v>0.21962710793185672</v>
      </c>
      <c r="V89" s="46">
        <f t="shared" si="212"/>
        <v>0.39905761208649898</v>
      </c>
      <c r="W89" s="46">
        <f t="shared" si="212"/>
        <v>0.20250770776981455</v>
      </c>
      <c r="X89" s="46">
        <f t="shared" si="212"/>
        <v>0.18544746224792394</v>
      </c>
      <c r="Y89" s="46">
        <f t="shared" si="212"/>
        <v>0.2128386306155971</v>
      </c>
      <c r="Z89" s="46">
        <f t="shared" si="212"/>
        <v>0.22254613625027936</v>
      </c>
      <c r="AA89" s="46">
        <f t="shared" si="212"/>
        <v>0.20930151305269989</v>
      </c>
      <c r="AB89" s="46">
        <f t="shared" si="212"/>
        <v>0.20928927680798004</v>
      </c>
      <c r="AC89" s="46">
        <f t="shared" si="212"/>
        <v>0.21685255629804653</v>
      </c>
      <c r="AD89" s="46">
        <f t="shared" si="212"/>
        <v>0.21772134297416187</v>
      </c>
      <c r="AE89" s="46">
        <f t="shared" si="212"/>
        <v>0.21132375908403231</v>
      </c>
      <c r="AF89" s="46">
        <f t="shared" si="212"/>
        <v>0.23416729630967997</v>
      </c>
      <c r="AG89" s="46">
        <f t="shared" ref="AG89:AM89" si="213">+AG55/AG14</f>
        <v>0.25547041260981745</v>
      </c>
      <c r="AH89" s="46">
        <f t="shared" si="213"/>
        <v>0.2175297883944374</v>
      </c>
      <c r="AI89" s="46">
        <f t="shared" si="213"/>
        <v>0.20468508741701433</v>
      </c>
      <c r="AJ89" s="46">
        <f t="shared" si="213"/>
        <v>0.13942938979622982</v>
      </c>
      <c r="AK89" s="46">
        <f t="shared" si="213"/>
        <v>0.22206509615231634</v>
      </c>
      <c r="AL89" s="46">
        <f t="shared" si="213"/>
        <v>0.19456506602185106</v>
      </c>
      <c r="AM89" s="46">
        <f t="shared" si="213"/>
        <v>0.24431355459987703</v>
      </c>
      <c r="AN89" s="46">
        <f t="shared" ref="AN89" si="214">+AN55/AN14</f>
        <v>0.24775902393773619</v>
      </c>
      <c r="AO89" s="46">
        <f t="shared" ref="AO89" si="215">+AO55/AO14</f>
        <v>0.24139888929545425</v>
      </c>
      <c r="AP89" s="46">
        <f t="shared" ref="AP89:AQ89" si="216">+AP55/AP14</f>
        <v>0.24885949969120186</v>
      </c>
      <c r="AQ89" s="46">
        <f t="shared" si="216"/>
        <v>0.23759775224210375</v>
      </c>
      <c r="AR89" s="46">
        <f t="shared" ref="AR89" si="217">+AR55/AR14</f>
        <v>0.25774462715458879</v>
      </c>
      <c r="AS89" s="46">
        <f t="shared" ref="AS89" si="218">+AS55/AS14</f>
        <v>0.25375920929801121</v>
      </c>
      <c r="AT89" s="46">
        <f t="shared" ref="AT89" si="219">+AT55/AT14</f>
        <v>0.22943977522400019</v>
      </c>
      <c r="AU89" s="46">
        <f t="shared" ref="AU89" si="220">+AU55/AU14</f>
        <v>0.23756091816627137</v>
      </c>
      <c r="AV89" s="46"/>
      <c r="AW89" s="681">
        <v>0.24478740846077493</v>
      </c>
      <c r="AX89" s="46"/>
      <c r="AY89" s="46"/>
      <c r="AZ89" s="46"/>
      <c r="BA89" s="500"/>
      <c r="BB89" s="500"/>
      <c r="BC89" s="500"/>
      <c r="BD89" s="500"/>
      <c r="BE89" s="500"/>
      <c r="BF89" s="500"/>
      <c r="BG89" s="500"/>
    </row>
    <row r="90" spans="1:59" s="360" customFormat="1">
      <c r="A90" s="46" t="s">
        <v>163</v>
      </c>
      <c r="B90" s="46" t="s">
        <v>677</v>
      </c>
      <c r="C90" s="46">
        <f t="shared" ref="C90:AF90" si="221">+C62/C14</f>
        <v>0.1207676173354035</v>
      </c>
      <c r="D90" s="46">
        <f t="shared" si="221"/>
        <v>0.13089241657327463</v>
      </c>
      <c r="E90" s="46">
        <f t="shared" si="221"/>
        <v>0.13426367576112735</v>
      </c>
      <c r="F90" s="46">
        <f t="shared" si="221"/>
        <v>0.13326273475827183</v>
      </c>
      <c r="G90" s="58">
        <f t="shared" si="221"/>
        <v>0.10718232044198893</v>
      </c>
      <c r="H90" s="46">
        <f t="shared" si="221"/>
        <v>0.14224623383661752</v>
      </c>
      <c r="I90" s="46">
        <f t="shared" si="221"/>
        <v>8.5429285357321333E-2</v>
      </c>
      <c r="J90" s="58">
        <f t="shared" si="221"/>
        <v>5.8227481983176309E-2</v>
      </c>
      <c r="K90" s="58">
        <f t="shared" si="221"/>
        <v>7.5784262388727638E-2</v>
      </c>
      <c r="L90" s="46">
        <f t="shared" si="221"/>
        <v>7.2542702762092751E-2</v>
      </c>
      <c r="M90" s="46">
        <f t="shared" si="221"/>
        <v>7.8108506490418811E-2</v>
      </c>
      <c r="N90" s="46">
        <f t="shared" si="221"/>
        <v>6.9135238742493749E-2</v>
      </c>
      <c r="O90" s="46">
        <f t="shared" si="221"/>
        <v>0.12550513797482965</v>
      </c>
      <c r="P90" s="46">
        <f t="shared" si="221"/>
        <v>0.13950774196452995</v>
      </c>
      <c r="Q90" s="46">
        <f t="shared" si="221"/>
        <v>0.14418169956456436</v>
      </c>
      <c r="R90" s="46">
        <f t="shared" si="221"/>
        <v>0.15654591183867983</v>
      </c>
      <c r="S90" s="46">
        <f t="shared" si="221"/>
        <v>0.15170717161174882</v>
      </c>
      <c r="T90" s="46">
        <f t="shared" si="221"/>
        <v>0.15709541160158635</v>
      </c>
      <c r="U90" s="46">
        <f t="shared" si="221"/>
        <v>0.15970725961676582</v>
      </c>
      <c r="V90" s="46">
        <f t="shared" si="221"/>
        <v>0.33788925373782513</v>
      </c>
      <c r="W90" s="46">
        <f t="shared" si="221"/>
        <v>0.15108716207458542</v>
      </c>
      <c r="X90" s="46">
        <f t="shared" si="221"/>
        <v>0.13779460288651021</v>
      </c>
      <c r="Y90" s="46">
        <f t="shared" si="221"/>
        <v>0.15948807534863371</v>
      </c>
      <c r="Z90" s="46">
        <f t="shared" si="221"/>
        <v>0.16597870766902281</v>
      </c>
      <c r="AA90" s="46">
        <f t="shared" si="221"/>
        <v>0.14764492381300787</v>
      </c>
      <c r="AB90" s="46">
        <f t="shared" si="221"/>
        <v>0.14895623843616762</v>
      </c>
      <c r="AC90" s="46">
        <f t="shared" si="221"/>
        <v>0.15126249143220299</v>
      </c>
      <c r="AD90" s="46">
        <f t="shared" si="221"/>
        <v>0.16133429404527141</v>
      </c>
      <c r="AE90" s="46">
        <f t="shared" si="221"/>
        <v>0.15020698052774439</v>
      </c>
      <c r="AF90" s="46">
        <f t="shared" si="221"/>
        <v>0.16177348697266991</v>
      </c>
      <c r="AG90" s="46">
        <f t="shared" ref="AG90:AM90" si="222">+AG62/AG14</f>
        <v>0.17628292576453247</v>
      </c>
      <c r="AH90" s="46">
        <f t="shared" si="222"/>
        <v>0.15488343142840338</v>
      </c>
      <c r="AI90" s="46">
        <f t="shared" si="222"/>
        <v>0.14088389901016868</v>
      </c>
      <c r="AJ90" s="46">
        <f t="shared" si="222"/>
        <v>9.9092919945867011E-2</v>
      </c>
      <c r="AK90" s="46">
        <f t="shared" si="222"/>
        <v>0.15223866350136189</v>
      </c>
      <c r="AL90" s="46">
        <f t="shared" si="222"/>
        <v>0.13118282292471098</v>
      </c>
      <c r="AM90" s="46">
        <f t="shared" si="222"/>
        <v>0.17097912588761402</v>
      </c>
      <c r="AN90" s="46">
        <f t="shared" ref="AN90" si="223">+AN62/AN14</f>
        <v>0.17309216867271712</v>
      </c>
      <c r="AO90" s="46">
        <f t="shared" ref="AO90" si="224">+AO62/AO14</f>
        <v>0.17495308976662943</v>
      </c>
      <c r="AP90" s="46">
        <f t="shared" ref="AP90:AQ90" si="225">+AP62/AP14</f>
        <v>0.17713065982024401</v>
      </c>
      <c r="AQ90" s="46">
        <f t="shared" si="225"/>
        <v>0.17021198862203046</v>
      </c>
      <c r="AR90" s="46">
        <f t="shared" ref="AR90" si="226">+AR62/AR14</f>
        <v>0.18543996881668584</v>
      </c>
      <c r="AS90" s="46">
        <f t="shared" ref="AS90" si="227">+AS62/AS14</f>
        <v>0.18248274582633531</v>
      </c>
      <c r="AT90" s="46">
        <f t="shared" ref="AT90" si="228">+AT62/AT14</f>
        <v>0.16372628294659133</v>
      </c>
      <c r="AU90" s="46">
        <f t="shared" ref="AU90" si="229">+AU62/AU14</f>
        <v>0.16629264271638994</v>
      </c>
      <c r="AV90" s="46"/>
      <c r="AW90" s="681">
        <v>0.17135118592254245</v>
      </c>
      <c r="AX90" s="46"/>
      <c r="AY90" s="46"/>
      <c r="AZ90" s="46"/>
      <c r="BA90" s="500"/>
      <c r="BB90" s="500"/>
      <c r="BC90" s="500"/>
      <c r="BD90" s="500"/>
      <c r="BE90" s="500"/>
      <c r="BF90" s="500"/>
      <c r="BG90" s="500"/>
    </row>
    <row r="91" spans="1:59" s="360" customFormat="1">
      <c r="A91" s="46" t="s">
        <v>163</v>
      </c>
      <c r="B91" s="46" t="s">
        <v>687</v>
      </c>
      <c r="C91" s="46">
        <f t="shared" ref="C91:AF91" si="230">+C67/C14</f>
        <v>0.1207676173354035</v>
      </c>
      <c r="D91" s="46">
        <f t="shared" si="230"/>
        <v>0.13089241657327463</v>
      </c>
      <c r="E91" s="46">
        <f t="shared" si="230"/>
        <v>0.13426367576112735</v>
      </c>
      <c r="F91" s="46">
        <f t="shared" si="230"/>
        <v>0.13326273475827183</v>
      </c>
      <c r="G91" s="58">
        <f t="shared" si="230"/>
        <v>0.10718232044198893</v>
      </c>
      <c r="H91" s="46">
        <f t="shared" si="230"/>
        <v>0.14224623383661752</v>
      </c>
      <c r="I91" s="46">
        <f t="shared" si="230"/>
        <v>9.9022728635682136E-2</v>
      </c>
      <c r="J91" s="58">
        <f t="shared" si="230"/>
        <v>5.8188724722215569E-2</v>
      </c>
      <c r="K91" s="58">
        <f t="shared" si="230"/>
        <v>7.5784262388727638E-2</v>
      </c>
      <c r="L91" s="46">
        <f t="shared" si="230"/>
        <v>8.8606318399956058E-2</v>
      </c>
      <c r="M91" s="46">
        <f t="shared" si="230"/>
        <v>9.7573581855356278E-2</v>
      </c>
      <c r="N91" s="46">
        <f t="shared" si="230"/>
        <v>0.10467343807243253</v>
      </c>
      <c r="O91" s="46">
        <f t="shared" si="230"/>
        <v>0.12931078867806725</v>
      </c>
      <c r="P91" s="46">
        <f t="shared" si="230"/>
        <v>0.15014185232258931</v>
      </c>
      <c r="Q91" s="46">
        <f t="shared" si="230"/>
        <v>0.15349710973889033</v>
      </c>
      <c r="R91" s="46">
        <f t="shared" si="230"/>
        <v>0.16454311726897003</v>
      </c>
      <c r="S91" s="46">
        <f t="shared" si="230"/>
        <v>0.15170717161174882</v>
      </c>
      <c r="T91" s="46">
        <f t="shared" si="230"/>
        <v>0.15709541160158635</v>
      </c>
      <c r="U91" s="46">
        <f t="shared" si="230"/>
        <v>0.15970725961676582</v>
      </c>
      <c r="V91" s="46">
        <f t="shared" si="230"/>
        <v>0.16307943225109117</v>
      </c>
      <c r="W91" s="46">
        <f t="shared" si="230"/>
        <v>0.15108716207458542</v>
      </c>
      <c r="X91" s="46">
        <f t="shared" si="230"/>
        <v>0.15047425036926215</v>
      </c>
      <c r="Y91" s="46">
        <f t="shared" si="230"/>
        <v>0.16775179556709022</v>
      </c>
      <c r="Z91" s="46">
        <f t="shared" si="230"/>
        <v>0.16463073800801462</v>
      </c>
      <c r="AA91" s="46">
        <f t="shared" si="230"/>
        <v>0.14764492381300787</v>
      </c>
      <c r="AB91" s="46">
        <f t="shared" si="230"/>
        <v>0.14895623843616762</v>
      </c>
      <c r="AC91" s="46">
        <f t="shared" si="230"/>
        <v>0.15126249143220299</v>
      </c>
      <c r="AD91" s="46">
        <f t="shared" si="230"/>
        <v>0.16133429404527141</v>
      </c>
      <c r="AE91" s="46">
        <f t="shared" si="230"/>
        <v>0.16389029726598378</v>
      </c>
      <c r="AF91" s="46">
        <f t="shared" si="230"/>
        <v>0.16709765811447197</v>
      </c>
      <c r="AG91" s="46">
        <f t="shared" ref="AG91:AM91" si="231">+AG67/AG14</f>
        <v>0.16325215737326643</v>
      </c>
      <c r="AH91" s="46">
        <f t="shared" si="231"/>
        <v>0.15993585129828128</v>
      </c>
      <c r="AI91" s="46">
        <f t="shared" si="231"/>
        <v>0.14984378599538117</v>
      </c>
      <c r="AJ91" s="46">
        <f t="shared" si="231"/>
        <v>0.1469523351148482</v>
      </c>
      <c r="AK91" s="46">
        <f t="shared" si="231"/>
        <v>0.14246469524514899</v>
      </c>
      <c r="AL91" s="46">
        <f t="shared" si="231"/>
        <v>0.13038081251819866</v>
      </c>
      <c r="AM91" s="46">
        <f t="shared" si="231"/>
        <v>0.17097912588761402</v>
      </c>
      <c r="AN91" s="46">
        <f t="shared" ref="AN91" si="232">+AN67/AN14</f>
        <v>0.17309216867271712</v>
      </c>
      <c r="AO91" s="46">
        <f t="shared" ref="AO91" si="233">+AO67/AO14</f>
        <v>0.17495308976662943</v>
      </c>
      <c r="AP91" s="46">
        <f t="shared" ref="AP91:AQ91" si="234">+AP67/AP14</f>
        <v>0.17713065982024401</v>
      </c>
      <c r="AQ91" s="46">
        <f t="shared" si="234"/>
        <v>0.17021198862203046</v>
      </c>
      <c r="AR91" s="46">
        <f t="shared" ref="AR91" si="235">+AR67/AR14</f>
        <v>0.18543996881668584</v>
      </c>
      <c r="AS91" s="46">
        <f t="shared" ref="AS91" si="236">+AS67/AS14</f>
        <v>0.18248274582633531</v>
      </c>
      <c r="AT91" s="46">
        <f t="shared" ref="AT91" si="237">+AT67/AT14</f>
        <v>0.16372628294659133</v>
      </c>
      <c r="AU91" s="46">
        <f t="shared" ref="AU91" si="238">+AU67/AU14</f>
        <v>0.16629264271638994</v>
      </c>
      <c r="AV91" s="46"/>
      <c r="AW91" s="681">
        <v>0.17135118592254245</v>
      </c>
      <c r="AX91" s="46"/>
      <c r="AY91" s="46"/>
      <c r="AZ91" s="46"/>
      <c r="BA91" s="500"/>
      <c r="BB91" s="500"/>
      <c r="BC91" s="500"/>
      <c r="BD91" s="500"/>
      <c r="BE91" s="500"/>
      <c r="BF91" s="500"/>
      <c r="BG91" s="500"/>
    </row>
    <row r="92" spans="1:59">
      <c r="A92" s="38"/>
      <c r="B92" s="38"/>
      <c r="C92" s="38"/>
      <c r="D92" s="38"/>
      <c r="E92" s="38"/>
      <c r="F92" s="38"/>
      <c r="G92" s="52"/>
      <c r="H92" s="38"/>
      <c r="I92" s="38"/>
      <c r="J92" s="52"/>
      <c r="K92" s="52"/>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671"/>
      <c r="AX92" s="38"/>
      <c r="AY92" s="38"/>
      <c r="AZ92" s="38"/>
      <c r="BA92" s="475"/>
      <c r="BB92" s="475"/>
      <c r="BC92" s="475"/>
      <c r="BD92" s="475"/>
      <c r="BE92" s="475"/>
      <c r="BF92" s="475"/>
      <c r="BG92" s="475"/>
    </row>
    <row r="93" spans="1:59" s="364" customFormat="1">
      <c r="A93" s="5"/>
      <c r="B93" s="37" t="s">
        <v>1973</v>
      </c>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499"/>
      <c r="BB93" s="499"/>
      <c r="BC93" s="499"/>
      <c r="BD93" s="499"/>
      <c r="BE93" s="499"/>
      <c r="BF93" s="499"/>
      <c r="BG93" s="499"/>
    </row>
    <row r="94" spans="1:59" s="499" customFormat="1">
      <c r="A94" s="506"/>
      <c r="B94" s="507"/>
      <c r="C94" s="508"/>
      <c r="D94" s="508"/>
      <c r="E94" s="508"/>
      <c r="F94" s="508"/>
      <c r="G94" s="508"/>
      <c r="H94" s="508"/>
      <c r="I94" s="508"/>
      <c r="J94" s="508"/>
      <c r="K94" s="508"/>
      <c r="L94" s="508"/>
      <c r="M94" s="508"/>
      <c r="N94" s="508"/>
      <c r="O94" s="508"/>
      <c r="P94" s="508"/>
      <c r="Q94" s="508"/>
      <c r="R94" s="508"/>
      <c r="S94" s="508"/>
      <c r="T94" s="508"/>
      <c r="U94" s="508"/>
      <c r="V94" s="508"/>
      <c r="W94" s="508"/>
      <c r="X94" s="508"/>
      <c r="Y94" s="508"/>
      <c r="Z94" s="508"/>
      <c r="AA94" s="508"/>
      <c r="AB94" s="508"/>
      <c r="AC94" s="508"/>
      <c r="AD94" s="508"/>
      <c r="AE94" s="603">
        <f t="shared" ref="AE94:AU94" si="239">AE95/3</f>
        <v>326425</v>
      </c>
      <c r="AF94" s="603">
        <f t="shared" si="239"/>
        <v>320443.33333333331</v>
      </c>
      <c r="AG94" s="603">
        <f t="shared" si="239"/>
        <v>331230</v>
      </c>
      <c r="AH94" s="603">
        <f t="shared" si="239"/>
        <v>311927.33333333331</v>
      </c>
      <c r="AI94" s="603">
        <f t="shared" si="239"/>
        <v>329476.66666666669</v>
      </c>
      <c r="AJ94" s="603">
        <f t="shared" si="239"/>
        <v>351860.66666666669</v>
      </c>
      <c r="AK94" s="603">
        <f t="shared" si="239"/>
        <v>328173.33333333331</v>
      </c>
      <c r="AL94" s="568">
        <f t="shared" si="239"/>
        <v>260889.66666666666</v>
      </c>
      <c r="AM94" s="568">
        <f t="shared" si="239"/>
        <v>337676.33333333331</v>
      </c>
      <c r="AN94" s="568">
        <f t="shared" si="239"/>
        <v>352198.66666666669</v>
      </c>
      <c r="AO94" s="568">
        <f t="shared" si="239"/>
        <v>317166</v>
      </c>
      <c r="AP94" s="568">
        <f t="shared" si="239"/>
        <v>290823.66666666669</v>
      </c>
      <c r="AQ94" s="568">
        <f t="shared" si="239"/>
        <v>331577.66666666669</v>
      </c>
      <c r="AR94" s="568">
        <f t="shared" si="239"/>
        <v>343981.66666666669</v>
      </c>
      <c r="AS94" s="568">
        <f t="shared" si="239"/>
        <v>283881.66666666669</v>
      </c>
      <c r="AT94" s="568">
        <f t="shared" si="239"/>
        <v>262542.33333333331</v>
      </c>
      <c r="AU94" s="568">
        <f t="shared" si="239"/>
        <v>289911.66666666669</v>
      </c>
      <c r="AV94" s="567"/>
      <c r="AW94" s="568">
        <v>262542.33333333331</v>
      </c>
      <c r="AX94" s="508"/>
      <c r="AY94" s="508"/>
      <c r="AZ94" s="508"/>
    </row>
    <row r="95" spans="1:59" outlineLevel="1">
      <c r="A95" s="38"/>
      <c r="B95" s="38" t="s">
        <v>601</v>
      </c>
      <c r="C95" s="41">
        <f t="shared" ref="C95:T95" si="240">C192</f>
        <v>647094</v>
      </c>
      <c r="D95" s="41">
        <f t="shared" si="240"/>
        <v>708125</v>
      </c>
      <c r="E95" s="41">
        <f t="shared" si="240"/>
        <v>738219</v>
      </c>
      <c r="F95" s="41">
        <f t="shared" si="240"/>
        <v>625357</v>
      </c>
      <c r="G95" s="41">
        <f t="shared" si="240"/>
        <v>571112.60709278681</v>
      </c>
      <c r="H95" s="41">
        <f t="shared" si="240"/>
        <v>614092.61415407818</v>
      </c>
      <c r="I95" s="41">
        <f t="shared" si="240"/>
        <v>713442.91166128789</v>
      </c>
      <c r="J95" s="41">
        <f t="shared" si="240"/>
        <v>552100.70716805616</v>
      </c>
      <c r="K95" s="41">
        <f t="shared" si="240"/>
        <v>620095.39582650363</v>
      </c>
      <c r="L95" s="41">
        <f t="shared" si="240"/>
        <v>640040.16724994592</v>
      </c>
      <c r="M95" s="41">
        <f t="shared" si="240"/>
        <v>493748.95896077284</v>
      </c>
      <c r="N95" s="41">
        <f t="shared" si="240"/>
        <v>440222.3461424532</v>
      </c>
      <c r="O95" s="41">
        <f t="shared" si="240"/>
        <v>548055.03759566881</v>
      </c>
      <c r="P95" s="41">
        <f t="shared" si="240"/>
        <v>686061.42586083757</v>
      </c>
      <c r="Q95" s="41">
        <f t="shared" si="240"/>
        <v>807883.568391826</v>
      </c>
      <c r="R95" s="41">
        <f t="shared" si="240"/>
        <v>810681.05993653357</v>
      </c>
      <c r="S95" s="41">
        <f t="shared" si="240"/>
        <v>928528.01295363612</v>
      </c>
      <c r="T95" s="41">
        <f t="shared" si="240"/>
        <v>1001296.8968649002</v>
      </c>
      <c r="U95" s="41">
        <v>946850</v>
      </c>
      <c r="V95" s="41">
        <f>313583+326874+307738</f>
        <v>948195</v>
      </c>
      <c r="W95" s="41">
        <f>367309+358849+366657</f>
        <v>1092815</v>
      </c>
      <c r="X95" s="41">
        <f>363712+382739+417686</f>
        <v>1164137</v>
      </c>
      <c r="Y95" s="41">
        <f>395274+374477+305690</f>
        <v>1075441</v>
      </c>
      <c r="Z95" s="41">
        <v>1017224</v>
      </c>
      <c r="AA95" s="41">
        <f>982623+96348</f>
        <v>1078971</v>
      </c>
      <c r="AB95" s="41">
        <v>1049208</v>
      </c>
      <c r="AC95" s="41">
        <f t="shared" ref="AC95:AH95" si="241">+AC192</f>
        <v>1127761</v>
      </c>
      <c r="AD95" s="41">
        <f t="shared" si="241"/>
        <v>981231</v>
      </c>
      <c r="AE95" s="41">
        <f t="shared" si="241"/>
        <v>979275</v>
      </c>
      <c r="AF95" s="41">
        <f t="shared" si="241"/>
        <v>961330</v>
      </c>
      <c r="AG95" s="41">
        <f t="shared" si="241"/>
        <v>993690</v>
      </c>
      <c r="AH95" s="41">
        <f t="shared" si="241"/>
        <v>935782</v>
      </c>
      <c r="AI95" s="41">
        <f t="shared" ref="AI95:AM95" si="242">+AI192</f>
        <v>988430</v>
      </c>
      <c r="AJ95" s="41">
        <f t="shared" si="242"/>
        <v>1055582</v>
      </c>
      <c r="AK95" s="41">
        <f t="shared" si="242"/>
        <v>984520</v>
      </c>
      <c r="AL95" s="41">
        <f t="shared" si="242"/>
        <v>782669</v>
      </c>
      <c r="AM95" s="41">
        <f t="shared" si="242"/>
        <v>1013029</v>
      </c>
      <c r="AN95" s="41">
        <f t="shared" ref="AN95:AO95" si="243">+AN192</f>
        <v>1056596</v>
      </c>
      <c r="AO95" s="41">
        <f t="shared" si="243"/>
        <v>951498</v>
      </c>
      <c r="AP95" s="41">
        <f t="shared" ref="AP95:AQ95" si="244">+AP192</f>
        <v>872471</v>
      </c>
      <c r="AQ95" s="41">
        <f t="shared" si="244"/>
        <v>994733</v>
      </c>
      <c r="AR95" s="41">
        <f t="shared" ref="AR95" si="245">+AR192</f>
        <v>1031945</v>
      </c>
      <c r="AS95" s="41">
        <f t="shared" ref="AS95" si="246">+AS192</f>
        <v>851645</v>
      </c>
      <c r="AT95" s="41">
        <f t="shared" ref="AT95" si="247">+AT192</f>
        <v>787627</v>
      </c>
      <c r="AU95" s="41">
        <f t="shared" ref="AU95" si="248">+AU192</f>
        <v>869735</v>
      </c>
      <c r="AV95" s="63"/>
      <c r="AW95" s="683">
        <v>787627</v>
      </c>
      <c r="AX95" s="41"/>
      <c r="AY95" s="41">
        <f>+AS95+AQ95+AR95</f>
        <v>2878323</v>
      </c>
      <c r="AZ95" s="41"/>
      <c r="BA95" s="475"/>
      <c r="BB95" s="475"/>
      <c r="BC95" s="475"/>
      <c r="BD95" s="475"/>
      <c r="BE95" s="475"/>
      <c r="BF95" s="475"/>
      <c r="BG95" s="475"/>
    </row>
    <row r="96" spans="1:59" outlineLevel="1">
      <c r="A96" s="42" t="s">
        <v>163</v>
      </c>
      <c r="B96" s="42" t="s">
        <v>516</v>
      </c>
      <c r="C96" s="49"/>
      <c r="D96" s="49"/>
      <c r="E96" s="49"/>
      <c r="F96" s="49"/>
      <c r="G96" s="49">
        <f t="shared" ref="G96:S96" si="249">+(G95/C95-1)</f>
        <v>-0.11741940569254727</v>
      </c>
      <c r="H96" s="49">
        <f t="shared" si="249"/>
        <v>-0.13279065962354364</v>
      </c>
      <c r="I96" s="49">
        <f t="shared" si="249"/>
        <v>-3.3561975970155311E-2</v>
      </c>
      <c r="J96" s="49">
        <f t="shared" si="249"/>
        <v>-0.11714315636019723</v>
      </c>
      <c r="K96" s="49">
        <f t="shared" si="249"/>
        <v>8.5767304250313536E-2</v>
      </c>
      <c r="L96" s="49">
        <f t="shared" si="249"/>
        <v>4.225348505715365E-2</v>
      </c>
      <c r="M96" s="49">
        <f t="shared" si="249"/>
        <v>-0.30793487342798964</v>
      </c>
      <c r="N96" s="49">
        <f t="shared" si="249"/>
        <v>-0.20264122029379661</v>
      </c>
      <c r="O96" s="49">
        <f t="shared" si="249"/>
        <v>-0.11617625080865945</v>
      </c>
      <c r="P96" s="49">
        <f t="shared" si="249"/>
        <v>7.1903703807576269E-2</v>
      </c>
      <c r="Q96" s="49">
        <f t="shared" si="249"/>
        <v>0.63622333521924523</v>
      </c>
      <c r="R96" s="49">
        <f t="shared" si="249"/>
        <v>0.84152637193524527</v>
      </c>
      <c r="S96" s="49">
        <f t="shared" si="249"/>
        <v>0.69422402725666355</v>
      </c>
      <c r="T96" s="49">
        <f>+(T95/P95-1)</f>
        <v>0.45948578235326387</v>
      </c>
      <c r="U96" s="49">
        <f>+(U95/Q95-1)</f>
        <v>0.17201294474252116</v>
      </c>
      <c r="V96" s="49">
        <f t="shared" ref="V96:AE96" si="250">+(V95/R95-1)</f>
        <v>0.16962767092922104</v>
      </c>
      <c r="W96" s="49">
        <f t="shared" si="250"/>
        <v>0.17693272012738626</v>
      </c>
      <c r="X96" s="49">
        <f t="shared" si="250"/>
        <v>0.16262918984864383</v>
      </c>
      <c r="Y96" s="49">
        <f t="shared" si="250"/>
        <v>0.13580926229075363</v>
      </c>
      <c r="Z96" s="49">
        <f t="shared" si="250"/>
        <v>7.280042607269599E-2</v>
      </c>
      <c r="AA96" s="49">
        <f t="shared" si="250"/>
        <v>-1.2668200930624152E-2</v>
      </c>
      <c r="AB96" s="49">
        <f t="shared" si="250"/>
        <v>-9.8724634643516995E-2</v>
      </c>
      <c r="AC96" s="49">
        <f t="shared" si="250"/>
        <v>4.8649809705971769E-2</v>
      </c>
      <c r="AD96" s="49">
        <f t="shared" si="250"/>
        <v>-3.5383553671560986E-2</v>
      </c>
      <c r="AE96" s="49">
        <f t="shared" si="250"/>
        <v>-9.2399146965025047E-2</v>
      </c>
      <c r="AF96" s="49">
        <f t="shared" ref="AF96:AP96" si="251">+(AF95/AB95-1)</f>
        <v>-8.3756509672057389E-2</v>
      </c>
      <c r="AG96" s="49">
        <f t="shared" si="251"/>
        <v>-0.11888245825134935</v>
      </c>
      <c r="AH96" s="49">
        <f t="shared" si="251"/>
        <v>-4.6318349094148115E-2</v>
      </c>
      <c r="AI96" s="49">
        <f t="shared" si="251"/>
        <v>9.3487529039339989E-3</v>
      </c>
      <c r="AJ96" s="49">
        <f t="shared" si="251"/>
        <v>9.8043335795200415E-2</v>
      </c>
      <c r="AK96" s="49">
        <f t="shared" si="251"/>
        <v>-9.2282301321338078E-3</v>
      </c>
      <c r="AL96" s="49">
        <f t="shared" si="251"/>
        <v>-0.16362037312109012</v>
      </c>
      <c r="AM96" s="49">
        <f t="shared" si="251"/>
        <v>2.4886941917991123E-2</v>
      </c>
      <c r="AN96" s="49">
        <f t="shared" si="251"/>
        <v>9.6060751320115045E-4</v>
      </c>
      <c r="AO96" s="49">
        <f t="shared" si="251"/>
        <v>-3.3541218055499145E-2</v>
      </c>
      <c r="AP96" s="49">
        <f t="shared" si="251"/>
        <v>0.11473815878743121</v>
      </c>
      <c r="AQ96" s="49">
        <f t="shared" ref="AQ96:AU96" si="252">+(AQ95/AM95-1)</f>
        <v>-1.8060687305101797E-2</v>
      </c>
      <c r="AR96" s="49">
        <f t="shared" si="252"/>
        <v>-2.3330582360713059E-2</v>
      </c>
      <c r="AS96" s="49">
        <f t="shared" si="252"/>
        <v>-0.10494294260208636</v>
      </c>
      <c r="AT96" s="49">
        <f t="shared" si="252"/>
        <v>-9.7245639110067894E-2</v>
      </c>
      <c r="AU96" s="49">
        <f t="shared" si="252"/>
        <v>-0.12565985043222649</v>
      </c>
      <c r="AV96" s="38"/>
      <c r="AW96" s="668">
        <v>-9.7245639110067894E-2</v>
      </c>
      <c r="AX96" s="49"/>
      <c r="AY96" s="49"/>
      <c r="AZ96" s="49"/>
      <c r="BA96" s="475"/>
      <c r="BB96" s="475"/>
      <c r="BC96" s="475"/>
      <c r="BD96" s="475"/>
      <c r="BE96" s="475"/>
      <c r="BF96" s="475"/>
      <c r="BG96" s="475"/>
    </row>
    <row r="97" spans="1:59" outlineLevel="1">
      <c r="A97" s="42" t="s">
        <v>163</v>
      </c>
      <c r="B97" s="42" t="s">
        <v>517</v>
      </c>
      <c r="C97" s="42"/>
      <c r="D97" s="42"/>
      <c r="E97" s="42"/>
      <c r="F97" s="42"/>
      <c r="G97" s="42">
        <f t="shared" ref="G97:AE97" si="253">+(G95/F95-1)</f>
        <v>-8.6741481917070096E-2</v>
      </c>
      <c r="H97" s="42">
        <f t="shared" si="253"/>
        <v>7.52566245737043E-2</v>
      </c>
      <c r="I97" s="42">
        <f t="shared" si="253"/>
        <v>0.16178389906881763</v>
      </c>
      <c r="J97" s="42">
        <f t="shared" si="253"/>
        <v>-0.22614592121679122</v>
      </c>
      <c r="K97" s="42">
        <f t="shared" si="253"/>
        <v>0.1231563150991406</v>
      </c>
      <c r="L97" s="42">
        <f t="shared" si="253"/>
        <v>3.2164037271811274E-2</v>
      </c>
      <c r="M97" s="42">
        <f t="shared" si="253"/>
        <v>-0.22856566786697319</v>
      </c>
      <c r="N97" s="42">
        <f t="shared" si="253"/>
        <v>-0.10840855833089913</v>
      </c>
      <c r="O97" s="42">
        <f t="shared" si="253"/>
        <v>0.24495051738768758</v>
      </c>
      <c r="P97" s="42">
        <f t="shared" si="253"/>
        <v>0.25181118464051755</v>
      </c>
      <c r="Q97" s="42">
        <f t="shared" si="253"/>
        <v>0.17756739839750035</v>
      </c>
      <c r="R97" s="42">
        <f t="shared" si="253"/>
        <v>3.4627409866452297E-3</v>
      </c>
      <c r="S97" s="42">
        <f t="shared" si="253"/>
        <v>0.14536783803278763</v>
      </c>
      <c r="T97" s="42">
        <f t="shared" si="253"/>
        <v>7.8370154584552765E-2</v>
      </c>
      <c r="U97" s="42">
        <f t="shared" si="253"/>
        <v>-5.4376376312935348E-2</v>
      </c>
      <c r="V97" s="42">
        <f t="shared" si="253"/>
        <v>1.4204995511433172E-3</v>
      </c>
      <c r="W97" s="42">
        <f t="shared" si="253"/>
        <v>0.15252136954951245</v>
      </c>
      <c r="X97" s="42">
        <f t="shared" si="253"/>
        <v>6.5264477519067832E-2</v>
      </c>
      <c r="Y97" s="42">
        <f t="shared" si="253"/>
        <v>-7.6190345294411266E-2</v>
      </c>
      <c r="Z97" s="42">
        <f t="shared" si="253"/>
        <v>-5.413314166002603E-2</v>
      </c>
      <c r="AA97" s="42">
        <f t="shared" si="253"/>
        <v>6.0701477747280741E-2</v>
      </c>
      <c r="AB97" s="42">
        <f t="shared" si="253"/>
        <v>-2.7584615341839536E-2</v>
      </c>
      <c r="AC97" s="42">
        <f t="shared" si="253"/>
        <v>7.4868853458990081E-2</v>
      </c>
      <c r="AD97" s="42">
        <f t="shared" si="253"/>
        <v>-0.12993001176667751</v>
      </c>
      <c r="AE97" s="42">
        <f t="shared" si="253"/>
        <v>-1.9934143947755167E-3</v>
      </c>
      <c r="AF97" s="42">
        <f t="shared" ref="AF97:AP97" si="254">+(AF95/AE95-1)</f>
        <v>-1.8324781088049802E-2</v>
      </c>
      <c r="AG97" s="42">
        <f t="shared" si="254"/>
        <v>3.3661697856095296E-2</v>
      </c>
      <c r="AH97" s="42">
        <f t="shared" si="254"/>
        <v>-5.8275719791886837E-2</v>
      </c>
      <c r="AI97" s="42">
        <f t="shared" si="254"/>
        <v>5.6260966763626463E-2</v>
      </c>
      <c r="AJ97" s="42">
        <f t="shared" si="254"/>
        <v>6.79380431593537E-2</v>
      </c>
      <c r="AK97" s="42">
        <f t="shared" si="254"/>
        <v>-6.7320208188468511E-2</v>
      </c>
      <c r="AL97" s="42">
        <f t="shared" si="254"/>
        <v>-0.20502478365091614</v>
      </c>
      <c r="AM97" s="42">
        <f t="shared" si="254"/>
        <v>0.29432620941930754</v>
      </c>
      <c r="AN97" s="42">
        <f t="shared" si="254"/>
        <v>4.300666614677362E-2</v>
      </c>
      <c r="AO97" s="42">
        <f t="shared" si="254"/>
        <v>-9.9468481803830389E-2</v>
      </c>
      <c r="AP97" s="42">
        <f t="shared" si="254"/>
        <v>-8.305535061555569E-2</v>
      </c>
      <c r="AQ97" s="42">
        <f t="shared" ref="AQ97:AU97" si="255">+(AQ95/AP95-1)</f>
        <v>0.14013302447875065</v>
      </c>
      <c r="AR97" s="42">
        <f t="shared" si="255"/>
        <v>3.7409033378806189E-2</v>
      </c>
      <c r="AS97" s="42">
        <f t="shared" si="255"/>
        <v>-0.17471861387961563</v>
      </c>
      <c r="AT97" s="42">
        <f t="shared" si="255"/>
        <v>-7.5169818410253053E-2</v>
      </c>
      <c r="AU97" s="42">
        <f t="shared" si="255"/>
        <v>0.10424731503617823</v>
      </c>
      <c r="AV97" s="38"/>
      <c r="AW97" s="669">
        <v>-7.5169818410253053E-2</v>
      </c>
      <c r="AX97" s="42"/>
      <c r="AY97" s="42"/>
      <c r="AZ97" s="42"/>
      <c r="BA97" s="475"/>
      <c r="BB97" s="475"/>
      <c r="BC97" s="475"/>
      <c r="BD97" s="475"/>
      <c r="BE97" s="475"/>
      <c r="BF97" s="475"/>
      <c r="BG97" s="475"/>
    </row>
    <row r="98" spans="1:59" outlineLevel="1">
      <c r="A98" s="38"/>
      <c r="B98" s="38" t="s">
        <v>738</v>
      </c>
      <c r="C98" s="38">
        <f t="shared" ref="C98:AF98" si="256">C14*10^6/C95</f>
        <v>34039.25859303285</v>
      </c>
      <c r="D98" s="38">
        <f t="shared" si="256"/>
        <v>34400.282436010588</v>
      </c>
      <c r="E98" s="38">
        <f t="shared" si="256"/>
        <v>34789.540773131012</v>
      </c>
      <c r="F98" s="38">
        <f t="shared" si="256"/>
        <v>36995.668074395908</v>
      </c>
      <c r="G98" s="38">
        <f t="shared" si="256"/>
        <v>36921.790445739789</v>
      </c>
      <c r="H98" s="38">
        <f t="shared" si="256"/>
        <v>38460.322524045376</v>
      </c>
      <c r="I98" s="38">
        <f t="shared" si="256"/>
        <v>35058.866786912396</v>
      </c>
      <c r="J98" s="38">
        <f t="shared" si="256"/>
        <v>37573.760965470923</v>
      </c>
      <c r="K98" s="38">
        <f t="shared" si="256"/>
        <v>37264.750158643816</v>
      </c>
      <c r="L98" s="38">
        <f t="shared" si="256"/>
        <v>39816.719799787148</v>
      </c>
      <c r="M98" s="38">
        <f t="shared" si="256"/>
        <v>42594.520187476206</v>
      </c>
      <c r="N98" s="38">
        <f t="shared" si="256"/>
        <v>42783.153024915744</v>
      </c>
      <c r="O98" s="38">
        <f t="shared" si="256"/>
        <v>42668.524866752909</v>
      </c>
      <c r="P98" s="38">
        <f t="shared" si="256"/>
        <v>42088.213841448502</v>
      </c>
      <c r="Q98" s="38">
        <f t="shared" si="256"/>
        <v>40792.388023934262</v>
      </c>
      <c r="R98" s="38">
        <f t="shared" si="256"/>
        <v>41933.260415213539</v>
      </c>
      <c r="S98" s="38">
        <f t="shared" si="256"/>
        <v>41894.912654554893</v>
      </c>
      <c r="T98" s="38">
        <f t="shared" si="256"/>
        <v>43361.964004826223</v>
      </c>
      <c r="U98" s="38">
        <f t="shared" si="256"/>
        <v>44115.541004382954</v>
      </c>
      <c r="V98" s="38">
        <f t="shared" si="256"/>
        <v>43712.422022896135</v>
      </c>
      <c r="W98" s="38">
        <f t="shared" si="256"/>
        <v>43065.752208745304</v>
      </c>
      <c r="X98" s="38">
        <f t="shared" si="256"/>
        <v>45246.049219292916</v>
      </c>
      <c r="Y98" s="38">
        <f t="shared" si="256"/>
        <v>46361.35315651905</v>
      </c>
      <c r="Z98" s="38">
        <f t="shared" si="256"/>
        <v>45726.801569762414</v>
      </c>
      <c r="AA98" s="38">
        <f t="shared" si="256"/>
        <v>45095.373276946273</v>
      </c>
      <c r="AB98" s="38">
        <f t="shared" si="256"/>
        <v>47391.937537647442</v>
      </c>
      <c r="AC98" s="38">
        <f t="shared" si="256"/>
        <v>47995.186923470486</v>
      </c>
      <c r="AD98" s="38">
        <f t="shared" si="256"/>
        <v>48372.707344142204</v>
      </c>
      <c r="AE98" s="38">
        <f t="shared" si="256"/>
        <v>50150.264226085623</v>
      </c>
      <c r="AF98" s="38">
        <f t="shared" si="256"/>
        <v>53830.526458136126</v>
      </c>
      <c r="AG98" s="38">
        <f t="shared" ref="AG98:AM98" si="257">AG14*10^6/AG95</f>
        <v>51638.237277219254</v>
      </c>
      <c r="AH98" s="38">
        <f t="shared" si="257"/>
        <v>52707.681917369642</v>
      </c>
      <c r="AI98" s="38">
        <f t="shared" si="257"/>
        <v>53138.91727284684</v>
      </c>
      <c r="AJ98" s="38">
        <f t="shared" si="257"/>
        <v>56491.016330327722</v>
      </c>
      <c r="AK98" s="38">
        <f t="shared" si="257"/>
        <v>57461.199366188601</v>
      </c>
      <c r="AL98" s="38">
        <f t="shared" si="257"/>
        <v>60553.567344560724</v>
      </c>
      <c r="AM98" s="38">
        <f t="shared" si="257"/>
        <v>55272.652609155317</v>
      </c>
      <c r="AN98" s="38">
        <f t="shared" ref="AN98:AO98" si="258">AN14*10^6/AN95</f>
        <v>57542.712635671531</v>
      </c>
      <c r="AO98" s="38">
        <f t="shared" si="258"/>
        <v>58306.270743606401</v>
      </c>
      <c r="AP98" s="38">
        <f t="shared" ref="AP98:AQ98" si="259">AP14*10^6/AP95</f>
        <v>61428.861245817912</v>
      </c>
      <c r="AQ98" s="38">
        <f t="shared" si="259"/>
        <v>57783.847524913719</v>
      </c>
      <c r="AR98" s="38">
        <f t="shared" ref="AR98" si="260">AR14*10^6/AR95</f>
        <v>58670.956300965656</v>
      </c>
      <c r="AS98" s="38">
        <f t="shared" ref="AS98" si="261">AS14*10^6/AS95</f>
        <v>59495.329626781109</v>
      </c>
      <c r="AT98" s="38">
        <f t="shared" ref="AT98" si="262">AT14*10^6/AT95</f>
        <v>62178.163013710815</v>
      </c>
      <c r="AU98" s="38">
        <f t="shared" ref="AU98" si="263">AU14*10^6/AU95</f>
        <v>62282.457506070074</v>
      </c>
      <c r="AV98" s="908">
        <f>+AR98/AW98-1</f>
        <v>-1.1608621762969173E-2</v>
      </c>
      <c r="AW98" s="671">
        <v>59360.044606637086</v>
      </c>
      <c r="AX98" s="38"/>
      <c r="AY98" s="121"/>
      <c r="AZ98" s="38"/>
      <c r="BA98" s="475"/>
      <c r="BB98" s="475"/>
      <c r="BC98" s="475"/>
      <c r="BD98" s="475"/>
      <c r="BE98" s="475"/>
      <c r="BF98" s="475"/>
      <c r="BG98" s="475"/>
    </row>
    <row r="99" spans="1:59" outlineLevel="1">
      <c r="A99" s="42" t="s">
        <v>163</v>
      </c>
      <c r="B99" s="42" t="s">
        <v>516</v>
      </c>
      <c r="C99" s="49"/>
      <c r="D99" s="49"/>
      <c r="E99" s="49"/>
      <c r="F99" s="49"/>
      <c r="G99" s="49">
        <f t="shared" ref="G99:AE99" si="264">+(G98/C98-1)</f>
        <v>8.4682568653153156E-2</v>
      </c>
      <c r="H99" s="49">
        <f t="shared" si="264"/>
        <v>0.1180234521500525</v>
      </c>
      <c r="I99" s="49">
        <f t="shared" si="264"/>
        <v>7.74158002078007E-3</v>
      </c>
      <c r="J99" s="49">
        <f t="shared" si="264"/>
        <v>1.5625961664281984E-2</v>
      </c>
      <c r="K99" s="49">
        <f t="shared" si="264"/>
        <v>9.2888158662847164E-3</v>
      </c>
      <c r="L99" s="49">
        <f t="shared" si="264"/>
        <v>3.5267444127483616E-2</v>
      </c>
      <c r="M99" s="49">
        <f t="shared" si="264"/>
        <v>0.21494286870039092</v>
      </c>
      <c r="N99" s="49">
        <f t="shared" si="264"/>
        <v>0.13864441369689029</v>
      </c>
      <c r="O99" s="49">
        <f t="shared" si="264"/>
        <v>0.14501035657301053</v>
      </c>
      <c r="P99" s="49">
        <f t="shared" si="264"/>
        <v>5.7048748693595108E-2</v>
      </c>
      <c r="Q99" s="49">
        <f t="shared" si="264"/>
        <v>-4.2309014295970671E-2</v>
      </c>
      <c r="R99" s="49">
        <f t="shared" si="264"/>
        <v>-1.986512329297585E-2</v>
      </c>
      <c r="S99" s="49">
        <f t="shared" si="264"/>
        <v>-1.813074660101055E-2</v>
      </c>
      <c r="T99" s="49">
        <f t="shared" si="264"/>
        <v>3.0263820844859124E-2</v>
      </c>
      <c r="U99" s="49">
        <f t="shared" si="264"/>
        <v>8.146502672260536E-2</v>
      </c>
      <c r="V99" s="49">
        <f t="shared" si="264"/>
        <v>4.242841100514827E-2</v>
      </c>
      <c r="W99" s="49">
        <f t="shared" si="264"/>
        <v>2.794705800784425E-2</v>
      </c>
      <c r="X99" s="49">
        <f t="shared" si="264"/>
        <v>4.3450181690501744E-2</v>
      </c>
      <c r="Y99" s="49">
        <f t="shared" si="264"/>
        <v>5.0907505631926142E-2</v>
      </c>
      <c r="Z99" s="49">
        <f t="shared" si="264"/>
        <v>4.6082542527869252E-2</v>
      </c>
      <c r="AA99" s="49">
        <f t="shared" si="264"/>
        <v>4.7128424887672438E-2</v>
      </c>
      <c r="AB99" s="49">
        <f t="shared" si="264"/>
        <v>4.7427087124316758E-2</v>
      </c>
      <c r="AC99" s="49">
        <f t="shared" si="264"/>
        <v>3.5241287316086334E-2</v>
      </c>
      <c r="AD99" s="49">
        <f t="shared" si="264"/>
        <v>5.7863346736445109E-2</v>
      </c>
      <c r="AE99" s="49">
        <f t="shared" si="264"/>
        <v>0.11209333866903637</v>
      </c>
      <c r="AF99" s="49">
        <f t="shared" ref="AF99:AP99" si="265">+(AF98/AB98-1)</f>
        <v>0.13585831799710579</v>
      </c>
      <c r="AG99" s="49">
        <f t="shared" si="265"/>
        <v>7.5904493497602088E-2</v>
      </c>
      <c r="AH99" s="49">
        <f t="shared" si="265"/>
        <v>8.9616124695828026E-2</v>
      </c>
      <c r="AI99" s="49">
        <f t="shared" si="265"/>
        <v>5.9593964117275133E-2</v>
      </c>
      <c r="AJ99" s="49">
        <f t="shared" si="265"/>
        <v>4.9423441441923455E-2</v>
      </c>
      <c r="AK99" s="49">
        <f t="shared" si="265"/>
        <v>0.11276454030970973</v>
      </c>
      <c r="AL99" s="49">
        <f t="shared" si="265"/>
        <v>0.14885658298331461</v>
      </c>
      <c r="AM99" s="49">
        <f t="shared" si="265"/>
        <v>4.01539106518225E-2</v>
      </c>
      <c r="AN99" s="49">
        <f t="shared" si="265"/>
        <v>1.8617054067395111E-2</v>
      </c>
      <c r="AO99" s="49">
        <f t="shared" si="265"/>
        <v>1.4706817587156973E-2</v>
      </c>
      <c r="AP99" s="49">
        <f t="shared" si="265"/>
        <v>1.4454869294101336E-2</v>
      </c>
      <c r="AQ99" s="49">
        <f t="shared" ref="AQ99:AU99" si="266">+(AQ98/AM98-1)</f>
        <v>4.5432864123884142E-2</v>
      </c>
      <c r="AR99" s="49">
        <f t="shared" si="266"/>
        <v>1.9607064276540687E-2</v>
      </c>
      <c r="AS99" s="49">
        <f t="shared" si="266"/>
        <v>2.0393327647439952E-2</v>
      </c>
      <c r="AT99" s="49">
        <f t="shared" si="266"/>
        <v>1.2197878207353519E-2</v>
      </c>
      <c r="AU99" s="49">
        <f t="shared" si="266"/>
        <v>7.7852378715639547E-2</v>
      </c>
      <c r="AV99" s="38"/>
      <c r="AW99" s="668">
        <v>-3.4258472339595891E-2</v>
      </c>
      <c r="AX99" s="49"/>
      <c r="AY99" s="49"/>
      <c r="AZ99" s="49"/>
      <c r="BA99" s="475"/>
      <c r="BB99" s="475"/>
      <c r="BC99" s="475"/>
      <c r="BD99" s="475"/>
      <c r="BE99" s="475"/>
      <c r="BF99" s="475"/>
      <c r="BG99" s="475"/>
    </row>
    <row r="100" spans="1:59" outlineLevel="1">
      <c r="A100" s="42" t="s">
        <v>163</v>
      </c>
      <c r="B100" s="42" t="s">
        <v>517</v>
      </c>
      <c r="C100" s="42"/>
      <c r="D100" s="42"/>
      <c r="E100" s="42"/>
      <c r="F100" s="42"/>
      <c r="G100" s="42">
        <f t="shared" ref="G100:AE100" si="267">+(G98/F98-1)</f>
        <v>-1.9969264646756413E-3</v>
      </c>
      <c r="H100" s="42">
        <f t="shared" si="267"/>
        <v>4.1670028991866337E-2</v>
      </c>
      <c r="I100" s="42">
        <f t="shared" si="267"/>
        <v>-8.8440645161162901E-2</v>
      </c>
      <c r="J100" s="42">
        <f t="shared" si="267"/>
        <v>7.1733470275694877E-2</v>
      </c>
      <c r="K100" s="42">
        <f t="shared" si="267"/>
        <v>-8.2241116908972067E-3</v>
      </c>
      <c r="L100" s="42">
        <f t="shared" si="267"/>
        <v>6.8482134732664734E-2</v>
      </c>
      <c r="M100" s="42">
        <f t="shared" si="267"/>
        <v>6.9764671767459596E-2</v>
      </c>
      <c r="N100" s="42">
        <f t="shared" si="267"/>
        <v>4.4285705440345602E-3</v>
      </c>
      <c r="O100" s="42">
        <f t="shared" si="267"/>
        <v>-2.6792826161288197E-3</v>
      </c>
      <c r="P100" s="42">
        <f t="shared" si="267"/>
        <v>-1.3600447334812471E-2</v>
      </c>
      <c r="Q100" s="42">
        <f t="shared" si="267"/>
        <v>-3.0788330015518728E-2</v>
      </c>
      <c r="R100" s="42">
        <f t="shared" si="267"/>
        <v>2.7967776503054598E-2</v>
      </c>
      <c r="S100" s="42">
        <f t="shared" si="267"/>
        <v>-9.1449508764485099E-4</v>
      </c>
      <c r="T100" s="42">
        <f t="shared" si="267"/>
        <v>3.5017410404168281E-2</v>
      </c>
      <c r="U100" s="42">
        <f t="shared" si="267"/>
        <v>1.737875617148843E-2</v>
      </c>
      <c r="V100" s="42">
        <f t="shared" si="267"/>
        <v>-9.1377997936548105E-3</v>
      </c>
      <c r="W100" s="42">
        <f t="shared" si="267"/>
        <v>-1.4793731031698787E-2</v>
      </c>
      <c r="X100" s="42">
        <f t="shared" si="267"/>
        <v>5.0627166570304638E-2</v>
      </c>
      <c r="Y100" s="42">
        <f t="shared" si="267"/>
        <v>2.4649752994357899E-2</v>
      </c>
      <c r="Z100" s="42">
        <f t="shared" si="267"/>
        <v>-1.3687080802286866E-2</v>
      </c>
      <c r="AA100" s="42">
        <f t="shared" si="267"/>
        <v>-1.3808713295917152E-2</v>
      </c>
      <c r="AB100" s="42">
        <f t="shared" si="267"/>
        <v>5.0926826718944662E-2</v>
      </c>
      <c r="AC100" s="42">
        <f t="shared" si="267"/>
        <v>1.2728945410679371E-2</v>
      </c>
      <c r="AD100" s="42">
        <f t="shared" si="267"/>
        <v>7.865797486603876E-3</v>
      </c>
      <c r="AE100" s="42">
        <f t="shared" si="267"/>
        <v>3.67471034709137E-2</v>
      </c>
      <c r="AF100" s="42">
        <f t="shared" ref="AF100:AP100" si="268">+(AF98/AE98-1)</f>
        <v>7.3384702729765827E-2</v>
      </c>
      <c r="AG100" s="42">
        <f t="shared" si="268"/>
        <v>-4.0725761480742917E-2</v>
      </c>
      <c r="AH100" s="42">
        <f t="shared" si="268"/>
        <v>2.0710324297266158E-2</v>
      </c>
      <c r="AI100" s="42">
        <f t="shared" si="268"/>
        <v>8.1816414569939599E-3</v>
      </c>
      <c r="AJ100" s="42">
        <f t="shared" si="268"/>
        <v>6.3081809519550669E-2</v>
      </c>
      <c r="AK100" s="42">
        <f t="shared" si="268"/>
        <v>1.717411190104623E-2</v>
      </c>
      <c r="AL100" s="42">
        <f t="shared" si="268"/>
        <v>5.3816627785039595E-2</v>
      </c>
      <c r="AM100" s="42">
        <f t="shared" si="268"/>
        <v>-8.7210629645583904E-2</v>
      </c>
      <c r="AN100" s="42">
        <f t="shared" si="268"/>
        <v>4.1070220431942861E-2</v>
      </c>
      <c r="AO100" s="42">
        <f t="shared" si="268"/>
        <v>1.3269414543754632E-2</v>
      </c>
      <c r="AP100" s="42">
        <f t="shared" si="268"/>
        <v>5.3554968657533619E-2</v>
      </c>
      <c r="AQ100" s="42">
        <f t="shared" ref="AQ100:AU100" si="269">+(AQ98/AP98-1)</f>
        <v>-5.933715271585549E-2</v>
      </c>
      <c r="AR100" s="42">
        <f t="shared" si="269"/>
        <v>1.5352192940587095E-2</v>
      </c>
      <c r="AS100" s="42">
        <f t="shared" si="269"/>
        <v>1.4050790677190506E-2</v>
      </c>
      <c r="AT100" s="42">
        <f t="shared" si="269"/>
        <v>4.5093176283908853E-2</v>
      </c>
      <c r="AU100" s="42">
        <f t="shared" si="269"/>
        <v>1.6773492059625195E-3</v>
      </c>
      <c r="AV100" s="38"/>
      <c r="AW100" s="669">
        <v>-2.2738763024371389E-3</v>
      </c>
      <c r="AX100" s="42"/>
      <c r="AY100" s="42"/>
      <c r="AZ100" s="42"/>
      <c r="BA100" s="475"/>
      <c r="BB100" s="475"/>
      <c r="BC100" s="475"/>
      <c r="BD100" s="475"/>
      <c r="BE100" s="475"/>
      <c r="BF100" s="475"/>
      <c r="BG100" s="475"/>
    </row>
    <row r="101" spans="1:59" outlineLevel="1">
      <c r="A101" s="38"/>
      <c r="B101" s="38" t="s">
        <v>399</v>
      </c>
      <c r="C101" s="41">
        <f t="shared" ref="C101:AF101" si="270">C19*10^6/C95</f>
        <v>24021.085035558976</v>
      </c>
      <c r="D101" s="41">
        <f t="shared" si="270"/>
        <v>24984.007060900269</v>
      </c>
      <c r="E101" s="41">
        <f t="shared" si="270"/>
        <v>25542.284877522794</v>
      </c>
      <c r="F101" s="41">
        <f t="shared" si="270"/>
        <v>27054.306580081462</v>
      </c>
      <c r="G101" s="41">
        <f t="shared" si="270"/>
        <v>26720.124561215867</v>
      </c>
      <c r="H101" s="41">
        <f t="shared" si="270"/>
        <v>27791.736305947332</v>
      </c>
      <c r="I101" s="41">
        <f t="shared" si="270"/>
        <v>26121.921874034699</v>
      </c>
      <c r="J101" s="41">
        <f t="shared" si="270"/>
        <v>27604.203005233507</v>
      </c>
      <c r="K101" s="41">
        <f t="shared" si="270"/>
        <v>28147.765839699179</v>
      </c>
      <c r="L101" s="41">
        <f t="shared" si="270"/>
        <v>29709.541639711217</v>
      </c>
      <c r="M101" s="41">
        <f t="shared" si="270"/>
        <v>30708.115378942184</v>
      </c>
      <c r="N101" s="41">
        <f t="shared" si="270"/>
        <v>29420.360219081143</v>
      </c>
      <c r="O101" s="41">
        <f t="shared" si="270"/>
        <v>28227.456986561338</v>
      </c>
      <c r="P101" s="41">
        <f t="shared" si="270"/>
        <v>27875.055030246171</v>
      </c>
      <c r="Q101" s="41">
        <f t="shared" si="270"/>
        <v>27932.985498047819</v>
      </c>
      <c r="R101" s="41">
        <f t="shared" si="270"/>
        <v>29041.754104682273</v>
      </c>
      <c r="S101" s="41">
        <f t="shared" si="270"/>
        <v>29812.563125526543</v>
      </c>
      <c r="T101" s="41">
        <f t="shared" si="270"/>
        <v>30672.121421888114</v>
      </c>
      <c r="U101" s="41">
        <f t="shared" si="270"/>
        <v>31500.237630036438</v>
      </c>
      <c r="V101" s="41">
        <f t="shared" si="270"/>
        <v>31394.80802999383</v>
      </c>
      <c r="W101" s="41">
        <f t="shared" si="270"/>
        <v>31715.157643333951</v>
      </c>
      <c r="X101" s="41">
        <f t="shared" si="270"/>
        <v>32312.00451493252</v>
      </c>
      <c r="Y101" s="41">
        <f t="shared" si="270"/>
        <v>33136.266889582977</v>
      </c>
      <c r="Z101" s="41">
        <f t="shared" si="270"/>
        <v>32565.197046078352</v>
      </c>
      <c r="AA101" s="41">
        <f t="shared" si="270"/>
        <v>32512.829353152218</v>
      </c>
      <c r="AB101" s="41">
        <f t="shared" si="270"/>
        <v>34012.607604974422</v>
      </c>
      <c r="AC101" s="41">
        <f t="shared" si="270"/>
        <v>34768.625621918123</v>
      </c>
      <c r="AD101" s="41">
        <f t="shared" si="270"/>
        <v>34740.341469032268</v>
      </c>
      <c r="AE101" s="41">
        <f t="shared" si="270"/>
        <v>34787.572438794006</v>
      </c>
      <c r="AF101" s="41">
        <f t="shared" si="270"/>
        <v>36080.950350035899</v>
      </c>
      <c r="AG101" s="41">
        <f t="shared" ref="AG101:AM101" si="271">AG19*10^6/AG95</f>
        <v>35889.160603407508</v>
      </c>
      <c r="AH101" s="41">
        <f t="shared" si="271"/>
        <v>36709.083953313915</v>
      </c>
      <c r="AI101" s="41">
        <f t="shared" si="271"/>
        <v>37232.98564389992</v>
      </c>
      <c r="AJ101" s="41">
        <f t="shared" si="271"/>
        <v>38936.340331684325</v>
      </c>
      <c r="AK101" s="41">
        <f t="shared" si="271"/>
        <v>39227.034493966603</v>
      </c>
      <c r="AL101" s="41">
        <f t="shared" si="271"/>
        <v>40854.435272126539</v>
      </c>
      <c r="AM101" s="41">
        <f t="shared" si="271"/>
        <v>37242.270458200117</v>
      </c>
      <c r="AN101" s="41">
        <f t="shared" ref="AN101:AO101" si="272">AN19*10^6/AN95</f>
        <v>38378.718071997246</v>
      </c>
      <c r="AO101" s="41">
        <f t="shared" si="272"/>
        <v>38841.595042764158</v>
      </c>
      <c r="AP101" s="41">
        <f t="shared" ref="AP101:AQ101" si="273">AP19*10^6/AP95</f>
        <v>40497.162656409222</v>
      </c>
      <c r="AQ101" s="41">
        <f t="shared" si="273"/>
        <v>38832.229351996968</v>
      </c>
      <c r="AR101" s="41">
        <f t="shared" ref="AR101:AS101" si="274">AR19*10^6/AR95</f>
        <v>39314.692158981336</v>
      </c>
      <c r="AS101" s="41">
        <f t="shared" si="274"/>
        <v>39735.453152428534</v>
      </c>
      <c r="AT101" s="41">
        <f t="shared" ref="AT101" si="275">AT19*10^6/AT95</f>
        <v>42155.360341887717</v>
      </c>
      <c r="AU101" s="41">
        <f t="shared" ref="AU101" si="276">AU19*10^6/AU95</f>
        <v>41729.24652906695</v>
      </c>
      <c r="AV101" s="38"/>
      <c r="AW101" s="683">
        <v>39771.229886446847</v>
      </c>
      <c r="AX101" s="41"/>
      <c r="AY101" s="121"/>
      <c r="AZ101" s="41"/>
      <c r="BA101" s="475"/>
      <c r="BB101" s="475"/>
      <c r="BC101" s="475"/>
      <c r="BD101" s="475"/>
      <c r="BE101" s="475"/>
      <c r="BF101" s="475"/>
      <c r="BG101" s="475"/>
    </row>
    <row r="102" spans="1:59" outlineLevel="1">
      <c r="A102" s="42" t="s">
        <v>163</v>
      </c>
      <c r="B102" s="42" t="s">
        <v>516</v>
      </c>
      <c r="C102" s="49"/>
      <c r="D102" s="49"/>
      <c r="E102" s="49"/>
      <c r="F102" s="49"/>
      <c r="G102" s="49">
        <f t="shared" ref="G102:AE102" si="277">+(G101/C101-1)</f>
        <v>0.11236126601531282</v>
      </c>
      <c r="H102" s="49">
        <f t="shared" si="277"/>
        <v>0.1123810619410659</v>
      </c>
      <c r="I102" s="49">
        <f t="shared" si="277"/>
        <v>2.2693231999067809E-2</v>
      </c>
      <c r="J102" s="49">
        <f t="shared" si="277"/>
        <v>2.0325652166479857E-2</v>
      </c>
      <c r="K102" s="49">
        <f t="shared" si="277"/>
        <v>5.3429439492790554E-2</v>
      </c>
      <c r="L102" s="49">
        <f t="shared" si="277"/>
        <v>6.9006315857763845E-2</v>
      </c>
      <c r="M102" s="49">
        <f t="shared" si="277"/>
        <v>0.17556876278181432</v>
      </c>
      <c r="N102" s="49">
        <f t="shared" si="277"/>
        <v>6.5792778494757176E-2</v>
      </c>
      <c r="O102" s="49">
        <f t="shared" si="277"/>
        <v>2.8311713020492402E-3</v>
      </c>
      <c r="P102" s="49">
        <f t="shared" si="277"/>
        <v>-6.1747388489258315E-2</v>
      </c>
      <c r="Q102" s="49">
        <f t="shared" si="277"/>
        <v>-9.0371220983407663E-2</v>
      </c>
      <c r="R102" s="49">
        <f t="shared" si="277"/>
        <v>-1.2868847001856865E-2</v>
      </c>
      <c r="S102" s="49">
        <f t="shared" si="277"/>
        <v>5.6154762354959864E-2</v>
      </c>
      <c r="T102" s="49">
        <f t="shared" si="277"/>
        <v>0.10034299084277865</v>
      </c>
      <c r="U102" s="49">
        <f t="shared" si="277"/>
        <v>0.12770751383656886</v>
      </c>
      <c r="V102" s="49">
        <f t="shared" si="277"/>
        <v>8.1023133686411342E-2</v>
      </c>
      <c r="W102" s="49">
        <f t="shared" si="277"/>
        <v>6.3818548904919226E-2</v>
      </c>
      <c r="X102" s="49">
        <f t="shared" si="277"/>
        <v>5.3464938746432988E-2</v>
      </c>
      <c r="Y102" s="49">
        <f t="shared" si="277"/>
        <v>5.1937045007766525E-2</v>
      </c>
      <c r="Z102" s="49">
        <f t="shared" si="277"/>
        <v>3.7279699718703929E-2</v>
      </c>
      <c r="AA102" s="49">
        <f t="shared" si="277"/>
        <v>2.5151119183729698E-2</v>
      </c>
      <c r="AB102" s="49">
        <f t="shared" si="277"/>
        <v>5.2630689911422612E-2</v>
      </c>
      <c r="AC102" s="49">
        <f t="shared" si="277"/>
        <v>4.926199857619773E-2</v>
      </c>
      <c r="AD102" s="49">
        <f t="shared" si="277"/>
        <v>6.6793528682666414E-2</v>
      </c>
      <c r="AE102" s="49">
        <f t="shared" si="277"/>
        <v>6.9964476512753837E-2</v>
      </c>
      <c r="AF102" s="49">
        <f t="shared" ref="AF102:AP102" si="278">+(AF101/AB101-1)</f>
        <v>6.0811060683244378E-2</v>
      </c>
      <c r="AG102" s="49">
        <f t="shared" si="278"/>
        <v>3.222833694015792E-2</v>
      </c>
      <c r="AH102" s="49">
        <f t="shared" si="278"/>
        <v>5.6670211086917277E-2</v>
      </c>
      <c r="AI102" s="49">
        <f t="shared" si="278"/>
        <v>7.0295597929646458E-2</v>
      </c>
      <c r="AJ102" s="49">
        <f t="shared" si="278"/>
        <v>7.9138436043040272E-2</v>
      </c>
      <c r="AK102" s="49">
        <f t="shared" si="278"/>
        <v>9.3005069899633641E-2</v>
      </c>
      <c r="AL102" s="49">
        <f t="shared" si="278"/>
        <v>0.11292440105791313</v>
      </c>
      <c r="AM102" s="49">
        <f t="shared" si="278"/>
        <v>2.4937066258923224E-4</v>
      </c>
      <c r="AN102" s="49">
        <f t="shared" si="278"/>
        <v>-1.4321383441199154E-2</v>
      </c>
      <c r="AO102" s="49">
        <f t="shared" si="278"/>
        <v>-9.8258626015108597E-3</v>
      </c>
      <c r="AP102" s="49">
        <f t="shared" si="278"/>
        <v>-8.7450141786947766E-3</v>
      </c>
      <c r="AQ102" s="49">
        <f t="shared" ref="AQ102:AU102" si="279">+(AQ101/AM101-1)</f>
        <v>4.2692319083536656E-2</v>
      </c>
      <c r="AR102" s="49">
        <f t="shared" si="279"/>
        <v>2.4387841335091753E-2</v>
      </c>
      <c r="AS102" s="49">
        <f t="shared" si="279"/>
        <v>2.3012909451330499E-2</v>
      </c>
      <c r="AT102" s="49">
        <f t="shared" si="279"/>
        <v>4.0946021318756909E-2</v>
      </c>
      <c r="AU102" s="49">
        <f t="shared" si="279"/>
        <v>7.4603421575665907E-2</v>
      </c>
      <c r="AV102" s="38"/>
      <c r="AW102" s="668">
        <v>-1.7925521748805462E-2</v>
      </c>
      <c r="AX102" s="49"/>
      <c r="AY102" s="49"/>
      <c r="AZ102" s="49"/>
      <c r="BA102" s="475"/>
      <c r="BB102" s="475"/>
      <c r="BC102" s="475"/>
      <c r="BD102" s="475"/>
      <c r="BE102" s="475"/>
      <c r="BF102" s="475"/>
      <c r="BG102" s="475"/>
    </row>
    <row r="103" spans="1:59" outlineLevel="1">
      <c r="A103" s="42" t="s">
        <v>163</v>
      </c>
      <c r="B103" s="42" t="s">
        <v>517</v>
      </c>
      <c r="C103" s="42"/>
      <c r="D103" s="42"/>
      <c r="E103" s="42"/>
      <c r="F103" s="42"/>
      <c r="G103" s="42">
        <f t="shared" ref="G103:AE103" si="280">+(G101/F101-1)</f>
        <v>-1.2352267018058916E-2</v>
      </c>
      <c r="H103" s="42">
        <f t="shared" si="280"/>
        <v>4.0105043008927588E-2</v>
      </c>
      <c r="I103" s="42">
        <f t="shared" si="280"/>
        <v>-6.0083127355929133E-2</v>
      </c>
      <c r="J103" s="42">
        <f t="shared" si="280"/>
        <v>5.6744719563387225E-2</v>
      </c>
      <c r="K103" s="42">
        <f t="shared" si="280"/>
        <v>1.9691306949257692E-2</v>
      </c>
      <c r="L103" s="42">
        <f t="shared" si="280"/>
        <v>5.548489386000699E-2</v>
      </c>
      <c r="M103" s="42">
        <f t="shared" si="280"/>
        <v>3.3611213237171755E-2</v>
      </c>
      <c r="N103" s="42">
        <f t="shared" si="280"/>
        <v>-4.1935336765867026E-2</v>
      </c>
      <c r="O103" s="42">
        <f t="shared" si="280"/>
        <v>-4.0546860189227929E-2</v>
      </c>
      <c r="P103" s="42">
        <f t="shared" si="280"/>
        <v>-1.2484367843796251E-2</v>
      </c>
      <c r="Q103" s="42">
        <f t="shared" si="280"/>
        <v>2.0782189573720355E-3</v>
      </c>
      <c r="R103" s="42">
        <f t="shared" si="280"/>
        <v>3.9693881153947785E-2</v>
      </c>
      <c r="S103" s="42">
        <f t="shared" si="280"/>
        <v>2.6541407177605558E-2</v>
      </c>
      <c r="T103" s="42">
        <f t="shared" si="280"/>
        <v>2.8832083063183189E-2</v>
      </c>
      <c r="U103" s="42">
        <f t="shared" si="280"/>
        <v>2.6998987020094622E-2</v>
      </c>
      <c r="V103" s="42">
        <f t="shared" si="280"/>
        <v>-3.3469461811956869E-3</v>
      </c>
      <c r="W103" s="42">
        <f t="shared" si="280"/>
        <v>1.0203904194415303E-2</v>
      </c>
      <c r="X103" s="42">
        <f t="shared" si="280"/>
        <v>1.881897855626824E-2</v>
      </c>
      <c r="Y103" s="42">
        <f t="shared" si="280"/>
        <v>2.5509478196239277E-2</v>
      </c>
      <c r="Z103" s="42">
        <f t="shared" si="280"/>
        <v>-1.7233982494393563E-2</v>
      </c>
      <c r="AA103" s="42">
        <f t="shared" si="280"/>
        <v>-1.6080877033244345E-3</v>
      </c>
      <c r="AB103" s="42">
        <f t="shared" si="280"/>
        <v>4.6128813814747094E-2</v>
      </c>
      <c r="AC103" s="42">
        <f t="shared" si="280"/>
        <v>2.2227581775680516E-2</v>
      </c>
      <c r="AD103" s="42">
        <f t="shared" si="280"/>
        <v>-8.1349643191030996E-4</v>
      </c>
      <c r="AE103" s="42">
        <f t="shared" si="280"/>
        <v>1.3595424732322225E-3</v>
      </c>
      <c r="AF103" s="42">
        <f t="shared" ref="AF103:AP103" si="281">+(AF101/AE101-1)</f>
        <v>3.717930917765222E-2</v>
      </c>
      <c r="AG103" s="42">
        <f t="shared" si="281"/>
        <v>-5.3155403271742951E-3</v>
      </c>
      <c r="AH103" s="42">
        <f t="shared" si="281"/>
        <v>2.2845988485686641E-2</v>
      </c>
      <c r="AI103" s="42">
        <f t="shared" si="281"/>
        <v>1.427171790100501E-2</v>
      </c>
      <c r="AJ103" s="42">
        <f t="shared" si="281"/>
        <v>4.5748538784277537E-2</v>
      </c>
      <c r="AK103" s="42">
        <f t="shared" si="281"/>
        <v>7.4658830235703189E-3</v>
      </c>
      <c r="AL103" s="42">
        <f t="shared" si="281"/>
        <v>4.1486714434409766E-2</v>
      </c>
      <c r="AM103" s="42">
        <f t="shared" si="281"/>
        <v>-8.8415487568637818E-2</v>
      </c>
      <c r="AN103" s="42">
        <f t="shared" si="281"/>
        <v>3.0514992770718674E-2</v>
      </c>
      <c r="AO103" s="42">
        <f t="shared" si="281"/>
        <v>1.2060772063792413E-2</v>
      </c>
      <c r="AP103" s="42">
        <f t="shared" si="281"/>
        <v>4.2623574336283054E-2</v>
      </c>
      <c r="AQ103" s="42">
        <f t="shared" ref="AQ103:AU103" si="282">+(AQ101/AP101-1)</f>
        <v>-4.1112344549618873E-2</v>
      </c>
      <c r="AR103" s="42">
        <f t="shared" si="282"/>
        <v>1.2424288150213014E-2</v>
      </c>
      <c r="AS103" s="42">
        <f t="shared" si="282"/>
        <v>1.0702385554634875E-2</v>
      </c>
      <c r="AT103" s="42">
        <f t="shared" si="282"/>
        <v>6.090045532326549E-2</v>
      </c>
      <c r="AU103" s="42">
        <f t="shared" si="282"/>
        <v>-1.0108176264297275E-2</v>
      </c>
      <c r="AV103" s="38"/>
      <c r="AW103" s="669">
        <v>9.0037312223589794E-4</v>
      </c>
      <c r="AX103" s="42"/>
      <c r="AY103" s="42"/>
      <c r="AZ103" s="42"/>
      <c r="BA103" s="475"/>
      <c r="BB103" s="475"/>
      <c r="BC103" s="475"/>
      <c r="BD103" s="475"/>
      <c r="BE103" s="475"/>
      <c r="BF103" s="475"/>
      <c r="BG103" s="475"/>
    </row>
    <row r="104" spans="1:59" outlineLevel="1">
      <c r="A104" s="38"/>
      <c r="B104" s="38" t="s">
        <v>602</v>
      </c>
      <c r="C104" s="41">
        <f t="shared" ref="C104:AF104" si="283">C27*10^6/C95</f>
        <v>1322.5281025631516</v>
      </c>
      <c r="D104" s="41">
        <f t="shared" si="283"/>
        <v>1025.1015004413064</v>
      </c>
      <c r="E104" s="41">
        <f t="shared" si="283"/>
        <v>1025.5764210891348</v>
      </c>
      <c r="F104" s="41">
        <f t="shared" si="283"/>
        <v>1100.4913993127125</v>
      </c>
      <c r="G104" s="41">
        <f t="shared" si="283"/>
        <v>1727.6802993769213</v>
      </c>
      <c r="H104" s="41">
        <f t="shared" si="283"/>
        <v>1197.2135522469182</v>
      </c>
      <c r="I104" s="41">
        <f t="shared" si="283"/>
        <v>1185.6589871084136</v>
      </c>
      <c r="J104" s="41">
        <f t="shared" si="283"/>
        <v>1563.1206205597341</v>
      </c>
      <c r="K104" s="41">
        <f t="shared" si="283"/>
        <v>1743.441424136103</v>
      </c>
      <c r="L104" s="41">
        <f t="shared" si="283"/>
        <v>1178.9885051156743</v>
      </c>
      <c r="M104" s="41">
        <f t="shared" si="283"/>
        <v>1542.2817328117128</v>
      </c>
      <c r="N104" s="41">
        <f t="shared" si="283"/>
        <v>2149.8227163910278</v>
      </c>
      <c r="O104" s="41">
        <f t="shared" si="283"/>
        <v>2060.1945471633471</v>
      </c>
      <c r="P104" s="41">
        <f t="shared" si="283"/>
        <v>1565.1659742458867</v>
      </c>
      <c r="Q104" s="41">
        <f t="shared" si="283"/>
        <v>1150.9084184628994</v>
      </c>
      <c r="R104" s="41">
        <f t="shared" si="283"/>
        <v>1063.180136547752</v>
      </c>
      <c r="S104" s="41">
        <f t="shared" si="283"/>
        <v>1361.186719590236</v>
      </c>
      <c r="T104" s="41">
        <f t="shared" si="283"/>
        <v>1140.0215096781794</v>
      </c>
      <c r="U104" s="41">
        <f t="shared" si="283"/>
        <v>1125.8383059618736</v>
      </c>
      <c r="V104" s="41">
        <f t="shared" si="283"/>
        <v>1411.5240008648011</v>
      </c>
      <c r="W104" s="41">
        <f t="shared" si="283"/>
        <v>1309.3707535127171</v>
      </c>
      <c r="X104" s="41">
        <f t="shared" si="283"/>
        <v>1125.9843128429043</v>
      </c>
      <c r="Y104" s="41">
        <f t="shared" si="283"/>
        <v>1227.7753963257865</v>
      </c>
      <c r="Z104" s="41">
        <f t="shared" si="283"/>
        <v>1175.3556738732079</v>
      </c>
      <c r="AA104" s="41">
        <f t="shared" si="283"/>
        <v>1486.6015861408694</v>
      </c>
      <c r="AB104" s="41">
        <f t="shared" si="283"/>
        <v>1460.3396085428246</v>
      </c>
      <c r="AC104" s="41">
        <f t="shared" si="283"/>
        <v>1411.9126304243541</v>
      </c>
      <c r="AD104" s="41">
        <f t="shared" si="283"/>
        <v>1698.1730092098599</v>
      </c>
      <c r="AE104" s="41">
        <f t="shared" si="283"/>
        <v>1875.3669806744786</v>
      </c>
      <c r="AF104" s="41">
        <f t="shared" si="283"/>
        <v>1907.5655602134543</v>
      </c>
      <c r="AG104" s="41">
        <f t="shared" ref="AG104:AM104" si="284">AG27*10^6/AG95</f>
        <v>1859.634292384949</v>
      </c>
      <c r="AH104" s="41">
        <f t="shared" si="284"/>
        <v>1867.5289757657233</v>
      </c>
      <c r="AI104" s="41">
        <f t="shared" si="284"/>
        <v>2170.8163451129567</v>
      </c>
      <c r="AJ104" s="41">
        <f t="shared" si="284"/>
        <v>1991.697471158091</v>
      </c>
      <c r="AK104" s="41">
        <f t="shared" si="284"/>
        <v>2172.8354934384265</v>
      </c>
      <c r="AL104" s="41">
        <f t="shared" si="284"/>
        <v>3303.6954319131078</v>
      </c>
      <c r="AM104" s="41">
        <f t="shared" si="284"/>
        <v>2402.7939970129187</v>
      </c>
      <c r="AN104" s="41">
        <f t="shared" ref="AN104:AO104" si="285">AN27*10^6/AN95</f>
        <v>2284.6953802588691</v>
      </c>
      <c r="AO104" s="41">
        <f t="shared" si="285"/>
        <v>2416.2951472309978</v>
      </c>
      <c r="AP104" s="41">
        <f t="shared" ref="AP104:AQ104" si="286">AP27*10^6/AP95</f>
        <v>2319.847880330693</v>
      </c>
      <c r="AQ104" s="41">
        <f t="shared" si="286"/>
        <v>2697.3067144650877</v>
      </c>
      <c r="AR104" s="41">
        <f t="shared" ref="AR104:AS104" si="287">AR27*10^6/AR95</f>
        <v>2507.1103595637364</v>
      </c>
      <c r="AS104" s="41">
        <f t="shared" si="287"/>
        <v>2850.0137968284907</v>
      </c>
      <c r="AT104" s="41">
        <f t="shared" ref="AT104" si="288">AT27*10^6/AT95</f>
        <v>2886.1377276299568</v>
      </c>
      <c r="AU104" s="41">
        <f t="shared" ref="AU104" si="289">AU27*10^6/AU95</f>
        <v>3300.9702478217137</v>
      </c>
      <c r="AV104" s="38"/>
      <c r="AW104" s="683">
        <v>3146.0823641517654</v>
      </c>
      <c r="AX104" s="41"/>
      <c r="AY104" s="41"/>
      <c r="AZ104" s="41"/>
      <c r="BA104" s="475"/>
      <c r="BB104" s="475"/>
      <c r="BC104" s="475"/>
      <c r="BD104" s="475"/>
      <c r="BE104" s="475"/>
      <c r="BF104" s="475"/>
      <c r="BG104" s="475"/>
    </row>
    <row r="105" spans="1:59" outlineLevel="1">
      <c r="A105" s="42" t="s">
        <v>163</v>
      </c>
      <c r="B105" s="42" t="s">
        <v>516</v>
      </c>
      <c r="C105" s="49"/>
      <c r="D105" s="49"/>
      <c r="E105" s="49"/>
      <c r="F105" s="49"/>
      <c r="G105" s="49">
        <f t="shared" ref="G105:AE105" si="290">+(G104/C104-1)</f>
        <v>0.30634675817364987</v>
      </c>
      <c r="H105" s="49">
        <f t="shared" si="290"/>
        <v>0.16789757085665924</v>
      </c>
      <c r="I105" s="49">
        <f t="shared" si="290"/>
        <v>0.15609033391122185</v>
      </c>
      <c r="J105" s="49">
        <f t="shared" si="290"/>
        <v>0.42038422248092666</v>
      </c>
      <c r="K105" s="49">
        <f t="shared" si="290"/>
        <v>9.1227090827312729E-3</v>
      </c>
      <c r="L105" s="49">
        <f t="shared" si="290"/>
        <v>-1.5222887426423859E-2</v>
      </c>
      <c r="M105" s="49">
        <f t="shared" si="290"/>
        <v>0.30078019867502648</v>
      </c>
      <c r="N105" s="49">
        <f t="shared" si="290"/>
        <v>0.37534025724847964</v>
      </c>
      <c r="O105" s="49">
        <f t="shared" si="290"/>
        <v>0.18168268726561854</v>
      </c>
      <c r="P105" s="49">
        <f t="shared" si="290"/>
        <v>0.32754981702923658</v>
      </c>
      <c r="Q105" s="49">
        <f t="shared" si="290"/>
        <v>-0.25376252990775305</v>
      </c>
      <c r="R105" s="49">
        <f t="shared" si="290"/>
        <v>-0.50545683211844339</v>
      </c>
      <c r="S105" s="49">
        <f t="shared" si="290"/>
        <v>-0.33929214526636098</v>
      </c>
      <c r="T105" s="49">
        <f t="shared" si="290"/>
        <v>-0.27162899753973135</v>
      </c>
      <c r="U105" s="49">
        <f t="shared" si="290"/>
        <v>-2.1782890887624418E-2</v>
      </c>
      <c r="V105" s="49">
        <f t="shared" si="290"/>
        <v>0.32764331494017096</v>
      </c>
      <c r="W105" s="49">
        <f t="shared" si="290"/>
        <v>-3.8066758462878103E-2</v>
      </c>
      <c r="X105" s="49">
        <f t="shared" si="290"/>
        <v>-1.2313098232012987E-2</v>
      </c>
      <c r="Y105" s="49">
        <f t="shared" si="290"/>
        <v>9.0543277683931445E-2</v>
      </c>
      <c r="Z105" s="49">
        <f t="shared" si="290"/>
        <v>-0.16731442529273288</v>
      </c>
      <c r="AA105" s="49">
        <f t="shared" si="290"/>
        <v>0.13535572881300872</v>
      </c>
      <c r="AB105" s="49">
        <f t="shared" si="290"/>
        <v>0.29694489691045023</v>
      </c>
      <c r="AC105" s="49">
        <f t="shared" si="290"/>
        <v>0.14997631867327899</v>
      </c>
      <c r="AD105" s="49">
        <f t="shared" si="290"/>
        <v>0.44481627728378248</v>
      </c>
      <c r="AE105" s="49">
        <f t="shared" si="290"/>
        <v>0.26151283447962781</v>
      </c>
      <c r="AF105" s="49">
        <f t="shared" ref="AF105:AP105" si="291">+(AF104/AB104-1)</f>
        <v>0.30624790908526167</v>
      </c>
      <c r="AG105" s="49">
        <f t="shared" si="291"/>
        <v>0.31710295121167031</v>
      </c>
      <c r="AH105" s="49">
        <f t="shared" si="291"/>
        <v>9.9728334885420766E-2</v>
      </c>
      <c r="AI105" s="49">
        <f t="shared" si="291"/>
        <v>0.1575421597389004</v>
      </c>
      <c r="AJ105" s="49">
        <f t="shared" si="291"/>
        <v>4.4104335231981429E-2</v>
      </c>
      <c r="AK105" s="49">
        <f t="shared" si="291"/>
        <v>0.1684208569050436</v>
      </c>
      <c r="AL105" s="49">
        <f t="shared" si="291"/>
        <v>0.76901963759814129</v>
      </c>
      <c r="AM105" s="49">
        <f t="shared" si="291"/>
        <v>0.10686194270749838</v>
      </c>
      <c r="AN105" s="49">
        <f t="shared" si="291"/>
        <v>0.14710964558809825</v>
      </c>
      <c r="AO105" s="49">
        <f t="shared" si="291"/>
        <v>0.11204697940906061</v>
      </c>
      <c r="AP105" s="49">
        <f t="shared" si="291"/>
        <v>-0.2978021345668318</v>
      </c>
      <c r="AQ105" s="49">
        <f t="shared" ref="AQ105:AU105" si="292">+(AQ104/AM104-1)</f>
        <v>0.12257093942231356</v>
      </c>
      <c r="AR105" s="49">
        <f t="shared" si="292"/>
        <v>9.7349949243415779E-2</v>
      </c>
      <c r="AS105" s="49">
        <f t="shared" si="292"/>
        <v>0.17949738056400988</v>
      </c>
      <c r="AT105" s="49">
        <f t="shared" si="292"/>
        <v>0.24410645719517587</v>
      </c>
      <c r="AU105" s="49">
        <f t="shared" si="292"/>
        <v>0.22380233220022983</v>
      </c>
      <c r="AV105" s="38"/>
      <c r="AW105" s="668">
        <v>0.35615890629143032</v>
      </c>
      <c r="AX105" s="49"/>
      <c r="AY105" s="49"/>
      <c r="AZ105" s="49"/>
      <c r="BA105" s="475"/>
      <c r="BB105" s="475"/>
      <c r="BC105" s="475"/>
      <c r="BD105" s="475"/>
      <c r="BE105" s="475"/>
      <c r="BF105" s="475"/>
      <c r="BG105" s="475"/>
    </row>
    <row r="106" spans="1:59" outlineLevel="1">
      <c r="A106" s="42" t="s">
        <v>163</v>
      </c>
      <c r="B106" s="42" t="s">
        <v>517</v>
      </c>
      <c r="C106" s="42"/>
      <c r="D106" s="42"/>
      <c r="E106" s="42"/>
      <c r="F106" s="42"/>
      <c r="G106" s="42">
        <f t="shared" ref="G106:AE106" si="293">+(G104/F104-1)</f>
        <v>0.56991713016194923</v>
      </c>
      <c r="H106" s="42">
        <f t="shared" si="293"/>
        <v>-0.30703987729750293</v>
      </c>
      <c r="I106" s="42">
        <f t="shared" si="293"/>
        <v>-9.6512147868850207E-3</v>
      </c>
      <c r="J106" s="42">
        <f t="shared" si="293"/>
        <v>0.3183559839341954</v>
      </c>
      <c r="K106" s="42">
        <f t="shared" si="293"/>
        <v>0.11535949382575361</v>
      </c>
      <c r="L106" s="42">
        <f t="shared" si="293"/>
        <v>-0.32375789126389609</v>
      </c>
      <c r="M106" s="42">
        <f t="shared" si="293"/>
        <v>0.30813975379717085</v>
      </c>
      <c r="N106" s="42">
        <f t="shared" si="293"/>
        <v>0.39392347756833979</v>
      </c>
      <c r="O106" s="42">
        <f t="shared" si="293"/>
        <v>-4.1690958302897707E-2</v>
      </c>
      <c r="P106" s="42">
        <f t="shared" si="293"/>
        <v>-0.24028244012152067</v>
      </c>
      <c r="Q106" s="42">
        <f t="shared" si="293"/>
        <v>-0.2646732439878019</v>
      </c>
      <c r="R106" s="42">
        <f t="shared" si="293"/>
        <v>-7.6225249991926591E-2</v>
      </c>
      <c r="S106" s="42">
        <f t="shared" si="293"/>
        <v>0.28029735770848752</v>
      </c>
      <c r="T106" s="42">
        <f t="shared" si="293"/>
        <v>-0.16247970005072843</v>
      </c>
      <c r="U106" s="42">
        <f t="shared" si="293"/>
        <v>-1.2441172026929181E-2</v>
      </c>
      <c r="V106" s="42">
        <f t="shared" si="293"/>
        <v>0.25375375255050359</v>
      </c>
      <c r="W106" s="42">
        <f t="shared" si="293"/>
        <v>-7.2370889400036775E-2</v>
      </c>
      <c r="X106" s="42">
        <f t="shared" si="293"/>
        <v>-0.14005692442559337</v>
      </c>
      <c r="Y106" s="42">
        <f t="shared" si="293"/>
        <v>9.0401866457516133E-2</v>
      </c>
      <c r="Z106" s="42">
        <f t="shared" si="293"/>
        <v>-4.269487938058425E-2</v>
      </c>
      <c r="AA106" s="42">
        <f t="shared" si="293"/>
        <v>0.26480997980976873</v>
      </c>
      <c r="AB106" s="42">
        <f t="shared" si="293"/>
        <v>-1.7665780692605937E-2</v>
      </c>
      <c r="AC106" s="42">
        <f t="shared" si="293"/>
        <v>-3.3161449456809988E-2</v>
      </c>
      <c r="AD106" s="42">
        <f t="shared" si="293"/>
        <v>0.20274652454909292</v>
      </c>
      <c r="AE106" s="42">
        <f t="shared" si="293"/>
        <v>0.1043438863435151</v>
      </c>
      <c r="AF106" s="42">
        <f t="shared" ref="AF106:AP106" si="294">+(AF104/AE104-1)</f>
        <v>1.7169215343332711E-2</v>
      </c>
      <c r="AG106" s="42">
        <f t="shared" si="294"/>
        <v>-2.5126930800292824E-2</v>
      </c>
      <c r="AH106" s="42">
        <f t="shared" si="294"/>
        <v>4.2452881263279618E-3</v>
      </c>
      <c r="AI106" s="42">
        <f t="shared" si="294"/>
        <v>0.16240035538023156</v>
      </c>
      <c r="AJ106" s="42">
        <f t="shared" si="294"/>
        <v>-8.2512219128120345E-2</v>
      </c>
      <c r="AK106" s="42">
        <f t="shared" si="294"/>
        <v>9.0946554335388674E-2</v>
      </c>
      <c r="AL106" s="42">
        <f t="shared" si="294"/>
        <v>0.52045354647863373</v>
      </c>
      <c r="AM106" s="42">
        <f t="shared" si="294"/>
        <v>-0.27269506329113824</v>
      </c>
      <c r="AN106" s="42">
        <f t="shared" si="294"/>
        <v>-4.9150537624476409E-2</v>
      </c>
      <c r="AO106" s="42">
        <f t="shared" si="294"/>
        <v>5.760057472397806E-2</v>
      </c>
      <c r="AP106" s="42">
        <f t="shared" si="294"/>
        <v>-3.9915350163588492E-2</v>
      </c>
      <c r="AQ106" s="42">
        <f t="shared" ref="AQ106:AU106" si="295">+(AQ104/AP104-1)</f>
        <v>0.16270844193481704</v>
      </c>
      <c r="AR106" s="42">
        <f t="shared" si="295"/>
        <v>-7.0513432484844318E-2</v>
      </c>
      <c r="AS106" s="42">
        <f t="shared" si="295"/>
        <v>0.13677237460118152</v>
      </c>
      <c r="AT106" s="42">
        <f t="shared" si="295"/>
        <v>1.2675002079521436E-2</v>
      </c>
      <c r="AU106" s="42">
        <f t="shared" si="295"/>
        <v>0.14373275267511576</v>
      </c>
      <c r="AV106" s="38"/>
      <c r="AW106" s="669">
        <v>0.10388320493491698</v>
      </c>
      <c r="AX106" s="42"/>
      <c r="AY106" s="42"/>
      <c r="AZ106" s="42"/>
      <c r="BA106" s="475"/>
      <c r="BB106" s="475"/>
      <c r="BC106" s="475"/>
      <c r="BD106" s="475"/>
      <c r="BE106" s="475"/>
      <c r="BF106" s="475"/>
      <c r="BG106" s="475"/>
    </row>
    <row r="107" spans="1:59" outlineLevel="1">
      <c r="A107" s="38"/>
      <c r="B107" s="38" t="s">
        <v>603</v>
      </c>
      <c r="C107" s="41">
        <f t="shared" ref="C107:AF107" si="296">C31*10^6/C95</f>
        <v>3121.6484776554876</v>
      </c>
      <c r="D107" s="41">
        <f t="shared" si="296"/>
        <v>3234.0335392762577</v>
      </c>
      <c r="E107" s="41">
        <f t="shared" si="296"/>
        <v>3296.0408767587937</v>
      </c>
      <c r="F107" s="41">
        <f t="shared" si="296"/>
        <v>3623.2104222068356</v>
      </c>
      <c r="G107" s="41">
        <f t="shared" si="296"/>
        <v>3660.5740689950258</v>
      </c>
      <c r="H107" s="41">
        <f t="shared" si="296"/>
        <v>3315.1351328404189</v>
      </c>
      <c r="I107" s="41">
        <f t="shared" si="296"/>
        <v>2607.496647024213</v>
      </c>
      <c r="J107" s="41">
        <f t="shared" si="296"/>
        <v>3668.7147357401409</v>
      </c>
      <c r="K107" s="41">
        <f t="shared" si="296"/>
        <v>3071.1403645590553</v>
      </c>
      <c r="L107" s="41">
        <f t="shared" si="296"/>
        <v>3556.3392994226056</v>
      </c>
      <c r="M107" s="41">
        <f t="shared" si="296"/>
        <v>4149.8821674736701</v>
      </c>
      <c r="N107" s="41">
        <f t="shared" si="296"/>
        <v>4333.7191233419308</v>
      </c>
      <c r="O107" s="41">
        <f t="shared" si="296"/>
        <v>4071.1239692063236</v>
      </c>
      <c r="P107" s="41">
        <f t="shared" si="296"/>
        <v>3370.2521565015268</v>
      </c>
      <c r="Q107" s="41">
        <f t="shared" si="296"/>
        <v>2752.624371884056</v>
      </c>
      <c r="R107" s="41">
        <f t="shared" si="296"/>
        <v>2242.5588679009315</v>
      </c>
      <c r="S107" s="41">
        <f t="shared" si="296"/>
        <v>2353.8331310518392</v>
      </c>
      <c r="T107" s="41">
        <f t="shared" si="296"/>
        <v>2589.7413725330598</v>
      </c>
      <c r="U107" s="41">
        <f t="shared" si="296"/>
        <v>2519.5120663251837</v>
      </c>
      <c r="V107" s="41">
        <f t="shared" si="296"/>
        <v>2433.0438359198265</v>
      </c>
      <c r="W107" s="41">
        <f t="shared" si="296"/>
        <v>2356.117000590219</v>
      </c>
      <c r="X107" s="41">
        <f t="shared" si="296"/>
        <v>2725.194715055015</v>
      </c>
      <c r="Y107" s="41">
        <f t="shared" si="296"/>
        <v>2846.3672112184677</v>
      </c>
      <c r="Z107" s="41">
        <f t="shared" si="296"/>
        <v>2936.2264358685993</v>
      </c>
      <c r="AA107" s="41">
        <f t="shared" si="296"/>
        <v>3016.9485556145628</v>
      </c>
      <c r="AB107" s="41">
        <f t="shared" si="296"/>
        <v>3196.1250772010885</v>
      </c>
      <c r="AC107" s="41">
        <f t="shared" si="296"/>
        <v>2843.332940224037</v>
      </c>
      <c r="AD107" s="41">
        <f t="shared" si="296"/>
        <v>3408.2698161798803</v>
      </c>
      <c r="AE107" s="41">
        <f t="shared" si="296"/>
        <v>3248.015113221516</v>
      </c>
      <c r="AF107" s="41">
        <f t="shared" si="296"/>
        <v>3657.6409765637195</v>
      </c>
      <c r="AG107" s="41">
        <f t="shared" ref="AG107:AM107" si="297">AG31*10^6/AG95</f>
        <v>3426.8232547373927</v>
      </c>
      <c r="AH107" s="41">
        <f t="shared" si="297"/>
        <v>3782.9323496284392</v>
      </c>
      <c r="AI107" s="41">
        <f t="shared" si="297"/>
        <v>3695.3552603623934</v>
      </c>
      <c r="AJ107" s="41">
        <f t="shared" si="297"/>
        <v>4249.8830029310839</v>
      </c>
      <c r="AK107" s="41">
        <f t="shared" si="297"/>
        <v>4402.4499248364682</v>
      </c>
      <c r="AL107" s="41">
        <f t="shared" si="297"/>
        <v>5760.2894710279834</v>
      </c>
      <c r="AM107" s="41">
        <f t="shared" si="297"/>
        <v>4371.8393056862133</v>
      </c>
      <c r="AN107" s="41">
        <f t="shared" ref="AN107:AO107" si="298">AN31*10^6/AN95</f>
        <v>4417.2985701251946</v>
      </c>
      <c r="AO107" s="41">
        <f t="shared" si="298"/>
        <v>4734.8496791375283</v>
      </c>
      <c r="AP107" s="41">
        <f t="shared" ref="AP107:AQ107" si="299">AP31*10^6/AP95</f>
        <v>5392.3855348773768</v>
      </c>
      <c r="AQ107" s="41">
        <f t="shared" si="299"/>
        <v>4428.7261003706526</v>
      </c>
      <c r="AR107" s="41">
        <f t="shared" ref="AR107:AS107" si="300">AR31*10^6/AR95</f>
        <v>4289.0851741129618</v>
      </c>
      <c r="AS107" s="41">
        <f t="shared" si="300"/>
        <v>4652.2905670790069</v>
      </c>
      <c r="AT107" s="41">
        <f t="shared" ref="AT107" si="301">AT31*10^6/AT95</f>
        <v>5634.0120386934423</v>
      </c>
      <c r="AU107" s="41">
        <f t="shared" ref="AU107" si="302">AU31*10^6/AU95</f>
        <v>5294.0088880159574</v>
      </c>
      <c r="AV107" s="38"/>
      <c r="AW107" s="683">
        <v>5045.6037915641527</v>
      </c>
      <c r="AX107" s="41"/>
      <c r="AY107" s="41"/>
      <c r="AZ107" s="41"/>
      <c r="BA107" s="475"/>
      <c r="BB107" s="475"/>
      <c r="BC107" s="475"/>
      <c r="BD107" s="475"/>
      <c r="BE107" s="475"/>
      <c r="BF107" s="475"/>
      <c r="BG107" s="475"/>
    </row>
    <row r="108" spans="1:59" outlineLevel="1">
      <c r="A108" s="42" t="s">
        <v>163</v>
      </c>
      <c r="B108" s="42" t="s">
        <v>516</v>
      </c>
      <c r="C108" s="49"/>
      <c r="D108" s="49"/>
      <c r="E108" s="49"/>
      <c r="F108" s="49"/>
      <c r="G108" s="49">
        <f t="shared" ref="G108:AE108" si="303">+(G107/C107-1)</f>
        <v>0.1726413448526074</v>
      </c>
      <c r="H108" s="49">
        <f t="shared" si="303"/>
        <v>2.5077536327069438E-2</v>
      </c>
      <c r="I108" s="49">
        <f t="shared" si="303"/>
        <v>-0.20890039155450946</v>
      </c>
      <c r="J108" s="49">
        <f t="shared" si="303"/>
        <v>1.2559114219369505E-2</v>
      </c>
      <c r="K108" s="49">
        <f t="shared" si="303"/>
        <v>-0.16102220398392142</v>
      </c>
      <c r="L108" s="49">
        <f t="shared" si="303"/>
        <v>7.2758471952701909E-2</v>
      </c>
      <c r="M108" s="49">
        <f t="shared" si="303"/>
        <v>0.591519656299345</v>
      </c>
      <c r="N108" s="49">
        <f t="shared" si="303"/>
        <v>0.18126358561580269</v>
      </c>
      <c r="O108" s="49">
        <f t="shared" si="303"/>
        <v>0.32560661055648055</v>
      </c>
      <c r="P108" s="49">
        <f t="shared" si="303"/>
        <v>-5.2325474948717976E-2</v>
      </c>
      <c r="Q108" s="49">
        <f t="shared" si="303"/>
        <v>-0.33669818544275076</v>
      </c>
      <c r="R108" s="49">
        <f t="shared" si="303"/>
        <v>-0.48253248443761831</v>
      </c>
      <c r="S108" s="49">
        <f t="shared" si="303"/>
        <v>-0.42182229063618393</v>
      </c>
      <c r="T108" s="49">
        <f t="shared" si="303"/>
        <v>-0.23158824554500756</v>
      </c>
      <c r="U108" s="49">
        <f t="shared" si="303"/>
        <v>-8.4687292585190921E-2</v>
      </c>
      <c r="V108" s="49">
        <f t="shared" si="303"/>
        <v>8.4940899766520639E-2</v>
      </c>
      <c r="W108" s="49">
        <f t="shared" si="303"/>
        <v>9.7027674062832858E-4</v>
      </c>
      <c r="X108" s="49">
        <f t="shared" si="303"/>
        <v>5.230381070425838E-2</v>
      </c>
      <c r="Y108" s="49">
        <f t="shared" si="303"/>
        <v>0.1297295413909314</v>
      </c>
      <c r="Z108" s="49">
        <f t="shared" si="303"/>
        <v>0.20681197458102596</v>
      </c>
      <c r="AA108" s="49">
        <f t="shared" si="303"/>
        <v>0.28047484690225577</v>
      </c>
      <c r="AB108" s="49">
        <f t="shared" si="303"/>
        <v>0.17280613364779951</v>
      </c>
      <c r="AC108" s="49">
        <f t="shared" si="303"/>
        <v>-1.0660152992458816E-3</v>
      </c>
      <c r="AD108" s="49">
        <f t="shared" si="303"/>
        <v>0.16076531923589199</v>
      </c>
      <c r="AE108" s="49">
        <f t="shared" si="303"/>
        <v>7.6589492113459112E-2</v>
      </c>
      <c r="AF108" s="49">
        <f t="shared" ref="AF108:AP108" si="304">+(AF107/AB107-1)</f>
        <v>0.14439857271380308</v>
      </c>
      <c r="AG108" s="49">
        <f t="shared" si="304"/>
        <v>0.20521350358195489</v>
      </c>
      <c r="AH108" s="49">
        <f t="shared" si="304"/>
        <v>0.10992748627762539</v>
      </c>
      <c r="AI108" s="49">
        <f t="shared" si="304"/>
        <v>0.13772723695770828</v>
      </c>
      <c r="AJ108" s="49">
        <f t="shared" si="304"/>
        <v>0.16191912496665095</v>
      </c>
      <c r="AK108" s="49">
        <f t="shared" si="304"/>
        <v>0.2847029442648743</v>
      </c>
      <c r="AL108" s="49">
        <f t="shared" si="304"/>
        <v>0.5227048592591832</v>
      </c>
      <c r="AM108" s="49">
        <f t="shared" si="304"/>
        <v>0.18306333157734844</v>
      </c>
      <c r="AN108" s="49">
        <f t="shared" si="304"/>
        <v>3.9392982601790916E-2</v>
      </c>
      <c r="AO108" s="49">
        <f t="shared" si="304"/>
        <v>7.5503358351862948E-2</v>
      </c>
      <c r="AP108" s="49">
        <f t="shared" si="304"/>
        <v>-6.3869001375889245E-2</v>
      </c>
      <c r="AQ108" s="49">
        <f t="shared" ref="AQ108:AU108" si="305">+(AQ107/AM107-1)</f>
        <v>1.3012096444269927E-2</v>
      </c>
      <c r="AR108" s="49">
        <f t="shared" si="305"/>
        <v>-2.9025295432678622E-2</v>
      </c>
      <c r="AS108" s="49">
        <f t="shared" si="305"/>
        <v>-1.7436480068689253E-2</v>
      </c>
      <c r="AT108" s="49">
        <f t="shared" si="305"/>
        <v>4.4808833169151407E-2</v>
      </c>
      <c r="AU108" s="49">
        <f t="shared" si="305"/>
        <v>0.19537961211303778</v>
      </c>
      <c r="AV108" s="38"/>
      <c r="AW108" s="668">
        <v>-7.0670061510741622E-2</v>
      </c>
      <c r="AX108" s="49"/>
      <c r="AY108" s="49"/>
      <c r="AZ108" s="49"/>
      <c r="BA108" s="475"/>
      <c r="BB108" s="475"/>
      <c r="BC108" s="475"/>
      <c r="BD108" s="475"/>
      <c r="BE108" s="475"/>
      <c r="BF108" s="475"/>
      <c r="BG108" s="475"/>
    </row>
    <row r="109" spans="1:59" outlineLevel="1">
      <c r="A109" s="42" t="s">
        <v>163</v>
      </c>
      <c r="B109" s="42" t="s">
        <v>517</v>
      </c>
      <c r="C109" s="42"/>
      <c r="D109" s="42"/>
      <c r="E109" s="42"/>
      <c r="F109" s="42"/>
      <c r="G109" s="42">
        <f t="shared" ref="G109:AE109" si="306">+(G107/F107-1)</f>
        <v>1.0312303850526172E-2</v>
      </c>
      <c r="H109" s="42">
        <f t="shared" si="306"/>
        <v>-9.4367421514692573E-2</v>
      </c>
      <c r="I109" s="42">
        <f t="shared" si="306"/>
        <v>-0.2134569052121561</v>
      </c>
      <c r="J109" s="42">
        <f t="shared" si="306"/>
        <v>0.40698732630281054</v>
      </c>
      <c r="K109" s="42">
        <f t="shared" si="306"/>
        <v>-0.16288384740290485</v>
      </c>
      <c r="L109" s="42">
        <f t="shared" si="306"/>
        <v>0.15798657087209156</v>
      </c>
      <c r="M109" s="42">
        <f t="shared" si="306"/>
        <v>0.16689714284220014</v>
      </c>
      <c r="N109" s="42">
        <f t="shared" si="306"/>
        <v>4.4299319462406617E-2</v>
      </c>
      <c r="O109" s="42">
        <f t="shared" si="306"/>
        <v>-6.059348717853863E-2</v>
      </c>
      <c r="P109" s="42">
        <f t="shared" si="306"/>
        <v>-0.17215683383904268</v>
      </c>
      <c r="Q109" s="42">
        <f t="shared" si="306"/>
        <v>-0.1832586275261362</v>
      </c>
      <c r="R109" s="42">
        <f t="shared" si="306"/>
        <v>-0.18530152867679728</v>
      </c>
      <c r="S109" s="42">
        <f t="shared" si="306"/>
        <v>4.9619327609919939E-2</v>
      </c>
      <c r="T109" s="42">
        <f t="shared" si="306"/>
        <v>0.1002230100210213</v>
      </c>
      <c r="U109" s="42">
        <f t="shared" si="306"/>
        <v>-2.7118270168879466E-2</v>
      </c>
      <c r="V109" s="42">
        <f t="shared" si="306"/>
        <v>-3.431943492593581E-2</v>
      </c>
      <c r="W109" s="42">
        <f t="shared" si="306"/>
        <v>-3.1617529529847088E-2</v>
      </c>
      <c r="X109" s="42">
        <f t="shared" si="306"/>
        <v>0.15664659877770926</v>
      </c>
      <c r="Y109" s="42">
        <f t="shared" si="306"/>
        <v>4.446379390582611E-2</v>
      </c>
      <c r="Z109" s="42">
        <f t="shared" si="306"/>
        <v>3.1569793347803854E-2</v>
      </c>
      <c r="AA109" s="42">
        <f t="shared" si="306"/>
        <v>2.7491789720258453E-2</v>
      </c>
      <c r="AB109" s="42">
        <f t="shared" si="306"/>
        <v>5.9389982389019158E-2</v>
      </c>
      <c r="AC109" s="42">
        <f t="shared" si="306"/>
        <v>-0.11038120488263203</v>
      </c>
      <c r="AD109" s="42">
        <f t="shared" si="306"/>
        <v>0.1986882605142013</v>
      </c>
      <c r="AE109" s="42">
        <f t="shared" si="306"/>
        <v>-4.7019371000968424E-2</v>
      </c>
      <c r="AF109" s="42">
        <f t="shared" ref="AF109:AP109" si="307">+(AF107/AE107-1)</f>
        <v>0.12611575040853795</v>
      </c>
      <c r="AG109" s="42">
        <f t="shared" si="307"/>
        <v>-6.3105625539873311E-2</v>
      </c>
      <c r="AH109" s="42">
        <f t="shared" si="307"/>
        <v>0.10391813887650758</v>
      </c>
      <c r="AI109" s="42">
        <f t="shared" si="307"/>
        <v>-2.3150582979536427E-2</v>
      </c>
      <c r="AJ109" s="42">
        <f t="shared" si="307"/>
        <v>0.15006073936022846</v>
      </c>
      <c r="AK109" s="42">
        <f t="shared" si="307"/>
        <v>3.5899087527859308E-2</v>
      </c>
      <c r="AL109" s="42">
        <f t="shared" si="307"/>
        <v>0.30842816372112458</v>
      </c>
      <c r="AM109" s="42">
        <f t="shared" si="307"/>
        <v>-0.24103826245627669</v>
      </c>
      <c r="AN109" s="42">
        <f t="shared" si="307"/>
        <v>1.0398201136957441E-2</v>
      </c>
      <c r="AO109" s="42">
        <f t="shared" si="307"/>
        <v>7.1888079098835656E-2</v>
      </c>
      <c r="AP109" s="42">
        <f t="shared" si="307"/>
        <v>0.13887153770415406</v>
      </c>
      <c r="AQ109" s="42">
        <f t="shared" ref="AQ109:AU109" si="308">+(AQ107/AP107-1)</f>
        <v>-0.17870744372298264</v>
      </c>
      <c r="AR109" s="42">
        <f t="shared" si="308"/>
        <v>-3.1530720819696656E-2</v>
      </c>
      <c r="AS109" s="42">
        <f t="shared" si="308"/>
        <v>8.4681319727151427E-2</v>
      </c>
      <c r="AT109" s="42">
        <f t="shared" si="308"/>
        <v>0.21101895022666661</v>
      </c>
      <c r="AU109" s="42">
        <f t="shared" si="308"/>
        <v>-6.0348318097725118E-2</v>
      </c>
      <c r="AV109" s="38"/>
      <c r="AW109" s="669">
        <v>8.4541844240844988E-2</v>
      </c>
      <c r="AX109" s="42"/>
      <c r="AY109" s="42"/>
      <c r="AZ109" s="42"/>
      <c r="BA109" s="475"/>
      <c r="BB109" s="475"/>
      <c r="BC109" s="475"/>
      <c r="BD109" s="475"/>
      <c r="BE109" s="475"/>
      <c r="BF109" s="475"/>
      <c r="BG109" s="475"/>
    </row>
    <row r="110" spans="1:59" outlineLevel="1">
      <c r="A110" s="38"/>
      <c r="B110" s="38" t="s">
        <v>604</v>
      </c>
      <c r="C110" s="41">
        <f t="shared" ref="C110:AF110" si="309">C36*10^6/C95</f>
        <v>5573.996977255234</v>
      </c>
      <c r="D110" s="41">
        <f t="shared" si="309"/>
        <v>5157.140335392759</v>
      </c>
      <c r="E110" s="41">
        <f t="shared" si="309"/>
        <v>4925.6385977602858</v>
      </c>
      <c r="F110" s="41">
        <f t="shared" si="309"/>
        <v>5217.6596727948954</v>
      </c>
      <c r="G110" s="41">
        <f t="shared" si="309"/>
        <v>4813.4115161519767</v>
      </c>
      <c r="H110" s="41">
        <f t="shared" si="309"/>
        <v>6156.2375330107097</v>
      </c>
      <c r="I110" s="41">
        <f t="shared" si="309"/>
        <v>5143.7892787450719</v>
      </c>
      <c r="J110" s="41">
        <f t="shared" si="309"/>
        <v>4737.722603937541</v>
      </c>
      <c r="K110" s="41">
        <f t="shared" si="309"/>
        <v>4302.4025302494792</v>
      </c>
      <c r="L110" s="41">
        <f t="shared" si="309"/>
        <v>5371.8503555376519</v>
      </c>
      <c r="M110" s="41">
        <f t="shared" si="309"/>
        <v>6194.2409082486392</v>
      </c>
      <c r="N110" s="41">
        <f t="shared" si="309"/>
        <v>6879.2509661016402</v>
      </c>
      <c r="O110" s="41">
        <f t="shared" si="309"/>
        <v>8309.7493638219057</v>
      </c>
      <c r="P110" s="41">
        <f t="shared" si="309"/>
        <v>9277.7406804549173</v>
      </c>
      <c r="Q110" s="41">
        <f t="shared" si="309"/>
        <v>8955.8697355394888</v>
      </c>
      <c r="R110" s="41">
        <f t="shared" si="309"/>
        <v>9585.7673060825873</v>
      </c>
      <c r="S110" s="41">
        <f t="shared" si="309"/>
        <v>8367.3296783862752</v>
      </c>
      <c r="T110" s="41">
        <f t="shared" si="309"/>
        <v>8960.0797007268666</v>
      </c>
      <c r="U110" s="41">
        <f t="shared" si="309"/>
        <v>8969.953002059463</v>
      </c>
      <c r="V110" s="41">
        <f t="shared" si="309"/>
        <v>8473.0461561176762</v>
      </c>
      <c r="W110" s="41">
        <f t="shared" si="309"/>
        <v>7685.1068113084139</v>
      </c>
      <c r="X110" s="41">
        <f t="shared" si="309"/>
        <v>9082.8656764624775</v>
      </c>
      <c r="Y110" s="41">
        <f t="shared" si="309"/>
        <v>9150.9436593918181</v>
      </c>
      <c r="Z110" s="41">
        <f t="shared" si="309"/>
        <v>9050.0224139422553</v>
      </c>
      <c r="AA110" s="41">
        <f t="shared" si="309"/>
        <v>8078.993782038624</v>
      </c>
      <c r="AB110" s="41">
        <f t="shared" si="309"/>
        <v>8722.8652469291101</v>
      </c>
      <c r="AC110" s="41">
        <f t="shared" si="309"/>
        <v>8971.3157309039725</v>
      </c>
      <c r="AD110" s="41">
        <f t="shared" si="309"/>
        <v>8525.9230497201988</v>
      </c>
      <c r="AE110" s="41">
        <f t="shared" si="309"/>
        <v>10239.309693395626</v>
      </c>
      <c r="AF110" s="41">
        <f t="shared" si="309"/>
        <v>12184.369571323059</v>
      </c>
      <c r="AG110" s="41">
        <f t="shared" ref="AG110:AM110" si="310">AG36*10^6/AG95</f>
        <v>10462.619126689406</v>
      </c>
      <c r="AH110" s="41">
        <f t="shared" si="310"/>
        <v>10348.136638661565</v>
      </c>
      <c r="AI110" s="41">
        <f t="shared" si="310"/>
        <v>10039.760023471568</v>
      </c>
      <c r="AJ110" s="41">
        <f t="shared" si="310"/>
        <v>11313.095524554228</v>
      </c>
      <c r="AK110" s="41">
        <f t="shared" si="310"/>
        <v>11658.879453947095</v>
      </c>
      <c r="AL110" s="41">
        <f t="shared" si="310"/>
        <v>10635.147169493102</v>
      </c>
      <c r="AM110" s="41">
        <f t="shared" si="310"/>
        <v>11255.748848256068</v>
      </c>
      <c r="AN110" s="41">
        <f t="shared" ref="AN110:AO110" si="311">AN36*10^6/AN95</f>
        <v>12462.000613290227</v>
      </c>
      <c r="AO110" s="41">
        <f t="shared" si="311"/>
        <v>12313.530874473725</v>
      </c>
      <c r="AP110" s="41">
        <f t="shared" ref="AP110:AQ110" si="312">AP36*10^6/AP95</f>
        <v>13219.465174200626</v>
      </c>
      <c r="AQ110" s="41">
        <f t="shared" si="312"/>
        <v>11825.585358081016</v>
      </c>
      <c r="AR110" s="41">
        <f t="shared" ref="AR110:AS110" si="313">AR36*10^6/AR95</f>
        <v>12560.068608307618</v>
      </c>
      <c r="AS110" s="41">
        <f t="shared" si="313"/>
        <v>12257.572110445082</v>
      </c>
      <c r="AT110" s="41">
        <f t="shared" ref="AT110" si="314">AT36*10^6/AT95</f>
        <v>11502.652905499692</v>
      </c>
      <c r="AU110" s="41">
        <f t="shared" ref="AU110" si="315">AU36*10^6/AU95</f>
        <v>11958.231841165451</v>
      </c>
      <c r="AV110" s="38"/>
      <c r="AW110" s="683">
        <v>11397.128564474318</v>
      </c>
      <c r="AX110" s="41"/>
      <c r="AY110" s="41"/>
      <c r="AZ110" s="41"/>
      <c r="BA110" s="475"/>
      <c r="BB110" s="475"/>
      <c r="BC110" s="475"/>
      <c r="BD110" s="475"/>
      <c r="BE110" s="475"/>
      <c r="BF110" s="475"/>
      <c r="BG110" s="475"/>
    </row>
    <row r="111" spans="1:59" outlineLevel="1">
      <c r="A111" s="42" t="s">
        <v>163</v>
      </c>
      <c r="B111" s="42" t="s">
        <v>516</v>
      </c>
      <c r="C111" s="49"/>
      <c r="D111" s="49"/>
      <c r="E111" s="49"/>
      <c r="F111" s="49"/>
      <c r="G111" s="49">
        <f t="shared" ref="G111:AE111" si="316">+(G110/C110-1)</f>
        <v>-0.13645243515682481</v>
      </c>
      <c r="H111" s="49">
        <f t="shared" si="316"/>
        <v>0.19373085327177963</v>
      </c>
      <c r="I111" s="49">
        <f t="shared" si="316"/>
        <v>4.4288811827156938E-2</v>
      </c>
      <c r="J111" s="49">
        <f t="shared" si="316"/>
        <v>-9.1983206831171338E-2</v>
      </c>
      <c r="K111" s="49">
        <f t="shared" si="316"/>
        <v>-0.10616357736872195</v>
      </c>
      <c r="L111" s="49">
        <f t="shared" si="316"/>
        <v>-0.12741340360358921</v>
      </c>
      <c r="M111" s="49">
        <f t="shared" si="316"/>
        <v>0.20421746937499852</v>
      </c>
      <c r="N111" s="49">
        <f t="shared" si="316"/>
        <v>0.45201640982193969</v>
      </c>
      <c r="O111" s="49">
        <f t="shared" si="316"/>
        <v>0.93142071328692166</v>
      </c>
      <c r="P111" s="49">
        <f t="shared" si="316"/>
        <v>0.72710333803152571</v>
      </c>
      <c r="Q111" s="49">
        <f t="shared" si="316"/>
        <v>0.44583813710139886</v>
      </c>
      <c r="R111" s="49">
        <f t="shared" si="316"/>
        <v>0.39343183630276624</v>
      </c>
      <c r="S111" s="49">
        <f t="shared" si="316"/>
        <v>6.9292480486904395E-3</v>
      </c>
      <c r="T111" s="49">
        <f t="shared" si="316"/>
        <v>-3.4239044899935123E-2</v>
      </c>
      <c r="U111" s="49">
        <f t="shared" si="316"/>
        <v>1.5725180173276065E-3</v>
      </c>
      <c r="V111" s="49">
        <f t="shared" si="316"/>
        <v>-0.11608055092875469</v>
      </c>
      <c r="W111" s="49">
        <f t="shared" si="316"/>
        <v>-8.1534120597652193E-2</v>
      </c>
      <c r="X111" s="49">
        <f t="shared" si="316"/>
        <v>1.3703670038297755E-2</v>
      </c>
      <c r="Y111" s="49">
        <f t="shared" si="316"/>
        <v>2.0177436525119052E-2</v>
      </c>
      <c r="Z111" s="49">
        <f t="shared" si="316"/>
        <v>6.8095493308270694E-2</v>
      </c>
      <c r="AA111" s="49">
        <f t="shared" si="316"/>
        <v>5.1253285139852167E-2</v>
      </c>
      <c r="AB111" s="49">
        <f t="shared" si="316"/>
        <v>-3.9635115431276291E-2</v>
      </c>
      <c r="AC111" s="49">
        <f t="shared" si="316"/>
        <v>-1.9629443167152427E-2</v>
      </c>
      <c r="AD111" s="49">
        <f t="shared" si="316"/>
        <v>-5.7911388530335728E-2</v>
      </c>
      <c r="AE111" s="49">
        <f t="shared" si="316"/>
        <v>0.26739913034217921</v>
      </c>
      <c r="AF111" s="49">
        <f t="shared" ref="AF111:AP111" si="317">+(AF110/AB110-1)</f>
        <v>0.39683111298922946</v>
      </c>
      <c r="AG111" s="49">
        <f t="shared" si="317"/>
        <v>0.16623017632165826</v>
      </c>
      <c r="AH111" s="49">
        <f t="shared" si="317"/>
        <v>0.21372625325314965</v>
      </c>
      <c r="AI111" s="49">
        <f t="shared" si="317"/>
        <v>-1.9488586232797256E-2</v>
      </c>
      <c r="AJ111" s="49">
        <f t="shared" si="317"/>
        <v>-7.1507519668432273E-2</v>
      </c>
      <c r="AK111" s="49">
        <f t="shared" si="317"/>
        <v>0.11433660279251812</v>
      </c>
      <c r="AL111" s="49">
        <f t="shared" si="317"/>
        <v>2.7735479425275544E-2</v>
      </c>
      <c r="AM111" s="49">
        <f t="shared" si="317"/>
        <v>0.12111731973091855</v>
      </c>
      <c r="AN111" s="49">
        <f t="shared" si="317"/>
        <v>0.10155532464499983</v>
      </c>
      <c r="AO111" s="49">
        <f t="shared" si="317"/>
        <v>5.6150457950313593E-2</v>
      </c>
      <c r="AP111" s="49">
        <f t="shared" si="317"/>
        <v>0.2429978601631988</v>
      </c>
      <c r="AQ111" s="49">
        <f t="shared" ref="AQ111:AU111" si="318">+(AQ110/AM110-1)</f>
        <v>5.0626263743725808E-2</v>
      </c>
      <c r="AR111" s="49">
        <f t="shared" si="318"/>
        <v>7.8693620760061922E-3</v>
      </c>
      <c r="AS111" s="49">
        <f t="shared" si="318"/>
        <v>-4.5444937442473687E-3</v>
      </c>
      <c r="AT111" s="49">
        <f t="shared" si="318"/>
        <v>-0.12987002470050757</v>
      </c>
      <c r="AU111" s="49">
        <f t="shared" si="318"/>
        <v>1.1216906315237196E-2</v>
      </c>
      <c r="AV111" s="38"/>
      <c r="AW111" s="668">
        <v>-0.13785252169526652</v>
      </c>
      <c r="AX111" s="49"/>
      <c r="AY111" s="49"/>
      <c r="AZ111" s="49"/>
      <c r="BA111" s="475"/>
      <c r="BB111" s="475"/>
      <c r="BC111" s="475"/>
      <c r="BD111" s="475"/>
      <c r="BE111" s="475"/>
      <c r="BF111" s="475"/>
      <c r="BG111" s="475"/>
    </row>
    <row r="112" spans="1:59" outlineLevel="1">
      <c r="A112" s="42" t="s">
        <v>163</v>
      </c>
      <c r="B112" s="42" t="s">
        <v>517</v>
      </c>
      <c r="C112" s="42"/>
      <c r="D112" s="42"/>
      <c r="E112" s="42"/>
      <c r="F112" s="42"/>
      <c r="G112" s="42">
        <f t="shared" ref="G112:AE112" si="319">+(G110/F110-1)</f>
        <v>-7.7476911487862288E-2</v>
      </c>
      <c r="H112" s="42">
        <f t="shared" si="319"/>
        <v>0.27897594301935746</v>
      </c>
      <c r="I112" s="42">
        <f t="shared" si="319"/>
        <v>-0.16445893272258127</v>
      </c>
      <c r="J112" s="42">
        <f t="shared" si="319"/>
        <v>-7.8943100660336274E-2</v>
      </c>
      <c r="K112" s="42">
        <f t="shared" si="319"/>
        <v>-9.1883824799338321E-2</v>
      </c>
      <c r="L112" s="42">
        <f t="shared" si="319"/>
        <v>0.24856991361665082</v>
      </c>
      <c r="M112" s="42">
        <f t="shared" si="319"/>
        <v>0.15309260278689885</v>
      </c>
      <c r="N112" s="42">
        <f t="shared" si="319"/>
        <v>0.11058821702281518</v>
      </c>
      <c r="O112" s="42">
        <f t="shared" si="319"/>
        <v>0.20794391784355937</v>
      </c>
      <c r="P112" s="42">
        <f t="shared" si="319"/>
        <v>0.11648862971094509</v>
      </c>
      <c r="Q112" s="42">
        <f t="shared" si="319"/>
        <v>-3.469281541717395E-2</v>
      </c>
      <c r="R112" s="42">
        <f t="shared" si="319"/>
        <v>7.0333489559755602E-2</v>
      </c>
      <c r="S112" s="42">
        <f t="shared" si="319"/>
        <v>-0.12710903454991651</v>
      </c>
      <c r="T112" s="42">
        <f t="shared" si="319"/>
        <v>7.0841002461242697E-2</v>
      </c>
      <c r="U112" s="42">
        <f t="shared" si="319"/>
        <v>1.1019211505223225E-3</v>
      </c>
      <c r="V112" s="42">
        <f t="shared" si="319"/>
        <v>-5.5396817110156427E-2</v>
      </c>
      <c r="W112" s="42">
        <f t="shared" si="319"/>
        <v>-9.2993633020676647E-2</v>
      </c>
      <c r="X112" s="42">
        <f t="shared" si="319"/>
        <v>0.18187891196219952</v>
      </c>
      <c r="Y112" s="42">
        <f t="shared" si="319"/>
        <v>7.4952097008060825E-3</v>
      </c>
      <c r="Z112" s="42">
        <f t="shared" si="319"/>
        <v>-1.1028506917533543E-2</v>
      </c>
      <c r="AA112" s="42">
        <f t="shared" si="319"/>
        <v>-0.1072957156888017</v>
      </c>
      <c r="AB112" s="42">
        <f t="shared" si="319"/>
        <v>7.969698730576491E-2</v>
      </c>
      <c r="AC112" s="42">
        <f t="shared" si="319"/>
        <v>2.8482669047573461E-2</v>
      </c>
      <c r="AD112" s="42">
        <f t="shared" si="319"/>
        <v>-4.9646305463256102E-2</v>
      </c>
      <c r="AE112" s="42">
        <f t="shared" si="319"/>
        <v>0.20096201123134194</v>
      </c>
      <c r="AF112" s="42">
        <f t="shared" ref="AF112:AP112" si="320">+(AF110/AE110-1)</f>
        <v>0.18996005943467065</v>
      </c>
      <c r="AG112" s="42">
        <f t="shared" si="320"/>
        <v>-0.14130812715053709</v>
      </c>
      <c r="AH112" s="42">
        <f t="shared" si="320"/>
        <v>-1.0942048701343299E-2</v>
      </c>
      <c r="AI112" s="42">
        <f t="shared" si="320"/>
        <v>-2.9800207125007749E-2</v>
      </c>
      <c r="AJ112" s="42">
        <f t="shared" si="320"/>
        <v>0.12682927660678911</v>
      </c>
      <c r="AK112" s="42">
        <f t="shared" si="320"/>
        <v>3.0564926163875183E-2</v>
      </c>
      <c r="AL112" s="42">
        <f t="shared" si="320"/>
        <v>-8.7807090595435344E-2</v>
      </c>
      <c r="AM112" s="42">
        <f t="shared" si="320"/>
        <v>5.835384023111212E-2</v>
      </c>
      <c r="AN112" s="42">
        <f t="shared" si="320"/>
        <v>0.10716761552662502</v>
      </c>
      <c r="AO112" s="42">
        <f t="shared" si="320"/>
        <v>-1.1913796462035608E-2</v>
      </c>
      <c r="AP112" s="42">
        <f t="shared" si="320"/>
        <v>7.3572260382676058E-2</v>
      </c>
      <c r="AQ112" s="42">
        <f t="shared" ref="AQ112:AU112" si="321">+(AQ110/AP110-1)</f>
        <v>-0.10544146814955369</v>
      </c>
      <c r="AR112" s="42">
        <f t="shared" si="321"/>
        <v>6.2109673896581619E-2</v>
      </c>
      <c r="AS112" s="42">
        <f t="shared" si="321"/>
        <v>-2.4083984514420176E-2</v>
      </c>
      <c r="AT112" s="42">
        <f t="shared" si="321"/>
        <v>-6.1587988073274258E-2</v>
      </c>
      <c r="AU112" s="42">
        <f t="shared" si="321"/>
        <v>3.9606422919006512E-2</v>
      </c>
      <c r="AV112" s="38"/>
      <c r="AW112" s="669">
        <v>-7.0196898555265341E-2</v>
      </c>
      <c r="AX112" s="42"/>
      <c r="AY112" s="42"/>
      <c r="AZ112" s="42"/>
      <c r="BA112" s="475"/>
      <c r="BB112" s="475"/>
      <c r="BC112" s="475"/>
      <c r="BD112" s="475"/>
      <c r="BE112" s="475"/>
      <c r="BF112" s="475"/>
      <c r="BG112" s="475"/>
    </row>
    <row r="113" spans="1:59" outlineLevel="1">
      <c r="A113" s="38"/>
      <c r="B113" s="38" t="s">
        <v>605</v>
      </c>
      <c r="C113" s="41">
        <f t="shared" ref="C113:AF113" si="322">C41*10^6/C95</f>
        <v>743.63230071674286</v>
      </c>
      <c r="D113" s="41">
        <f t="shared" si="322"/>
        <v>694.36893203883494</v>
      </c>
      <c r="E113" s="41">
        <f t="shared" si="322"/>
        <v>639.51212309626271</v>
      </c>
      <c r="F113" s="41">
        <f t="shared" si="322"/>
        <v>731.742028953062</v>
      </c>
      <c r="G113" s="41">
        <f t="shared" si="322"/>
        <v>858.32459993368491</v>
      </c>
      <c r="H113" s="41">
        <f t="shared" si="322"/>
        <v>793.36567281651048</v>
      </c>
      <c r="I113" s="41">
        <f t="shared" si="322"/>
        <v>586.31180317702967</v>
      </c>
      <c r="J113" s="41">
        <f t="shared" si="322"/>
        <v>749.68206819197451</v>
      </c>
      <c r="K113" s="41">
        <f t="shared" si="322"/>
        <v>540.72325364243397</v>
      </c>
      <c r="L113" s="41">
        <f t="shared" si="322"/>
        <v>516.8425622744038</v>
      </c>
      <c r="M113" s="41">
        <f t="shared" si="322"/>
        <v>645.87477950578489</v>
      </c>
      <c r="N113" s="41">
        <f t="shared" si="322"/>
        <v>710.77718507898624</v>
      </c>
      <c r="O113" s="41">
        <f t="shared" si="322"/>
        <v>603.58901443772493</v>
      </c>
      <c r="P113" s="41">
        <f t="shared" si="322"/>
        <v>489.46054586679901</v>
      </c>
      <c r="Q113" s="41">
        <f t="shared" si="322"/>
        <v>441.64779921226335</v>
      </c>
      <c r="R113" s="41">
        <f t="shared" si="322"/>
        <v>420.75733214576883</v>
      </c>
      <c r="S113" s="41">
        <f t="shared" si="322"/>
        <v>342.69294578179688</v>
      </c>
      <c r="T113" s="41">
        <f t="shared" si="322"/>
        <v>299.11208247798055</v>
      </c>
      <c r="U113" s="41">
        <f t="shared" si="322"/>
        <v>327.61261023393359</v>
      </c>
      <c r="V113" s="41">
        <f t="shared" si="322"/>
        <v>316.9179335474243</v>
      </c>
      <c r="W113" s="41">
        <f t="shared" si="322"/>
        <v>280.37682498867605</v>
      </c>
      <c r="X113" s="41">
        <f t="shared" si="322"/>
        <v>338.61993906215508</v>
      </c>
      <c r="Y113" s="41">
        <f t="shared" si="322"/>
        <v>298.85414448584351</v>
      </c>
      <c r="Z113" s="41">
        <f t="shared" si="322"/>
        <v>289.21850054658563</v>
      </c>
      <c r="AA113" s="41">
        <f t="shared" si="322"/>
        <v>326.60748064591172</v>
      </c>
      <c r="AB113" s="41">
        <f t="shared" si="322"/>
        <v>391.15218336116385</v>
      </c>
      <c r="AC113" s="41">
        <f t="shared" si="322"/>
        <v>364.26157669931837</v>
      </c>
      <c r="AD113" s="41">
        <f t="shared" si="322"/>
        <v>475.01556718040911</v>
      </c>
      <c r="AE113" s="41">
        <f t="shared" si="322"/>
        <v>453.29452911592762</v>
      </c>
      <c r="AF113" s="41">
        <f t="shared" si="322"/>
        <v>460.71588320347854</v>
      </c>
      <c r="AG113" s="41">
        <f t="shared" ref="AG113:AM113" si="323">AG41*10^6/AG95</f>
        <v>462.41785667562317</v>
      </c>
      <c r="AH113" s="41">
        <f t="shared" si="323"/>
        <v>475.32438110585588</v>
      </c>
      <c r="AI113" s="41">
        <f t="shared" si="323"/>
        <v>700.10015883775282</v>
      </c>
      <c r="AJ113" s="41">
        <f t="shared" si="323"/>
        <v>650.06792461409918</v>
      </c>
      <c r="AK113" s="41">
        <f t="shared" si="323"/>
        <v>668.04127899890307</v>
      </c>
      <c r="AL113" s="41">
        <f t="shared" si="323"/>
        <v>815.28717759359324</v>
      </c>
      <c r="AM113" s="41">
        <f t="shared" si="323"/>
        <v>774.0153539533419</v>
      </c>
      <c r="AN113" s="41">
        <f t="shared" ref="AN113:AO113" si="324">AN41*10^6/AN95</f>
        <v>738.31436045565192</v>
      </c>
      <c r="AO113" s="41">
        <f t="shared" si="324"/>
        <v>784.44726105572477</v>
      </c>
      <c r="AP113" s="41">
        <f t="shared" ref="AP113:AQ113" si="325">AP41*10^6/AP95</f>
        <v>872.23529492670821</v>
      </c>
      <c r="AQ113" s="41">
        <f t="shared" si="325"/>
        <v>778.80194986996514</v>
      </c>
      <c r="AR113" s="41">
        <f t="shared" ref="AR113:AS113" si="326">AR41*10^6/AR95</f>
        <v>745.67927554278572</v>
      </c>
      <c r="AS113" s="41">
        <f t="shared" si="326"/>
        <v>906.12872734531402</v>
      </c>
      <c r="AT113" s="41">
        <f t="shared" ref="AT113" si="327">AT41*10^6/AT95</f>
        <v>961.11484243176017</v>
      </c>
      <c r="AU113" s="41">
        <f t="shared" ref="AU113" si="328">AU41*10^6/AU95</f>
        <v>896.82489493926312</v>
      </c>
      <c r="AV113" s="38"/>
      <c r="AW113" s="683">
        <v>990.31648229428401</v>
      </c>
      <c r="AX113" s="41"/>
      <c r="AY113" s="41"/>
      <c r="AZ113" s="41"/>
      <c r="BA113" s="475"/>
      <c r="BB113" s="475"/>
      <c r="BC113" s="475"/>
      <c r="BD113" s="475"/>
      <c r="BE113" s="475"/>
      <c r="BF113" s="475"/>
      <c r="BG113" s="475"/>
    </row>
    <row r="114" spans="1:59" outlineLevel="1">
      <c r="A114" s="42" t="s">
        <v>163</v>
      </c>
      <c r="B114" s="42" t="s">
        <v>516</v>
      </c>
      <c r="C114" s="49"/>
      <c r="D114" s="49"/>
      <c r="E114" s="49"/>
      <c r="F114" s="49"/>
      <c r="G114" s="49">
        <f t="shared" ref="G114:AE114" si="329">+(G113/C113-1)</f>
        <v>0.15423254087590998</v>
      </c>
      <c r="H114" s="49">
        <f t="shared" si="329"/>
        <v>0.14257080956516477</v>
      </c>
      <c r="I114" s="49">
        <f t="shared" si="329"/>
        <v>-8.3188915421428256E-2</v>
      </c>
      <c r="J114" s="49">
        <f t="shared" si="329"/>
        <v>2.4516890555787985E-2</v>
      </c>
      <c r="K114" s="49">
        <f t="shared" si="329"/>
        <v>-0.37002475091100639</v>
      </c>
      <c r="L114" s="49">
        <f t="shared" si="329"/>
        <v>-0.34854433461990852</v>
      </c>
      <c r="M114" s="49">
        <f t="shared" si="329"/>
        <v>0.10158924996222685</v>
      </c>
      <c r="N114" s="49">
        <f t="shared" si="329"/>
        <v>-5.1895176320298164E-2</v>
      </c>
      <c r="O114" s="49">
        <f t="shared" si="329"/>
        <v>0.1162623585573821</v>
      </c>
      <c r="P114" s="49">
        <f t="shared" si="329"/>
        <v>-5.2979414634716226E-2</v>
      </c>
      <c r="Q114" s="49">
        <f t="shared" si="329"/>
        <v>-0.31620212891699129</v>
      </c>
      <c r="R114" s="49">
        <f t="shared" si="329"/>
        <v>-0.40803202328587473</v>
      </c>
      <c r="S114" s="49">
        <f t="shared" si="329"/>
        <v>-0.43224124762934346</v>
      </c>
      <c r="T114" s="49">
        <f t="shared" si="329"/>
        <v>-0.38889439607788034</v>
      </c>
      <c r="U114" s="49">
        <f t="shared" si="329"/>
        <v>-0.2582039108577614</v>
      </c>
      <c r="V114" s="49">
        <f t="shared" si="329"/>
        <v>-0.24679165558158356</v>
      </c>
      <c r="W114" s="49">
        <f t="shared" si="329"/>
        <v>-0.18184243813644008</v>
      </c>
      <c r="X114" s="49">
        <f t="shared" si="329"/>
        <v>0.13208378697668599</v>
      </c>
      <c r="Y114" s="49">
        <f t="shared" si="329"/>
        <v>-8.7781925511215664E-2</v>
      </c>
      <c r="Z114" s="49">
        <f t="shared" si="329"/>
        <v>-8.7402542010749484E-2</v>
      </c>
      <c r="AA114" s="49">
        <f t="shared" si="329"/>
        <v>0.16488757820516309</v>
      </c>
      <c r="AB114" s="49">
        <f t="shared" si="329"/>
        <v>0.15513629954722274</v>
      </c>
      <c r="AC114" s="49">
        <f t="shared" si="329"/>
        <v>0.21886071657464723</v>
      </c>
      <c r="AD114" s="49">
        <f t="shared" si="329"/>
        <v>0.64241072504936936</v>
      </c>
      <c r="AE114" s="49">
        <f t="shared" si="329"/>
        <v>0.38788777348110526</v>
      </c>
      <c r="AF114" s="49">
        <f t="shared" ref="AF114:AP114" si="330">+(AF113/AB113-1)</f>
        <v>0.17784305649160648</v>
      </c>
      <c r="AG114" s="49">
        <f t="shared" si="330"/>
        <v>0.26946646655880602</v>
      </c>
      <c r="AH114" s="49">
        <f t="shared" si="330"/>
        <v>6.5011327371822247E-4</v>
      </c>
      <c r="AI114" s="49">
        <f t="shared" si="330"/>
        <v>0.544470788569138</v>
      </c>
      <c r="AJ114" s="49">
        <f t="shared" si="330"/>
        <v>0.4109952539382975</v>
      </c>
      <c r="AK114" s="49">
        <f t="shared" si="330"/>
        <v>0.44467016001832427</v>
      </c>
      <c r="AL114" s="49">
        <f t="shared" si="330"/>
        <v>0.71522271947591687</v>
      </c>
      <c r="AM114" s="49">
        <f t="shared" si="330"/>
        <v>0.10557802934696769</v>
      </c>
      <c r="AN114" s="49">
        <f t="shared" si="330"/>
        <v>0.13574956169993868</v>
      </c>
      <c r="AO114" s="49">
        <f t="shared" si="330"/>
        <v>0.17424968443755828</v>
      </c>
      <c r="AP114" s="49">
        <f t="shared" si="330"/>
        <v>6.985037775425762E-2</v>
      </c>
      <c r="AQ114" s="49">
        <f t="shared" ref="AQ114:AU114" si="331">+(AQ113/AM113-1)</f>
        <v>6.1841097753103647E-3</v>
      </c>
      <c r="AR114" s="49">
        <f t="shared" si="331"/>
        <v>9.9753106286439852E-3</v>
      </c>
      <c r="AS114" s="49">
        <f t="shared" si="331"/>
        <v>0.15511745955467782</v>
      </c>
      <c r="AT114" s="49">
        <f t="shared" si="331"/>
        <v>0.10189859092152465</v>
      </c>
      <c r="AU114" s="49">
        <f t="shared" si="331"/>
        <v>0.15154423417789853</v>
      </c>
      <c r="AV114" s="38"/>
      <c r="AW114" s="668">
        <v>0.13537767624674935</v>
      </c>
      <c r="AX114" s="49"/>
      <c r="AY114" s="49"/>
      <c r="AZ114" s="49"/>
      <c r="BA114" s="475"/>
      <c r="BB114" s="475"/>
      <c r="BC114" s="475"/>
      <c r="BD114" s="475"/>
      <c r="BE114" s="475"/>
      <c r="BF114" s="475"/>
      <c r="BG114" s="475"/>
    </row>
    <row r="115" spans="1:59" outlineLevel="1">
      <c r="A115" s="42" t="s">
        <v>163</v>
      </c>
      <c r="B115" s="42" t="s">
        <v>517</v>
      </c>
      <c r="C115" s="42"/>
      <c r="D115" s="42"/>
      <c r="E115" s="42"/>
      <c r="F115" s="42"/>
      <c r="G115" s="42">
        <f t="shared" ref="G115:AE115" si="332">+(G113/F113-1)</f>
        <v>0.17298797386523024</v>
      </c>
      <c r="H115" s="42">
        <f t="shared" si="332"/>
        <v>-7.5681073479885397E-2</v>
      </c>
      <c r="I115" s="42">
        <f t="shared" si="332"/>
        <v>-0.26098163398527607</v>
      </c>
      <c r="J115" s="42">
        <f t="shared" si="332"/>
        <v>0.27864058702160754</v>
      </c>
      <c r="K115" s="42">
        <f t="shared" si="332"/>
        <v>-0.27872990887122495</v>
      </c>
      <c r="L115" s="42">
        <f t="shared" si="332"/>
        <v>-4.4164350630686688E-2</v>
      </c>
      <c r="M115" s="42">
        <f t="shared" si="332"/>
        <v>0.2496547820356847</v>
      </c>
      <c r="N115" s="42">
        <f t="shared" si="332"/>
        <v>0.1004875985757856</v>
      </c>
      <c r="O115" s="42">
        <f t="shared" si="332"/>
        <v>-0.15080418011637475</v>
      </c>
      <c r="P115" s="42">
        <f t="shared" si="332"/>
        <v>-0.18908307779133893</v>
      </c>
      <c r="Q115" s="42">
        <f t="shared" si="332"/>
        <v>-9.7684577558468488E-2</v>
      </c>
      <c r="R115" s="42">
        <f t="shared" si="332"/>
        <v>-4.7301191365054729E-2</v>
      </c>
      <c r="S115" s="42">
        <f t="shared" si="332"/>
        <v>-0.18553303864215731</v>
      </c>
      <c r="T115" s="42">
        <f t="shared" si="332"/>
        <v>-0.12717175489093846</v>
      </c>
      <c r="U115" s="42">
        <f t="shared" si="332"/>
        <v>9.5283772958423274E-2</v>
      </c>
      <c r="V115" s="42">
        <f t="shared" si="332"/>
        <v>-3.2644276662222249E-2</v>
      </c>
      <c r="W115" s="42">
        <f t="shared" si="332"/>
        <v>-0.11530148562350184</v>
      </c>
      <c r="X115" s="42">
        <f t="shared" si="332"/>
        <v>0.20773155582966374</v>
      </c>
      <c r="Y115" s="42">
        <f t="shared" si="332"/>
        <v>-0.11743488787590972</v>
      </c>
      <c r="Z115" s="42">
        <f t="shared" si="332"/>
        <v>-3.2241961896949056E-2</v>
      </c>
      <c r="AA115" s="42">
        <f t="shared" si="332"/>
        <v>0.12927589358448976</v>
      </c>
      <c r="AB115" s="42">
        <f t="shared" si="332"/>
        <v>0.1976216300606648</v>
      </c>
      <c r="AC115" s="42">
        <f t="shared" si="332"/>
        <v>-6.8747172598590534E-2</v>
      </c>
      <c r="AD115" s="42">
        <f t="shared" si="332"/>
        <v>0.3040507085173938</v>
      </c>
      <c r="AE115" s="42">
        <f t="shared" si="332"/>
        <v>-4.5727002576805953E-2</v>
      </c>
      <c r="AF115" s="42">
        <f t="shared" ref="AF115:AP115" si="333">+(AF113/AE113-1)</f>
        <v>1.6372035422587139E-2</v>
      </c>
      <c r="AG115" s="42">
        <f t="shared" si="333"/>
        <v>3.6941931767369152E-3</v>
      </c>
      <c r="AH115" s="42">
        <f t="shared" si="333"/>
        <v>2.7910955954467687E-2</v>
      </c>
      <c r="AI115" s="42">
        <f t="shared" si="333"/>
        <v>0.47288922400519318</v>
      </c>
      <c r="AJ115" s="42">
        <f t="shared" si="333"/>
        <v>-7.1464394904170447E-2</v>
      </c>
      <c r="AK115" s="42">
        <f t="shared" si="333"/>
        <v>2.764842519414179E-2</v>
      </c>
      <c r="AL115" s="42">
        <f t="shared" si="333"/>
        <v>0.22041437142229636</v>
      </c>
      <c r="AM115" s="42">
        <f t="shared" si="333"/>
        <v>-5.062243682289902E-2</v>
      </c>
      <c r="AN115" s="42">
        <f t="shared" si="333"/>
        <v>-4.6124399619909884E-2</v>
      </c>
      <c r="AO115" s="42">
        <f t="shared" si="333"/>
        <v>6.2484089530104647E-2</v>
      </c>
      <c r="AP115" s="42">
        <f t="shared" si="333"/>
        <v>0.11191068951255767</v>
      </c>
      <c r="AQ115" s="42">
        <f t="shared" ref="AQ115:AU115" si="334">+(AQ113/AP113-1)</f>
        <v>-0.10711942706307709</v>
      </c>
      <c r="AR115" s="42">
        <f t="shared" si="334"/>
        <v>-4.2530291985927726E-2</v>
      </c>
      <c r="AS115" s="42">
        <f t="shared" si="334"/>
        <v>0.21517220213172195</v>
      </c>
      <c r="AT115" s="42">
        <f t="shared" si="334"/>
        <v>6.0682454299334498E-2</v>
      </c>
      <c r="AU115" s="42">
        <f t="shared" si="334"/>
        <v>-6.689101515676743E-2</v>
      </c>
      <c r="AV115" s="38"/>
      <c r="AW115" s="669">
        <v>9.290926598874627E-2</v>
      </c>
      <c r="AX115" s="42"/>
      <c r="AY115" s="42"/>
      <c r="AZ115" s="42"/>
      <c r="BA115" s="475"/>
      <c r="BB115" s="475"/>
      <c r="BC115" s="475"/>
      <c r="BD115" s="475"/>
      <c r="BE115" s="475"/>
      <c r="BF115" s="475"/>
      <c r="BG115" s="475"/>
    </row>
    <row r="116" spans="1:59" outlineLevel="1">
      <c r="A116" s="38"/>
      <c r="B116" s="38" t="s">
        <v>606</v>
      </c>
      <c r="C116" s="41">
        <f t="shared" ref="C116:AF116" si="335">C55*10^6/C95</f>
        <v>6280.3858481148</v>
      </c>
      <c r="D116" s="41">
        <f t="shared" si="335"/>
        <v>6445.8958517210922</v>
      </c>
      <c r="E116" s="41">
        <f t="shared" si="335"/>
        <v>6463.3936541866315</v>
      </c>
      <c r="F116" s="41">
        <f t="shared" si="335"/>
        <v>6969.4590449934967</v>
      </c>
      <c r="G116" s="41">
        <f t="shared" si="335"/>
        <v>5752.1055553695387</v>
      </c>
      <c r="H116" s="41">
        <f t="shared" si="335"/>
        <v>7738.2464639245845</v>
      </c>
      <c r="I116" s="41">
        <f t="shared" si="335"/>
        <v>4415.0694449613329</v>
      </c>
      <c r="J116" s="41">
        <f t="shared" si="335"/>
        <v>3398.4741834950528</v>
      </c>
      <c r="K116" s="41">
        <f t="shared" si="335"/>
        <v>4210.9649863141194</v>
      </c>
      <c r="L116" s="41">
        <f t="shared" si="335"/>
        <v>4153.9580420766551</v>
      </c>
      <c r="M116" s="41">
        <f t="shared" si="335"/>
        <v>4895.4027266962421</v>
      </c>
      <c r="N116" s="41">
        <f t="shared" si="335"/>
        <v>4301.462696278586</v>
      </c>
      <c r="O116" s="41">
        <f t="shared" si="335"/>
        <v>7581.1729023195358</v>
      </c>
      <c r="P116" s="41">
        <f t="shared" si="335"/>
        <v>8436.9996356187967</v>
      </c>
      <c r="Q116" s="41">
        <f t="shared" si="335"/>
        <v>8381.8761328188866</v>
      </c>
      <c r="R116" s="41">
        <f t="shared" si="335"/>
        <v>9124.0567536869221</v>
      </c>
      <c r="S116" s="41">
        <f t="shared" si="335"/>
        <v>8897.4160011826316</v>
      </c>
      <c r="T116" s="41">
        <f t="shared" si="335"/>
        <v>9490.491810924048</v>
      </c>
      <c r="U116" s="41">
        <f t="shared" si="335"/>
        <v>9688.9686856418666</v>
      </c>
      <c r="V116" s="41">
        <f t="shared" si="335"/>
        <v>17443.774750974222</v>
      </c>
      <c r="W116" s="41">
        <f t="shared" si="335"/>
        <v>8721.1467631758405</v>
      </c>
      <c r="X116" s="41">
        <f t="shared" si="335"/>
        <v>8390.7650044625316</v>
      </c>
      <c r="Y116" s="41">
        <f t="shared" si="335"/>
        <v>9867.4869193196046</v>
      </c>
      <c r="Z116" s="41">
        <f t="shared" si="335"/>
        <v>10176.323012433833</v>
      </c>
      <c r="AA116" s="41">
        <f t="shared" si="335"/>
        <v>9438.5298585411456</v>
      </c>
      <c r="AB116" s="41">
        <f t="shared" si="335"/>
        <v>9918.6243337831947</v>
      </c>
      <c r="AC116" s="41">
        <f t="shared" si="335"/>
        <v>10407.878974357151</v>
      </c>
      <c r="AD116" s="41">
        <f t="shared" si="335"/>
        <v>10531.770806262744</v>
      </c>
      <c r="AE116" s="41">
        <f t="shared" si="335"/>
        <v>10597.942355313884</v>
      </c>
      <c r="AF116" s="41">
        <f t="shared" si="335"/>
        <v>12605.34883962843</v>
      </c>
      <c r="AG116" s="41">
        <f t="shared" ref="AG116:AM116" si="336">AG55*10^6/AG95</f>
        <v>13192.04178365486</v>
      </c>
      <c r="AH116" s="41">
        <f t="shared" si="336"/>
        <v>11465.490894246734</v>
      </c>
      <c r="AI116" s="41">
        <f t="shared" si="336"/>
        <v>10876.743927238147</v>
      </c>
      <c r="AJ116" s="41">
        <f t="shared" si="336"/>
        <v>7876.5079359064484</v>
      </c>
      <c r="AK116" s="41">
        <f t="shared" si="336"/>
        <v>12760.126762280088</v>
      </c>
      <c r="AL116" s="41">
        <f t="shared" si="336"/>
        <v>11781.608828253062</v>
      </c>
      <c r="AM116" s="41">
        <f t="shared" si="336"/>
        <v>13503.858231106904</v>
      </c>
      <c r="AN116" s="41">
        <f t="shared" ref="AN116:AO116" si="337">AN55*10^6/AN95</f>
        <v>14256.726317343619</v>
      </c>
      <c r="AO116" s="41">
        <f t="shared" si="337"/>
        <v>14075.068996466624</v>
      </c>
      <c r="AP116" s="41">
        <f t="shared" ref="AP116:AQ116" si="338">AP55*10^6/AP95</f>
        <v>15287.155676234504</v>
      </c>
      <c r="AQ116" s="41">
        <f t="shared" si="338"/>
        <v>13729.31228781995</v>
      </c>
      <c r="AR116" s="41">
        <f t="shared" ref="AR116:AS116" si="339">AR55*10^6/AR95</f>
        <v>15122.123756595562</v>
      </c>
      <c r="AS116" s="41">
        <f t="shared" si="339"/>
        <v>15097.487803016515</v>
      </c>
      <c r="AT116" s="41">
        <f t="shared" ref="AT116" si="340">AT55*10^6/AT95</f>
        <v>14266.143745707051</v>
      </c>
      <c r="AU116" s="41">
        <f t="shared" ref="AU116" si="341">AU55*10^6/AU95</f>
        <v>14795.877790793786</v>
      </c>
      <c r="AV116" s="38"/>
      <c r="AW116" s="683">
        <v>14530.591485374693</v>
      </c>
      <c r="AX116" s="41"/>
      <c r="AY116" s="41"/>
      <c r="AZ116" s="41"/>
      <c r="BA116" s="475"/>
      <c r="BB116" s="475"/>
      <c r="BC116" s="475"/>
      <c r="BD116" s="475"/>
      <c r="BE116" s="475"/>
      <c r="BF116" s="475"/>
      <c r="BG116" s="475"/>
    </row>
    <row r="117" spans="1:59" outlineLevel="1">
      <c r="A117" s="42" t="s">
        <v>163</v>
      </c>
      <c r="B117" s="42" t="s">
        <v>516</v>
      </c>
      <c r="C117" s="49"/>
      <c r="D117" s="49"/>
      <c r="E117" s="49"/>
      <c r="F117" s="49"/>
      <c r="G117" s="49">
        <f t="shared" ref="G117:AE117" si="342">+(G116/C116-1)</f>
        <v>-8.4115897577190513E-2</v>
      </c>
      <c r="H117" s="49">
        <f t="shared" si="342"/>
        <v>0.20049200947893486</v>
      </c>
      <c r="I117" s="49">
        <f t="shared" si="342"/>
        <v>-0.31691156671209508</v>
      </c>
      <c r="J117" s="49">
        <f t="shared" si="342"/>
        <v>-0.51237618851690603</v>
      </c>
      <c r="K117" s="49">
        <f t="shared" si="342"/>
        <v>-0.26792633657718234</v>
      </c>
      <c r="L117" s="49">
        <f t="shared" si="342"/>
        <v>-0.46319129773880274</v>
      </c>
      <c r="M117" s="49">
        <f t="shared" si="342"/>
        <v>0.10879404904561274</v>
      </c>
      <c r="N117" s="49">
        <f t="shared" si="342"/>
        <v>0.26570409661163974</v>
      </c>
      <c r="O117" s="49">
        <f t="shared" si="342"/>
        <v>0.80034099712507412</v>
      </c>
      <c r="P117" s="49">
        <f t="shared" si="342"/>
        <v>1.0310748327638271</v>
      </c>
      <c r="Q117" s="49">
        <f t="shared" si="342"/>
        <v>0.7121933783118104</v>
      </c>
      <c r="R117" s="49">
        <f t="shared" si="342"/>
        <v>1.1211521284563521</v>
      </c>
      <c r="S117" s="49">
        <f t="shared" si="342"/>
        <v>0.17361998147547575</v>
      </c>
      <c r="T117" s="49">
        <f t="shared" si="342"/>
        <v>0.12486573673153711</v>
      </c>
      <c r="U117" s="49">
        <f t="shared" si="342"/>
        <v>0.15594271880314636</v>
      </c>
      <c r="V117" s="49">
        <f t="shared" si="342"/>
        <v>0.91184417434990217</v>
      </c>
      <c r="W117" s="49">
        <f t="shared" si="342"/>
        <v>-1.9811284308091426E-2</v>
      </c>
      <c r="X117" s="49">
        <f t="shared" si="342"/>
        <v>-0.11587669304931847</v>
      </c>
      <c r="Y117" s="49">
        <f t="shared" si="342"/>
        <v>1.8424895308237099E-2</v>
      </c>
      <c r="Z117" s="49">
        <f t="shared" si="342"/>
        <v>-0.41662150780378004</v>
      </c>
      <c r="AA117" s="49">
        <f t="shared" si="342"/>
        <v>8.2257885900324679E-2</v>
      </c>
      <c r="AB117" s="49">
        <f t="shared" si="342"/>
        <v>0.18208820393707703</v>
      </c>
      <c r="AC117" s="49">
        <f t="shared" si="342"/>
        <v>5.4764912226993534E-2</v>
      </c>
      <c r="AD117" s="49">
        <f t="shared" si="342"/>
        <v>3.4928902452743493E-2</v>
      </c>
      <c r="AE117" s="49">
        <f t="shared" si="342"/>
        <v>0.12283825067561338</v>
      </c>
      <c r="AF117" s="49">
        <f t="shared" ref="AF117:AP117" si="343">+(AF116/AB116-1)</f>
        <v>0.27087672800492646</v>
      </c>
      <c r="AG117" s="49">
        <f t="shared" si="343"/>
        <v>0.26750530210404144</v>
      </c>
      <c r="AH117" s="49">
        <f t="shared" si="343"/>
        <v>8.8657463702946249E-2</v>
      </c>
      <c r="AI117" s="49">
        <f t="shared" si="343"/>
        <v>2.630714176176574E-2</v>
      </c>
      <c r="AJ117" s="49">
        <f t="shared" si="343"/>
        <v>-0.37514558017272404</v>
      </c>
      <c r="AK117" s="49">
        <f t="shared" si="343"/>
        <v>-3.2740574086865148E-2</v>
      </c>
      <c r="AL117" s="49">
        <f t="shared" si="343"/>
        <v>2.7571251586353984E-2</v>
      </c>
      <c r="AM117" s="49">
        <f t="shared" si="343"/>
        <v>0.24153499626756791</v>
      </c>
      <c r="AN117" s="49">
        <f t="shared" si="343"/>
        <v>0.81003135315230512</v>
      </c>
      <c r="AO117" s="49">
        <f t="shared" si="343"/>
        <v>0.10305087548766401</v>
      </c>
      <c r="AP117" s="49">
        <f t="shared" si="343"/>
        <v>0.29754398563759077</v>
      </c>
      <c r="AQ117" s="49">
        <f t="shared" ref="AQ117:AU117" si="344">+(AQ116/AM116-1)</f>
        <v>1.6695529000274822E-2</v>
      </c>
      <c r="AR117" s="49">
        <f t="shared" si="344"/>
        <v>6.0700992639465046E-2</v>
      </c>
      <c r="AS117" s="49">
        <f t="shared" si="344"/>
        <v>7.264041169578328E-2</v>
      </c>
      <c r="AT117" s="49">
        <f t="shared" si="344"/>
        <v>-6.6788875062921194E-2</v>
      </c>
      <c r="AU117" s="49">
        <f t="shared" si="344"/>
        <v>7.7685282453662685E-2</v>
      </c>
      <c r="AV117" s="38"/>
      <c r="AW117" s="668">
        <v>-4.9490186852481521E-2</v>
      </c>
      <c r="AX117" s="49"/>
      <c r="AY117" s="49"/>
      <c r="AZ117" s="49"/>
      <c r="BA117" s="475"/>
      <c r="BB117" s="475"/>
      <c r="BC117" s="475"/>
      <c r="BD117" s="475"/>
      <c r="BE117" s="475"/>
      <c r="BF117" s="475"/>
      <c r="BG117" s="475"/>
    </row>
    <row r="118" spans="1:59" outlineLevel="1">
      <c r="A118" s="42" t="s">
        <v>163</v>
      </c>
      <c r="B118" s="42" t="s">
        <v>517</v>
      </c>
      <c r="C118" s="42"/>
      <c r="D118" s="42"/>
      <c r="E118" s="42"/>
      <c r="F118" s="42"/>
      <c r="G118" s="42">
        <f t="shared" ref="G118:AE118" si="345">+(G116/F116-1)</f>
        <v>-0.17466972425907901</v>
      </c>
      <c r="H118" s="42">
        <f t="shared" si="345"/>
        <v>0.34528937089845324</v>
      </c>
      <c r="I118" s="42">
        <f t="shared" si="345"/>
        <v>-0.42944832972893521</v>
      </c>
      <c r="J118" s="42">
        <f t="shared" si="345"/>
        <v>-0.23025578060305762</v>
      </c>
      <c r="K118" s="42">
        <f t="shared" si="345"/>
        <v>0.23907517284226842</v>
      </c>
      <c r="L118" s="42">
        <f t="shared" si="345"/>
        <v>-1.3537738837235636E-2</v>
      </c>
      <c r="M118" s="42">
        <f t="shared" si="345"/>
        <v>0.17849113474649414</v>
      </c>
      <c r="N118" s="42">
        <f t="shared" si="345"/>
        <v>-0.12132608154559088</v>
      </c>
      <c r="O118" s="42">
        <f t="shared" si="345"/>
        <v>0.76246394252782745</v>
      </c>
      <c r="P118" s="42">
        <f t="shared" si="345"/>
        <v>0.1128884335347915</v>
      </c>
      <c r="Q118" s="42">
        <f t="shared" si="345"/>
        <v>-6.5335433424926759E-3</v>
      </c>
      <c r="R118" s="42">
        <f t="shared" si="345"/>
        <v>8.8545882700659106E-2</v>
      </c>
      <c r="S118" s="42">
        <f t="shared" si="345"/>
        <v>-2.4839910428298029E-2</v>
      </c>
      <c r="T118" s="42">
        <f t="shared" si="345"/>
        <v>6.6657084445931991E-2</v>
      </c>
      <c r="U118" s="42">
        <f t="shared" si="345"/>
        <v>2.0913233863113501E-2</v>
      </c>
      <c r="V118" s="42">
        <f t="shared" si="345"/>
        <v>0.80037476814475039</v>
      </c>
      <c r="W118" s="42">
        <f t="shared" si="345"/>
        <v>-0.50004245711274331</v>
      </c>
      <c r="X118" s="42">
        <f t="shared" si="345"/>
        <v>-3.7882834412134025E-2</v>
      </c>
      <c r="Y118" s="42">
        <f t="shared" si="345"/>
        <v>0.17599371619532844</v>
      </c>
      <c r="Z118" s="42">
        <f t="shared" si="345"/>
        <v>3.1298353434809911E-2</v>
      </c>
      <c r="AA118" s="42">
        <f t="shared" si="345"/>
        <v>-7.2500956680642159E-2</v>
      </c>
      <c r="AB118" s="42">
        <f t="shared" si="345"/>
        <v>5.0865387135222262E-2</v>
      </c>
      <c r="AC118" s="42">
        <f t="shared" si="345"/>
        <v>4.9326864705172557E-2</v>
      </c>
      <c r="AD118" s="42">
        <f t="shared" si="345"/>
        <v>1.1903658008594942E-2</v>
      </c>
      <c r="AE118" s="42">
        <f t="shared" si="345"/>
        <v>6.2830411208523174E-3</v>
      </c>
      <c r="AF118" s="42">
        <f t="shared" ref="AF118:AP118" si="346">+(AF116/AE116-1)</f>
        <v>0.18941473891939209</v>
      </c>
      <c r="AG118" s="42">
        <f t="shared" si="346"/>
        <v>4.6543173972464658E-2</v>
      </c>
      <c r="AH118" s="42">
        <f t="shared" si="346"/>
        <v>-0.1308782156487216</v>
      </c>
      <c r="AI118" s="42">
        <f t="shared" si="346"/>
        <v>-5.1349477526864029E-2</v>
      </c>
      <c r="AJ118" s="42">
        <f t="shared" si="346"/>
        <v>-0.27583953537954875</v>
      </c>
      <c r="AK118" s="42">
        <f t="shared" si="346"/>
        <v>0.62002334868613573</v>
      </c>
      <c r="AL118" s="42">
        <f t="shared" si="346"/>
        <v>-7.6685596644666565E-2</v>
      </c>
      <c r="AM118" s="42">
        <f t="shared" si="346"/>
        <v>0.14618117338302539</v>
      </c>
      <c r="AN118" s="42">
        <f t="shared" si="346"/>
        <v>5.5752072730032021E-2</v>
      </c>
      <c r="AO118" s="42">
        <f t="shared" si="346"/>
        <v>-1.2741867721484224E-2</v>
      </c>
      <c r="AP118" s="42">
        <f t="shared" si="346"/>
        <v>8.6115860609433659E-2</v>
      </c>
      <c r="AQ118" s="42">
        <f t="shared" ref="AQ118:AU118" si="347">+(AQ116/AP116-1)</f>
        <v>-0.10190537869882399</v>
      </c>
      <c r="AR118" s="42">
        <f t="shared" si="347"/>
        <v>0.10144801426151928</v>
      </c>
      <c r="AS118" s="42">
        <f t="shared" si="347"/>
        <v>-1.6291331809992204E-3</v>
      </c>
      <c r="AT118" s="42">
        <f t="shared" si="347"/>
        <v>-5.5065059045343867E-2</v>
      </c>
      <c r="AU118" s="42">
        <f t="shared" si="347"/>
        <v>3.7132252031747637E-2</v>
      </c>
      <c r="AV118" s="38"/>
      <c r="AW118" s="669">
        <v>-3.754904955303584E-2</v>
      </c>
      <c r="AX118" s="42"/>
      <c r="AY118" s="42"/>
      <c r="AZ118" s="42"/>
      <c r="BA118" s="475"/>
      <c r="BB118" s="475"/>
      <c r="BC118" s="475"/>
      <c r="BD118" s="475"/>
      <c r="BE118" s="475"/>
      <c r="BF118" s="475"/>
      <c r="BG118" s="475"/>
    </row>
    <row r="119" spans="1:59" outlineLevel="1">
      <c r="A119" s="38"/>
      <c r="B119" s="38" t="s">
        <v>607</v>
      </c>
      <c r="C119" s="41">
        <f t="shared" ref="C119:AF119" si="348">C57*10^6/C95</f>
        <v>2008.9816935406602</v>
      </c>
      <c r="D119" s="41">
        <f t="shared" si="348"/>
        <v>1765.2250661959399</v>
      </c>
      <c r="E119" s="41">
        <f t="shared" si="348"/>
        <v>1625.533886285777</v>
      </c>
      <c r="F119" s="41">
        <f t="shared" si="348"/>
        <v>1840.3887699346133</v>
      </c>
      <c r="G119" s="41">
        <f t="shared" si="348"/>
        <v>1794.7423805222909</v>
      </c>
      <c r="H119" s="41">
        <f t="shared" si="348"/>
        <v>2141.370812302363</v>
      </c>
      <c r="I119" s="41">
        <f t="shared" si="348"/>
        <v>1420.0155099178789</v>
      </c>
      <c r="J119" s="41">
        <f t="shared" si="348"/>
        <v>1212.8222103439143</v>
      </c>
      <c r="K119" s="41">
        <f t="shared" si="348"/>
        <v>1386.8833824410772</v>
      </c>
      <c r="L119" s="41">
        <f t="shared" si="348"/>
        <v>1265.5455726791629</v>
      </c>
      <c r="M119" s="41">
        <f t="shared" si="348"/>
        <v>1529.1171480930311</v>
      </c>
      <c r="N119" s="41">
        <f t="shared" si="348"/>
        <v>1342.7305659961289</v>
      </c>
      <c r="O119" s="41">
        <f t="shared" si="348"/>
        <v>2226.053801735261</v>
      </c>
      <c r="P119" s="41">
        <f t="shared" si="348"/>
        <v>2565.3679592780413</v>
      </c>
      <c r="Q119" s="41">
        <f t="shared" si="348"/>
        <v>2500.360298230863</v>
      </c>
      <c r="R119" s="41">
        <f t="shared" si="348"/>
        <v>2559.5762656185002</v>
      </c>
      <c r="S119" s="41">
        <f t="shared" si="348"/>
        <v>2541.6572974388455</v>
      </c>
      <c r="T119" s="41">
        <f t="shared" si="348"/>
        <v>2678.5262277327006</v>
      </c>
      <c r="U119" s="41">
        <f t="shared" si="348"/>
        <v>2643.3965253208007</v>
      </c>
      <c r="V119" s="41">
        <f t="shared" si="348"/>
        <v>2673.8170945849747</v>
      </c>
      <c r="W119" s="41">
        <f t="shared" si="348"/>
        <v>2214.4644793492039</v>
      </c>
      <c r="X119" s="41">
        <f t="shared" si="348"/>
        <v>2156.1036201065681</v>
      </c>
      <c r="Y119" s="41">
        <f t="shared" si="348"/>
        <v>2473.4039338280763</v>
      </c>
      <c r="Z119" s="41">
        <f t="shared" si="348"/>
        <v>2586.6475820468254</v>
      </c>
      <c r="AA119" s="41">
        <f t="shared" si="348"/>
        <v>2780.4269067472619</v>
      </c>
      <c r="AB119" s="41">
        <f t="shared" si="348"/>
        <v>2859.2995859734201</v>
      </c>
      <c r="AC119" s="41">
        <f t="shared" si="348"/>
        <v>3148.0074235587149</v>
      </c>
      <c r="AD119" s="41">
        <f t="shared" si="348"/>
        <v>2727.5942158370453</v>
      </c>
      <c r="AE119" s="41">
        <f t="shared" si="348"/>
        <v>3065.0225932450026</v>
      </c>
      <c r="AF119" s="41">
        <f t="shared" si="348"/>
        <v>3896.9968689211819</v>
      </c>
      <c r="AG119" s="41">
        <f t="shared" ref="AG119:AM119" si="349">AG57*10^6/AG95</f>
        <v>4089.1022351035031</v>
      </c>
      <c r="AH119" s="41">
        <f t="shared" si="349"/>
        <v>3301.9442562477157</v>
      </c>
      <c r="AI119" s="41">
        <f t="shared" si="349"/>
        <v>3390.3260726606841</v>
      </c>
      <c r="AJ119" s="41">
        <f t="shared" si="349"/>
        <v>2278.6481770246178</v>
      </c>
      <c r="AK119" s="41">
        <f t="shared" si="349"/>
        <v>4012.3105675862348</v>
      </c>
      <c r="AL119" s="41">
        <f t="shared" si="349"/>
        <v>3838.0209258319928</v>
      </c>
      <c r="AM119" s="41">
        <f t="shared" si="349"/>
        <v>4053.3884025037783</v>
      </c>
      <c r="AN119" s="41">
        <f t="shared" ref="AN119:AO119" si="350">AN57*10^6/AN95</f>
        <v>4296.5333959242698</v>
      </c>
      <c r="AO119" s="41">
        <f t="shared" si="350"/>
        <v>3874.2067771030524</v>
      </c>
      <c r="AP119" s="41">
        <f t="shared" ref="AP119:AQ119" si="351">AP57*10^6/AP95</f>
        <v>4406.2209517565625</v>
      </c>
      <c r="AQ119" s="41">
        <f t="shared" si="351"/>
        <v>3893.8086903721905</v>
      </c>
      <c r="AR119" s="41">
        <f t="shared" ref="AR119:AS119" si="352">AR57*10^6/AR95</f>
        <v>4242.1834496993542</v>
      </c>
      <c r="AS119" s="41">
        <f t="shared" si="352"/>
        <v>4240.616688878582</v>
      </c>
      <c r="AT119" s="41">
        <f t="shared" ref="AT119" si="353">AT57*10^6/AT95</f>
        <v>4085.9442350249547</v>
      </c>
      <c r="AU119" s="41">
        <f t="shared" ref="AU119" si="354">AU57*10^6/AU95</f>
        <v>4438.763337238136</v>
      </c>
      <c r="AV119" s="38"/>
      <c r="AW119" s="683">
        <v>4359.1774456124076</v>
      </c>
      <c r="AX119" s="41"/>
      <c r="AY119" s="431"/>
      <c r="AZ119" s="41"/>
      <c r="BA119" s="475"/>
      <c r="BB119" s="475"/>
      <c r="BC119" s="475"/>
      <c r="BD119" s="475"/>
      <c r="BE119" s="475"/>
      <c r="BF119" s="475"/>
      <c r="BG119" s="475"/>
    </row>
    <row r="120" spans="1:59" outlineLevel="1">
      <c r="A120" s="42" t="s">
        <v>163</v>
      </c>
      <c r="B120" s="42" t="s">
        <v>516</v>
      </c>
      <c r="C120" s="49"/>
      <c r="D120" s="49"/>
      <c r="E120" s="49"/>
      <c r="F120" s="49"/>
      <c r="G120" s="49">
        <f t="shared" ref="G120:AE120" si="355">+(G119/C119-1)</f>
        <v>-0.10664074924485278</v>
      </c>
      <c r="H120" s="49">
        <f t="shared" si="355"/>
        <v>0.21308656516928859</v>
      </c>
      <c r="I120" s="49">
        <f t="shared" si="355"/>
        <v>-0.12643130856994444</v>
      </c>
      <c r="J120" s="49">
        <f t="shared" si="355"/>
        <v>-0.34099673386563623</v>
      </c>
      <c r="K120" s="49">
        <f t="shared" si="355"/>
        <v>-0.22725211289796476</v>
      </c>
      <c r="L120" s="49">
        <f t="shared" si="355"/>
        <v>-0.40900213759873227</v>
      </c>
      <c r="M120" s="49">
        <f t="shared" si="355"/>
        <v>7.683130037182595E-2</v>
      </c>
      <c r="N120" s="49">
        <f t="shared" si="355"/>
        <v>0.10711244776377993</v>
      </c>
      <c r="O120" s="49">
        <f t="shared" si="355"/>
        <v>0.60507641083502328</v>
      </c>
      <c r="P120" s="49">
        <f t="shared" si="355"/>
        <v>1.0270846144616912</v>
      </c>
      <c r="Q120" s="49">
        <f t="shared" si="355"/>
        <v>0.63516595268653786</v>
      </c>
      <c r="R120" s="49">
        <f t="shared" si="355"/>
        <v>0.9062471134852228</v>
      </c>
      <c r="S120" s="49">
        <f t="shared" si="355"/>
        <v>0.14177711942881355</v>
      </c>
      <c r="T120" s="49">
        <f t="shared" si="355"/>
        <v>4.4109956252242677E-2</v>
      </c>
      <c r="U120" s="49">
        <f t="shared" si="355"/>
        <v>5.7206246312238918E-2</v>
      </c>
      <c r="V120" s="49">
        <f t="shared" si="355"/>
        <v>4.4632711476901177E-2</v>
      </c>
      <c r="W120" s="49">
        <f t="shared" si="355"/>
        <v>-0.12873207509893025</v>
      </c>
      <c r="X120" s="49">
        <f t="shared" si="355"/>
        <v>-0.19504106482778372</v>
      </c>
      <c r="Y120" s="49">
        <f t="shared" si="355"/>
        <v>-6.4308396362174336E-2</v>
      </c>
      <c r="Z120" s="49">
        <f t="shared" si="355"/>
        <v>-3.2601150136516543E-2</v>
      </c>
      <c r="AA120" s="49">
        <f t="shared" si="355"/>
        <v>0.25557530169297871</v>
      </c>
      <c r="AB120" s="49">
        <f t="shared" si="355"/>
        <v>0.32614200881129074</v>
      </c>
      <c r="AC120" s="49">
        <f t="shared" si="355"/>
        <v>0.27274295172910068</v>
      </c>
      <c r="AD120" s="49">
        <f t="shared" si="355"/>
        <v>5.4490080043562816E-2</v>
      </c>
      <c r="AE120" s="49">
        <f t="shared" si="355"/>
        <v>0.10235683081871794</v>
      </c>
      <c r="AF120" s="49">
        <f t="shared" ref="AF120:AP120" si="356">+(AF119/AB119-1)</f>
        <v>0.3629200969490185</v>
      </c>
      <c r="AG120" s="49">
        <f t="shared" si="356"/>
        <v>0.29894936222256829</v>
      </c>
      <c r="AH120" s="49">
        <f t="shared" si="356"/>
        <v>0.21057019298393453</v>
      </c>
      <c r="AI120" s="49">
        <f t="shared" si="356"/>
        <v>0.10613412120766008</v>
      </c>
      <c r="AJ120" s="49">
        <f t="shared" si="356"/>
        <v>-0.41528098336516672</v>
      </c>
      <c r="AK120" s="49">
        <f t="shared" si="356"/>
        <v>-1.8779590996292228E-2</v>
      </c>
      <c r="AL120" s="49">
        <f t="shared" si="356"/>
        <v>0.16235182304181817</v>
      </c>
      <c r="AM120" s="49">
        <f t="shared" si="356"/>
        <v>0.19557479594366312</v>
      </c>
      <c r="AN120" s="49">
        <f t="shared" si="356"/>
        <v>0.8855624309385659</v>
      </c>
      <c r="AO120" s="49">
        <f t="shared" si="356"/>
        <v>-3.4420015140120164E-2</v>
      </c>
      <c r="AP120" s="49">
        <f t="shared" si="356"/>
        <v>0.14804505678962587</v>
      </c>
      <c r="AQ120" s="49">
        <f t="shared" ref="AQ120:AU120" si="357">+(AQ119/AM119-1)</f>
        <v>-3.9369459890153946E-2</v>
      </c>
      <c r="AR120" s="49">
        <f t="shared" si="357"/>
        <v>-1.2649720417970522E-2</v>
      </c>
      <c r="AS120" s="49">
        <f t="shared" si="357"/>
        <v>9.4576756703087961E-2</v>
      </c>
      <c r="AT120" s="49">
        <f t="shared" si="357"/>
        <v>-7.2687393627849706E-2</v>
      </c>
      <c r="AU120" s="49">
        <f t="shared" si="357"/>
        <v>0.13995414007200635</v>
      </c>
      <c r="AV120" s="38"/>
      <c r="AW120" s="668">
        <v>-1.0676610787164642E-2</v>
      </c>
      <c r="AX120" s="49"/>
      <c r="AY120" s="49"/>
      <c r="AZ120" s="49"/>
      <c r="BA120" s="475"/>
      <c r="BB120" s="475"/>
      <c r="BC120" s="475"/>
      <c r="BD120" s="475"/>
      <c r="BE120" s="475"/>
      <c r="BF120" s="475"/>
      <c r="BG120" s="475"/>
    </row>
    <row r="121" spans="1:59" outlineLevel="1">
      <c r="A121" s="42" t="s">
        <v>163</v>
      </c>
      <c r="B121" s="42" t="s">
        <v>517</v>
      </c>
      <c r="C121" s="42"/>
      <c r="D121" s="42"/>
      <c r="E121" s="42"/>
      <c r="F121" s="42"/>
      <c r="G121" s="42">
        <f t="shared" ref="G121:AE121" si="358">+(G119/F119-1)</f>
        <v>-2.4802579845096595E-2</v>
      </c>
      <c r="H121" s="42">
        <f t="shared" si="358"/>
        <v>0.19313548035746453</v>
      </c>
      <c r="I121" s="42">
        <f t="shared" si="358"/>
        <v>-0.33686613184425351</v>
      </c>
      <c r="J121" s="42">
        <f t="shared" si="358"/>
        <v>-0.14590918065813718</v>
      </c>
      <c r="K121" s="42">
        <f t="shared" si="358"/>
        <v>0.14351746745123117</v>
      </c>
      <c r="L121" s="42">
        <f t="shared" si="358"/>
        <v>-8.7489554852366536E-2</v>
      </c>
      <c r="M121" s="42">
        <f t="shared" si="358"/>
        <v>0.20826715458052347</v>
      </c>
      <c r="N121" s="42">
        <f t="shared" si="358"/>
        <v>-0.12189163029748618</v>
      </c>
      <c r="O121" s="42">
        <f t="shared" si="358"/>
        <v>0.65785590803455252</v>
      </c>
      <c r="P121" s="42">
        <f t="shared" si="358"/>
        <v>0.15242855194168126</v>
      </c>
      <c r="Q121" s="42">
        <f t="shared" si="358"/>
        <v>-2.5340482176082535E-2</v>
      </c>
      <c r="R121" s="42">
        <f t="shared" si="358"/>
        <v>2.3682973781632866E-2</v>
      </c>
      <c r="S121" s="42">
        <f t="shared" si="358"/>
        <v>-7.0007557189645242E-3</v>
      </c>
      <c r="T121" s="42">
        <f t="shared" si="358"/>
        <v>5.3850269441035215E-2</v>
      </c>
      <c r="U121" s="42">
        <f t="shared" si="358"/>
        <v>-1.3115310221037513E-2</v>
      </c>
      <c r="V121" s="42">
        <f t="shared" si="358"/>
        <v>1.1508136964234694E-2</v>
      </c>
      <c r="W121" s="42">
        <f t="shared" si="358"/>
        <v>-0.17179657358240907</v>
      </c>
      <c r="X121" s="42">
        <f t="shared" si="358"/>
        <v>-2.6354389418694613E-2</v>
      </c>
      <c r="Y121" s="42">
        <f t="shared" si="358"/>
        <v>0.14716375908956802</v>
      </c>
      <c r="Z121" s="42">
        <f t="shared" si="358"/>
        <v>4.5784534693240397E-2</v>
      </c>
      <c r="AA121" s="42">
        <f t="shared" si="358"/>
        <v>7.4915240114425741E-2</v>
      </c>
      <c r="AB121" s="42">
        <f t="shared" si="358"/>
        <v>2.8367111192442396E-2</v>
      </c>
      <c r="AC121" s="42">
        <f t="shared" si="358"/>
        <v>0.10097152428573075</v>
      </c>
      <c r="AD121" s="42">
        <f t="shared" si="358"/>
        <v>-0.13354898866356768</v>
      </c>
      <c r="AE121" s="42">
        <f t="shared" si="358"/>
        <v>0.1237091556540082</v>
      </c>
      <c r="AF121" s="42">
        <f t="shared" ref="AF121:AP121" si="359">+(AF119/AE119-1)</f>
        <v>0.27144148219649855</v>
      </c>
      <c r="AG121" s="42">
        <f t="shared" si="359"/>
        <v>4.9295745581520611E-2</v>
      </c>
      <c r="AH121" s="42">
        <f t="shared" si="359"/>
        <v>-0.19250141806147891</v>
      </c>
      <c r="AI121" s="42">
        <f t="shared" si="359"/>
        <v>2.6766598571656086E-2</v>
      </c>
      <c r="AJ121" s="42">
        <f t="shared" si="359"/>
        <v>-0.32789704347335413</v>
      </c>
      <c r="AK121" s="42">
        <f t="shared" si="359"/>
        <v>0.76082934085303822</v>
      </c>
      <c r="AL121" s="42">
        <f t="shared" si="359"/>
        <v>-4.3438721609003639E-2</v>
      </c>
      <c r="AM121" s="42">
        <f t="shared" si="359"/>
        <v>5.6114200738782705E-2</v>
      </c>
      <c r="AN121" s="42">
        <f t="shared" si="359"/>
        <v>5.9985614324623127E-2</v>
      </c>
      <c r="AO121" s="42">
        <f t="shared" si="359"/>
        <v>-9.8294736687451367E-2</v>
      </c>
      <c r="AP121" s="42">
        <f t="shared" si="359"/>
        <v>0.13732209075616897</v>
      </c>
      <c r="AQ121" s="42">
        <f t="shared" ref="AQ121:AU121" si="360">+(AQ119/AP119-1)</f>
        <v>-0.11629291108973916</v>
      </c>
      <c r="AR121" s="42">
        <f t="shared" si="360"/>
        <v>8.9468894604029403E-2</v>
      </c>
      <c r="AS121" s="42">
        <f t="shared" si="360"/>
        <v>-3.6932887022678162E-4</v>
      </c>
      <c r="AT121" s="42">
        <f t="shared" si="360"/>
        <v>-3.6474047338272864E-2</v>
      </c>
      <c r="AU121" s="42">
        <f t="shared" si="360"/>
        <v>8.6349465856336183E-2</v>
      </c>
      <c r="AV121" s="38"/>
      <c r="AW121" s="669">
        <v>2.7958376206168811E-2</v>
      </c>
      <c r="AX121" s="42"/>
      <c r="AY121" s="42"/>
      <c r="AZ121" s="42"/>
      <c r="BA121" s="475"/>
      <c r="BB121" s="475"/>
      <c r="BC121" s="475"/>
      <c r="BD121" s="475"/>
      <c r="BE121" s="475"/>
      <c r="BF121" s="475"/>
      <c r="BG121" s="475"/>
    </row>
    <row r="122" spans="1:59" outlineLevel="1">
      <c r="A122" s="38"/>
      <c r="B122" s="38" t="s">
        <v>608</v>
      </c>
      <c r="C122" s="41">
        <f t="shared" ref="C122:AF122" si="361">C67*10^6/C95</f>
        <v>4110.8401561442361</v>
      </c>
      <c r="D122" s="41">
        <f t="shared" si="361"/>
        <v>4502.7360988526007</v>
      </c>
      <c r="E122" s="41">
        <f t="shared" si="361"/>
        <v>4670.9716222421812</v>
      </c>
      <c r="F122" s="41">
        <f t="shared" si="361"/>
        <v>4930.143901803287</v>
      </c>
      <c r="G122" s="41">
        <f t="shared" si="361"/>
        <v>3957.3631748472476</v>
      </c>
      <c r="H122" s="41">
        <f t="shared" si="361"/>
        <v>5470.8360311870874</v>
      </c>
      <c r="I122" s="41">
        <f t="shared" si="361"/>
        <v>3471.6246521149556</v>
      </c>
      <c r="J122" s="41">
        <f t="shared" si="361"/>
        <v>2186.3692335981164</v>
      </c>
      <c r="K122" s="41">
        <f t="shared" si="361"/>
        <v>2824.0816038730427</v>
      </c>
      <c r="L122" s="41">
        <f t="shared" si="361"/>
        <v>3528.0129522217744</v>
      </c>
      <c r="M122" s="41">
        <f t="shared" si="361"/>
        <v>4156.0999021023354</v>
      </c>
      <c r="N122" s="41">
        <f t="shared" si="361"/>
        <v>4478.2597186969224</v>
      </c>
      <c r="O122" s="41">
        <f t="shared" si="361"/>
        <v>5517.5006022495436</v>
      </c>
      <c r="P122" s="41">
        <f t="shared" si="361"/>
        <v>6319.2023871043202</v>
      </c>
      <c r="Q122" s="41">
        <f t="shared" si="361"/>
        <v>6261.5136610212339</v>
      </c>
      <c r="R122" s="41">
        <f t="shared" si="361"/>
        <v>6899.829385970741</v>
      </c>
      <c r="S122" s="41">
        <f t="shared" si="361"/>
        <v>6355.758703743787</v>
      </c>
      <c r="T122" s="41">
        <f t="shared" si="361"/>
        <v>6811.965583191346</v>
      </c>
      <c r="U122" s="41">
        <f t="shared" si="361"/>
        <v>7045.5721603210668</v>
      </c>
      <c r="V122" s="41">
        <f t="shared" si="361"/>
        <v>7128.5969658139957</v>
      </c>
      <c r="W122" s="41">
        <f t="shared" si="361"/>
        <v>6506.6822838266362</v>
      </c>
      <c r="X122" s="41">
        <f t="shared" si="361"/>
        <v>6808.3653384438412</v>
      </c>
      <c r="Y122" s="41">
        <f t="shared" si="361"/>
        <v>7777.2002369260554</v>
      </c>
      <c r="Z122" s="41">
        <f t="shared" si="361"/>
        <v>7528.0370891760276</v>
      </c>
      <c r="AA122" s="41">
        <f t="shared" si="361"/>
        <v>6658.1029517938832</v>
      </c>
      <c r="AB122" s="41">
        <f t="shared" si="361"/>
        <v>7059.3247478097755</v>
      </c>
      <c r="AC122" s="41">
        <f t="shared" si="361"/>
        <v>7259.8715507984361</v>
      </c>
      <c r="AD122" s="41">
        <f t="shared" si="361"/>
        <v>7804.176590425699</v>
      </c>
      <c r="AE122" s="41">
        <f t="shared" si="361"/>
        <v>8219.1417119808048</v>
      </c>
      <c r="AF122" s="41">
        <f t="shared" si="361"/>
        <v>8994.9549062236674</v>
      </c>
      <c r="AG122" s="41">
        <f t="shared" ref="AG122:AM122" si="362">AG67*10^6/AG95</f>
        <v>8430.0536384586721</v>
      </c>
      <c r="AH122" s="41">
        <f t="shared" si="362"/>
        <v>8429.8479774135394</v>
      </c>
      <c r="AI122" s="41">
        <f t="shared" si="362"/>
        <v>7962.5365478587264</v>
      </c>
      <c r="AJ122" s="41">
        <f t="shared" si="362"/>
        <v>8301.4867627526819</v>
      </c>
      <c r="AK122" s="41">
        <f t="shared" si="362"/>
        <v>8186.1922561248066</v>
      </c>
      <c r="AL122" s="41">
        <f t="shared" si="362"/>
        <v>7895.0233112592896</v>
      </c>
      <c r="AM122" s="41">
        <f t="shared" si="362"/>
        <v>9450.4698286031235</v>
      </c>
      <c r="AN122" s="41">
        <f t="shared" ref="AN122:AO122" si="363">AN67*10^6/AN95</f>
        <v>9960.1929214193478</v>
      </c>
      <c r="AO122" s="41">
        <f t="shared" si="363"/>
        <v>10200.862219363569</v>
      </c>
      <c r="AP122" s="41">
        <f t="shared" ref="AP122:AQ122" si="364">AP67*10^6/AP95</f>
        <v>10880.934724477944</v>
      </c>
      <c r="AQ122" s="41">
        <f t="shared" si="364"/>
        <v>9835.5035974477578</v>
      </c>
      <c r="AR122" s="41">
        <f t="shared" ref="AR122:AS122" si="365">AR67*10^6/AR95</f>
        <v>10879.940306896207</v>
      </c>
      <c r="AS122" s="41">
        <f t="shared" si="365"/>
        <v>10856.871114137934</v>
      </c>
      <c r="AT122" s="41">
        <f t="shared" ref="AT122" si="366">AT67*10^6/AT95</f>
        <v>10180.199510682096</v>
      </c>
      <c r="AU122" s="41">
        <f t="shared" ref="AU122" si="367">AU67*10^6/AU95</f>
        <v>10357.11445355565</v>
      </c>
      <c r="AV122" s="38"/>
      <c r="AW122" s="683">
        <v>10171.414039762283</v>
      </c>
      <c r="AX122" s="41"/>
      <c r="AY122" s="41"/>
      <c r="AZ122" s="41"/>
      <c r="BA122" s="475"/>
      <c r="BB122" s="475"/>
      <c r="BC122" s="475"/>
      <c r="BD122" s="475"/>
      <c r="BE122" s="475"/>
      <c r="BF122" s="475"/>
      <c r="BG122" s="475"/>
    </row>
    <row r="123" spans="1:59" outlineLevel="1">
      <c r="A123" s="42" t="s">
        <v>163</v>
      </c>
      <c r="B123" s="42" t="s">
        <v>516</v>
      </c>
      <c r="C123" s="49"/>
      <c r="D123" s="49"/>
      <c r="E123" s="49"/>
      <c r="F123" s="49"/>
      <c r="G123" s="49">
        <f t="shared" ref="G123:AE123" si="368">+(G122/C122-1)</f>
        <v>-3.7334699347916778E-2</v>
      </c>
      <c r="H123" s="49">
        <f t="shared" si="368"/>
        <v>0.21500259199760352</v>
      </c>
      <c r="I123" s="49">
        <f t="shared" si="368"/>
        <v>-0.25676605792597595</v>
      </c>
      <c r="J123" s="49">
        <f t="shared" si="368"/>
        <v>-0.55653034127494472</v>
      </c>
      <c r="K123" s="49">
        <f t="shared" si="368"/>
        <v>-0.28637290056603137</v>
      </c>
      <c r="L123" s="49">
        <f t="shared" si="368"/>
        <v>-0.35512361691888439</v>
      </c>
      <c r="M123" s="49">
        <f t="shared" si="368"/>
        <v>0.19716280375252815</v>
      </c>
      <c r="N123" s="49">
        <f t="shared" si="368"/>
        <v>1.0482632347176937</v>
      </c>
      <c r="O123" s="49">
        <f t="shared" si="368"/>
        <v>0.95373270895665807</v>
      </c>
      <c r="P123" s="49">
        <f t="shared" si="368"/>
        <v>0.79115056341411316</v>
      </c>
      <c r="Q123" s="49">
        <f t="shared" si="368"/>
        <v>0.50658401109508677</v>
      </c>
      <c r="R123" s="49">
        <f t="shared" si="368"/>
        <v>0.54073899670527448</v>
      </c>
      <c r="S123" s="49">
        <f t="shared" si="368"/>
        <v>0.15192714272699437</v>
      </c>
      <c r="T123" s="49">
        <f t="shared" si="368"/>
        <v>7.7978701408996542E-2</v>
      </c>
      <c r="U123" s="49">
        <f t="shared" si="368"/>
        <v>0.12521868381134471</v>
      </c>
      <c r="V123" s="49">
        <f t="shared" si="368"/>
        <v>3.315554154257816E-2</v>
      </c>
      <c r="W123" s="49">
        <f t="shared" si="368"/>
        <v>2.3745958133047029E-2</v>
      </c>
      <c r="X123" s="49">
        <f t="shared" si="368"/>
        <v>-5.2851775358175868E-4</v>
      </c>
      <c r="Y123" s="49">
        <f t="shared" si="368"/>
        <v>0.10384225155273241</v>
      </c>
      <c r="Z123" s="49">
        <f t="shared" si="368"/>
        <v>5.6033483906804182E-2</v>
      </c>
      <c r="AA123" s="49">
        <f t="shared" si="368"/>
        <v>2.3271563196442857E-2</v>
      </c>
      <c r="AB123" s="49">
        <f t="shared" si="368"/>
        <v>3.6860449886388702E-2</v>
      </c>
      <c r="AC123" s="49">
        <f t="shared" si="368"/>
        <v>-6.6518627573885603E-2</v>
      </c>
      <c r="AD123" s="49">
        <f t="shared" si="368"/>
        <v>3.6681474596706121E-2</v>
      </c>
      <c r="AE123" s="49">
        <f t="shared" si="368"/>
        <v>0.23445698744660182</v>
      </c>
      <c r="AF123" s="49">
        <f t="shared" ref="AF123:AP123" si="369">+(AF122/AB122-1)</f>
        <v>0.27419480298231647</v>
      </c>
      <c r="AG123" s="49">
        <f t="shared" si="369"/>
        <v>0.1611849575398534</v>
      </c>
      <c r="AH123" s="49">
        <f t="shared" si="369"/>
        <v>8.0171351806086033E-2</v>
      </c>
      <c r="AI123" s="49">
        <f t="shared" si="369"/>
        <v>-3.1220433119924507E-2</v>
      </c>
      <c r="AJ123" s="49">
        <f t="shared" si="369"/>
        <v>-7.7095232905633582E-2</v>
      </c>
      <c r="AK123" s="49">
        <f t="shared" si="369"/>
        <v>-2.8927619300231688E-2</v>
      </c>
      <c r="AL123" s="49">
        <f t="shared" si="369"/>
        <v>-6.3444165017830567E-2</v>
      </c>
      <c r="AM123" s="49">
        <f t="shared" si="369"/>
        <v>0.18686674425934413</v>
      </c>
      <c r="AN123" s="49">
        <f t="shared" si="369"/>
        <v>0.19980832422801531</v>
      </c>
      <c r="AO123" s="49">
        <f t="shared" si="369"/>
        <v>0.24610586951844571</v>
      </c>
      <c r="AP123" s="49">
        <f t="shared" si="369"/>
        <v>0.37820172221155723</v>
      </c>
      <c r="AQ123" s="49">
        <f t="shared" ref="AQ123:AU123" si="370">+(AQ122/AM122-1)</f>
        <v>4.0742288566360862E-2</v>
      </c>
      <c r="AR123" s="49">
        <f t="shared" si="370"/>
        <v>9.2342326371906536E-2</v>
      </c>
      <c r="AS123" s="49">
        <f t="shared" si="370"/>
        <v>6.4309161389231262E-2</v>
      </c>
      <c r="AT123" s="49">
        <f t="shared" si="370"/>
        <v>-6.4400277323552135E-2</v>
      </c>
      <c r="AU123" s="49">
        <f t="shared" si="370"/>
        <v>5.3033467065504158E-2</v>
      </c>
      <c r="AV123" s="38"/>
      <c r="AW123" s="668">
        <v>-6.520769609246102E-2</v>
      </c>
      <c r="AX123" s="49"/>
      <c r="AY123" s="49"/>
      <c r="AZ123" s="49"/>
      <c r="BA123" s="475"/>
      <c r="BB123" s="475"/>
      <c r="BC123" s="475"/>
      <c r="BD123" s="475"/>
      <c r="BE123" s="475"/>
      <c r="BF123" s="475"/>
      <c r="BG123" s="475"/>
    </row>
    <row r="124" spans="1:59" outlineLevel="1">
      <c r="A124" s="42" t="s">
        <v>163</v>
      </c>
      <c r="B124" s="42" t="s">
        <v>517</v>
      </c>
      <c r="C124" s="42"/>
      <c r="D124" s="42"/>
      <c r="E124" s="42"/>
      <c r="F124" s="42"/>
      <c r="G124" s="42">
        <f t="shared" ref="G124:AE124" si="371">+(G122/F122-1)</f>
        <v>-0.19731284650742709</v>
      </c>
      <c r="H124" s="42">
        <f t="shared" si="371"/>
        <v>0.38244477180143033</v>
      </c>
      <c r="I124" s="42">
        <f t="shared" si="371"/>
        <v>-0.3654306887787192</v>
      </c>
      <c r="J124" s="42">
        <f t="shared" si="371"/>
        <v>-0.37021727499654844</v>
      </c>
      <c r="K124" s="42">
        <f t="shared" si="371"/>
        <v>0.29167642888271006</v>
      </c>
      <c r="L124" s="42">
        <f t="shared" si="371"/>
        <v>0.24926027186443056</v>
      </c>
      <c r="M124" s="42">
        <f t="shared" si="371"/>
        <v>0.1780285272153046</v>
      </c>
      <c r="N124" s="42">
        <f t="shared" si="371"/>
        <v>7.7514935680834895E-2</v>
      </c>
      <c r="O124" s="42">
        <f t="shared" si="371"/>
        <v>0.23206355790704736</v>
      </c>
      <c r="P124" s="42">
        <f t="shared" si="371"/>
        <v>0.1453016216306191</v>
      </c>
      <c r="Q124" s="42">
        <f t="shared" si="371"/>
        <v>-9.1291151238980239E-3</v>
      </c>
      <c r="R124" s="42">
        <f t="shared" si="371"/>
        <v>0.10194271856709469</v>
      </c>
      <c r="S124" s="42">
        <f t="shared" si="371"/>
        <v>-7.8852773277727661E-2</v>
      </c>
      <c r="T124" s="42">
        <f t="shared" si="371"/>
        <v>7.1778508390955009E-2</v>
      </c>
      <c r="U124" s="42">
        <f t="shared" si="371"/>
        <v>3.4293563917314751E-2</v>
      </c>
      <c r="V124" s="42">
        <f t="shared" si="371"/>
        <v>1.1783969222613822E-2</v>
      </c>
      <c r="W124" s="42">
        <f t="shared" si="371"/>
        <v>-8.7242228024648094E-2</v>
      </c>
      <c r="X124" s="42">
        <f t="shared" si="371"/>
        <v>4.6365112273436981E-2</v>
      </c>
      <c r="Y124" s="42">
        <f t="shared" si="371"/>
        <v>0.14230066254106988</v>
      </c>
      <c r="Z124" s="42">
        <f t="shared" si="371"/>
        <v>-3.2037640816679036E-2</v>
      </c>
      <c r="AA124" s="42">
        <f t="shared" si="371"/>
        <v>-0.11555922574198718</v>
      </c>
      <c r="AB124" s="42">
        <f t="shared" si="371"/>
        <v>6.0260677691652553E-2</v>
      </c>
      <c r="AC124" s="42">
        <f t="shared" si="371"/>
        <v>2.8408779897947323E-2</v>
      </c>
      <c r="AD124" s="42">
        <f t="shared" si="371"/>
        <v>7.4974472457078223E-2</v>
      </c>
      <c r="AE124" s="42">
        <f t="shared" si="371"/>
        <v>5.3172185014904949E-2</v>
      </c>
      <c r="AF124" s="42">
        <f t="shared" ref="AF124:AP124" si="372">+(AF122/AE122-1)</f>
        <v>9.4391022983821182E-2</v>
      </c>
      <c r="AG124" s="42">
        <f t="shared" si="372"/>
        <v>-6.28020122006544E-2</v>
      </c>
      <c r="AH124" s="42">
        <f t="shared" si="372"/>
        <v>-2.4396172782825687E-5</v>
      </c>
      <c r="AI124" s="42">
        <f t="shared" si="372"/>
        <v>-5.5435332974793972E-2</v>
      </c>
      <c r="AJ124" s="42">
        <f t="shared" si="372"/>
        <v>4.2568120454669067E-2</v>
      </c>
      <c r="AK124" s="42">
        <f t="shared" si="372"/>
        <v>-1.3888416608116683E-2</v>
      </c>
      <c r="AL124" s="42">
        <f t="shared" si="372"/>
        <v>-3.5568300347169068E-2</v>
      </c>
      <c r="AM124" s="42">
        <f t="shared" si="372"/>
        <v>0.19701607658657228</v>
      </c>
      <c r="AN124" s="42">
        <f t="shared" si="372"/>
        <v>5.3936270054371072E-2</v>
      </c>
      <c r="AO124" s="42">
        <f t="shared" si="372"/>
        <v>2.4163116100558879E-2</v>
      </c>
      <c r="AP124" s="42">
        <f t="shared" si="372"/>
        <v>6.6668139466038667E-2</v>
      </c>
      <c r="AQ124" s="42">
        <f t="shared" ref="AQ124:AU124" si="373">+(AQ122/AP122-1)</f>
        <v>-9.6079165393609611E-2</v>
      </c>
      <c r="AR124" s="42">
        <f t="shared" si="373"/>
        <v>0.10619046590755898</v>
      </c>
      <c r="AS124" s="42">
        <f t="shared" si="373"/>
        <v>-2.120341850005536E-3</v>
      </c>
      <c r="AT124" s="42">
        <f t="shared" si="373"/>
        <v>-6.2326576077215146E-2</v>
      </c>
      <c r="AU124" s="42">
        <f t="shared" si="373"/>
        <v>1.7378337496030127E-2</v>
      </c>
      <c r="AV124" s="38"/>
      <c r="AW124" s="669">
        <v>-6.313578444189516E-2</v>
      </c>
      <c r="AX124" s="42"/>
      <c r="AY124" s="42"/>
      <c r="AZ124" s="42"/>
      <c r="BA124" s="475"/>
      <c r="BB124" s="475"/>
      <c r="BC124" s="475"/>
      <c r="BD124" s="475"/>
      <c r="BE124" s="475"/>
      <c r="BF124" s="475"/>
      <c r="BG124" s="475"/>
    </row>
    <row r="125" spans="1:59">
      <c r="A125" s="38"/>
      <c r="B125" s="38"/>
      <c r="C125" s="41"/>
      <c r="D125" s="38"/>
      <c r="E125" s="38"/>
      <c r="F125" s="38"/>
      <c r="G125" s="52"/>
      <c r="H125" s="38"/>
      <c r="I125" s="38"/>
      <c r="J125" s="52"/>
      <c r="K125" s="52"/>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671"/>
      <c r="AX125" s="38"/>
      <c r="AY125" s="38"/>
      <c r="AZ125" s="38"/>
      <c r="BA125" s="475"/>
      <c r="BB125" s="475"/>
      <c r="BC125" s="475"/>
      <c r="BD125" s="475"/>
      <c r="BE125" s="475"/>
      <c r="BF125" s="475"/>
      <c r="BG125" s="475"/>
    </row>
    <row r="126" spans="1:59">
      <c r="A126" s="38"/>
      <c r="B126" s="38"/>
      <c r="C126" s="38"/>
      <c r="D126" s="38"/>
      <c r="E126" s="38"/>
      <c r="F126" s="38"/>
      <c r="G126" s="52"/>
      <c r="H126" s="38"/>
      <c r="I126" s="38"/>
      <c r="J126" s="52"/>
      <c r="K126" s="52"/>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671"/>
      <c r="AX126" s="38"/>
      <c r="AY126" s="38"/>
      <c r="AZ126" s="38"/>
      <c r="BA126" s="475"/>
      <c r="BB126" s="475"/>
      <c r="BC126" s="475"/>
      <c r="BD126" s="475"/>
      <c r="BE126" s="475"/>
      <c r="BF126" s="475"/>
      <c r="BG126" s="475"/>
    </row>
    <row r="127" spans="1:59" s="364" customFormat="1">
      <c r="A127" s="5"/>
      <c r="B127" s="37" t="s">
        <v>583</v>
      </c>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499"/>
      <c r="BB127" s="499"/>
      <c r="BC127" s="499"/>
      <c r="BD127" s="499"/>
      <c r="BE127" s="499"/>
      <c r="BF127" s="499"/>
      <c r="BG127" s="499"/>
    </row>
    <row r="128" spans="1:59">
      <c r="A128" s="38"/>
      <c r="B128" s="38"/>
      <c r="C128" s="38"/>
      <c r="D128" s="38"/>
      <c r="E128" s="38"/>
      <c r="F128" s="38"/>
      <c r="G128" s="52"/>
      <c r="H128" s="38"/>
      <c r="I128" s="38"/>
      <c r="J128" s="52"/>
      <c r="K128" s="52"/>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f t="shared" ref="AJ128:AK128" si="374">AJ141/AJ144*100</f>
        <v>49.175999590747097</v>
      </c>
      <c r="AK128" s="38">
        <f t="shared" si="374"/>
        <v>49.81249746069151</v>
      </c>
      <c r="AL128" s="38">
        <f>AL141/AL144*100</f>
        <v>45.307019953518022</v>
      </c>
      <c r="AM128" s="38">
        <f t="shared" ref="AM128" si="375">AM141/AM144*100</f>
        <v>47.036758078988854</v>
      </c>
      <c r="AN128" s="38">
        <f t="shared" ref="AN128:AO128" si="376">AN141/AN144*100</f>
        <v>49.228749682944098</v>
      </c>
      <c r="AO128" s="38">
        <f t="shared" si="376"/>
        <v>43.135876270890741</v>
      </c>
      <c r="AP128" s="38">
        <f t="shared" ref="AP128:AQ128" si="377">AP141/AP144*100</f>
        <v>38.115536218395796</v>
      </c>
      <c r="AQ128" s="38">
        <f t="shared" si="377"/>
        <v>37.261154500755481</v>
      </c>
      <c r="AR128" s="38">
        <f t="shared" ref="AR128" si="378">AR141/AR144*100</f>
        <v>36.63150652408801</v>
      </c>
      <c r="AS128" s="38">
        <f t="shared" ref="AS128" si="379">AS141/AS144*100</f>
        <v>39.760228733803402</v>
      </c>
      <c r="AT128" s="38">
        <f t="shared" ref="AT128" si="380">AT141/AT144*100</f>
        <v>41.142698256916027</v>
      </c>
      <c r="AU128" s="38">
        <f t="shared" ref="AU128" si="381">AU141/AU144*100</f>
        <v>41.855507712119213</v>
      </c>
      <c r="AV128" s="38"/>
      <c r="AW128" s="671">
        <v>41.142698256916027</v>
      </c>
      <c r="AX128" s="38"/>
      <c r="AY128" s="38"/>
      <c r="AZ128" s="38"/>
      <c r="BA128" s="475"/>
      <c r="BB128" s="475"/>
      <c r="BC128" s="475"/>
      <c r="BD128" s="475"/>
      <c r="BE128" s="475"/>
      <c r="BF128" s="475"/>
      <c r="BG128" s="475"/>
    </row>
    <row r="129" spans="1:59">
      <c r="A129" s="38"/>
      <c r="B129" s="38" t="s">
        <v>288</v>
      </c>
      <c r="C129" s="38"/>
      <c r="D129" s="38"/>
      <c r="E129" s="38"/>
      <c r="F129" s="38"/>
      <c r="G129" s="52"/>
      <c r="H129" s="38"/>
      <c r="I129" s="38"/>
      <c r="J129" s="52"/>
      <c r="K129" s="38">
        <f t="shared" ref="K129:AE129" si="382">K135-K132</f>
        <v>17460.8</v>
      </c>
      <c r="L129" s="38">
        <f t="shared" si="382"/>
        <v>19338.099999999999</v>
      </c>
      <c r="M129" s="38">
        <f t="shared" si="382"/>
        <v>13432.3</v>
      </c>
      <c r="N129" s="38">
        <f t="shared" si="382"/>
        <v>14057.400000000001</v>
      </c>
      <c r="O129" s="38">
        <f t="shared" si="382"/>
        <v>17380.599999999999</v>
      </c>
      <c r="P129" s="38">
        <f t="shared" si="382"/>
        <v>21459.1</v>
      </c>
      <c r="Q129" s="38">
        <f t="shared" si="382"/>
        <v>23728.1</v>
      </c>
      <c r="R129" s="38">
        <f t="shared" si="382"/>
        <v>25252</v>
      </c>
      <c r="S129" s="38">
        <f t="shared" si="382"/>
        <v>27321</v>
      </c>
      <c r="T129" s="38">
        <f t="shared" si="382"/>
        <v>32754.6</v>
      </c>
      <c r="U129" s="38">
        <f t="shared" si="382"/>
        <v>31297</v>
      </c>
      <c r="V129" s="38">
        <f t="shared" si="382"/>
        <v>32207.9</v>
      </c>
      <c r="W129" s="38">
        <f t="shared" si="382"/>
        <v>30538.800000000003</v>
      </c>
      <c r="X129" s="38">
        <f t="shared" si="382"/>
        <v>35620.199999999997</v>
      </c>
      <c r="Y129" s="38">
        <f t="shared" si="382"/>
        <v>33736.5</v>
      </c>
      <c r="Z129" s="38">
        <f t="shared" si="382"/>
        <v>32865.699999999997</v>
      </c>
      <c r="AA129" s="38">
        <f t="shared" si="382"/>
        <v>32614.1</v>
      </c>
      <c r="AB129" s="38">
        <f t="shared" si="382"/>
        <v>34355.699999999997</v>
      </c>
      <c r="AC129" s="38">
        <f t="shared" si="382"/>
        <v>38752.699999999997</v>
      </c>
      <c r="AD129" s="38">
        <f t="shared" si="382"/>
        <v>33326.199999999997</v>
      </c>
      <c r="AE129" s="38">
        <f t="shared" si="382"/>
        <v>31821.4</v>
      </c>
      <c r="AF129" s="38">
        <f t="shared" ref="AF129:AM129" si="383">AF135-AF132</f>
        <v>32092.5</v>
      </c>
      <c r="AG129" s="38">
        <f t="shared" si="383"/>
        <v>31715.5</v>
      </c>
      <c r="AH129" s="38">
        <f t="shared" si="383"/>
        <v>29641</v>
      </c>
      <c r="AI129" s="38">
        <f t="shared" si="383"/>
        <v>30837.1</v>
      </c>
      <c r="AJ129" s="38">
        <f t="shared" si="383"/>
        <v>33183.199999999997</v>
      </c>
      <c r="AK129" s="38">
        <f t="shared" si="383"/>
        <v>30535.699999999997</v>
      </c>
      <c r="AL129" s="38">
        <f t="shared" si="383"/>
        <v>27996.1</v>
      </c>
      <c r="AM129" s="38">
        <f t="shared" si="383"/>
        <v>31388.1</v>
      </c>
      <c r="AN129" s="38">
        <f t="shared" ref="AN129:AO129" si="384">AN135-AN132</f>
        <v>34543.9</v>
      </c>
      <c r="AO129" s="38">
        <f t="shared" si="384"/>
        <v>35015.5</v>
      </c>
      <c r="AP129" s="38">
        <f t="shared" ref="AP129:AR129" si="385">AP135-AP132</f>
        <v>35816.400000000001</v>
      </c>
      <c r="AQ129" s="38">
        <f t="shared" si="385"/>
        <v>39274.1</v>
      </c>
      <c r="AR129" s="38">
        <f t="shared" si="385"/>
        <v>42181.2</v>
      </c>
      <c r="AS129" s="38">
        <f t="shared" ref="AS129" si="386">AS135-AS132</f>
        <v>33278</v>
      </c>
      <c r="AT129" s="38">
        <f t="shared" ref="AT129" si="387">AT135-AT132</f>
        <v>33415.4</v>
      </c>
      <c r="AU129" s="38">
        <f t="shared" ref="AU129" si="388">AU135-AU132</f>
        <v>56549.07980790006</v>
      </c>
      <c r="AV129" s="871">
        <f>37%*1.1%</f>
        <v>4.0700000000000007E-3</v>
      </c>
      <c r="AW129" s="671">
        <v>48676.829992984873</v>
      </c>
      <c r="AX129" s="38"/>
      <c r="AY129" s="38">
        <f>AX129*1.024</f>
        <v>0</v>
      </c>
      <c r="AZ129" s="38"/>
      <c r="BA129" s="475"/>
      <c r="BB129" s="475"/>
      <c r="BC129" s="475"/>
      <c r="BD129" s="475"/>
      <c r="BE129" s="475"/>
      <c r="BF129" s="475"/>
      <c r="BG129" s="475"/>
    </row>
    <row r="130" spans="1:59" s="362" customFormat="1">
      <c r="A130" s="42" t="s">
        <v>163</v>
      </c>
      <c r="B130" s="42" t="s">
        <v>516</v>
      </c>
      <c r="C130" s="485"/>
      <c r="D130" s="485"/>
      <c r="E130" s="485"/>
      <c r="F130" s="485"/>
      <c r="G130" s="485"/>
      <c r="H130" s="485"/>
      <c r="I130" s="485"/>
      <c r="J130" s="485"/>
      <c r="K130" s="49" t="e">
        <f>+(K127/G127-1)</f>
        <v>#DIV/0!</v>
      </c>
      <c r="L130" s="42" t="e">
        <f>+(L127/H127-1)</f>
        <v>#DIV/0!</v>
      </c>
      <c r="M130" s="42" t="e">
        <f>+(M127/I127-1)</f>
        <v>#DIV/0!</v>
      </c>
      <c r="N130" s="42" t="e">
        <f>+(N127/J127-1)</f>
        <v>#DIV/0!</v>
      </c>
      <c r="O130" s="42" t="e">
        <f>+(O127/K127-1)</f>
        <v>#DIV/0!</v>
      </c>
      <c r="P130" s="49">
        <f t="shared" ref="P130:AE130" si="389">+(P129/L129-1)</f>
        <v>0.10967985479442133</v>
      </c>
      <c r="Q130" s="49">
        <f t="shared" si="389"/>
        <v>0.76649568577235461</v>
      </c>
      <c r="R130" s="49">
        <f t="shared" si="389"/>
        <v>0.79634925377381283</v>
      </c>
      <c r="S130" s="49">
        <f t="shared" si="389"/>
        <v>0.57192501984971766</v>
      </c>
      <c r="T130" s="49">
        <f t="shared" si="389"/>
        <v>0.52637342665815434</v>
      </c>
      <c r="U130" s="49">
        <f t="shared" si="389"/>
        <v>0.31898466375310286</v>
      </c>
      <c r="V130" s="49">
        <f t="shared" si="389"/>
        <v>0.27545936955488681</v>
      </c>
      <c r="W130" s="49">
        <f t="shared" si="389"/>
        <v>0.11777753376523559</v>
      </c>
      <c r="X130" s="49">
        <f t="shared" si="389"/>
        <v>8.7486948398087572E-2</v>
      </c>
      <c r="Y130" s="49">
        <f t="shared" si="389"/>
        <v>7.7946768060836558E-2</v>
      </c>
      <c r="Z130" s="49">
        <f t="shared" si="389"/>
        <v>2.0423560679212027E-2</v>
      </c>
      <c r="AA130" s="49">
        <f t="shared" si="389"/>
        <v>6.7956173785479246E-2</v>
      </c>
      <c r="AB130" s="49">
        <f t="shared" si="389"/>
        <v>-3.5499519935317636E-2</v>
      </c>
      <c r="AC130" s="49">
        <f t="shared" si="389"/>
        <v>0.14868762319742701</v>
      </c>
      <c r="AD130" s="49">
        <f t="shared" si="389"/>
        <v>1.4011568291562249E-2</v>
      </c>
      <c r="AE130" s="49">
        <f t="shared" si="389"/>
        <v>-2.4305438445334948E-2</v>
      </c>
      <c r="AF130" s="49">
        <f t="shared" ref="AF130:AP130" si="390">+(AF129/AB129-1)</f>
        <v>-6.5875531571180201E-2</v>
      </c>
      <c r="AG130" s="49">
        <f t="shared" si="390"/>
        <v>-0.18159250839296348</v>
      </c>
      <c r="AH130" s="49">
        <f t="shared" si="390"/>
        <v>-0.11057966404810626</v>
      </c>
      <c r="AI130" s="49">
        <f t="shared" si="390"/>
        <v>-3.093201430483894E-2</v>
      </c>
      <c r="AJ130" s="49">
        <f t="shared" si="390"/>
        <v>3.3986133831892085E-2</v>
      </c>
      <c r="AK130" s="49">
        <f t="shared" si="390"/>
        <v>-3.7199476596616932E-2</v>
      </c>
      <c r="AL130" s="49">
        <f t="shared" si="390"/>
        <v>-5.549407914712734E-2</v>
      </c>
      <c r="AM130" s="49">
        <f t="shared" si="390"/>
        <v>1.7868087466071714E-2</v>
      </c>
      <c r="AN130" s="49">
        <f t="shared" si="390"/>
        <v>4.1005689626075981E-2</v>
      </c>
      <c r="AO130" s="49">
        <f t="shared" si="390"/>
        <v>0.14670696921963478</v>
      </c>
      <c r="AP130" s="49">
        <f t="shared" si="390"/>
        <v>0.2793353359932278</v>
      </c>
      <c r="AQ130" s="49">
        <f t="shared" ref="AQ130:AU130" si="391">+(AQ129/AM129-1)</f>
        <v>0.25124171262357398</v>
      </c>
      <c r="AR130" s="49">
        <f t="shared" si="391"/>
        <v>0.22108968587796962</v>
      </c>
      <c r="AS130" s="49">
        <f t="shared" si="391"/>
        <v>-4.962088218074856E-2</v>
      </c>
      <c r="AT130" s="49">
        <f t="shared" si="391"/>
        <v>-6.7036329726047228E-2</v>
      </c>
      <c r="AU130" s="49">
        <f t="shared" si="391"/>
        <v>0.43985679641035857</v>
      </c>
      <c r="AV130" s="42"/>
      <c r="AW130" s="668">
        <v>0.35906540001186249</v>
      </c>
      <c r="AX130" s="49"/>
      <c r="AY130" s="680">
        <f>AY129-AX129</f>
        <v>0</v>
      </c>
      <c r="AZ130" s="42"/>
      <c r="BA130" s="496"/>
      <c r="BB130" s="496"/>
      <c r="BC130" s="496"/>
      <c r="BD130" s="496"/>
      <c r="BE130" s="496"/>
      <c r="BF130" s="496"/>
      <c r="BG130" s="496"/>
    </row>
    <row r="131" spans="1:59" s="362" customFormat="1">
      <c r="A131" s="42" t="s">
        <v>163</v>
      </c>
      <c r="B131" s="42" t="s">
        <v>517</v>
      </c>
      <c r="C131" s="485"/>
      <c r="D131" s="485"/>
      <c r="E131" s="485"/>
      <c r="F131" s="485"/>
      <c r="G131" s="485"/>
      <c r="H131" s="485"/>
      <c r="I131" s="485"/>
      <c r="J131" s="485"/>
      <c r="K131" s="49" t="e">
        <f>+(K127/J127-1)</f>
        <v>#DIV/0!</v>
      </c>
      <c r="L131" s="42" t="e">
        <f>+(L127/K127-1)</f>
        <v>#DIV/0!</v>
      </c>
      <c r="M131" s="42" t="e">
        <f>+(M127/L127-1)</f>
        <v>#DIV/0!</v>
      </c>
      <c r="N131" s="49">
        <f>+(N129/M129-1)</f>
        <v>4.6537078534577336E-2</v>
      </c>
      <c r="O131" s="49" t="e">
        <f>+(O129/#REF!-1)</f>
        <v>#REF!</v>
      </c>
      <c r="P131" s="42">
        <f t="shared" ref="P131:AE131" si="392">+(P129/O129-1)</f>
        <v>0.23465818211108935</v>
      </c>
      <c r="Q131" s="42">
        <f t="shared" si="392"/>
        <v>0.10573602807200677</v>
      </c>
      <c r="R131" s="42">
        <f t="shared" si="392"/>
        <v>6.4223431290326705E-2</v>
      </c>
      <c r="S131" s="42">
        <f t="shared" si="392"/>
        <v>8.1934104229367977E-2</v>
      </c>
      <c r="T131" s="42">
        <f t="shared" si="392"/>
        <v>0.19887998243109695</v>
      </c>
      <c r="U131" s="42">
        <f t="shared" si="392"/>
        <v>-4.450061976027786E-2</v>
      </c>
      <c r="V131" s="42">
        <f t="shared" si="392"/>
        <v>2.9105026040834536E-2</v>
      </c>
      <c r="W131" s="42">
        <f t="shared" si="392"/>
        <v>-5.1822689464386062E-2</v>
      </c>
      <c r="X131" s="42">
        <f t="shared" si="392"/>
        <v>0.16639160674289744</v>
      </c>
      <c r="Y131" s="42">
        <f t="shared" si="392"/>
        <v>-5.2882914750618903E-2</v>
      </c>
      <c r="Z131" s="42">
        <f t="shared" si="392"/>
        <v>-2.5811806203963172E-2</v>
      </c>
      <c r="AA131" s="42">
        <f t="shared" si="392"/>
        <v>-7.6553975725451862E-3</v>
      </c>
      <c r="AB131" s="42">
        <f t="shared" si="392"/>
        <v>5.3400216470790296E-2</v>
      </c>
      <c r="AC131" s="42">
        <f t="shared" si="392"/>
        <v>0.12798458479961106</v>
      </c>
      <c r="AD131" s="42">
        <f t="shared" si="392"/>
        <v>-0.14002895282135186</v>
      </c>
      <c r="AE131" s="42">
        <f t="shared" si="392"/>
        <v>-4.5153662883857026E-2</v>
      </c>
      <c r="AF131" s="42">
        <f t="shared" ref="AF131:AP131" si="393">+(AF129/AE129-1)</f>
        <v>8.5194240353976269E-3</v>
      </c>
      <c r="AG131" s="42">
        <f t="shared" si="393"/>
        <v>-1.1747292981226121E-2</v>
      </c>
      <c r="AH131" s="42">
        <f t="shared" si="393"/>
        <v>-6.5409657738329852E-2</v>
      </c>
      <c r="AI131" s="42">
        <f t="shared" si="393"/>
        <v>4.0352889578624263E-2</v>
      </c>
      <c r="AJ131" s="42">
        <f t="shared" si="393"/>
        <v>7.6080435579221062E-2</v>
      </c>
      <c r="AK131" s="42">
        <f t="shared" si="393"/>
        <v>-7.9784348706574471E-2</v>
      </c>
      <c r="AL131" s="42">
        <f t="shared" si="393"/>
        <v>-8.3168226043614513E-2</v>
      </c>
      <c r="AM131" s="42">
        <f t="shared" si="393"/>
        <v>0.12115973296280558</v>
      </c>
      <c r="AN131" s="42">
        <f t="shared" si="393"/>
        <v>0.10054128794033423</v>
      </c>
      <c r="AO131" s="42">
        <f t="shared" si="393"/>
        <v>1.3652193296066706E-2</v>
      </c>
      <c r="AP131" s="42">
        <f t="shared" si="393"/>
        <v>2.2872727791977798E-2</v>
      </c>
      <c r="AQ131" s="42">
        <f t="shared" ref="AQ131:AU131" si="394">+(AQ129/AP129-1)</f>
        <v>9.6539574049876453E-2</v>
      </c>
      <c r="AR131" s="42">
        <f t="shared" si="394"/>
        <v>7.4020792328786555E-2</v>
      </c>
      <c r="AS131" s="42">
        <f t="shared" si="394"/>
        <v>-0.21107033465145608</v>
      </c>
      <c r="AT131" s="42">
        <f t="shared" si="394"/>
        <v>4.1288538974697531E-3</v>
      </c>
      <c r="AU131" s="42">
        <f t="shared" si="394"/>
        <v>0.69230593702005838</v>
      </c>
      <c r="AV131" s="42"/>
      <c r="AW131" s="669">
        <v>0.46273303663035259</v>
      </c>
      <c r="AX131" s="42"/>
      <c r="AY131" s="49"/>
      <c r="AZ131" s="42"/>
      <c r="BA131" s="496"/>
      <c r="BB131" s="496"/>
      <c r="BC131" s="496"/>
      <c r="BD131" s="496"/>
      <c r="BE131" s="496"/>
      <c r="BF131" s="496"/>
      <c r="BG131" s="496"/>
    </row>
    <row r="132" spans="1:59">
      <c r="A132" s="38"/>
      <c r="B132" s="38" t="s">
        <v>587</v>
      </c>
      <c r="C132" s="48"/>
      <c r="D132" s="48"/>
      <c r="E132" s="48"/>
      <c r="F132" s="48"/>
      <c r="G132" s="48"/>
      <c r="H132" s="48"/>
      <c r="I132" s="48"/>
      <c r="J132" s="48"/>
      <c r="K132" s="52">
        <v>6390</v>
      </c>
      <c r="L132" s="38">
        <v>7140</v>
      </c>
      <c r="M132" s="38">
        <v>7950</v>
      </c>
      <c r="N132" s="38">
        <f>26404-M132-L132-K132</f>
        <v>4924</v>
      </c>
      <c r="O132" s="38">
        <v>6370</v>
      </c>
      <c r="P132" s="38">
        <v>7990</v>
      </c>
      <c r="Q132" s="38">
        <v>9500</v>
      </c>
      <c r="R132" s="38">
        <v>9501</v>
      </c>
      <c r="S132" s="38">
        <v>12100</v>
      </c>
      <c r="T132" s="38">
        <v>11530</v>
      </c>
      <c r="U132" s="38">
        <v>11320</v>
      </c>
      <c r="V132" s="38">
        <f>45520-SUM(S132:U132)</f>
        <v>10570</v>
      </c>
      <c r="W132" s="38">
        <v>16880</v>
      </c>
      <c r="X132" s="38">
        <v>17330</v>
      </c>
      <c r="Y132" s="38">
        <v>17100</v>
      </c>
      <c r="Z132" s="38">
        <v>14770</v>
      </c>
      <c r="AA132" s="38">
        <v>17100</v>
      </c>
      <c r="AB132" s="38">
        <v>16650</v>
      </c>
      <c r="AC132" s="38">
        <v>17480</v>
      </c>
      <c r="AD132" s="38">
        <f>67130-SUM(AA132:AC132)</f>
        <v>15900</v>
      </c>
      <c r="AE132" s="38">
        <v>18760</v>
      </c>
      <c r="AF132" s="38">
        <v>21250</v>
      </c>
      <c r="AG132" s="38">
        <v>21230</v>
      </c>
      <c r="AH132" s="38">
        <v>20760</v>
      </c>
      <c r="AI132" s="38">
        <v>22510</v>
      </c>
      <c r="AJ132" s="38">
        <v>27360</v>
      </c>
      <c r="AK132" s="38">
        <v>26800</v>
      </c>
      <c r="AL132" s="52">
        <f>97580-AI132-AJ132-AK132</f>
        <v>20910</v>
      </c>
      <c r="AM132" s="52">
        <v>26340</v>
      </c>
      <c r="AN132" s="52">
        <v>28360</v>
      </c>
      <c r="AO132" s="52">
        <v>22810</v>
      </c>
      <c r="AP132" s="52">
        <v>20210</v>
      </c>
      <c r="AQ132" s="52">
        <v>20570</v>
      </c>
      <c r="AR132" s="52">
        <v>21090</v>
      </c>
      <c r="AS132" s="52">
        <v>19350</v>
      </c>
      <c r="AT132" s="985">
        <f>78800-AS132-AR132-AQ132</f>
        <v>17790</v>
      </c>
      <c r="AU132" s="52"/>
      <c r="AV132" s="870"/>
      <c r="AW132" s="671"/>
      <c r="AX132" s="38"/>
      <c r="AY132" s="38"/>
      <c r="AZ132" s="38"/>
      <c r="BA132" s="475"/>
      <c r="BB132" s="475"/>
      <c r="BC132" s="475"/>
      <c r="BD132" s="475"/>
      <c r="BE132" s="475"/>
      <c r="BF132" s="475"/>
      <c r="BG132" s="475"/>
    </row>
    <row r="133" spans="1:59" s="362" customFormat="1">
      <c r="A133" s="42" t="s">
        <v>163</v>
      </c>
      <c r="B133" s="42" t="s">
        <v>516</v>
      </c>
      <c r="C133" s="485"/>
      <c r="D133" s="485"/>
      <c r="E133" s="485"/>
      <c r="F133" s="485"/>
      <c r="G133" s="485"/>
      <c r="H133" s="485"/>
      <c r="I133" s="485"/>
      <c r="J133" s="485"/>
      <c r="K133" s="49" t="e">
        <f>+(K130/G130-1)</f>
        <v>#DIV/0!</v>
      </c>
      <c r="L133" s="42" t="e">
        <f>+(L130/H130-1)</f>
        <v>#DIV/0!</v>
      </c>
      <c r="M133" s="42" t="e">
        <f>+(M130/I130-1)</f>
        <v>#DIV/0!</v>
      </c>
      <c r="N133" s="42" t="e">
        <f>+(N130/J130-1)</f>
        <v>#DIV/0!</v>
      </c>
      <c r="O133" s="42" t="e">
        <f>+(O130/K130-1)</f>
        <v>#DIV/0!</v>
      </c>
      <c r="P133" s="49">
        <f t="shared" ref="P133:AE133" si="395">+(P132/L132-1)</f>
        <v>0.11904761904761907</v>
      </c>
      <c r="Q133" s="49">
        <f t="shared" si="395"/>
        <v>0.19496855345911945</v>
      </c>
      <c r="R133" s="49">
        <f t="shared" si="395"/>
        <v>0.92952883834281064</v>
      </c>
      <c r="S133" s="49">
        <f t="shared" si="395"/>
        <v>0.89952904238618525</v>
      </c>
      <c r="T133" s="49">
        <f t="shared" si="395"/>
        <v>0.44305381727158943</v>
      </c>
      <c r="U133" s="49">
        <f t="shared" si="395"/>
        <v>0.19157894736842107</v>
      </c>
      <c r="V133" s="49">
        <f t="shared" si="395"/>
        <v>0.11251447216082511</v>
      </c>
      <c r="W133" s="49">
        <f t="shared" si="395"/>
        <v>0.39504132231404965</v>
      </c>
      <c r="X133" s="49">
        <f t="shared" si="395"/>
        <v>0.50303555941023426</v>
      </c>
      <c r="Y133" s="49">
        <f t="shared" si="395"/>
        <v>0.51060070671378099</v>
      </c>
      <c r="Z133" s="49">
        <f t="shared" si="395"/>
        <v>0.39735099337748347</v>
      </c>
      <c r="AA133" s="49">
        <f t="shared" si="395"/>
        <v>1.3033175355450233E-2</v>
      </c>
      <c r="AB133" s="49">
        <f t="shared" si="395"/>
        <v>-3.9238315060588613E-2</v>
      </c>
      <c r="AC133" s="49">
        <f t="shared" si="395"/>
        <v>2.2222222222222143E-2</v>
      </c>
      <c r="AD133" s="49">
        <f t="shared" si="395"/>
        <v>7.6506431956668841E-2</v>
      </c>
      <c r="AE133" s="49">
        <f t="shared" si="395"/>
        <v>9.7076023391812871E-2</v>
      </c>
      <c r="AF133" s="49">
        <f t="shared" ref="AF133:AP133" si="396">+(AF132/AB132-1)</f>
        <v>0.27627627627627627</v>
      </c>
      <c r="AG133" s="49">
        <f t="shared" si="396"/>
        <v>0.21453089244851253</v>
      </c>
      <c r="AH133" s="49">
        <f t="shared" si="396"/>
        <v>0.3056603773584905</v>
      </c>
      <c r="AI133" s="49">
        <f t="shared" si="396"/>
        <v>0.19989339019189756</v>
      </c>
      <c r="AJ133" s="49">
        <f t="shared" si="396"/>
        <v>0.28752941176470581</v>
      </c>
      <c r="AK133" s="49">
        <f t="shared" si="396"/>
        <v>0.26236457842675454</v>
      </c>
      <c r="AL133" s="49">
        <f t="shared" si="396"/>
        <v>7.225433526011571E-3</v>
      </c>
      <c r="AM133" s="49">
        <f t="shared" si="396"/>
        <v>0.17014660151043981</v>
      </c>
      <c r="AN133" s="49">
        <f t="shared" si="396"/>
        <v>3.654970760233911E-2</v>
      </c>
      <c r="AO133" s="49">
        <f t="shared" si="396"/>
        <v>-0.1488805970149254</v>
      </c>
      <c r="AP133" s="49">
        <f t="shared" si="396"/>
        <v>-3.347680535628883E-2</v>
      </c>
      <c r="AQ133" s="49">
        <f t="shared" ref="AQ133:AU133" si="397">+(AQ132/AM132-1)</f>
        <v>-0.21905846621108582</v>
      </c>
      <c r="AR133" s="49">
        <f t="shared" si="397"/>
        <v>-0.25634696755994357</v>
      </c>
      <c r="AS133" s="49">
        <f t="shared" si="397"/>
        <v>-0.15168785620341951</v>
      </c>
      <c r="AT133" s="49">
        <f t="shared" si="397"/>
        <v>-0.11974270163285505</v>
      </c>
      <c r="AU133" s="49">
        <f t="shared" si="397"/>
        <v>-1</v>
      </c>
      <c r="AV133" s="42"/>
      <c r="AW133" s="668">
        <v>-1</v>
      </c>
      <c r="AX133" s="49"/>
      <c r="AY133" s="42"/>
      <c r="AZ133" s="42"/>
      <c r="BA133" s="496"/>
      <c r="BB133" s="496"/>
      <c r="BC133" s="496"/>
      <c r="BD133" s="496"/>
      <c r="BE133" s="496"/>
      <c r="BF133" s="496"/>
      <c r="BG133" s="496"/>
    </row>
    <row r="134" spans="1:59" s="362" customFormat="1">
      <c r="A134" s="42" t="s">
        <v>163</v>
      </c>
      <c r="B134" s="42" t="s">
        <v>517</v>
      </c>
      <c r="C134" s="485"/>
      <c r="D134" s="485"/>
      <c r="E134" s="485"/>
      <c r="F134" s="485"/>
      <c r="G134" s="485"/>
      <c r="H134" s="485"/>
      <c r="I134" s="485"/>
      <c r="J134" s="485"/>
      <c r="K134" s="49" t="e">
        <f>+(K130/J130-1)</f>
        <v>#DIV/0!</v>
      </c>
      <c r="L134" s="42" t="e">
        <f>+(L130/K130-1)</f>
        <v>#DIV/0!</v>
      </c>
      <c r="M134" s="42" t="e">
        <f>+(M130/L130-1)</f>
        <v>#DIV/0!</v>
      </c>
      <c r="N134" s="49">
        <f>+(N132/M132-1)</f>
        <v>-0.38062893081761007</v>
      </c>
      <c r="O134" s="49" t="e">
        <f>+(O132/#REF!-1)</f>
        <v>#REF!</v>
      </c>
      <c r="P134" s="42">
        <f t="shared" ref="P134:AE134" si="398">+(P132/O132-1)</f>
        <v>0.25431711145996849</v>
      </c>
      <c r="Q134" s="42">
        <f t="shared" si="398"/>
        <v>0.18898623279098881</v>
      </c>
      <c r="R134" s="42">
        <f t="shared" si="398"/>
        <v>1.0526315789483043E-4</v>
      </c>
      <c r="S134" s="42">
        <f t="shared" si="398"/>
        <v>0.27355015261551419</v>
      </c>
      <c r="T134" s="42">
        <f t="shared" si="398"/>
        <v>-4.7107438016528946E-2</v>
      </c>
      <c r="U134" s="42">
        <f t="shared" si="398"/>
        <v>-1.8213356461404984E-2</v>
      </c>
      <c r="V134" s="42">
        <f t="shared" si="398"/>
        <v>-6.6254416961130769E-2</v>
      </c>
      <c r="W134" s="42">
        <f t="shared" si="398"/>
        <v>0.59697256385998099</v>
      </c>
      <c r="X134" s="42">
        <f t="shared" si="398"/>
        <v>2.665876777251186E-2</v>
      </c>
      <c r="Y134" s="42">
        <f t="shared" si="398"/>
        <v>-1.3271783035199047E-2</v>
      </c>
      <c r="Z134" s="42">
        <f t="shared" si="398"/>
        <v>-0.13625730994152052</v>
      </c>
      <c r="AA134" s="42">
        <f t="shared" si="398"/>
        <v>0.15775220040622884</v>
      </c>
      <c r="AB134" s="42">
        <f t="shared" si="398"/>
        <v>-2.6315789473684181E-2</v>
      </c>
      <c r="AC134" s="42">
        <f t="shared" si="398"/>
        <v>4.9849849849849859E-2</v>
      </c>
      <c r="AD134" s="42">
        <f t="shared" si="398"/>
        <v>-9.0389016018306623E-2</v>
      </c>
      <c r="AE134" s="42">
        <f t="shared" si="398"/>
        <v>0.17987421383647795</v>
      </c>
      <c r="AF134" s="42">
        <f t="shared" ref="AF134:AP134" si="399">+(AF132/AE132-1)</f>
        <v>0.13272921108742008</v>
      </c>
      <c r="AG134" s="42">
        <f t="shared" si="399"/>
        <v>-9.4117647058822307E-4</v>
      </c>
      <c r="AH134" s="42">
        <f t="shared" si="399"/>
        <v>-2.2138483278379639E-2</v>
      </c>
      <c r="AI134" s="42">
        <f t="shared" si="399"/>
        <v>8.4296724470134921E-2</v>
      </c>
      <c r="AJ134" s="42">
        <f t="shared" si="399"/>
        <v>0.21545979564637929</v>
      </c>
      <c r="AK134" s="42">
        <f t="shared" si="399"/>
        <v>-2.0467836257309968E-2</v>
      </c>
      <c r="AL134" s="42">
        <f t="shared" si="399"/>
        <v>-0.21977611940298503</v>
      </c>
      <c r="AM134" s="42">
        <f t="shared" si="399"/>
        <v>0.25968436154949792</v>
      </c>
      <c r="AN134" s="42">
        <f t="shared" si="399"/>
        <v>7.6689445709946957E-2</v>
      </c>
      <c r="AO134" s="42">
        <f t="shared" si="399"/>
        <v>-0.19569816643159377</v>
      </c>
      <c r="AP134" s="42">
        <f t="shared" si="399"/>
        <v>-0.11398509425690484</v>
      </c>
      <c r="AQ134" s="42">
        <f t="shared" ref="AQ134:AU134" si="400">+(AQ132/AP132-1)</f>
        <v>1.7812963879267674E-2</v>
      </c>
      <c r="AR134" s="42">
        <f t="shared" si="400"/>
        <v>2.5279533300923696E-2</v>
      </c>
      <c r="AS134" s="42">
        <f t="shared" si="400"/>
        <v>-8.2503556187766725E-2</v>
      </c>
      <c r="AT134" s="42">
        <f t="shared" si="400"/>
        <v>-8.0620155038759744E-2</v>
      </c>
      <c r="AU134" s="42">
        <f t="shared" si="400"/>
        <v>-1</v>
      </c>
      <c r="AV134" s="42"/>
      <c r="AW134" s="669">
        <v>-1</v>
      </c>
      <c r="AX134" s="42"/>
      <c r="AY134" s="42"/>
      <c r="AZ134" s="42"/>
      <c r="BA134" s="559"/>
      <c r="BB134" s="559"/>
      <c r="BC134" s="559"/>
      <c r="BD134" s="559"/>
      <c r="BE134" s="559"/>
      <c r="BF134" s="559"/>
      <c r="BG134" s="496"/>
    </row>
    <row r="135" spans="1:59">
      <c r="A135" s="38"/>
      <c r="B135" s="12" t="s">
        <v>124</v>
      </c>
      <c r="C135" s="182"/>
      <c r="D135" s="182"/>
      <c r="E135" s="182"/>
      <c r="F135" s="182"/>
      <c r="G135" s="182"/>
      <c r="H135" s="182"/>
      <c r="I135" s="182"/>
      <c r="J135" s="182"/>
      <c r="K135" s="12">
        <f t="shared" ref="K135:AE135" si="401">K11</f>
        <v>23850.799999999999</v>
      </c>
      <c r="L135" s="12">
        <f t="shared" si="401"/>
        <v>26478.1</v>
      </c>
      <c r="M135" s="12">
        <f t="shared" si="401"/>
        <v>21382.3</v>
      </c>
      <c r="N135" s="12">
        <f t="shared" si="401"/>
        <v>18981.400000000001</v>
      </c>
      <c r="O135" s="12">
        <f t="shared" si="401"/>
        <v>23750.6</v>
      </c>
      <c r="P135" s="12">
        <f t="shared" si="401"/>
        <v>29449.1</v>
      </c>
      <c r="Q135" s="12">
        <f t="shared" si="401"/>
        <v>33228.1</v>
      </c>
      <c r="R135" s="12">
        <f t="shared" si="401"/>
        <v>34753</v>
      </c>
      <c r="S135" s="12">
        <f t="shared" si="401"/>
        <v>39421</v>
      </c>
      <c r="T135" s="12">
        <f t="shared" si="401"/>
        <v>44284.6</v>
      </c>
      <c r="U135" s="12">
        <f t="shared" si="401"/>
        <v>42617</v>
      </c>
      <c r="V135" s="12">
        <f t="shared" si="401"/>
        <v>42777.9</v>
      </c>
      <c r="W135" s="12">
        <f t="shared" si="401"/>
        <v>47418.8</v>
      </c>
      <c r="X135" s="12">
        <f t="shared" si="401"/>
        <v>52950.2</v>
      </c>
      <c r="Y135" s="12">
        <f t="shared" si="401"/>
        <v>50836.5</v>
      </c>
      <c r="Z135" s="12">
        <f t="shared" si="401"/>
        <v>47635.7</v>
      </c>
      <c r="AA135" s="12">
        <f t="shared" si="401"/>
        <v>49714.1</v>
      </c>
      <c r="AB135" s="12">
        <f t="shared" si="401"/>
        <v>51005.7</v>
      </c>
      <c r="AC135" s="12">
        <f t="shared" si="401"/>
        <v>56232.7</v>
      </c>
      <c r="AD135" s="12">
        <f t="shared" si="401"/>
        <v>49226.2</v>
      </c>
      <c r="AE135" s="12">
        <f t="shared" si="401"/>
        <v>50581.4</v>
      </c>
      <c r="AF135" s="12">
        <f t="shared" ref="AF135:AM135" si="402">AF11</f>
        <v>53342.5</v>
      </c>
      <c r="AG135" s="12">
        <f t="shared" si="402"/>
        <v>52945.5</v>
      </c>
      <c r="AH135" s="12">
        <f t="shared" si="402"/>
        <v>50401</v>
      </c>
      <c r="AI135" s="12">
        <f t="shared" si="402"/>
        <v>53347.1</v>
      </c>
      <c r="AJ135" s="12">
        <f t="shared" si="402"/>
        <v>60543.199999999997</v>
      </c>
      <c r="AK135" s="12">
        <f t="shared" si="402"/>
        <v>57335.7</v>
      </c>
      <c r="AL135" s="12">
        <f t="shared" si="402"/>
        <v>48906.1</v>
      </c>
      <c r="AM135" s="12">
        <f t="shared" si="402"/>
        <v>57728.1</v>
      </c>
      <c r="AN135" s="12">
        <f t="shared" ref="AN135:AO135" si="403">AN11</f>
        <v>62903.9</v>
      </c>
      <c r="AO135" s="12">
        <f t="shared" si="403"/>
        <v>57825.5</v>
      </c>
      <c r="AP135" s="12">
        <f t="shared" ref="AP135:AQ135" si="404">AP11</f>
        <v>56026.400000000001</v>
      </c>
      <c r="AQ135" s="12">
        <f t="shared" si="404"/>
        <v>59844.1</v>
      </c>
      <c r="AR135" s="12">
        <f t="shared" ref="AR135" si="405">AR11</f>
        <v>63271.199999999997</v>
      </c>
      <c r="AS135" s="12">
        <f t="shared" ref="AS135" si="406">AS11</f>
        <v>52628</v>
      </c>
      <c r="AT135" s="12">
        <f t="shared" ref="AT135" si="407">AT11</f>
        <v>51205.4</v>
      </c>
      <c r="AU135" s="12">
        <f t="shared" ref="AU135" si="408">AU11</f>
        <v>56549.07980790006</v>
      </c>
      <c r="AV135" s="38"/>
      <c r="AW135" s="671">
        <v>48676.829992984873</v>
      </c>
      <c r="AX135" s="38"/>
      <c r="AY135" s="38"/>
      <c r="AZ135" s="38"/>
      <c r="BA135" s="560"/>
      <c r="BB135" s="560"/>
      <c r="BC135" s="560"/>
      <c r="BD135" s="560"/>
      <c r="BE135" s="560"/>
      <c r="BF135" s="560"/>
      <c r="BG135" s="475"/>
    </row>
    <row r="136" spans="1:59" s="362" customFormat="1">
      <c r="A136" s="42" t="s">
        <v>163</v>
      </c>
      <c r="B136" s="42" t="s">
        <v>516</v>
      </c>
      <c r="C136" s="485"/>
      <c r="D136" s="485"/>
      <c r="E136" s="485"/>
      <c r="F136" s="485"/>
      <c r="G136" s="485"/>
      <c r="H136" s="485"/>
      <c r="I136" s="485"/>
      <c r="J136" s="485"/>
      <c r="K136" s="49" t="e">
        <f>+(K133/G133-1)</f>
        <v>#DIV/0!</v>
      </c>
      <c r="L136" s="42" t="e">
        <f>+(L133/H133-1)</f>
        <v>#DIV/0!</v>
      </c>
      <c r="M136" s="42" t="e">
        <f>+(M133/I133-1)</f>
        <v>#DIV/0!</v>
      </c>
      <c r="N136" s="42" t="e">
        <f>+(N133/J133-1)</f>
        <v>#DIV/0!</v>
      </c>
      <c r="O136" s="42" t="e">
        <f>+(O133/K133-1)</f>
        <v>#DIV/0!</v>
      </c>
      <c r="P136" s="49">
        <f t="shared" ref="P136:AE136" si="409">+(P135/L135-1)</f>
        <v>0.11220593622654196</v>
      </c>
      <c r="Q136" s="49">
        <f t="shared" si="409"/>
        <v>0.55400027125239104</v>
      </c>
      <c r="R136" s="49">
        <f t="shared" si="409"/>
        <v>0.83089761556049591</v>
      </c>
      <c r="S136" s="49">
        <f t="shared" si="409"/>
        <v>0.6597896474194338</v>
      </c>
      <c r="T136" s="49">
        <f t="shared" si="409"/>
        <v>0.50376751751326876</v>
      </c>
      <c r="U136" s="49">
        <f t="shared" si="409"/>
        <v>0.28255903888576239</v>
      </c>
      <c r="V136" s="49">
        <f t="shared" si="409"/>
        <v>0.23091243921388083</v>
      </c>
      <c r="W136" s="49">
        <f t="shared" si="409"/>
        <v>0.20288171279267408</v>
      </c>
      <c r="X136" s="49">
        <f t="shared" si="409"/>
        <v>0.19567976226498596</v>
      </c>
      <c r="Y136" s="49">
        <f t="shared" si="409"/>
        <v>0.192869042870216</v>
      </c>
      <c r="Z136" s="49">
        <f t="shared" si="409"/>
        <v>0.11355863658571352</v>
      </c>
      <c r="AA136" s="49">
        <f t="shared" si="409"/>
        <v>4.8404852083983485E-2</v>
      </c>
      <c r="AB136" s="49">
        <f t="shared" si="409"/>
        <v>-3.6723185181547935E-2</v>
      </c>
      <c r="AC136" s="49">
        <f t="shared" si="409"/>
        <v>0.10614814159117958</v>
      </c>
      <c r="AD136" s="49">
        <f t="shared" si="409"/>
        <v>3.3388823928272249E-2</v>
      </c>
      <c r="AE136" s="49">
        <f t="shared" si="409"/>
        <v>1.7445754826095783E-2</v>
      </c>
      <c r="AF136" s="49">
        <f t="shared" ref="AF136:AP136" si="410">+(AF135/AB135-1)</f>
        <v>4.5814487400427817E-2</v>
      </c>
      <c r="AG136" s="49">
        <f t="shared" si="410"/>
        <v>-5.8457089913875659E-2</v>
      </c>
      <c r="AH136" s="49">
        <f t="shared" si="410"/>
        <v>2.3865340001868907E-2</v>
      </c>
      <c r="AI136" s="49">
        <f t="shared" si="410"/>
        <v>5.4678201868671117E-2</v>
      </c>
      <c r="AJ136" s="49">
        <f t="shared" si="410"/>
        <v>0.13498992360688011</v>
      </c>
      <c r="AK136" s="49">
        <f t="shared" si="410"/>
        <v>8.2919228263025113E-2</v>
      </c>
      <c r="AL136" s="49">
        <f t="shared" si="410"/>
        <v>-2.9660125791154957E-2</v>
      </c>
      <c r="AM136" s="49">
        <f t="shared" si="410"/>
        <v>8.2122552116234981E-2</v>
      </c>
      <c r="AN136" s="49">
        <f t="shared" si="410"/>
        <v>3.899199249461538E-2</v>
      </c>
      <c r="AO136" s="49">
        <f t="shared" si="410"/>
        <v>8.5426706223172832E-3</v>
      </c>
      <c r="AP136" s="49">
        <f t="shared" si="410"/>
        <v>0.14559124526388323</v>
      </c>
      <c r="AQ136" s="49">
        <f t="shared" ref="AQ136:AU136" si="411">+(AQ135/AM135-1)</f>
        <v>3.6654592823945453E-2</v>
      </c>
      <c r="AR136" s="49">
        <f t="shared" si="411"/>
        <v>5.8390656223221704E-3</v>
      </c>
      <c r="AS136" s="49">
        <f t="shared" si="411"/>
        <v>-8.9882491288445387E-2</v>
      </c>
      <c r="AT136" s="49">
        <f t="shared" si="411"/>
        <v>-8.6048719889195047E-2</v>
      </c>
      <c r="AU136" s="49">
        <f t="shared" si="411"/>
        <v>-5.5060067610674057E-2</v>
      </c>
      <c r="AV136" s="42"/>
      <c r="AW136" s="668">
        <v>-0.13118047932787269</v>
      </c>
      <c r="AX136" s="49"/>
      <c r="AY136" s="42"/>
      <c r="AZ136" s="42"/>
      <c r="BA136" s="559"/>
      <c r="BB136" s="559"/>
      <c r="BC136" s="559"/>
      <c r="BD136" s="559"/>
      <c r="BE136" s="559"/>
      <c r="BF136" s="559"/>
      <c r="BG136" s="496"/>
    </row>
    <row r="137" spans="1:59" s="362" customFormat="1">
      <c r="A137" s="42" t="s">
        <v>163</v>
      </c>
      <c r="B137" s="42" t="s">
        <v>517</v>
      </c>
      <c r="C137" s="485"/>
      <c r="D137" s="485"/>
      <c r="E137" s="485"/>
      <c r="F137" s="485"/>
      <c r="G137" s="485"/>
      <c r="H137" s="485"/>
      <c r="I137" s="485"/>
      <c r="J137" s="485"/>
      <c r="K137" s="49" t="e">
        <f>+(K133/J133-1)</f>
        <v>#DIV/0!</v>
      </c>
      <c r="L137" s="42" t="e">
        <f>+(L133/K133-1)</f>
        <v>#DIV/0!</v>
      </c>
      <c r="M137" s="42" t="e">
        <f>+(M133/L133-1)</f>
        <v>#DIV/0!</v>
      </c>
      <c r="N137" s="49">
        <f>+(N135/M135-1)</f>
        <v>-0.11228445957637845</v>
      </c>
      <c r="O137" s="49" t="e">
        <f>+(O135/#REF!-1)</f>
        <v>#REF!</v>
      </c>
      <c r="P137" s="42">
        <f t="shared" ref="P137:AE137" si="412">+(P135/O135-1)</f>
        <v>0.23993078069606666</v>
      </c>
      <c r="Q137" s="42">
        <f t="shared" si="412"/>
        <v>0.1283231066484205</v>
      </c>
      <c r="R137" s="42">
        <f t="shared" si="412"/>
        <v>4.5891880667266571E-2</v>
      </c>
      <c r="S137" s="42">
        <f t="shared" si="412"/>
        <v>0.1343193393376112</v>
      </c>
      <c r="T137" s="42">
        <f t="shared" si="412"/>
        <v>0.12337586565536141</v>
      </c>
      <c r="U137" s="42">
        <f t="shared" si="412"/>
        <v>-3.7656431355369557E-2</v>
      </c>
      <c r="V137" s="42">
        <f t="shared" si="412"/>
        <v>3.7754886547622935E-3</v>
      </c>
      <c r="W137" s="42">
        <f t="shared" si="412"/>
        <v>0.1084882614621101</v>
      </c>
      <c r="X137" s="42">
        <f t="shared" si="412"/>
        <v>0.11664993631217979</v>
      </c>
      <c r="Y137" s="42">
        <f t="shared" si="412"/>
        <v>-3.9918640533935568E-2</v>
      </c>
      <c r="Z137" s="42">
        <f t="shared" si="412"/>
        <v>-6.2962635114533927E-2</v>
      </c>
      <c r="AA137" s="42">
        <f t="shared" si="412"/>
        <v>4.3631142189576311E-2</v>
      </c>
      <c r="AB137" s="42">
        <f t="shared" si="412"/>
        <v>2.5980556823919088E-2</v>
      </c>
      <c r="AC137" s="42">
        <f t="shared" si="412"/>
        <v>0.1024787425719087</v>
      </c>
      <c r="AD137" s="42">
        <f t="shared" si="412"/>
        <v>-0.12459832090580747</v>
      </c>
      <c r="AE137" s="42">
        <f t="shared" si="412"/>
        <v>2.7530055133242248E-2</v>
      </c>
      <c r="AF137" s="42">
        <f t="shared" ref="AF137:AP137" si="413">+(AF135/AE135-1)</f>
        <v>5.458725934829789E-2</v>
      </c>
      <c r="AG137" s="42">
        <f t="shared" si="413"/>
        <v>-7.4424708253268967E-3</v>
      </c>
      <c r="AH137" s="42">
        <f t="shared" si="413"/>
        <v>-4.8058852971451738E-2</v>
      </c>
      <c r="AI137" s="42">
        <f t="shared" si="413"/>
        <v>5.8453205293545807E-2</v>
      </c>
      <c r="AJ137" s="42">
        <f t="shared" si="413"/>
        <v>0.13489205598804799</v>
      </c>
      <c r="AK137" s="42">
        <f t="shared" si="413"/>
        <v>-5.2978699507128746E-2</v>
      </c>
      <c r="AL137" s="42">
        <f t="shared" si="413"/>
        <v>-0.14702183805203384</v>
      </c>
      <c r="AM137" s="42">
        <f t="shared" si="413"/>
        <v>0.18038649575410837</v>
      </c>
      <c r="AN137" s="42">
        <f t="shared" si="413"/>
        <v>8.9658242692900014E-2</v>
      </c>
      <c r="AO137" s="42">
        <f t="shared" si="413"/>
        <v>-8.073267317288757E-2</v>
      </c>
      <c r="AP137" s="42">
        <f t="shared" si="413"/>
        <v>-3.1112571443394299E-2</v>
      </c>
      <c r="AQ137" s="42">
        <f t="shared" ref="AQ137:AU137" si="414">+(AQ135/AP135-1)</f>
        <v>6.814109062870366E-2</v>
      </c>
      <c r="AR137" s="42">
        <f t="shared" si="414"/>
        <v>5.7267132432436973E-2</v>
      </c>
      <c r="AS137" s="42">
        <f t="shared" si="414"/>
        <v>-0.16821555462833004</v>
      </c>
      <c r="AT137" s="42">
        <f t="shared" si="414"/>
        <v>-2.7031238124192392E-2</v>
      </c>
      <c r="AU137" s="42">
        <f t="shared" si="414"/>
        <v>0.10435773976768181</v>
      </c>
      <c r="AV137" s="42"/>
      <c r="AW137" s="669">
        <v>-7.5077335392094047E-2</v>
      </c>
      <c r="AX137" s="42"/>
      <c r="AY137" s="42"/>
      <c r="AZ137" s="42"/>
      <c r="BA137" s="561"/>
      <c r="BB137" s="561"/>
      <c r="BC137" s="561"/>
      <c r="BE137" s="559"/>
      <c r="BF137" s="559"/>
      <c r="BG137" s="496"/>
    </row>
    <row r="138" spans="1:59">
      <c r="A138" s="38"/>
      <c r="B138" s="38" t="s">
        <v>616</v>
      </c>
      <c r="C138" s="48"/>
      <c r="D138" s="48"/>
      <c r="E138" s="48"/>
      <c r="F138" s="48"/>
      <c r="G138" s="48"/>
      <c r="H138" s="48"/>
      <c r="I138" s="48"/>
      <c r="J138" s="48"/>
      <c r="K138" s="38">
        <f t="shared" ref="K138:V138" si="415">K144-K141</f>
        <v>421378.39582650363</v>
      </c>
      <c r="L138" s="38">
        <f t="shared" si="415"/>
        <v>433110.16724994592</v>
      </c>
      <c r="M138" s="38">
        <f t="shared" si="415"/>
        <v>278515</v>
      </c>
      <c r="N138" s="38">
        <f t="shared" si="415"/>
        <v>288583.3461424532</v>
      </c>
      <c r="O138" s="38">
        <f t="shared" si="415"/>
        <v>369760.03759566881</v>
      </c>
      <c r="P138" s="38">
        <f t="shared" si="415"/>
        <v>461727.42586083757</v>
      </c>
      <c r="Q138" s="38">
        <f t="shared" si="415"/>
        <v>533981.568391826</v>
      </c>
      <c r="R138" s="38">
        <f t="shared" si="415"/>
        <v>536778.05993653357</v>
      </c>
      <c r="S138" s="38">
        <f t="shared" si="415"/>
        <v>604629.01295363612</v>
      </c>
      <c r="T138" s="38">
        <f t="shared" si="415"/>
        <v>693964.89686490025</v>
      </c>
      <c r="U138" s="38">
        <f t="shared" si="415"/>
        <v>650206</v>
      </c>
      <c r="V138" s="38">
        <f t="shared" si="415"/>
        <v>672352</v>
      </c>
      <c r="W138" s="38">
        <f>1092815-W141</f>
        <v>665181</v>
      </c>
      <c r="X138" s="38">
        <v>740003</v>
      </c>
      <c r="Y138" s="38">
        <v>694529</v>
      </c>
      <c r="Z138" s="38">
        <v>669810</v>
      </c>
      <c r="AA138" s="38">
        <v>663326</v>
      </c>
      <c r="AB138" s="38">
        <v>658923</v>
      </c>
      <c r="AC138" s="38">
        <f t="shared" ref="AC138:AM138" si="416">AC185</f>
        <v>751539</v>
      </c>
      <c r="AD138" s="38">
        <f t="shared" si="416"/>
        <v>616226</v>
      </c>
      <c r="AE138" s="38">
        <f t="shared" si="416"/>
        <v>616712</v>
      </c>
      <c r="AF138" s="38">
        <f t="shared" si="416"/>
        <v>560300</v>
      </c>
      <c r="AG138" s="38">
        <f t="shared" si="416"/>
        <v>571184</v>
      </c>
      <c r="AH138" s="38">
        <f t="shared" si="416"/>
        <v>537946</v>
      </c>
      <c r="AI138" s="38">
        <f>AI185</f>
        <v>546463</v>
      </c>
      <c r="AJ138" s="38">
        <f>AJ185</f>
        <v>536489</v>
      </c>
      <c r="AK138" s="38">
        <f>AK185</f>
        <v>494106</v>
      </c>
      <c r="AL138" s="38">
        <f t="shared" si="416"/>
        <v>428065</v>
      </c>
      <c r="AM138" s="38">
        <f t="shared" si="416"/>
        <v>536533</v>
      </c>
      <c r="AN138" s="38">
        <f t="shared" ref="AN138:AO138" si="417">AN185</f>
        <v>536447</v>
      </c>
      <c r="AO138" s="38">
        <f t="shared" si="417"/>
        <v>541061</v>
      </c>
      <c r="AP138" s="38">
        <f t="shared" ref="AP138:AR138" si="418">AP185</f>
        <v>539924</v>
      </c>
      <c r="AQ138" s="38">
        <f t="shared" si="418"/>
        <v>624084</v>
      </c>
      <c r="AR138" s="38">
        <f t="shared" si="418"/>
        <v>653928</v>
      </c>
      <c r="AS138" s="38">
        <f t="shared" ref="AS138" si="419">AS185</f>
        <v>513029</v>
      </c>
      <c r="AT138" s="38">
        <f t="shared" ref="AT138" si="420">AT185</f>
        <v>463576</v>
      </c>
      <c r="AU138" s="38">
        <f t="shared" ref="AU138" si="421">AU185</f>
        <v>505703</v>
      </c>
      <c r="AV138" s="38"/>
      <c r="AW138" s="671">
        <v>463576</v>
      </c>
      <c r="AX138" s="38"/>
      <c r="AY138" s="38"/>
      <c r="AZ138" s="38"/>
      <c r="BA138" s="475"/>
      <c r="BB138" s="559"/>
      <c r="BC138" s="559"/>
      <c r="BD138" s="560"/>
      <c r="BE138" s="560"/>
      <c r="BF138" s="560"/>
      <c r="BG138" s="475"/>
    </row>
    <row r="139" spans="1:59" s="362" customFormat="1">
      <c r="A139" s="42" t="s">
        <v>163</v>
      </c>
      <c r="B139" s="42" t="s">
        <v>516</v>
      </c>
      <c r="C139" s="485"/>
      <c r="D139" s="485"/>
      <c r="E139" s="485"/>
      <c r="F139" s="485"/>
      <c r="G139" s="485"/>
      <c r="H139" s="485"/>
      <c r="I139" s="485"/>
      <c r="J139" s="485"/>
      <c r="K139" s="49" t="e">
        <f>+(K136/G136-1)</f>
        <v>#DIV/0!</v>
      </c>
      <c r="L139" s="42" t="e">
        <f>+(L136/H136-1)</f>
        <v>#DIV/0!</v>
      </c>
      <c r="M139" s="42" t="e">
        <f>+(M136/I136-1)</f>
        <v>#DIV/0!</v>
      </c>
      <c r="N139" s="42" t="e">
        <f>+(N136/J136-1)</f>
        <v>#DIV/0!</v>
      </c>
      <c r="O139" s="42" t="e">
        <f>+(O136/K136-1)</f>
        <v>#DIV/0!</v>
      </c>
      <c r="P139" s="49">
        <f t="shared" ref="P139:AE139" si="422">+(P138/L138-1)</f>
        <v>6.6073855510246471E-2</v>
      </c>
      <c r="Q139" s="49">
        <f t="shared" si="422"/>
        <v>0.9172452772447659</v>
      </c>
      <c r="R139" s="49">
        <f t="shared" si="422"/>
        <v>0.86004517277848791</v>
      </c>
      <c r="S139" s="49">
        <f t="shared" si="422"/>
        <v>0.63519296699876371</v>
      </c>
      <c r="T139" s="49">
        <f t="shared" si="422"/>
        <v>0.50297525768819717</v>
      </c>
      <c r="U139" s="49">
        <f t="shared" si="422"/>
        <v>0.21765626097957491</v>
      </c>
      <c r="V139" s="49">
        <f t="shared" si="422"/>
        <v>0.25256982388493321</v>
      </c>
      <c r="W139" s="49">
        <f t="shared" si="422"/>
        <v>0.10014733952405797</v>
      </c>
      <c r="X139" s="49">
        <f t="shared" si="422"/>
        <v>6.6340679972552552E-2</v>
      </c>
      <c r="Y139" s="49">
        <f t="shared" si="422"/>
        <v>6.8167626875174969E-2</v>
      </c>
      <c r="Z139" s="49">
        <f t="shared" si="422"/>
        <v>-3.7807576983485136E-3</v>
      </c>
      <c r="AA139" s="49">
        <f t="shared" si="422"/>
        <v>-2.7887146505988225E-3</v>
      </c>
      <c r="AB139" s="49">
        <f t="shared" si="422"/>
        <v>-0.10956712337652685</v>
      </c>
      <c r="AC139" s="49">
        <f t="shared" si="422"/>
        <v>8.2084405402798266E-2</v>
      </c>
      <c r="AD139" s="49">
        <f t="shared" si="422"/>
        <v>-7.9998805631447678E-2</v>
      </c>
      <c r="AE139" s="49">
        <f t="shared" si="422"/>
        <v>-7.0273138698015769E-2</v>
      </c>
      <c r="AF139" s="49">
        <f t="shared" ref="AF139:AP139" si="423">+(AF138/AB138-1)</f>
        <v>-0.14967302704564878</v>
      </c>
      <c r="AG139" s="49">
        <f t="shared" si="423"/>
        <v>-0.23998089254183752</v>
      </c>
      <c r="AH139" s="49">
        <f t="shared" si="423"/>
        <v>-0.12703131643260757</v>
      </c>
      <c r="AI139" s="49">
        <f t="shared" si="423"/>
        <v>-0.11390892345211379</v>
      </c>
      <c r="AJ139" s="49">
        <f t="shared" si="423"/>
        <v>-4.2496876673210782E-2</v>
      </c>
      <c r="AK139" s="49">
        <f t="shared" si="423"/>
        <v>-0.13494425614162864</v>
      </c>
      <c r="AL139" s="49">
        <f t="shared" si="423"/>
        <v>-0.20426027891275333</v>
      </c>
      <c r="AM139" s="49">
        <f t="shared" si="423"/>
        <v>-1.8171404102382049E-2</v>
      </c>
      <c r="AN139" s="49">
        <f t="shared" si="423"/>
        <v>-7.8286786867942659E-5</v>
      </c>
      <c r="AO139" s="49">
        <f t="shared" si="423"/>
        <v>9.5030216188429106E-2</v>
      </c>
      <c r="AP139" s="49">
        <f t="shared" si="423"/>
        <v>0.26131311833483228</v>
      </c>
      <c r="AQ139" s="49">
        <f t="shared" ref="AQ139:AU139" si="424">+(AQ138/AM138-1)</f>
        <v>0.16317915207452294</v>
      </c>
      <c r="AR139" s="49">
        <f t="shared" si="424"/>
        <v>0.21899833534347279</v>
      </c>
      <c r="AS139" s="49">
        <f t="shared" si="424"/>
        <v>-5.1809315400666467E-2</v>
      </c>
      <c r="AT139" s="49">
        <f t="shared" si="424"/>
        <v>-0.14140508664182372</v>
      </c>
      <c r="AU139" s="49">
        <f t="shared" si="424"/>
        <v>-0.18968760615558167</v>
      </c>
      <c r="AV139" s="42"/>
      <c r="AW139" s="668">
        <v>-0.14140508664182372</v>
      </c>
      <c r="AX139" s="49"/>
      <c r="AY139" s="42"/>
      <c r="AZ139" s="42"/>
      <c r="BA139" s="496"/>
      <c r="BB139" s="559"/>
      <c r="BC139" s="559"/>
      <c r="BD139" s="559"/>
      <c r="BE139" s="559"/>
      <c r="BF139" s="559"/>
      <c r="BG139" s="496"/>
    </row>
    <row r="140" spans="1:59" s="362" customFormat="1">
      <c r="A140" s="42" t="s">
        <v>163</v>
      </c>
      <c r="B140" s="42" t="s">
        <v>517</v>
      </c>
      <c r="C140" s="485"/>
      <c r="D140" s="485"/>
      <c r="E140" s="485"/>
      <c r="F140" s="485"/>
      <c r="G140" s="485"/>
      <c r="H140" s="485"/>
      <c r="I140" s="485"/>
      <c r="J140" s="485"/>
      <c r="K140" s="49" t="e">
        <f>+(K136/J136-1)</f>
        <v>#DIV/0!</v>
      </c>
      <c r="L140" s="42" t="e">
        <f>+(L136/K136-1)</f>
        <v>#DIV/0!</v>
      </c>
      <c r="M140" s="42" t="e">
        <f>+(M136/L136-1)</f>
        <v>#DIV/0!</v>
      </c>
      <c r="N140" s="49">
        <f>+(N138/M138-1)</f>
        <v>3.6150103737512262E-2</v>
      </c>
      <c r="O140" s="49" t="e">
        <f>+(O138/#REF!-1)</f>
        <v>#REF!</v>
      </c>
      <c r="P140" s="42">
        <f t="shared" ref="P140:AE140" si="425">+(P138/O138-1)</f>
        <v>0.24872181662241921</v>
      </c>
      <c r="Q140" s="42">
        <f t="shared" si="425"/>
        <v>0.15648657299548296</v>
      </c>
      <c r="R140" s="42">
        <f t="shared" si="425"/>
        <v>5.2370563147519089E-3</v>
      </c>
      <c r="S140" s="42">
        <f t="shared" si="425"/>
        <v>0.12640411015518205</v>
      </c>
      <c r="T140" s="42">
        <f t="shared" si="425"/>
        <v>0.14775322056554141</v>
      </c>
      <c r="U140" s="42">
        <f t="shared" si="425"/>
        <v>-6.3056354957704897E-2</v>
      </c>
      <c r="V140" s="42">
        <f t="shared" si="425"/>
        <v>3.4059974838743345E-2</v>
      </c>
      <c r="W140" s="42">
        <f t="shared" si="425"/>
        <v>-1.0665544238732116E-2</v>
      </c>
      <c r="X140" s="42">
        <f t="shared" si="425"/>
        <v>0.11248366985827918</v>
      </c>
      <c r="Y140" s="42">
        <f t="shared" si="425"/>
        <v>-6.1451102225261289E-2</v>
      </c>
      <c r="Z140" s="42">
        <f t="shared" si="425"/>
        <v>-3.5591026436621043E-2</v>
      </c>
      <c r="AA140" s="42">
        <f t="shared" si="425"/>
        <v>-9.6803571161970803E-3</v>
      </c>
      <c r="AB140" s="42">
        <f t="shared" si="425"/>
        <v>-6.6377618245025971E-3</v>
      </c>
      <c r="AC140" s="42">
        <f t="shared" si="425"/>
        <v>0.14055663560082143</v>
      </c>
      <c r="AD140" s="42">
        <f t="shared" si="425"/>
        <v>-0.18004787509364117</v>
      </c>
      <c r="AE140" s="42">
        <f t="shared" si="425"/>
        <v>7.8867168863361314E-4</v>
      </c>
      <c r="AF140" s="42">
        <f t="shared" ref="AF140:AP140" si="426">+(AF138/AE138-1)</f>
        <v>-9.1472194476514113E-2</v>
      </c>
      <c r="AG140" s="42">
        <f t="shared" si="426"/>
        <v>1.9425307870783559E-2</v>
      </c>
      <c r="AH140" s="42">
        <f t="shared" si="426"/>
        <v>-5.8191405921734551E-2</v>
      </c>
      <c r="AI140" s="42">
        <f t="shared" si="426"/>
        <v>1.5832444148669245E-2</v>
      </c>
      <c r="AJ140" s="42">
        <f t="shared" si="426"/>
        <v>-1.8251921905051205E-2</v>
      </c>
      <c r="AK140" s="42">
        <f t="shared" si="426"/>
        <v>-7.9000687805341752E-2</v>
      </c>
      <c r="AL140" s="42">
        <f t="shared" si="426"/>
        <v>-0.13365755526142165</v>
      </c>
      <c r="AM140" s="42">
        <f t="shared" si="426"/>
        <v>0.25339142419959582</v>
      </c>
      <c r="AN140" s="42">
        <f t="shared" si="426"/>
        <v>-1.602883699605151E-4</v>
      </c>
      <c r="AO140" s="42">
        <f t="shared" si="426"/>
        <v>8.6010360762573956E-3</v>
      </c>
      <c r="AP140" s="42">
        <f t="shared" si="426"/>
        <v>-2.1014266413583726E-3</v>
      </c>
      <c r="AQ140" s="42">
        <f t="shared" ref="AQ140:AU140" si="427">+(AQ138/AP138-1)</f>
        <v>0.15587378964446841</v>
      </c>
      <c r="AR140" s="42">
        <f t="shared" si="427"/>
        <v>4.7820485703847559E-2</v>
      </c>
      <c r="AS140" s="42">
        <f t="shared" si="427"/>
        <v>-0.2154656170098237</v>
      </c>
      <c r="AT140" s="42">
        <f t="shared" si="427"/>
        <v>-9.6394160953864216E-2</v>
      </c>
      <c r="AU140" s="42">
        <f t="shared" si="427"/>
        <v>9.0873988299653208E-2</v>
      </c>
      <c r="AV140" s="42"/>
      <c r="AW140" s="669">
        <v>-9.6394160953864216E-2</v>
      </c>
      <c r="AX140" s="42"/>
      <c r="AY140" s="42"/>
      <c r="AZ140" s="42"/>
      <c r="BA140" s="496"/>
      <c r="BB140" s="496"/>
      <c r="BC140" s="496"/>
      <c r="BD140" s="559"/>
      <c r="BE140" s="559"/>
      <c r="BF140" s="559"/>
      <c r="BG140" s="496"/>
    </row>
    <row r="141" spans="1:59">
      <c r="A141" s="38"/>
      <c r="B141" s="38" t="s">
        <v>584</v>
      </c>
      <c r="C141" s="48"/>
      <c r="D141" s="48"/>
      <c r="E141" s="48"/>
      <c r="F141" s="48"/>
      <c r="G141" s="48"/>
      <c r="H141" s="48"/>
      <c r="I141" s="48"/>
      <c r="J141" s="48"/>
      <c r="K141" s="52">
        <v>198717</v>
      </c>
      <c r="L141" s="38">
        <v>206930</v>
      </c>
      <c r="M141" s="38">
        <v>215233</v>
      </c>
      <c r="N141" s="38">
        <f>772519-(K141+L141+M141)</f>
        <v>151639</v>
      </c>
      <c r="O141" s="38">
        <v>178295</v>
      </c>
      <c r="P141" s="38">
        <v>224334</v>
      </c>
      <c r="Q141" s="38">
        <v>273902</v>
      </c>
      <c r="R141" s="38">
        <v>273903</v>
      </c>
      <c r="S141" s="38">
        <v>323899</v>
      </c>
      <c r="T141" s="38">
        <v>307332</v>
      </c>
      <c r="U141" s="38">
        <v>296644</v>
      </c>
      <c r="V141" s="38">
        <f>1203718-SUM(S141:U141)</f>
        <v>275843</v>
      </c>
      <c r="W141" s="38">
        <v>427634</v>
      </c>
      <c r="X141" s="38">
        <v>424134</v>
      </c>
      <c r="Y141" s="38">
        <v>380912</v>
      </c>
      <c r="Z141" s="38">
        <v>347414</v>
      </c>
      <c r="AA141" s="38">
        <v>415645</v>
      </c>
      <c r="AB141" s="38">
        <f>+AB190</f>
        <v>390285</v>
      </c>
      <c r="AC141" s="38">
        <f t="shared" ref="AC141:AM141" si="428">AC190</f>
        <v>376222</v>
      </c>
      <c r="AD141" s="38">
        <f t="shared" si="428"/>
        <v>365005</v>
      </c>
      <c r="AE141" s="38">
        <f t="shared" si="428"/>
        <v>362563</v>
      </c>
      <c r="AF141" s="38">
        <f t="shared" si="428"/>
        <v>401030</v>
      </c>
      <c r="AG141" s="38">
        <f t="shared" si="428"/>
        <v>422506</v>
      </c>
      <c r="AH141" s="38">
        <f t="shared" si="428"/>
        <v>397836</v>
      </c>
      <c r="AI141" s="38">
        <f>AI190</f>
        <v>441967</v>
      </c>
      <c r="AJ141" s="38">
        <f>AJ190</f>
        <v>519093</v>
      </c>
      <c r="AK141" s="38">
        <f>AK190</f>
        <v>490414</v>
      </c>
      <c r="AL141" s="38">
        <f t="shared" si="428"/>
        <v>354604</v>
      </c>
      <c r="AM141" s="38">
        <f t="shared" si="428"/>
        <v>476496</v>
      </c>
      <c r="AN141" s="38">
        <f t="shared" ref="AN141:AO141" si="429">AN190</f>
        <v>520149</v>
      </c>
      <c r="AO141" s="38">
        <f t="shared" si="429"/>
        <v>410437</v>
      </c>
      <c r="AP141" s="38">
        <f t="shared" ref="AP141:AR141" si="430">AP190</f>
        <v>332547</v>
      </c>
      <c r="AQ141" s="38">
        <f t="shared" si="430"/>
        <v>370649</v>
      </c>
      <c r="AR141" s="38">
        <f t="shared" si="430"/>
        <v>378017</v>
      </c>
      <c r="AS141" s="38">
        <f t="shared" ref="AS141" si="431">AS190</f>
        <v>338616</v>
      </c>
      <c r="AT141" s="38">
        <f t="shared" ref="AT141" si="432">AT190</f>
        <v>324051</v>
      </c>
      <c r="AU141" s="38">
        <f t="shared" ref="AU141" si="433">AU190</f>
        <v>364032</v>
      </c>
      <c r="AV141" s="38"/>
      <c r="AW141" s="671">
        <v>324051</v>
      </c>
      <c r="AX141" s="38"/>
      <c r="AY141" s="38"/>
      <c r="AZ141" s="38"/>
      <c r="BA141" s="496"/>
      <c r="BB141" s="496"/>
      <c r="BC141" s="496"/>
      <c r="BD141" s="560"/>
      <c r="BE141" s="560"/>
      <c r="BF141" s="560"/>
      <c r="BG141" s="475"/>
    </row>
    <row r="142" spans="1:59" s="362" customFormat="1">
      <c r="A142" s="42" t="s">
        <v>163</v>
      </c>
      <c r="B142" s="42" t="s">
        <v>516</v>
      </c>
      <c r="C142" s="485"/>
      <c r="D142" s="485"/>
      <c r="E142" s="485"/>
      <c r="F142" s="485"/>
      <c r="G142" s="485"/>
      <c r="H142" s="485"/>
      <c r="I142" s="485"/>
      <c r="J142" s="485"/>
      <c r="K142" s="49" t="e">
        <f>+(K139/G139-1)</f>
        <v>#DIV/0!</v>
      </c>
      <c r="L142" s="42" t="e">
        <f>+(L139/H139-1)</f>
        <v>#DIV/0!</v>
      </c>
      <c r="M142" s="42" t="e">
        <f>+(M139/I139-1)</f>
        <v>#DIV/0!</v>
      </c>
      <c r="N142" s="42" t="e">
        <f>+(N139/J139-1)</f>
        <v>#DIV/0!</v>
      </c>
      <c r="O142" s="42" t="e">
        <f>+(O139/K139-1)</f>
        <v>#DIV/0!</v>
      </c>
      <c r="P142" s="49">
        <f t="shared" ref="P142:AE142" si="434">+(P141/L141-1)</f>
        <v>8.410573623930806E-2</v>
      </c>
      <c r="Q142" s="49">
        <f t="shared" si="434"/>
        <v>0.27258366514428545</v>
      </c>
      <c r="R142" s="49">
        <f t="shared" si="434"/>
        <v>0.80628334399461887</v>
      </c>
      <c r="S142" s="49">
        <f t="shared" si="434"/>
        <v>0.81664656888863951</v>
      </c>
      <c r="T142" s="49">
        <f t="shared" si="434"/>
        <v>0.36997512637406715</v>
      </c>
      <c r="U142" s="49">
        <f t="shared" si="434"/>
        <v>8.302969675285321E-2</v>
      </c>
      <c r="V142" s="49">
        <f t="shared" si="434"/>
        <v>7.0827993851838578E-3</v>
      </c>
      <c r="W142" s="49">
        <f t="shared" si="434"/>
        <v>0.3202695902117636</v>
      </c>
      <c r="X142" s="49">
        <f t="shared" si="434"/>
        <v>0.38005154035375432</v>
      </c>
      <c r="Y142" s="49">
        <f t="shared" si="434"/>
        <v>0.28407114251425947</v>
      </c>
      <c r="Z142" s="49">
        <f t="shared" si="434"/>
        <v>0.25946281036676666</v>
      </c>
      <c r="AA142" s="49">
        <f t="shared" si="434"/>
        <v>-2.8035656659666897E-2</v>
      </c>
      <c r="AB142" s="49">
        <f t="shared" si="434"/>
        <v>-7.980732504350041E-2</v>
      </c>
      <c r="AC142" s="49">
        <f t="shared" si="434"/>
        <v>-1.2312555130843839E-2</v>
      </c>
      <c r="AD142" s="49">
        <f t="shared" si="434"/>
        <v>5.0634113766284683E-2</v>
      </c>
      <c r="AE142" s="49">
        <f t="shared" si="434"/>
        <v>-0.12770994478461184</v>
      </c>
      <c r="AF142" s="49">
        <f t="shared" ref="AF142:AP142" si="435">+(AF141/AB141-1)</f>
        <v>2.7531163124383529E-2</v>
      </c>
      <c r="AG142" s="49">
        <f t="shared" si="435"/>
        <v>0.12302310869646105</v>
      </c>
      <c r="AH142" s="49">
        <f t="shared" si="435"/>
        <v>8.9946713058725258E-2</v>
      </c>
      <c r="AI142" s="49">
        <f t="shared" si="435"/>
        <v>0.21900745525605214</v>
      </c>
      <c r="AJ142" s="49">
        <f t="shared" si="435"/>
        <v>0.29439942148966414</v>
      </c>
      <c r="AK142" s="49">
        <f t="shared" si="435"/>
        <v>0.16072671157332685</v>
      </c>
      <c r="AL142" s="49">
        <f t="shared" si="435"/>
        <v>-0.10866789330276794</v>
      </c>
      <c r="AM142" s="49">
        <f t="shared" si="435"/>
        <v>7.8125742419682842E-2</v>
      </c>
      <c r="AN142" s="49">
        <f t="shared" si="435"/>
        <v>2.0343175500343591E-3</v>
      </c>
      <c r="AO142" s="49">
        <f t="shared" si="435"/>
        <v>-0.16308058089695643</v>
      </c>
      <c r="AP142" s="49">
        <f t="shared" si="435"/>
        <v>-6.2201780013761865E-2</v>
      </c>
      <c r="AQ142" s="49">
        <f t="shared" ref="AQ142:AU142" si="436">+(AQ141/AM141-1)</f>
        <v>-0.22213617742856184</v>
      </c>
      <c r="AR142" s="49">
        <f t="shared" si="436"/>
        <v>-0.27325247188786295</v>
      </c>
      <c r="AS142" s="49">
        <f t="shared" si="436"/>
        <v>-0.17498666055935508</v>
      </c>
      <c r="AT142" s="49">
        <f t="shared" si="436"/>
        <v>-2.5548268365073179E-2</v>
      </c>
      <c r="AU142" s="49">
        <f t="shared" si="436"/>
        <v>-1.7852469587129605E-2</v>
      </c>
      <c r="AV142" s="42"/>
      <c r="AW142" s="668">
        <v>-2.5548268365073179E-2</v>
      </c>
      <c r="AX142" s="49"/>
      <c r="AY142" s="42"/>
      <c r="AZ142" s="42"/>
      <c r="BA142" s="496"/>
      <c r="BB142" s="496"/>
      <c r="BC142" s="496"/>
      <c r="BD142" s="559"/>
      <c r="BE142" s="559"/>
      <c r="BF142" s="559"/>
      <c r="BG142" s="496"/>
    </row>
    <row r="143" spans="1:59" s="362" customFormat="1">
      <c r="A143" s="42" t="s">
        <v>163</v>
      </c>
      <c r="B143" s="42" t="s">
        <v>517</v>
      </c>
      <c r="C143" s="485"/>
      <c r="D143" s="485"/>
      <c r="E143" s="485"/>
      <c r="F143" s="485"/>
      <c r="G143" s="485"/>
      <c r="H143" s="485"/>
      <c r="I143" s="485"/>
      <c r="J143" s="485"/>
      <c r="K143" s="49" t="e">
        <f>+(K139/J139-1)</f>
        <v>#DIV/0!</v>
      </c>
      <c r="L143" s="42" t="e">
        <f>+(L139/K139-1)</f>
        <v>#DIV/0!</v>
      </c>
      <c r="M143" s="42" t="e">
        <f>+(M139/L139-1)</f>
        <v>#DIV/0!</v>
      </c>
      <c r="N143" s="49">
        <f>+(N141/M141-1)</f>
        <v>-0.29546584399232456</v>
      </c>
      <c r="O143" s="49" t="e">
        <f>+(O141/#REF!-1)</f>
        <v>#REF!</v>
      </c>
      <c r="P143" s="42">
        <f t="shared" ref="P143:AE143" si="437">+(P141/O141-1)</f>
        <v>0.25821812165231783</v>
      </c>
      <c r="Q143" s="42">
        <f t="shared" si="437"/>
        <v>0.22095625273030395</v>
      </c>
      <c r="R143" s="42">
        <f t="shared" si="437"/>
        <v>3.6509408474216798E-6</v>
      </c>
      <c r="S143" s="42">
        <f t="shared" si="437"/>
        <v>0.18253177219672656</v>
      </c>
      <c r="T143" s="42">
        <f t="shared" si="437"/>
        <v>-5.1148660539242163E-2</v>
      </c>
      <c r="U143" s="42">
        <f t="shared" si="437"/>
        <v>-3.4776723543269217E-2</v>
      </c>
      <c r="V143" s="42">
        <f t="shared" si="437"/>
        <v>-7.0121087903345369E-2</v>
      </c>
      <c r="W143" s="42">
        <f t="shared" si="437"/>
        <v>0.55028041313355791</v>
      </c>
      <c r="X143" s="42">
        <f t="shared" si="437"/>
        <v>-8.1845690473629773E-3</v>
      </c>
      <c r="Y143" s="42">
        <f t="shared" si="437"/>
        <v>-0.10190647295430222</v>
      </c>
      <c r="Z143" s="42">
        <f t="shared" si="437"/>
        <v>-8.7941571806611551E-2</v>
      </c>
      <c r="AA143" s="42">
        <f t="shared" si="437"/>
        <v>0.19639680611604593</v>
      </c>
      <c r="AB143" s="42">
        <f t="shared" si="437"/>
        <v>-6.1013605360343615E-2</v>
      </c>
      <c r="AC143" s="42">
        <f t="shared" si="437"/>
        <v>-3.6032642812303783E-2</v>
      </c>
      <c r="AD143" s="42">
        <f t="shared" si="437"/>
        <v>-2.9814843363758614E-2</v>
      </c>
      <c r="AE143" s="42">
        <f t="shared" si="437"/>
        <v>-6.6903193106944148E-3</v>
      </c>
      <c r="AF143" s="42">
        <f t="shared" ref="AF143:AP143" si="438">+(AF141/AE141-1)</f>
        <v>0.10609742306854253</v>
      </c>
      <c r="AG143" s="42">
        <f t="shared" si="438"/>
        <v>5.3552103333915246E-2</v>
      </c>
      <c r="AH143" s="42">
        <f t="shared" si="438"/>
        <v>-5.8389703341490962E-2</v>
      </c>
      <c r="AI143" s="42">
        <f t="shared" si="438"/>
        <v>0.11092761841562848</v>
      </c>
      <c r="AJ143" s="42">
        <f t="shared" si="438"/>
        <v>0.1745062414162144</v>
      </c>
      <c r="AK143" s="42">
        <f t="shared" si="438"/>
        <v>-5.5248288842269067E-2</v>
      </c>
      <c r="AL143" s="42">
        <f t="shared" si="438"/>
        <v>-0.27692928831558639</v>
      </c>
      <c r="AM143" s="42">
        <f t="shared" si="438"/>
        <v>0.34374118735265258</v>
      </c>
      <c r="AN143" s="42">
        <f t="shared" si="438"/>
        <v>9.1612521406265746E-2</v>
      </c>
      <c r="AO143" s="42">
        <f t="shared" si="438"/>
        <v>-0.21092417749529457</v>
      </c>
      <c r="AP143" s="42">
        <f t="shared" si="438"/>
        <v>-0.18977333914827366</v>
      </c>
      <c r="AQ143" s="42">
        <f t="shared" ref="AQ143:AU143" si="439">+(AQ141/AP141-1)</f>
        <v>0.11457628545739396</v>
      </c>
      <c r="AR143" s="42">
        <f t="shared" si="439"/>
        <v>1.9878645295144493E-2</v>
      </c>
      <c r="AS143" s="42">
        <f t="shared" si="439"/>
        <v>-0.1042307621085824</v>
      </c>
      <c r="AT143" s="42">
        <f t="shared" si="439"/>
        <v>-4.3013324828123922E-2</v>
      </c>
      <c r="AU143" s="42">
        <f t="shared" si="439"/>
        <v>0.12337872742253531</v>
      </c>
      <c r="AV143" s="42"/>
      <c r="AW143" s="669">
        <v>-4.3013324828123922E-2</v>
      </c>
      <c r="AX143" s="42"/>
      <c r="AY143" s="42"/>
      <c r="AZ143" s="42"/>
      <c r="BA143" s="561"/>
      <c r="BB143" s="561"/>
      <c r="BC143" s="561"/>
      <c r="BD143" s="559"/>
      <c r="BE143" s="559"/>
      <c r="BF143" s="559"/>
      <c r="BG143" s="496"/>
    </row>
    <row r="144" spans="1:59">
      <c r="A144" s="38"/>
      <c r="B144" s="12" t="s">
        <v>585</v>
      </c>
      <c r="C144" s="182"/>
      <c r="D144" s="182"/>
      <c r="E144" s="182"/>
      <c r="F144" s="182"/>
      <c r="G144" s="182"/>
      <c r="H144" s="182"/>
      <c r="I144" s="182"/>
      <c r="J144" s="182"/>
      <c r="K144" s="12">
        <f>K95</f>
        <v>620095.39582650363</v>
      </c>
      <c r="L144" s="12">
        <f>L95</f>
        <v>640040.16724994592</v>
      </c>
      <c r="M144" s="12">
        <v>493748</v>
      </c>
      <c r="N144" s="12">
        <f t="shared" ref="N144:AF144" si="440">N95</f>
        <v>440222.3461424532</v>
      </c>
      <c r="O144" s="12">
        <f t="shared" si="440"/>
        <v>548055.03759566881</v>
      </c>
      <c r="P144" s="12">
        <f t="shared" si="440"/>
        <v>686061.42586083757</v>
      </c>
      <c r="Q144" s="12">
        <f t="shared" si="440"/>
        <v>807883.568391826</v>
      </c>
      <c r="R144" s="12">
        <f t="shared" si="440"/>
        <v>810681.05993653357</v>
      </c>
      <c r="S144" s="12">
        <f t="shared" si="440"/>
        <v>928528.01295363612</v>
      </c>
      <c r="T144" s="12">
        <f t="shared" si="440"/>
        <v>1001296.8968649002</v>
      </c>
      <c r="U144" s="12">
        <f t="shared" si="440"/>
        <v>946850</v>
      </c>
      <c r="V144" s="12">
        <f t="shared" si="440"/>
        <v>948195</v>
      </c>
      <c r="W144" s="12">
        <f t="shared" si="440"/>
        <v>1092815</v>
      </c>
      <c r="X144" s="12">
        <f t="shared" si="440"/>
        <v>1164137</v>
      </c>
      <c r="Y144" s="12">
        <f t="shared" si="440"/>
        <v>1075441</v>
      </c>
      <c r="Z144" s="12">
        <f t="shared" si="440"/>
        <v>1017224</v>
      </c>
      <c r="AA144" s="12">
        <f t="shared" si="440"/>
        <v>1078971</v>
      </c>
      <c r="AB144" s="12">
        <f t="shared" si="440"/>
        <v>1049208</v>
      </c>
      <c r="AC144" s="12">
        <f t="shared" si="440"/>
        <v>1127761</v>
      </c>
      <c r="AD144" s="12">
        <f t="shared" si="440"/>
        <v>981231</v>
      </c>
      <c r="AE144" s="12">
        <f t="shared" si="440"/>
        <v>979275</v>
      </c>
      <c r="AF144" s="12">
        <f t="shared" si="440"/>
        <v>961330</v>
      </c>
      <c r="AG144" s="12">
        <f t="shared" ref="AG144:AM144" si="441">AG95</f>
        <v>993690</v>
      </c>
      <c r="AH144" s="12">
        <f t="shared" si="441"/>
        <v>935782</v>
      </c>
      <c r="AI144" s="12">
        <f t="shared" si="441"/>
        <v>988430</v>
      </c>
      <c r="AJ144" s="12">
        <f t="shared" si="441"/>
        <v>1055582</v>
      </c>
      <c r="AK144" s="12">
        <f t="shared" si="441"/>
        <v>984520</v>
      </c>
      <c r="AL144" s="12">
        <f t="shared" si="441"/>
        <v>782669</v>
      </c>
      <c r="AM144" s="12">
        <f t="shared" si="441"/>
        <v>1013029</v>
      </c>
      <c r="AN144" s="12">
        <f t="shared" ref="AN144:AO144" si="442">AN95</f>
        <v>1056596</v>
      </c>
      <c r="AO144" s="12">
        <f t="shared" si="442"/>
        <v>951498</v>
      </c>
      <c r="AP144" s="12">
        <f t="shared" ref="AP144:AQ144" si="443">AP95</f>
        <v>872471</v>
      </c>
      <c r="AQ144" s="12">
        <f t="shared" si="443"/>
        <v>994733</v>
      </c>
      <c r="AR144" s="12">
        <f t="shared" ref="AR144" si="444">AR95</f>
        <v>1031945</v>
      </c>
      <c r="AS144" s="12">
        <f t="shared" ref="AS144" si="445">AS95</f>
        <v>851645</v>
      </c>
      <c r="AT144" s="12">
        <f t="shared" ref="AT144" si="446">AT95</f>
        <v>787627</v>
      </c>
      <c r="AU144" s="12">
        <f t="shared" ref="AU144" si="447">AU95</f>
        <v>869735</v>
      </c>
      <c r="AV144" s="38"/>
      <c r="AW144" s="671">
        <v>787627</v>
      </c>
      <c r="AX144" s="38"/>
      <c r="AY144" s="38"/>
      <c r="AZ144" s="38"/>
      <c r="BA144" s="475"/>
      <c r="BB144" s="559"/>
      <c r="BC144" s="559"/>
      <c r="BD144" s="560"/>
      <c r="BE144" s="560"/>
      <c r="BF144" s="560"/>
      <c r="BG144" s="475"/>
    </row>
    <row r="145" spans="1:59" s="362" customFormat="1">
      <c r="A145" s="42" t="s">
        <v>163</v>
      </c>
      <c r="B145" s="42" t="s">
        <v>516</v>
      </c>
      <c r="C145" s="485"/>
      <c r="D145" s="485"/>
      <c r="E145" s="485"/>
      <c r="F145" s="485"/>
      <c r="G145" s="485"/>
      <c r="H145" s="485"/>
      <c r="I145" s="485"/>
      <c r="J145" s="485"/>
      <c r="K145" s="49" t="e">
        <f>+(K142/G142-1)</f>
        <v>#DIV/0!</v>
      </c>
      <c r="L145" s="42" t="e">
        <f>+(L142/H142-1)</f>
        <v>#DIV/0!</v>
      </c>
      <c r="M145" s="42" t="e">
        <f>+(M142/I142-1)</f>
        <v>#DIV/0!</v>
      </c>
      <c r="N145" s="42" t="e">
        <f>+(N142/J142-1)</f>
        <v>#DIV/0!</v>
      </c>
      <c r="O145" s="42" t="e">
        <f>+(O142/K142-1)</f>
        <v>#DIV/0!</v>
      </c>
      <c r="P145" s="49">
        <f t="shared" ref="P145:AE145" si="448">+(P144/L144-1)</f>
        <v>7.1903703807576269E-2</v>
      </c>
      <c r="Q145" s="49">
        <f t="shared" si="448"/>
        <v>0.63622651310349809</v>
      </c>
      <c r="R145" s="49">
        <f t="shared" si="448"/>
        <v>0.84152637193524527</v>
      </c>
      <c r="S145" s="49">
        <f t="shared" si="448"/>
        <v>0.69422402725666355</v>
      </c>
      <c r="T145" s="49">
        <f t="shared" si="448"/>
        <v>0.45948578235326387</v>
      </c>
      <c r="U145" s="49">
        <f t="shared" si="448"/>
        <v>0.17201294474252116</v>
      </c>
      <c r="V145" s="49">
        <f t="shared" si="448"/>
        <v>0.16962767092922104</v>
      </c>
      <c r="W145" s="49">
        <f t="shared" si="448"/>
        <v>0.17693272012738626</v>
      </c>
      <c r="X145" s="49">
        <f t="shared" si="448"/>
        <v>0.16262918984864383</v>
      </c>
      <c r="Y145" s="49">
        <f t="shared" si="448"/>
        <v>0.13580926229075363</v>
      </c>
      <c r="Z145" s="49">
        <f t="shared" si="448"/>
        <v>7.280042607269599E-2</v>
      </c>
      <c r="AA145" s="49">
        <f t="shared" si="448"/>
        <v>-1.2668200930624152E-2</v>
      </c>
      <c r="AB145" s="49">
        <f t="shared" si="448"/>
        <v>-9.8724634643516995E-2</v>
      </c>
      <c r="AC145" s="49">
        <f t="shared" si="448"/>
        <v>4.8649809705971769E-2</v>
      </c>
      <c r="AD145" s="49">
        <f t="shared" si="448"/>
        <v>-3.5383553671560986E-2</v>
      </c>
      <c r="AE145" s="49">
        <f t="shared" si="448"/>
        <v>-9.2399146965025047E-2</v>
      </c>
      <c r="AF145" s="49">
        <f t="shared" ref="AF145:AP145" si="449">+(AF144/AB144-1)</f>
        <v>-8.3756509672057389E-2</v>
      </c>
      <c r="AG145" s="49">
        <f t="shared" si="449"/>
        <v>-0.11888245825134935</v>
      </c>
      <c r="AH145" s="49">
        <f t="shared" si="449"/>
        <v>-4.6318349094148115E-2</v>
      </c>
      <c r="AI145" s="49">
        <f t="shared" si="449"/>
        <v>9.3487529039339989E-3</v>
      </c>
      <c r="AJ145" s="49">
        <f t="shared" si="449"/>
        <v>9.8043335795200415E-2</v>
      </c>
      <c r="AK145" s="49">
        <f t="shared" si="449"/>
        <v>-9.2282301321338078E-3</v>
      </c>
      <c r="AL145" s="49">
        <f t="shared" si="449"/>
        <v>-0.16362037312109012</v>
      </c>
      <c r="AM145" s="49">
        <f t="shared" si="449"/>
        <v>2.4886941917991123E-2</v>
      </c>
      <c r="AN145" s="49">
        <f t="shared" si="449"/>
        <v>9.6060751320115045E-4</v>
      </c>
      <c r="AO145" s="49">
        <f t="shared" si="449"/>
        <v>-3.3541218055499145E-2</v>
      </c>
      <c r="AP145" s="49">
        <f t="shared" si="449"/>
        <v>0.11473815878743121</v>
      </c>
      <c r="AQ145" s="49">
        <f t="shared" ref="AQ145:AU145" si="450">+(AQ144/AM144-1)</f>
        <v>-1.8060687305101797E-2</v>
      </c>
      <c r="AR145" s="49">
        <f t="shared" si="450"/>
        <v>-2.3330582360713059E-2</v>
      </c>
      <c r="AS145" s="49">
        <f t="shared" si="450"/>
        <v>-0.10494294260208636</v>
      </c>
      <c r="AT145" s="49">
        <f t="shared" si="450"/>
        <v>-9.7245639110067894E-2</v>
      </c>
      <c r="AU145" s="49">
        <f t="shared" si="450"/>
        <v>-0.12565985043222649</v>
      </c>
      <c r="AV145" s="42"/>
      <c r="AW145" s="668">
        <v>-9.7245639110067894E-2</v>
      </c>
      <c r="AX145" s="49"/>
      <c r="AY145" s="42"/>
      <c r="AZ145" s="42"/>
      <c r="BA145" s="496"/>
      <c r="BB145" s="559"/>
      <c r="BC145" s="559"/>
      <c r="BD145" s="559"/>
      <c r="BE145" s="559"/>
      <c r="BF145" s="559"/>
      <c r="BG145" s="496"/>
    </row>
    <row r="146" spans="1:59" s="362" customFormat="1">
      <c r="A146" s="42" t="s">
        <v>163</v>
      </c>
      <c r="B146" s="42" t="s">
        <v>517</v>
      </c>
      <c r="C146" s="485"/>
      <c r="D146" s="485"/>
      <c r="E146" s="485"/>
      <c r="F146" s="485"/>
      <c r="G146" s="485"/>
      <c r="H146" s="485"/>
      <c r="I146" s="485"/>
      <c r="J146" s="485"/>
      <c r="K146" s="49" t="e">
        <f>+(K142/J142-1)</f>
        <v>#DIV/0!</v>
      </c>
      <c r="L146" s="42" t="e">
        <f>+(L142/K142-1)</f>
        <v>#DIV/0!</v>
      </c>
      <c r="M146" s="42" t="e">
        <f>+(M142/L142-1)</f>
        <v>#DIV/0!</v>
      </c>
      <c r="N146" s="49">
        <f>+(N144/M144-1)</f>
        <v>-0.10840682667584844</v>
      </c>
      <c r="O146" s="49" t="e">
        <f>+(O144/#REF!-1)</f>
        <v>#REF!</v>
      </c>
      <c r="P146" s="42">
        <f t="shared" ref="P146:AE146" si="451">+(P144/O144-1)</f>
        <v>0.25181118464051755</v>
      </c>
      <c r="Q146" s="42">
        <f t="shared" si="451"/>
        <v>0.17756739839750035</v>
      </c>
      <c r="R146" s="42">
        <f t="shared" si="451"/>
        <v>3.4627409866452297E-3</v>
      </c>
      <c r="S146" s="42">
        <f t="shared" si="451"/>
        <v>0.14536783803278763</v>
      </c>
      <c r="T146" s="42">
        <f t="shared" si="451"/>
        <v>7.8370154584552765E-2</v>
      </c>
      <c r="U146" s="42">
        <f t="shared" si="451"/>
        <v>-5.4376376312935348E-2</v>
      </c>
      <c r="V146" s="42">
        <f t="shared" si="451"/>
        <v>1.4204995511433172E-3</v>
      </c>
      <c r="W146" s="42">
        <f t="shared" si="451"/>
        <v>0.15252136954951245</v>
      </c>
      <c r="X146" s="42">
        <f t="shared" si="451"/>
        <v>6.5264477519067832E-2</v>
      </c>
      <c r="Y146" s="42">
        <f t="shared" si="451"/>
        <v>-7.6190345294411266E-2</v>
      </c>
      <c r="Z146" s="42">
        <f t="shared" si="451"/>
        <v>-5.413314166002603E-2</v>
      </c>
      <c r="AA146" s="42">
        <f t="shared" si="451"/>
        <v>6.0701477747280741E-2</v>
      </c>
      <c r="AB146" s="42">
        <f t="shared" si="451"/>
        <v>-2.7584615341839536E-2</v>
      </c>
      <c r="AC146" s="42">
        <f t="shared" si="451"/>
        <v>7.4868853458990081E-2</v>
      </c>
      <c r="AD146" s="42">
        <f t="shared" si="451"/>
        <v>-0.12993001176667751</v>
      </c>
      <c r="AE146" s="42">
        <f t="shared" si="451"/>
        <v>-1.9934143947755167E-3</v>
      </c>
      <c r="AF146" s="42">
        <f t="shared" ref="AF146:AP146" si="452">+(AF144/AE144-1)</f>
        <v>-1.8324781088049802E-2</v>
      </c>
      <c r="AG146" s="42">
        <f t="shared" si="452"/>
        <v>3.3661697856095296E-2</v>
      </c>
      <c r="AH146" s="42">
        <f t="shared" si="452"/>
        <v>-5.8275719791886837E-2</v>
      </c>
      <c r="AI146" s="42">
        <f t="shared" si="452"/>
        <v>5.6260966763626463E-2</v>
      </c>
      <c r="AJ146" s="42">
        <f t="shared" si="452"/>
        <v>6.79380431593537E-2</v>
      </c>
      <c r="AK146" s="42">
        <f t="shared" si="452"/>
        <v>-6.7320208188468511E-2</v>
      </c>
      <c r="AL146" s="42">
        <f t="shared" si="452"/>
        <v>-0.20502478365091614</v>
      </c>
      <c r="AM146" s="42">
        <f t="shared" si="452"/>
        <v>0.29432620941930754</v>
      </c>
      <c r="AN146" s="42">
        <f t="shared" si="452"/>
        <v>4.300666614677362E-2</v>
      </c>
      <c r="AO146" s="42">
        <f t="shared" si="452"/>
        <v>-9.9468481803830389E-2</v>
      </c>
      <c r="AP146" s="42">
        <f t="shared" si="452"/>
        <v>-8.305535061555569E-2</v>
      </c>
      <c r="AQ146" s="42">
        <f t="shared" ref="AQ146:AU146" si="453">+(AQ144/AP144-1)</f>
        <v>0.14013302447875065</v>
      </c>
      <c r="AR146" s="42">
        <f t="shared" si="453"/>
        <v>3.7409033378806189E-2</v>
      </c>
      <c r="AS146" s="42">
        <f t="shared" si="453"/>
        <v>-0.17471861387961563</v>
      </c>
      <c r="AT146" s="42">
        <f t="shared" si="453"/>
        <v>-7.5169818410253053E-2</v>
      </c>
      <c r="AU146" s="42">
        <f t="shared" si="453"/>
        <v>0.10424731503617823</v>
      </c>
      <c r="AV146" s="42"/>
      <c r="AW146" s="669">
        <v>-7.5169818410253053E-2</v>
      </c>
      <c r="AX146" s="42"/>
      <c r="AY146" s="42"/>
      <c r="AZ146" s="42"/>
      <c r="BA146" s="496"/>
      <c r="BB146" s="559"/>
      <c r="BC146" s="559"/>
      <c r="BD146" s="559"/>
      <c r="BE146" s="559"/>
      <c r="BF146" s="559"/>
      <c r="BG146" s="496"/>
    </row>
    <row r="147" spans="1:59">
      <c r="A147" s="38"/>
      <c r="B147" s="38" t="s">
        <v>125</v>
      </c>
      <c r="C147" s="48"/>
      <c r="D147" s="48"/>
      <c r="E147" s="48"/>
      <c r="F147" s="48"/>
      <c r="G147" s="48"/>
      <c r="H147" s="48"/>
      <c r="I147" s="48"/>
      <c r="J147" s="48"/>
      <c r="K147" s="52">
        <f t="shared" ref="K147:AJ147" si="454">K129*10^6/K138</f>
        <v>41437.340340507697</v>
      </c>
      <c r="L147" s="52">
        <f t="shared" si="454"/>
        <v>44649.378985462768</v>
      </c>
      <c r="M147" s="52">
        <f t="shared" si="454"/>
        <v>48228.282139202558</v>
      </c>
      <c r="N147" s="52">
        <f t="shared" si="454"/>
        <v>48711.750653348019</v>
      </c>
      <c r="O147" s="52">
        <f t="shared" si="454"/>
        <v>47005.079599774435</v>
      </c>
      <c r="P147" s="52">
        <f t="shared" si="454"/>
        <v>46475.688464881598</v>
      </c>
      <c r="Q147" s="52">
        <f t="shared" si="454"/>
        <v>44436.177959215158</v>
      </c>
      <c r="R147" s="52">
        <f t="shared" si="454"/>
        <v>47043.651528875256</v>
      </c>
      <c r="S147" s="52">
        <f t="shared" si="454"/>
        <v>45186.38605603105</v>
      </c>
      <c r="T147" s="52">
        <f t="shared" si="454"/>
        <v>47199.217349428269</v>
      </c>
      <c r="U147" s="52">
        <f t="shared" si="454"/>
        <v>48133.976001451847</v>
      </c>
      <c r="V147" s="52">
        <f t="shared" si="454"/>
        <v>47903.330398362763</v>
      </c>
      <c r="W147" s="52">
        <f t="shared" si="454"/>
        <v>45910.511575044991</v>
      </c>
      <c r="X147" s="52">
        <f t="shared" si="454"/>
        <v>48135.210262661094</v>
      </c>
      <c r="Y147" s="52">
        <f t="shared" si="454"/>
        <v>48574.645551157693</v>
      </c>
      <c r="Z147" s="52">
        <f t="shared" si="454"/>
        <v>49067.198160672422</v>
      </c>
      <c r="AA147" s="52">
        <f t="shared" si="454"/>
        <v>49167.528485239534</v>
      </c>
      <c r="AB147" s="52">
        <f t="shared" si="454"/>
        <v>52139.172558857405</v>
      </c>
      <c r="AC147" s="52">
        <f t="shared" si="454"/>
        <v>51564.456402129494</v>
      </c>
      <c r="AD147" s="52">
        <f t="shared" si="454"/>
        <v>54081.132571491624</v>
      </c>
      <c r="AE147" s="52">
        <f t="shared" si="454"/>
        <v>51598.477084927814</v>
      </c>
      <c r="AF147" s="52">
        <f t="shared" si="454"/>
        <v>57277.351418882739</v>
      </c>
      <c r="AG147" s="52">
        <f t="shared" si="454"/>
        <v>55525.890080954647</v>
      </c>
      <c r="AH147" s="52">
        <f t="shared" si="454"/>
        <v>55100.326055031546</v>
      </c>
      <c r="AI147" s="52">
        <f t="shared" si="454"/>
        <v>56430.353015666202</v>
      </c>
      <c r="AJ147" s="52">
        <f t="shared" si="454"/>
        <v>61852.526333251932</v>
      </c>
      <c r="AK147" s="52">
        <f t="shared" ref="AK147:AP147" si="455">AK129*10^6/AK138</f>
        <v>61799.897188052761</v>
      </c>
      <c r="AL147" s="52">
        <f t="shared" si="455"/>
        <v>65401.516124887574</v>
      </c>
      <c r="AM147" s="52">
        <f t="shared" si="455"/>
        <v>58501.713780885795</v>
      </c>
      <c r="AN147" s="52">
        <f t="shared" si="455"/>
        <v>64393.87302007468</v>
      </c>
      <c r="AO147" s="52">
        <f t="shared" si="455"/>
        <v>64716.362850029851</v>
      </c>
      <c r="AP147" s="52">
        <f t="shared" si="455"/>
        <v>66336.002844844828</v>
      </c>
      <c r="AQ147" s="52">
        <f>AQ129*10^6/AQ138</f>
        <v>62930.791367828693</v>
      </c>
      <c r="AR147" s="52">
        <f>AR129*10^6/AR138</f>
        <v>64504.349102653505</v>
      </c>
      <c r="AS147" s="52">
        <f>AS129*10^6/AS138</f>
        <v>64865.728837940937</v>
      </c>
      <c r="AT147" s="52">
        <f>AT129*10^6/AT138</f>
        <v>72081.81614233696</v>
      </c>
      <c r="AU147" s="52">
        <f>AU129*10^6/AU138</f>
        <v>111822.70978795867</v>
      </c>
      <c r="AV147" s="38"/>
      <c r="AW147" s="679">
        <v>105002.91212872295</v>
      </c>
      <c r="AX147" s="52"/>
      <c r="AY147" s="38"/>
      <c r="AZ147" s="38"/>
      <c r="BA147" s="475"/>
      <c r="BB147" s="560"/>
      <c r="BC147" s="560"/>
      <c r="BD147" s="560"/>
      <c r="BE147" s="560"/>
      <c r="BF147" s="560"/>
      <c r="BG147" s="475"/>
    </row>
    <row r="148" spans="1:59" s="362" customFormat="1">
      <c r="A148" s="42" t="s">
        <v>163</v>
      </c>
      <c r="B148" s="42" t="s">
        <v>516</v>
      </c>
      <c r="C148" s="485"/>
      <c r="D148" s="485"/>
      <c r="E148" s="485"/>
      <c r="F148" s="485"/>
      <c r="G148" s="485"/>
      <c r="H148" s="485"/>
      <c r="I148" s="485"/>
      <c r="J148" s="485"/>
      <c r="K148" s="49" t="e">
        <f t="shared" ref="K148:AE148" si="456">+(K147/G147-1)</f>
        <v>#DIV/0!</v>
      </c>
      <c r="L148" s="49" t="e">
        <f t="shared" si="456"/>
        <v>#DIV/0!</v>
      </c>
      <c r="M148" s="49" t="e">
        <f t="shared" si="456"/>
        <v>#DIV/0!</v>
      </c>
      <c r="N148" s="49" t="e">
        <f t="shared" si="456"/>
        <v>#DIV/0!</v>
      </c>
      <c r="O148" s="49">
        <f t="shared" si="456"/>
        <v>0.1343652660502419</v>
      </c>
      <c r="P148" s="49">
        <f t="shared" si="456"/>
        <v>4.0903356797268087E-2</v>
      </c>
      <c r="Q148" s="49">
        <f t="shared" si="456"/>
        <v>-7.8628224182693218E-2</v>
      </c>
      <c r="R148" s="49">
        <f t="shared" si="456"/>
        <v>-3.4244286072648289E-2</v>
      </c>
      <c r="S148" s="49">
        <f t="shared" si="456"/>
        <v>-3.8691425676303126E-2</v>
      </c>
      <c r="T148" s="49">
        <f t="shared" si="456"/>
        <v>1.5567900303260496E-2</v>
      </c>
      <c r="U148" s="49">
        <f t="shared" si="456"/>
        <v>8.3215933774291706E-2</v>
      </c>
      <c r="V148" s="49">
        <f t="shared" si="456"/>
        <v>1.8274067627591428E-2</v>
      </c>
      <c r="W148" s="49">
        <f t="shared" si="456"/>
        <v>1.6025302800627417E-2</v>
      </c>
      <c r="X148" s="49">
        <f t="shared" si="456"/>
        <v>1.9830687155327542E-2</v>
      </c>
      <c r="Y148" s="49">
        <f t="shared" si="456"/>
        <v>9.1550623138332288E-3</v>
      </c>
      <c r="Z148" s="49">
        <f t="shared" si="456"/>
        <v>2.4296176333272967E-2</v>
      </c>
      <c r="AA148" s="49">
        <f t="shared" si="456"/>
        <v>7.0942727459498034E-2</v>
      </c>
      <c r="AB148" s="49">
        <f t="shared" si="456"/>
        <v>8.3181568634431047E-2</v>
      </c>
      <c r="AC148" s="49">
        <f t="shared" si="456"/>
        <v>6.1550852652604515E-2</v>
      </c>
      <c r="AD148" s="49">
        <f t="shared" si="456"/>
        <v>0.10218505638738296</v>
      </c>
      <c r="AE148" s="49">
        <f t="shared" si="456"/>
        <v>4.944215571905497E-2</v>
      </c>
      <c r="AF148" s="49">
        <f t="shared" ref="AF148:AP148" si="457">+(AF147/AB147-1)</f>
        <v>9.8547380172270493E-2</v>
      </c>
      <c r="AG148" s="49">
        <f t="shared" si="457"/>
        <v>7.6824889763824844E-2</v>
      </c>
      <c r="AH148" s="49">
        <f t="shared" si="457"/>
        <v>1.8845638674312548E-2</v>
      </c>
      <c r="AI148" s="49">
        <f t="shared" si="457"/>
        <v>9.3643770198593712E-2</v>
      </c>
      <c r="AJ148" s="49">
        <f t="shared" si="457"/>
        <v>7.9877557202494565E-2</v>
      </c>
      <c r="AK148" s="49">
        <f t="shared" si="457"/>
        <v>0.11299246347876357</v>
      </c>
      <c r="AL148" s="49">
        <f t="shared" si="457"/>
        <v>0.18695334142973485</v>
      </c>
      <c r="AM148" s="49">
        <f t="shared" si="457"/>
        <v>3.6706500217082549E-2</v>
      </c>
      <c r="AN148" s="49">
        <f t="shared" si="457"/>
        <v>4.1087192997265154E-2</v>
      </c>
      <c r="AO148" s="49">
        <f t="shared" si="457"/>
        <v>4.7192079512729412E-2</v>
      </c>
      <c r="AP148" s="49">
        <f t="shared" si="457"/>
        <v>1.4288456527105531E-2</v>
      </c>
      <c r="AQ148" s="49">
        <f t="shared" ref="AQ148:AU148" si="458">+(AQ147/AM147-1)</f>
        <v>7.5708510070862323E-2</v>
      </c>
      <c r="AR148" s="49">
        <f t="shared" si="458"/>
        <v>1.7156303448992993E-3</v>
      </c>
      <c r="AS148" s="49">
        <f t="shared" si="458"/>
        <v>2.3080096181735676E-3</v>
      </c>
      <c r="AT148" s="49">
        <f t="shared" si="458"/>
        <v>8.6616815169451522E-2</v>
      </c>
      <c r="AU148" s="49">
        <f t="shared" si="458"/>
        <v>0.77691567764273128</v>
      </c>
      <c r="AV148" s="42"/>
      <c r="AW148" s="668">
        <v>0.58289477245587529</v>
      </c>
      <c r="AX148" s="49"/>
      <c r="AY148" s="42"/>
      <c r="AZ148" s="42"/>
      <c r="BA148" s="496"/>
      <c r="BB148" s="559"/>
      <c r="BC148" s="559"/>
      <c r="BD148" s="559"/>
      <c r="BE148" s="559"/>
      <c r="BF148" s="559"/>
      <c r="BG148" s="496"/>
    </row>
    <row r="149" spans="1:59" s="362" customFormat="1">
      <c r="A149" s="42" t="s">
        <v>163</v>
      </c>
      <c r="B149" s="42" t="s">
        <v>517</v>
      </c>
      <c r="C149" s="485"/>
      <c r="D149" s="485"/>
      <c r="E149" s="485"/>
      <c r="F149" s="485"/>
      <c r="G149" s="485"/>
      <c r="H149" s="485"/>
      <c r="I149" s="485"/>
      <c r="J149" s="485"/>
      <c r="K149" s="42" t="e">
        <f t="shared" ref="K149:AE149" si="459">+(K147/J147-1)</f>
        <v>#DIV/0!</v>
      </c>
      <c r="L149" s="42">
        <f t="shared" si="459"/>
        <v>7.7515560085672064E-2</v>
      </c>
      <c r="M149" s="42">
        <f t="shared" si="459"/>
        <v>8.0155720752690174E-2</v>
      </c>
      <c r="N149" s="42">
        <f t="shared" si="459"/>
        <v>1.0024585009061893E-2</v>
      </c>
      <c r="O149" s="42">
        <f t="shared" si="459"/>
        <v>-3.5036126410625812E-2</v>
      </c>
      <c r="P149" s="42">
        <f t="shared" si="459"/>
        <v>-1.1262423963544932E-2</v>
      </c>
      <c r="Q149" s="42">
        <f t="shared" si="459"/>
        <v>-4.3883384475467246E-2</v>
      </c>
      <c r="R149" s="42">
        <f t="shared" si="459"/>
        <v>5.8679069384709903E-2</v>
      </c>
      <c r="S149" s="42">
        <f t="shared" si="459"/>
        <v>-3.9479619725186987E-2</v>
      </c>
      <c r="T149" s="42">
        <f t="shared" si="459"/>
        <v>4.4545082470222486E-2</v>
      </c>
      <c r="U149" s="42">
        <f t="shared" si="459"/>
        <v>1.9804537119827881E-2</v>
      </c>
      <c r="V149" s="42">
        <f t="shared" si="459"/>
        <v>-4.7917421798300275E-3</v>
      </c>
      <c r="W149" s="42">
        <f t="shared" si="459"/>
        <v>-4.160084083393667E-2</v>
      </c>
      <c r="X149" s="42">
        <f t="shared" si="459"/>
        <v>4.8457283774318682E-2</v>
      </c>
      <c r="Y149" s="42">
        <f t="shared" si="459"/>
        <v>9.129186017859281E-3</v>
      </c>
      <c r="Z149" s="42">
        <f t="shared" si="459"/>
        <v>1.0140117419817019E-2</v>
      </c>
      <c r="AA149" s="42">
        <f t="shared" si="459"/>
        <v>2.0447534876268936E-3</v>
      </c>
      <c r="AB149" s="42">
        <f t="shared" si="459"/>
        <v>6.0439159037859236E-2</v>
      </c>
      <c r="AC149" s="42">
        <f t="shared" si="459"/>
        <v>-1.1022732592833928E-2</v>
      </c>
      <c r="AD149" s="42">
        <f t="shared" si="459"/>
        <v>4.8806413273042804E-2</v>
      </c>
      <c r="AE149" s="42">
        <f t="shared" si="459"/>
        <v>-4.5906129707655507E-2</v>
      </c>
      <c r="AF149" s="42">
        <f t="shared" ref="AF149:AP149" si="460">+(AF147/AE147-1)</f>
        <v>0.11005895241070496</v>
      </c>
      <c r="AG149" s="42">
        <f t="shared" si="460"/>
        <v>-3.0578602092112162E-2</v>
      </c>
      <c r="AH149" s="42">
        <f t="shared" si="460"/>
        <v>-7.6642450089975389E-3</v>
      </c>
      <c r="AI149" s="42">
        <f t="shared" si="460"/>
        <v>2.4138277499597516E-2</v>
      </c>
      <c r="AJ149" s="42">
        <f t="shared" si="460"/>
        <v>9.6086113728199196E-2</v>
      </c>
      <c r="AK149" s="42">
        <f t="shared" si="460"/>
        <v>-8.508810928047339E-4</v>
      </c>
      <c r="AL149" s="42">
        <f t="shared" si="460"/>
        <v>5.8278720527241923E-2</v>
      </c>
      <c r="AM149" s="42">
        <f t="shared" si="460"/>
        <v>-0.10549911917678256</v>
      </c>
      <c r="AN149" s="42">
        <f t="shared" si="460"/>
        <v>0.10071772018948999</v>
      </c>
      <c r="AO149" s="42">
        <f t="shared" si="460"/>
        <v>5.0080825213703051E-3</v>
      </c>
      <c r="AP149" s="42">
        <f t="shared" si="460"/>
        <v>2.5026746304767533E-2</v>
      </c>
      <c r="AQ149" s="42">
        <f t="shared" ref="AQ149:AU149" si="461">+(AQ147/AP147-1)</f>
        <v>-5.1332780556294311E-2</v>
      </c>
      <c r="AR149" s="42">
        <f t="shared" si="461"/>
        <v>2.5004575671508933E-2</v>
      </c>
      <c r="AS149" s="42">
        <f t="shared" si="461"/>
        <v>5.6024088346713352E-3</v>
      </c>
      <c r="AT149" s="42">
        <f t="shared" si="461"/>
        <v>0.11124653085182357</v>
      </c>
      <c r="AU149" s="42">
        <f t="shared" si="461"/>
        <v>0.55133036003347935</v>
      </c>
      <c r="AV149" s="42"/>
      <c r="AW149" s="684">
        <v>0.61877333392892009</v>
      </c>
      <c r="AX149" s="42"/>
      <c r="AY149" s="42"/>
      <c r="AZ149" s="42"/>
      <c r="BA149" s="496"/>
      <c r="BB149" s="559"/>
      <c r="BC149" s="559"/>
      <c r="BD149" s="559"/>
      <c r="BE149" s="559"/>
      <c r="BF149" s="559"/>
      <c r="BG149" s="496"/>
    </row>
    <row r="150" spans="1:59">
      <c r="A150" s="38"/>
      <c r="B150" s="38" t="s">
        <v>586</v>
      </c>
      <c r="C150" s="48"/>
      <c r="D150" s="48"/>
      <c r="E150" s="48"/>
      <c r="F150" s="48"/>
      <c r="G150" s="48"/>
      <c r="H150" s="48"/>
      <c r="I150" s="48"/>
      <c r="J150" s="48"/>
      <c r="K150" s="52">
        <f t="shared" ref="K150:AE150" si="462">K132*10^6/K141</f>
        <v>32156.282552574768</v>
      </c>
      <c r="L150" s="52">
        <f t="shared" si="462"/>
        <v>34504.421785144732</v>
      </c>
      <c r="M150" s="52">
        <f t="shared" si="462"/>
        <v>36936.715094804233</v>
      </c>
      <c r="N150" s="52">
        <f t="shared" si="462"/>
        <v>32471.857503676496</v>
      </c>
      <c r="O150" s="52">
        <f t="shared" si="462"/>
        <v>35727.305869485965</v>
      </c>
      <c r="P150" s="52">
        <f t="shared" si="462"/>
        <v>35616.536057842328</v>
      </c>
      <c r="Q150" s="52">
        <f t="shared" si="462"/>
        <v>34683.938050835699</v>
      </c>
      <c r="R150" s="52">
        <f t="shared" si="462"/>
        <v>34687.462349809968</v>
      </c>
      <c r="S150" s="52">
        <f t="shared" si="462"/>
        <v>37357.324351109448</v>
      </c>
      <c r="T150" s="52">
        <f t="shared" si="462"/>
        <v>37516.43174156938</v>
      </c>
      <c r="U150" s="52">
        <f t="shared" si="462"/>
        <v>38160.21898302342</v>
      </c>
      <c r="V150" s="52">
        <f t="shared" si="462"/>
        <v>38318.898793879125</v>
      </c>
      <c r="W150" s="52">
        <f t="shared" si="462"/>
        <v>39473.0072912818</v>
      </c>
      <c r="X150" s="52">
        <f t="shared" si="462"/>
        <v>40859.728293416701</v>
      </c>
      <c r="Y150" s="52">
        <f t="shared" si="462"/>
        <v>44892.258579409419</v>
      </c>
      <c r="Z150" s="52">
        <f t="shared" si="462"/>
        <v>42514.118602013739</v>
      </c>
      <c r="AA150" s="52">
        <f t="shared" si="462"/>
        <v>41140.877431461944</v>
      </c>
      <c r="AB150" s="52">
        <f t="shared" si="462"/>
        <v>42661.132249509974</v>
      </c>
      <c r="AC150" s="52">
        <f t="shared" si="462"/>
        <v>46461.92939275215</v>
      </c>
      <c r="AD150" s="52">
        <f t="shared" si="462"/>
        <v>43561.047108943712</v>
      </c>
      <c r="AE150" s="52">
        <f t="shared" si="462"/>
        <v>51742.731608023983</v>
      </c>
      <c r="AF150" s="52">
        <f t="shared" ref="AF150:AM150" si="463">AF132*10^6/AF141</f>
        <v>52988.554472233998</v>
      </c>
      <c r="AG150" s="52">
        <f t="shared" si="463"/>
        <v>50247.80713173304</v>
      </c>
      <c r="AH150" s="52">
        <f t="shared" si="463"/>
        <v>52182.306276958341</v>
      </c>
      <c r="AI150" s="52">
        <f t="shared" si="463"/>
        <v>50931.404380870066</v>
      </c>
      <c r="AJ150" s="52">
        <f t="shared" si="463"/>
        <v>52707.318341800026</v>
      </c>
      <c r="AK150" s="52">
        <f t="shared" si="463"/>
        <v>54647.705815902482</v>
      </c>
      <c r="AL150" s="52">
        <f t="shared" si="463"/>
        <v>58967.185931348773</v>
      </c>
      <c r="AM150" s="52">
        <f t="shared" si="463"/>
        <v>55278.533293039189</v>
      </c>
      <c r="AN150" s="52">
        <f t="shared" ref="AN150:AO150" si="464">AN132*10^6/AN141</f>
        <v>54522.838648156583</v>
      </c>
      <c r="AO150" s="52">
        <f t="shared" si="464"/>
        <v>55574.91161859189</v>
      </c>
      <c r="AP150" s="52">
        <f t="shared" ref="AP150:AR150" si="465">AP132*10^6/AP141</f>
        <v>60773.364366540671</v>
      </c>
      <c r="AQ150" s="52">
        <f t="shared" si="465"/>
        <v>55497.249419261891</v>
      </c>
      <c r="AR150" s="52">
        <f t="shared" si="465"/>
        <v>55791.141668231852</v>
      </c>
      <c r="AS150" s="52">
        <f t="shared" ref="AS150" si="466">AS132*10^6/AS141</f>
        <v>57144.37593025728</v>
      </c>
      <c r="AT150" s="52">
        <f t="shared" ref="AT150" si="467">AT132*10^6/AT141</f>
        <v>54898.765934991716</v>
      </c>
      <c r="AU150" s="52">
        <f t="shared" ref="AU150" si="468">AU132*10^6/AU141</f>
        <v>0</v>
      </c>
      <c r="AV150" s="38"/>
      <c r="AW150" s="679">
        <v>0</v>
      </c>
      <c r="AX150" s="52"/>
      <c r="AY150" s="45"/>
      <c r="AZ150" s="38"/>
      <c r="BA150" s="475"/>
      <c r="BB150" s="560"/>
      <c r="BC150" s="560"/>
      <c r="BD150" s="560"/>
      <c r="BE150" s="560"/>
      <c r="BF150" s="560"/>
      <c r="BG150" s="475"/>
    </row>
    <row r="151" spans="1:59" s="362" customFormat="1">
      <c r="A151" s="42" t="s">
        <v>163</v>
      </c>
      <c r="B151" s="42" t="s">
        <v>516</v>
      </c>
      <c r="C151" s="485"/>
      <c r="D151" s="485"/>
      <c r="E151" s="485"/>
      <c r="F151" s="485"/>
      <c r="G151" s="485"/>
      <c r="H151" s="485"/>
      <c r="I151" s="485"/>
      <c r="J151" s="485"/>
      <c r="K151" s="49" t="e">
        <f>+(K148/G148-1)</f>
        <v>#DIV/0!</v>
      </c>
      <c r="L151" s="42" t="e">
        <f>+(L148/H148-1)</f>
        <v>#DIV/0!</v>
      </c>
      <c r="M151" s="42" t="e">
        <f>+(M148/I148-1)</f>
        <v>#DIV/0!</v>
      </c>
      <c r="N151" s="42" t="e">
        <f>+(N148/J148-1)</f>
        <v>#DIV/0!</v>
      </c>
      <c r="O151" s="42" t="e">
        <f>+(O148/K148-1)</f>
        <v>#DIV/0!</v>
      </c>
      <c r="P151" s="49">
        <f t="shared" ref="P151:AE151" si="469">+(P150/L150-1)</f>
        <v>3.2231065329035413E-2</v>
      </c>
      <c r="Q151" s="49">
        <f t="shared" si="469"/>
        <v>-6.0990183837041467E-2</v>
      </c>
      <c r="R151" s="49">
        <f t="shared" si="469"/>
        <v>6.823154006150145E-2</v>
      </c>
      <c r="S151" s="49">
        <f t="shared" si="469"/>
        <v>4.5623884643808399E-2</v>
      </c>
      <c r="T151" s="49">
        <f t="shared" si="469"/>
        <v>5.3343078637449803E-2</v>
      </c>
      <c r="U151" s="49">
        <f t="shared" si="469"/>
        <v>0.10022739998821906</v>
      </c>
      <c r="V151" s="49">
        <f t="shared" si="469"/>
        <v>0.10469017328069397</v>
      </c>
      <c r="W151" s="49">
        <f t="shared" si="469"/>
        <v>5.6633685011478141E-2</v>
      </c>
      <c r="X151" s="49">
        <f t="shared" si="469"/>
        <v>8.9115526094738939E-2</v>
      </c>
      <c r="Y151" s="49">
        <f t="shared" si="469"/>
        <v>0.1764151196139867</v>
      </c>
      <c r="Z151" s="49">
        <f t="shared" si="469"/>
        <v>0.10948174243474695</v>
      </c>
      <c r="AA151" s="49">
        <f t="shared" si="469"/>
        <v>4.225343480603061E-2</v>
      </c>
      <c r="AB151" s="49">
        <f t="shared" si="469"/>
        <v>4.4087516763627432E-2</v>
      </c>
      <c r="AC151" s="49">
        <f t="shared" si="469"/>
        <v>3.4965289406549971E-2</v>
      </c>
      <c r="AD151" s="49">
        <f t="shared" si="469"/>
        <v>2.4625431300377087E-2</v>
      </c>
      <c r="AE151" s="49">
        <f t="shared" si="469"/>
        <v>0.25769635550977354</v>
      </c>
      <c r="AF151" s="49">
        <f t="shared" ref="AF151:AP151" si="470">+(AF150/AB150-1)</f>
        <v>0.24208035929104188</v>
      </c>
      <c r="AG151" s="49">
        <f t="shared" si="470"/>
        <v>8.1483437912749812E-2</v>
      </c>
      <c r="AH151" s="49">
        <f t="shared" si="470"/>
        <v>0.19791211966170952</v>
      </c>
      <c r="AI151" s="49">
        <f t="shared" si="470"/>
        <v>-1.5680023105469343E-2</v>
      </c>
      <c r="AJ151" s="49">
        <f t="shared" si="470"/>
        <v>-5.3074882535498746E-3</v>
      </c>
      <c r="AK151" s="49">
        <f t="shared" si="470"/>
        <v>8.7563994039269621E-2</v>
      </c>
      <c r="AL151" s="49">
        <f t="shared" si="470"/>
        <v>0.13002260993179537</v>
      </c>
      <c r="AM151" s="49">
        <f t="shared" si="470"/>
        <v>8.5352622120153265E-2</v>
      </c>
      <c r="AN151" s="49">
        <f t="shared" si="470"/>
        <v>3.4445317338726023E-2</v>
      </c>
      <c r="AO151" s="49">
        <f t="shared" si="470"/>
        <v>1.6966966661198679E-2</v>
      </c>
      <c r="AP151" s="49">
        <f t="shared" si="470"/>
        <v>3.0630229451591884E-2</v>
      </c>
      <c r="AQ151" s="49">
        <f t="shared" ref="AQ151:AU151" si="471">+(AQ150/AM150-1)</f>
        <v>3.9566195626656864E-3</v>
      </c>
      <c r="AR151" s="49">
        <f t="shared" si="471"/>
        <v>2.3261866981280965E-2</v>
      </c>
      <c r="AS151" s="49">
        <f t="shared" si="471"/>
        <v>2.8240518355414634E-2</v>
      </c>
      <c r="AT151" s="49">
        <f t="shared" si="471"/>
        <v>-9.6664031895908442E-2</v>
      </c>
      <c r="AU151" s="49">
        <f t="shared" si="471"/>
        <v>-1</v>
      </c>
      <c r="AV151" s="42"/>
      <c r="AW151" s="668">
        <v>-1</v>
      </c>
      <c r="AX151" s="49"/>
      <c r="AY151" s="42"/>
      <c r="AZ151" s="42"/>
      <c r="BA151" s="496"/>
      <c r="BB151" s="496"/>
      <c r="BC151" s="496"/>
      <c r="BD151" s="496"/>
      <c r="BE151" s="496"/>
      <c r="BF151" s="496"/>
      <c r="BG151" s="496"/>
    </row>
    <row r="152" spans="1:59" s="362" customFormat="1">
      <c r="A152" s="42" t="s">
        <v>163</v>
      </c>
      <c r="B152" s="42" t="s">
        <v>517</v>
      </c>
      <c r="C152" s="485"/>
      <c r="D152" s="485"/>
      <c r="E152" s="485"/>
      <c r="F152" s="485"/>
      <c r="G152" s="485"/>
      <c r="H152" s="485"/>
      <c r="I152" s="485"/>
      <c r="J152" s="485"/>
      <c r="K152" s="49" t="e">
        <f>+(K148/J148-1)</f>
        <v>#DIV/0!</v>
      </c>
      <c r="L152" s="42">
        <f t="shared" ref="L152:AE152" si="472">+(L150/K150-1)</f>
        <v>7.302272048178482E-2</v>
      </c>
      <c r="M152" s="42">
        <f t="shared" si="472"/>
        <v>7.049222052770876E-2</v>
      </c>
      <c r="N152" s="42">
        <f t="shared" si="472"/>
        <v>-0.12087857785046496</v>
      </c>
      <c r="O152" s="42">
        <f t="shared" si="472"/>
        <v>0.10025445465941951</v>
      </c>
      <c r="P152" s="42">
        <f t="shared" si="472"/>
        <v>-3.1004244218213461E-3</v>
      </c>
      <c r="Q152" s="42">
        <f t="shared" si="472"/>
        <v>-2.6184410676323489E-2</v>
      </c>
      <c r="R152" s="42">
        <f t="shared" si="472"/>
        <v>1.0161184606838347E-4</v>
      </c>
      <c r="S152" s="42">
        <f t="shared" si="472"/>
        <v>7.6969078175132211E-2</v>
      </c>
      <c r="T152" s="42">
        <f t="shared" si="472"/>
        <v>4.2590681539322883E-3</v>
      </c>
      <c r="U152" s="42">
        <f t="shared" si="472"/>
        <v>1.7160140545581237E-2</v>
      </c>
      <c r="V152" s="42">
        <f t="shared" si="472"/>
        <v>4.1582521034875253E-3</v>
      </c>
      <c r="W152" s="42">
        <f t="shared" si="472"/>
        <v>3.0118519418074419E-2</v>
      </c>
      <c r="X152" s="42">
        <f t="shared" si="472"/>
        <v>3.5130867833350621E-2</v>
      </c>
      <c r="Y152" s="42">
        <f t="shared" si="472"/>
        <v>9.8692048489280815E-2</v>
      </c>
      <c r="Z152" s="42">
        <f t="shared" si="472"/>
        <v>-5.2974389185365123E-2</v>
      </c>
      <c r="AA152" s="42">
        <f t="shared" si="472"/>
        <v>-3.2300826542050243E-2</v>
      </c>
      <c r="AB152" s="42">
        <f t="shared" si="472"/>
        <v>3.6952416014478073E-2</v>
      </c>
      <c r="AC152" s="42">
        <f t="shared" si="472"/>
        <v>8.9092739522538933E-2</v>
      </c>
      <c r="AD152" s="42">
        <f t="shared" si="472"/>
        <v>-6.2435682756234456E-2</v>
      </c>
      <c r="AE152" s="42">
        <f t="shared" si="472"/>
        <v>0.18782111638910659</v>
      </c>
      <c r="AF152" s="42">
        <f t="shared" ref="AF152:AP152" si="473">+(AF150/AE150-1)</f>
        <v>2.4077253471032734E-2</v>
      </c>
      <c r="AG152" s="42">
        <f t="shared" si="473"/>
        <v>-5.1723383809934131E-2</v>
      </c>
      <c r="AH152" s="42">
        <f t="shared" si="473"/>
        <v>3.8499175499414173E-2</v>
      </c>
      <c r="AI152" s="42">
        <f t="shared" si="473"/>
        <v>-2.3971763330066231E-2</v>
      </c>
      <c r="AJ152" s="42">
        <f t="shared" si="473"/>
        <v>3.4868741251458557E-2</v>
      </c>
      <c r="AK152" s="42">
        <f t="shared" si="473"/>
        <v>3.681438432362083E-2</v>
      </c>
      <c r="AL152" s="42">
        <f t="shared" si="473"/>
        <v>7.9042295572256727E-2</v>
      </c>
      <c r="AM152" s="42">
        <f t="shared" si="473"/>
        <v>-6.2554327123631404E-2</v>
      </c>
      <c r="AN152" s="42">
        <f t="shared" si="473"/>
        <v>-1.3670671051935535E-2</v>
      </c>
      <c r="AO152" s="42">
        <f t="shared" si="473"/>
        <v>1.9296005059906696E-2</v>
      </c>
      <c r="AP152" s="42">
        <f t="shared" si="473"/>
        <v>9.3539559426122576E-2</v>
      </c>
      <c r="AQ152" s="42">
        <f t="shared" ref="AQ152:AU152" si="474">+(AQ150/AP150-1)</f>
        <v>-8.6816239355404057E-2</v>
      </c>
      <c r="AR152" s="42">
        <f t="shared" si="474"/>
        <v>5.2956182882093472E-3</v>
      </c>
      <c r="AS152" s="42">
        <f t="shared" si="474"/>
        <v>2.4255360646186164E-2</v>
      </c>
      <c r="AT152" s="42">
        <f t="shared" si="474"/>
        <v>-3.9297130447382145E-2</v>
      </c>
      <c r="AU152" s="42">
        <f t="shared" si="474"/>
        <v>-1</v>
      </c>
      <c r="AV152" s="42"/>
      <c r="AW152" s="669">
        <v>-1</v>
      </c>
      <c r="AX152" s="42"/>
      <c r="AY152" s="42"/>
      <c r="AZ152" s="42"/>
      <c r="BA152" s="496"/>
      <c r="BB152" s="496"/>
      <c r="BC152" s="496"/>
      <c r="BD152" s="496"/>
      <c r="BE152" s="496"/>
      <c r="BF152" s="496"/>
      <c r="BG152" s="496"/>
    </row>
    <row r="153" spans="1:59">
      <c r="A153" s="38"/>
      <c r="B153" s="12" t="s">
        <v>126</v>
      </c>
      <c r="C153" s="182"/>
      <c r="D153" s="182"/>
      <c r="E153" s="182"/>
      <c r="F153" s="182"/>
      <c r="G153" s="182"/>
      <c r="H153" s="182"/>
      <c r="I153" s="182"/>
      <c r="J153" s="182"/>
      <c r="K153" s="53">
        <f t="shared" ref="K153:AE153" si="475">K135*10^6/K144</f>
        <v>38463.11416037866</v>
      </c>
      <c r="L153" s="53">
        <f t="shared" si="475"/>
        <v>41369.434849328572</v>
      </c>
      <c r="M153" s="53">
        <f t="shared" si="475"/>
        <v>43306.09946774468</v>
      </c>
      <c r="N153" s="53">
        <f t="shared" si="475"/>
        <v>43117.756666213711</v>
      </c>
      <c r="O153" s="53">
        <f t="shared" si="475"/>
        <v>43336.158543847123</v>
      </c>
      <c r="P153" s="53">
        <f t="shared" si="475"/>
        <v>42924.873619076679</v>
      </c>
      <c r="Q153" s="53">
        <f t="shared" si="475"/>
        <v>41129.812883982646</v>
      </c>
      <c r="R153" s="53">
        <f t="shared" si="475"/>
        <v>42868.893474236014</v>
      </c>
      <c r="S153" s="53">
        <f t="shared" si="475"/>
        <v>42455.369628108783</v>
      </c>
      <c r="T153" s="53">
        <f t="shared" si="475"/>
        <v>44227.241828729137</v>
      </c>
      <c r="U153" s="53">
        <f t="shared" si="475"/>
        <v>45009.241168083645</v>
      </c>
      <c r="V153" s="53">
        <f t="shared" si="475"/>
        <v>45115.087086517015</v>
      </c>
      <c r="W153" s="53">
        <f t="shared" si="475"/>
        <v>43391.424898084304</v>
      </c>
      <c r="X153" s="53">
        <f t="shared" si="475"/>
        <v>45484.509125644145</v>
      </c>
      <c r="Y153" s="53">
        <f t="shared" si="475"/>
        <v>47270.375594756013</v>
      </c>
      <c r="Z153" s="53">
        <f t="shared" si="475"/>
        <v>46829.115317766787</v>
      </c>
      <c r="AA153" s="53">
        <f t="shared" si="475"/>
        <v>46075.473761574685</v>
      </c>
      <c r="AB153" s="53">
        <f t="shared" si="475"/>
        <v>48613.525630761491</v>
      </c>
      <c r="AC153" s="53">
        <f t="shared" si="475"/>
        <v>49862.249182229214</v>
      </c>
      <c r="AD153" s="53">
        <f t="shared" si="475"/>
        <v>50167.79942745388</v>
      </c>
      <c r="AE153" s="53">
        <f t="shared" si="475"/>
        <v>51651.885323325929</v>
      </c>
      <c r="AF153" s="53">
        <f t="shared" ref="AF153:AM153" si="476">AF135*10^6/AF144</f>
        <v>55488.229848231094</v>
      </c>
      <c r="AG153" s="53">
        <f t="shared" si="476"/>
        <v>53281.707574796972</v>
      </c>
      <c r="AH153" s="53">
        <f t="shared" si="476"/>
        <v>53859.76648407428</v>
      </c>
      <c r="AI153" s="53">
        <f t="shared" si="476"/>
        <v>53971.550843256475</v>
      </c>
      <c r="AJ153" s="53">
        <f t="shared" si="476"/>
        <v>57355.278888802575</v>
      </c>
      <c r="AK153" s="53">
        <f t="shared" si="476"/>
        <v>58237.212042416606</v>
      </c>
      <c r="AL153" s="53">
        <f t="shared" si="476"/>
        <v>62486.312860225713</v>
      </c>
      <c r="AM153" s="53">
        <f t="shared" si="476"/>
        <v>56985.634172368213</v>
      </c>
      <c r="AN153" s="53">
        <f t="shared" ref="AN153:AO153" si="477">AN135*10^6/AN144</f>
        <v>59534.486218005746</v>
      </c>
      <c r="AO153" s="53">
        <f t="shared" si="477"/>
        <v>60773.117757472952</v>
      </c>
      <c r="AP153" s="53">
        <f t="shared" ref="AP153:AQ153" si="478">AP135*10^6/AP144</f>
        <v>64215.773360948384</v>
      </c>
      <c r="AQ153" s="53">
        <f t="shared" si="478"/>
        <v>60160.967817494748</v>
      </c>
      <c r="AR153" s="53">
        <f t="shared" ref="AR153" si="479">AR135*10^6/AR144</f>
        <v>61312.569952856014</v>
      </c>
      <c r="AS153" s="53">
        <f t="shared" ref="AS153:AT153" si="480">AS135*10^6/AS144</f>
        <v>61795.701260501737</v>
      </c>
      <c r="AT153" s="53">
        <f t="shared" si="480"/>
        <v>65012.245644194525</v>
      </c>
      <c r="AU153" s="53">
        <f>(AT153)*(1+AU155%)</f>
        <v>65018.746868758943</v>
      </c>
      <c r="AV153" s="38"/>
      <c r="AW153" s="679">
        <v>61801.880830627786</v>
      </c>
      <c r="AX153" s="52"/>
      <c r="AY153" s="38"/>
      <c r="AZ153" s="38"/>
      <c r="BA153" s="475"/>
      <c r="BB153" s="475"/>
      <c r="BC153" s="475"/>
      <c r="BD153" s="475"/>
      <c r="BE153" s="475"/>
      <c r="BF153" s="475"/>
      <c r="BG153" s="475"/>
    </row>
    <row r="154" spans="1:59" s="362" customFormat="1">
      <c r="A154" s="42" t="s">
        <v>163</v>
      </c>
      <c r="B154" s="42" t="s">
        <v>516</v>
      </c>
      <c r="C154" s="485"/>
      <c r="D154" s="485"/>
      <c r="E154" s="485"/>
      <c r="F154" s="485"/>
      <c r="G154" s="485"/>
      <c r="H154" s="485"/>
      <c r="I154" s="485"/>
      <c r="J154" s="485"/>
      <c r="K154" s="49" t="e">
        <f>+(K151/G151-1)</f>
        <v>#DIV/0!</v>
      </c>
      <c r="L154" s="42" t="e">
        <f>+(L151/H151-1)</f>
        <v>#DIV/0!</v>
      </c>
      <c r="M154" s="42" t="e">
        <f>+(M151/I151-1)</f>
        <v>#DIV/0!</v>
      </c>
      <c r="N154" s="42" t="e">
        <f>+(N151/J151-1)</f>
        <v>#DIV/0!</v>
      </c>
      <c r="O154" s="42" t="e">
        <f>+(O151/K151-1)</f>
        <v>#DIV/0!</v>
      </c>
      <c r="P154" s="49">
        <f t="shared" ref="P154:AE154" si="481">+(P153/L153-1)</f>
        <v>3.7598743502616383E-2</v>
      </c>
      <c r="Q154" s="49">
        <f t="shared" si="481"/>
        <v>-5.025358114699241E-2</v>
      </c>
      <c r="R154" s="49">
        <f t="shared" si="481"/>
        <v>-5.7717101078382793E-3</v>
      </c>
      <c r="S154" s="49">
        <f t="shared" si="481"/>
        <v>-2.0324572950949582E-2</v>
      </c>
      <c r="T154" s="49">
        <f t="shared" si="481"/>
        <v>3.0340641680390634E-2</v>
      </c>
      <c r="U154" s="49">
        <f t="shared" si="481"/>
        <v>9.4321564142388237E-2</v>
      </c>
      <c r="V154" s="49">
        <f t="shared" si="481"/>
        <v>5.239681807114871E-2</v>
      </c>
      <c r="W154" s="49">
        <f t="shared" si="481"/>
        <v>2.2047983050788922E-2</v>
      </c>
      <c r="X154" s="49">
        <f t="shared" si="481"/>
        <v>2.8427440756622291E-2</v>
      </c>
      <c r="Y154" s="49">
        <f t="shared" si="481"/>
        <v>5.0237115045515424E-2</v>
      </c>
      <c r="Z154" s="49">
        <f t="shared" si="481"/>
        <v>3.7992351160993865E-2</v>
      </c>
      <c r="AA154" s="49">
        <f t="shared" si="481"/>
        <v>6.1856665684396184E-2</v>
      </c>
      <c r="AB154" s="49">
        <f t="shared" si="481"/>
        <v>6.8793014704718658E-2</v>
      </c>
      <c r="AC154" s="49">
        <f t="shared" si="481"/>
        <v>5.4830822790431499E-2</v>
      </c>
      <c r="AD154" s="49">
        <f t="shared" si="481"/>
        <v>7.1295049821716638E-2</v>
      </c>
      <c r="AE154" s="49">
        <f t="shared" si="481"/>
        <v>0.1210277639380839</v>
      </c>
      <c r="AF154" s="49">
        <f t="shared" ref="AF154:AP154" si="482">+(AF153/AB153-1)</f>
        <v>0.14141546263658467</v>
      </c>
      <c r="AG154" s="49">
        <f t="shared" si="482"/>
        <v>6.8578101643004929E-2</v>
      </c>
      <c r="AH154" s="49">
        <f t="shared" si="482"/>
        <v>7.3592365994829878E-2</v>
      </c>
      <c r="AI154" s="49">
        <f t="shared" si="482"/>
        <v>4.4909600209365186E-2</v>
      </c>
      <c r="AJ154" s="49">
        <f t="shared" si="482"/>
        <v>3.3647659074332426E-2</v>
      </c>
      <c r="AK154" s="49">
        <f t="shared" si="482"/>
        <v>9.3005736737379996E-2</v>
      </c>
      <c r="AL154" s="49">
        <f t="shared" si="482"/>
        <v>0.16016679869383021</v>
      </c>
      <c r="AM154" s="49">
        <f t="shared" si="482"/>
        <v>5.584577952679548E-2</v>
      </c>
      <c r="AN154" s="49">
        <f t="shared" si="482"/>
        <v>3.799488680768337E-2</v>
      </c>
      <c r="AO154" s="49">
        <f t="shared" si="482"/>
        <v>4.3544421618420426E-2</v>
      </c>
      <c r="AP154" s="49">
        <f t="shared" si="482"/>
        <v>2.7677429209037596E-2</v>
      </c>
      <c r="AQ154" s="49">
        <f t="shared" ref="AQ154:AU154" si="483">+(AQ153/AM153-1)</f>
        <v>5.5721651452046661E-2</v>
      </c>
      <c r="AR154" s="49">
        <f t="shared" si="483"/>
        <v>2.9866449646331228E-2</v>
      </c>
      <c r="AS154" s="49">
        <f t="shared" si="483"/>
        <v>1.6826247208668876E-2</v>
      </c>
      <c r="AT154" s="49">
        <f t="shared" si="483"/>
        <v>1.2403063010224535E-2</v>
      </c>
      <c r="AU154" s="49">
        <f t="shared" si="483"/>
        <v>8.0746358103826132E-2</v>
      </c>
      <c r="AV154" s="42"/>
      <c r="AW154" s="668">
        <v>-3.7590336516737488E-2</v>
      </c>
      <c r="AX154" s="49"/>
      <c r="AY154" s="42"/>
      <c r="AZ154" s="42"/>
      <c r="BA154" s="496"/>
      <c r="BB154" s="496"/>
      <c r="BC154" s="496"/>
      <c r="BD154" s="496"/>
      <c r="BE154" s="496"/>
      <c r="BF154" s="496"/>
      <c r="BG154" s="496"/>
    </row>
    <row r="155" spans="1:59" s="362" customFormat="1">
      <c r="A155" s="42" t="s">
        <v>163</v>
      </c>
      <c r="B155" s="42" t="s">
        <v>517</v>
      </c>
      <c r="C155" s="485"/>
      <c r="D155" s="485"/>
      <c r="E155" s="485"/>
      <c r="F155" s="485"/>
      <c r="G155" s="485"/>
      <c r="H155" s="485"/>
      <c r="I155" s="485"/>
      <c r="J155" s="485"/>
      <c r="K155" s="49" t="e">
        <f>+(K151/J151-1)</f>
        <v>#DIV/0!</v>
      </c>
      <c r="L155" s="42" t="e">
        <f>+(L151/K151-1)</f>
        <v>#DIV/0!</v>
      </c>
      <c r="M155" s="42" t="e">
        <f>+(M151/L151-1)</f>
        <v>#DIV/0!</v>
      </c>
      <c r="N155" s="49">
        <f>+(N153/M153-1)</f>
        <v>-4.3491056420643659E-3</v>
      </c>
      <c r="O155" s="49" t="e">
        <f>+(O153/#REF!-1)</f>
        <v>#REF!</v>
      </c>
      <c r="P155" s="42">
        <f t="shared" ref="P155:AE155" si="484">+(P153/O153-1)</f>
        <v>-9.4905718132425321E-3</v>
      </c>
      <c r="Q155" s="42">
        <f t="shared" si="484"/>
        <v>-4.1818660924286877E-2</v>
      </c>
      <c r="R155" s="42">
        <f t="shared" si="484"/>
        <v>4.2282725553818956E-2</v>
      </c>
      <c r="S155" s="42">
        <f t="shared" si="484"/>
        <v>-9.6462449252570082E-3</v>
      </c>
      <c r="T155" s="42">
        <f t="shared" si="484"/>
        <v>4.1734937562461605E-2</v>
      </c>
      <c r="U155" s="42">
        <f t="shared" si="484"/>
        <v>1.7681395154208746E-2</v>
      </c>
      <c r="V155" s="42">
        <f t="shared" si="484"/>
        <v>2.351648587855415E-3</v>
      </c>
      <c r="W155" s="42">
        <f t="shared" si="484"/>
        <v>-3.820589296718524E-2</v>
      </c>
      <c r="X155" s="42">
        <f t="shared" si="484"/>
        <v>4.8237278044590104E-2</v>
      </c>
      <c r="Y155" s="42">
        <f t="shared" si="484"/>
        <v>3.926318000219986E-2</v>
      </c>
      <c r="Z155" s="42">
        <f t="shared" si="484"/>
        <v>-9.3348163926622041E-3</v>
      </c>
      <c r="AA155" s="42">
        <f t="shared" si="484"/>
        <v>-1.6093439969517731E-2</v>
      </c>
      <c r="AB155" s="42">
        <f t="shared" si="484"/>
        <v>5.5084661360627285E-2</v>
      </c>
      <c r="AC155" s="42">
        <f t="shared" si="484"/>
        <v>2.5686751480488379E-2</v>
      </c>
      <c r="AD155" s="42">
        <f t="shared" si="484"/>
        <v>6.1278873343235674E-3</v>
      </c>
      <c r="AE155" s="42">
        <f t="shared" si="484"/>
        <v>2.9582439588926812E-2</v>
      </c>
      <c r="AF155" s="42">
        <f t="shared" ref="AF155:AP155" si="485">+(AF153/AE153-1)</f>
        <v>7.4273078337620202E-2</v>
      </c>
      <c r="AG155" s="42">
        <f t="shared" si="485"/>
        <v>-3.9765591359992913E-2</v>
      </c>
      <c r="AH155" s="42">
        <f t="shared" si="485"/>
        <v>1.0849106299114508E-2</v>
      </c>
      <c r="AI155" s="42">
        <f t="shared" si="485"/>
        <v>2.0754705502714632E-3</v>
      </c>
      <c r="AJ155" s="42">
        <f t="shared" si="485"/>
        <v>6.2694660291920945E-2</v>
      </c>
      <c r="AK155" s="42">
        <f t="shared" si="485"/>
        <v>1.5376669256963682E-2</v>
      </c>
      <c r="AL155" s="42">
        <f t="shared" si="485"/>
        <v>7.2961954544017438E-2</v>
      </c>
      <c r="AM155" s="42">
        <f t="shared" si="485"/>
        <v>-8.803013709837304E-2</v>
      </c>
      <c r="AN155" s="42">
        <f t="shared" si="485"/>
        <v>4.47279754390002E-2</v>
      </c>
      <c r="AO155" s="42">
        <f t="shared" si="485"/>
        <v>2.0805278052312914E-2</v>
      </c>
      <c r="AP155" s="42">
        <f t="shared" si="485"/>
        <v>5.6647671380198439E-2</v>
      </c>
      <c r="AQ155" s="42">
        <f t="shared" ref="AQ155:AT155" si="486">+(AQ153/AP153-1)</f>
        <v>-6.3143451074895718E-2</v>
      </c>
      <c r="AR155" s="42">
        <f t="shared" si="486"/>
        <v>1.9142014783651407E-2</v>
      </c>
      <c r="AS155" s="42">
        <f t="shared" si="486"/>
        <v>7.8798084637001775E-3</v>
      </c>
      <c r="AT155" s="42">
        <f t="shared" si="486"/>
        <v>5.2051264377328543E-2</v>
      </c>
      <c r="AU155" s="896">
        <v>0.01</v>
      </c>
      <c r="AV155" s="42"/>
      <c r="AW155" s="669">
        <v>0.01</v>
      </c>
      <c r="AX155" s="42"/>
      <c r="AY155" s="42"/>
      <c r="AZ155" s="42"/>
      <c r="BA155" s="496"/>
      <c r="BB155" s="496"/>
      <c r="BC155" s="496"/>
      <c r="BD155" s="496"/>
      <c r="BE155" s="496"/>
      <c r="BF155" s="496"/>
      <c r="BG155" s="496"/>
    </row>
    <row r="156" spans="1:59">
      <c r="A156" s="38"/>
      <c r="B156" s="38" t="s">
        <v>739</v>
      </c>
      <c r="C156" s="48"/>
      <c r="D156" s="48"/>
      <c r="E156" s="48"/>
      <c r="F156" s="48"/>
      <c r="G156" s="48"/>
      <c r="H156" s="48"/>
      <c r="I156" s="48"/>
      <c r="J156" s="48"/>
      <c r="K156" s="52">
        <f t="shared" ref="K156:AF156" si="487">(K129-K12)*10^6/K138</f>
        <v>37365.940342330345</v>
      </c>
      <c r="L156" s="52">
        <f t="shared" si="487"/>
        <v>40099.035564725986</v>
      </c>
      <c r="M156" s="52">
        <f t="shared" si="487"/>
        <v>43435.721594887167</v>
      </c>
      <c r="N156" s="52">
        <f t="shared" si="487"/>
        <v>44879.235663193162</v>
      </c>
      <c r="O156" s="52">
        <f t="shared" si="487"/>
        <v>43866.016742827131</v>
      </c>
      <c r="P156" s="52">
        <f t="shared" si="487"/>
        <v>43190.416862979415</v>
      </c>
      <c r="Q156" s="52">
        <f t="shared" si="487"/>
        <v>41496.563386511058</v>
      </c>
      <c r="R156" s="52">
        <f t="shared" si="487"/>
        <v>43599.956381911608</v>
      </c>
      <c r="S156" s="52">
        <f t="shared" si="487"/>
        <v>41799.019660900667</v>
      </c>
      <c r="T156" s="52">
        <f t="shared" si="487"/>
        <v>43632.034036290279</v>
      </c>
      <c r="U156" s="52">
        <f t="shared" si="487"/>
        <v>44542.498838829539</v>
      </c>
      <c r="V156" s="52">
        <f t="shared" si="487"/>
        <v>44221.776688401318</v>
      </c>
      <c r="W156" s="52">
        <f t="shared" si="487"/>
        <v>42806.09337909532</v>
      </c>
      <c r="X156" s="52">
        <f t="shared" si="487"/>
        <v>44776.57523010041</v>
      </c>
      <c r="Y156" s="52">
        <f t="shared" si="487"/>
        <v>45065.792789070001</v>
      </c>
      <c r="Z156" s="52">
        <f t="shared" si="487"/>
        <v>45364.357056478701</v>
      </c>
      <c r="AA156" s="52">
        <f t="shared" si="487"/>
        <v>45281.505624685291</v>
      </c>
      <c r="AB156" s="52">
        <f t="shared" si="487"/>
        <v>47836.697155813345</v>
      </c>
      <c r="AC156" s="52">
        <f t="shared" si="487"/>
        <v>47358.819701971552</v>
      </c>
      <c r="AD156" s="52">
        <f t="shared" si="487"/>
        <v>49674.145524531581</v>
      </c>
      <c r="AE156" s="52">
        <f t="shared" si="487"/>
        <v>47554.287900997551</v>
      </c>
      <c r="AF156" s="52">
        <f t="shared" si="487"/>
        <v>52409.245047296092</v>
      </c>
      <c r="AG156" s="52">
        <f t="shared" ref="AG156:AM156" si="488">(AG129-AG12)*10^6/AG138</f>
        <v>50802.543488613126</v>
      </c>
      <c r="AH156" s="52">
        <f t="shared" si="488"/>
        <v>51058.284660542136</v>
      </c>
      <c r="AI156" s="52">
        <f t="shared" si="488"/>
        <v>52745.931563527622</v>
      </c>
      <c r="AJ156" s="52">
        <f t="shared" si="488"/>
        <v>57612.551235906045</v>
      </c>
      <c r="AK156" s="52">
        <f t="shared" si="488"/>
        <v>57477.747689766977</v>
      </c>
      <c r="AL156" s="52">
        <f t="shared" si="488"/>
        <v>59166.248116524359</v>
      </c>
      <c r="AM156" s="52">
        <f t="shared" si="488"/>
        <v>53246.49182808886</v>
      </c>
      <c r="AN156" s="52">
        <f t="shared" ref="AN156:AO156" si="489">(AN129-AN12)*10^6/AN138</f>
        <v>58287.025558908892</v>
      </c>
      <c r="AO156" s="52">
        <f t="shared" si="489"/>
        <v>58498.579642591132</v>
      </c>
      <c r="AP156" s="52">
        <f t="shared" ref="AP156:AR156" si="490">(AP129-AP12)*10^6/AP138</f>
        <v>59841.014661322712</v>
      </c>
      <c r="AQ156" s="52">
        <f t="shared" si="490"/>
        <v>57469.988014433955</v>
      </c>
      <c r="AR156" s="52">
        <f t="shared" si="490"/>
        <v>58726.954649441526</v>
      </c>
      <c r="AS156" s="52">
        <f t="shared" ref="AS156" si="491">(AS129-AS12)*10^6/AS138</f>
        <v>59266.825072266867</v>
      </c>
      <c r="AT156" s="52">
        <f t="shared" ref="AT156" si="492">(AT129-AT12)*10^6/AT138</f>
        <v>65275.812380278541</v>
      </c>
      <c r="AU156" s="52">
        <f t="shared" ref="AU156" si="493">(AU129-AU12)*10^6/AU138</f>
        <v>105336.99262025706</v>
      </c>
      <c r="AV156" s="38"/>
      <c r="AW156" s="679">
        <v>98912.743225257014</v>
      </c>
      <c r="AX156" s="52"/>
      <c r="AY156" s="38"/>
      <c r="AZ156" s="38"/>
      <c r="BA156" s="475"/>
      <c r="BB156" s="475"/>
      <c r="BC156" s="475"/>
      <c r="BD156" s="475"/>
      <c r="BE156" s="475"/>
      <c r="BF156" s="475"/>
      <c r="BG156" s="475"/>
    </row>
    <row r="157" spans="1:59" s="362" customFormat="1">
      <c r="A157" s="42" t="s">
        <v>163</v>
      </c>
      <c r="B157" s="42" t="s">
        <v>516</v>
      </c>
      <c r="C157" s="485"/>
      <c r="D157" s="485"/>
      <c r="E157" s="485"/>
      <c r="F157" s="485"/>
      <c r="G157" s="485"/>
      <c r="H157" s="485"/>
      <c r="I157" s="485"/>
      <c r="J157" s="485"/>
      <c r="K157" s="49" t="e">
        <f>+(K154/G154-1)</f>
        <v>#DIV/0!</v>
      </c>
      <c r="L157" s="42" t="e">
        <f>+(L154/H154-1)</f>
        <v>#DIV/0!</v>
      </c>
      <c r="M157" s="42" t="e">
        <f>+(M154/I154-1)</f>
        <v>#DIV/0!</v>
      </c>
      <c r="N157" s="42" t="e">
        <f>+(N154/J154-1)</f>
        <v>#DIV/0!</v>
      </c>
      <c r="O157" s="42" t="e">
        <f>+(O154/K154-1)</f>
        <v>#DIV/0!</v>
      </c>
      <c r="P157" s="49">
        <f t="shared" ref="P157:AE157" si="494">+(P156/L156-1)</f>
        <v>7.7093657109619684E-2</v>
      </c>
      <c r="Q157" s="49">
        <f t="shared" si="494"/>
        <v>-4.4644318942415606E-2</v>
      </c>
      <c r="R157" s="49">
        <f t="shared" si="494"/>
        <v>-2.8504925771958511E-2</v>
      </c>
      <c r="S157" s="49">
        <f t="shared" si="494"/>
        <v>-4.7120692403976983E-2</v>
      </c>
      <c r="T157" s="49">
        <f t="shared" si="494"/>
        <v>1.0224887958638629E-2</v>
      </c>
      <c r="U157" s="49">
        <f t="shared" si="494"/>
        <v>7.3402113421965787E-2</v>
      </c>
      <c r="V157" s="49">
        <f t="shared" si="494"/>
        <v>1.4261947902949768E-2</v>
      </c>
      <c r="W157" s="49">
        <f t="shared" si="494"/>
        <v>2.4093237744919671E-2</v>
      </c>
      <c r="X157" s="49">
        <f t="shared" si="494"/>
        <v>2.6231671731328898E-2</v>
      </c>
      <c r="Y157" s="49">
        <f t="shared" si="494"/>
        <v>1.1748194732718709E-2</v>
      </c>
      <c r="Z157" s="49">
        <f t="shared" si="494"/>
        <v>2.583750481416236E-2</v>
      </c>
      <c r="AA157" s="49">
        <f t="shared" si="494"/>
        <v>5.7828501743138583E-2</v>
      </c>
      <c r="AB157" s="49">
        <f t="shared" si="494"/>
        <v>6.8342027276257822E-2</v>
      </c>
      <c r="AC157" s="49">
        <f t="shared" si="494"/>
        <v>5.0881761331350361E-2</v>
      </c>
      <c r="AD157" s="49">
        <f t="shared" si="494"/>
        <v>9.50038476834838E-2</v>
      </c>
      <c r="AE157" s="49">
        <f t="shared" si="494"/>
        <v>5.0192285900344524E-2</v>
      </c>
      <c r="AF157" s="49">
        <f t="shared" ref="AF157:AP157" si="495">+(AF156/AB156-1)</f>
        <v>9.5586613695111122E-2</v>
      </c>
      <c r="AG157" s="49">
        <f t="shared" si="495"/>
        <v>7.2715574592290944E-2</v>
      </c>
      <c r="AH157" s="49">
        <f t="shared" si="495"/>
        <v>2.7864377361599413E-2</v>
      </c>
      <c r="AI157" s="49">
        <f t="shared" si="495"/>
        <v>0.10917298716234503</v>
      </c>
      <c r="AJ157" s="49">
        <f t="shared" si="495"/>
        <v>9.9282219843355834E-2</v>
      </c>
      <c r="AK157" s="49">
        <f t="shared" si="495"/>
        <v>0.13139507872573408</v>
      </c>
      <c r="AL157" s="49">
        <f t="shared" si="495"/>
        <v>0.15879819523682626</v>
      </c>
      <c r="AM157" s="49">
        <f t="shared" si="495"/>
        <v>9.4900260498453903E-3</v>
      </c>
      <c r="AN157" s="49">
        <f t="shared" si="495"/>
        <v>1.1707072652295425E-2</v>
      </c>
      <c r="AO157" s="49">
        <f t="shared" si="495"/>
        <v>1.7760472423763662E-2</v>
      </c>
      <c r="AP157" s="49">
        <f t="shared" si="495"/>
        <v>1.1404585659537503E-2</v>
      </c>
      <c r="AQ157" s="49">
        <f t="shared" ref="AQ157:AU157" si="496">+(AQ156/AM156-1)</f>
        <v>7.9319708047265181E-2</v>
      </c>
      <c r="AR157" s="49">
        <f t="shared" si="496"/>
        <v>7.5476332222170761E-3</v>
      </c>
      <c r="AS157" s="49">
        <f t="shared" si="496"/>
        <v>1.3132719364632228E-2</v>
      </c>
      <c r="AT157" s="49">
        <f t="shared" si="496"/>
        <v>9.0820614418300138E-2</v>
      </c>
      <c r="AU157" s="49">
        <f t="shared" si="496"/>
        <v>0.83290437773888182</v>
      </c>
      <c r="AV157" s="42"/>
      <c r="AW157" s="668">
        <v>0.65127989082715421</v>
      </c>
      <c r="AX157" s="49"/>
      <c r="AY157" s="42"/>
      <c r="AZ157" s="42"/>
      <c r="BA157" s="496"/>
      <c r="BB157" s="496"/>
      <c r="BC157" s="496"/>
      <c r="BD157" s="496"/>
      <c r="BE157" s="496"/>
      <c r="BF157" s="496"/>
      <c r="BG157" s="496"/>
    </row>
    <row r="158" spans="1:59" s="362" customFormat="1">
      <c r="A158" s="42" t="s">
        <v>163</v>
      </c>
      <c r="B158" s="42" t="s">
        <v>517</v>
      </c>
      <c r="C158" s="485"/>
      <c r="D158" s="485"/>
      <c r="E158" s="485"/>
      <c r="F158" s="485"/>
      <c r="G158" s="485"/>
      <c r="H158" s="485"/>
      <c r="I158" s="485"/>
      <c r="J158" s="485"/>
      <c r="K158" s="49" t="e">
        <f>+(K154/J154-1)</f>
        <v>#DIV/0!</v>
      </c>
      <c r="L158" s="42" t="e">
        <f>+(L154/K154-1)</f>
        <v>#DIV/0!</v>
      </c>
      <c r="M158" s="42" t="e">
        <f>+(M154/L154-1)</f>
        <v>#DIV/0!</v>
      </c>
      <c r="N158" s="49">
        <f>+(N156/M156-1)</f>
        <v>3.3233339180346766E-2</v>
      </c>
      <c r="O158" s="49" t="e">
        <f>+(O156/#REF!-1)</f>
        <v>#REF!</v>
      </c>
      <c r="P158" s="42">
        <f t="shared" ref="P158:AE158" si="497">+(P156/O156-1)</f>
        <v>-1.5401441252542947E-2</v>
      </c>
      <c r="Q158" s="42">
        <f t="shared" si="497"/>
        <v>-3.9218271077171352E-2</v>
      </c>
      <c r="R158" s="42">
        <f t="shared" si="497"/>
        <v>5.0688366065616997E-2</v>
      </c>
      <c r="S158" s="42">
        <f t="shared" si="497"/>
        <v>-4.130592941964728E-2</v>
      </c>
      <c r="T158" s="42">
        <f t="shared" si="497"/>
        <v>4.3853047039383863E-2</v>
      </c>
      <c r="U158" s="42">
        <f t="shared" si="497"/>
        <v>2.0866888804266903E-2</v>
      </c>
      <c r="V158" s="42">
        <f t="shared" si="497"/>
        <v>-7.2003627723874475E-3</v>
      </c>
      <c r="W158" s="42">
        <f t="shared" si="497"/>
        <v>-3.2013261685103434E-2</v>
      </c>
      <c r="X158" s="42">
        <f t="shared" si="497"/>
        <v>4.6032741963960344E-2</v>
      </c>
      <c r="Y158" s="42">
        <f t="shared" si="497"/>
        <v>6.4591263955169342E-3</v>
      </c>
      <c r="Z158" s="42">
        <f t="shared" si="497"/>
        <v>6.6250752273708802E-3</v>
      </c>
      <c r="AA158" s="42">
        <f t="shared" si="497"/>
        <v>-1.8263552526548432E-3</v>
      </c>
      <c r="AB158" s="42">
        <f t="shared" si="497"/>
        <v>5.6429032027042192E-2</v>
      </c>
      <c r="AC158" s="42">
        <f t="shared" si="497"/>
        <v>-9.9897668997768196E-3</v>
      </c>
      <c r="AD158" s="42">
        <f t="shared" si="497"/>
        <v>4.8889010265254607E-2</v>
      </c>
      <c r="AE158" s="42">
        <f t="shared" si="497"/>
        <v>-4.2675271031831552E-2</v>
      </c>
      <c r="AF158" s="42">
        <f t="shared" ref="AF158:AP158" si="498">+(AF156/AE156-1)</f>
        <v>0.10209294178489214</v>
      </c>
      <c r="AG158" s="42">
        <f t="shared" si="498"/>
        <v>-3.0656834633527308E-2</v>
      </c>
      <c r="AH158" s="42">
        <f t="shared" si="498"/>
        <v>5.0340229911192136E-3</v>
      </c>
      <c r="AI158" s="42">
        <f t="shared" si="498"/>
        <v>3.3053341180685925E-2</v>
      </c>
      <c r="AJ158" s="42">
        <f t="shared" si="498"/>
        <v>9.2265308965432391E-2</v>
      </c>
      <c r="AK158" s="42">
        <f t="shared" si="498"/>
        <v>-2.3398294858890667E-3</v>
      </c>
      <c r="AL158" s="42">
        <f t="shared" si="498"/>
        <v>2.9376593457888678E-2</v>
      </c>
      <c r="AM158" s="42">
        <f t="shared" si="498"/>
        <v>-0.10005292674257282</v>
      </c>
      <c r="AN158" s="42">
        <f t="shared" si="498"/>
        <v>9.4664147022001988E-2</v>
      </c>
      <c r="AO158" s="42">
        <f t="shared" si="498"/>
        <v>3.6295227223155369E-3</v>
      </c>
      <c r="AP158" s="42">
        <f t="shared" si="498"/>
        <v>2.2948164330372833E-2</v>
      </c>
      <c r="AQ158" s="42">
        <f t="shared" ref="AQ158:AU158" si="499">+(AQ156/AP156-1)</f>
        <v>-3.9622099663714994E-2</v>
      </c>
      <c r="AR158" s="42">
        <f t="shared" si="499"/>
        <v>2.1871705187964885E-2</v>
      </c>
      <c r="AS158" s="42">
        <f t="shared" si="499"/>
        <v>9.1928898075506194E-3</v>
      </c>
      <c r="AT158" s="42">
        <f t="shared" si="499"/>
        <v>0.10138871621155054</v>
      </c>
      <c r="AU158" s="42">
        <f t="shared" si="499"/>
        <v>0.61372166472005496</v>
      </c>
      <c r="AV158" s="42"/>
      <c r="AW158" s="669">
        <v>0.66893946326039888</v>
      </c>
      <c r="AX158" s="42"/>
      <c r="AY158" s="42"/>
      <c r="AZ158" s="42"/>
      <c r="BA158" s="496"/>
      <c r="BB158" s="496"/>
      <c r="BC158" s="496"/>
      <c r="BD158" s="496"/>
      <c r="BE158" s="496"/>
      <c r="BF158" s="496"/>
      <c r="BG158" s="496"/>
    </row>
    <row r="159" spans="1:59" s="362" customFormat="1">
      <c r="A159" s="42"/>
      <c r="B159" s="42"/>
      <c r="C159" s="485"/>
      <c r="D159" s="485"/>
      <c r="E159" s="485"/>
      <c r="F159" s="485"/>
      <c r="G159" s="485"/>
      <c r="H159" s="485"/>
      <c r="I159" s="485"/>
      <c r="J159" s="485"/>
      <c r="K159" s="49"/>
      <c r="L159" s="42"/>
      <c r="M159" s="42"/>
      <c r="N159" s="49"/>
      <c r="O159" s="49"/>
      <c r="P159" s="42"/>
      <c r="Q159" s="42"/>
      <c r="R159" s="42"/>
      <c r="S159" s="42"/>
      <c r="T159" s="42"/>
      <c r="U159" s="42"/>
      <c r="V159" s="42"/>
      <c r="W159" s="42"/>
      <c r="X159" s="42"/>
      <c r="Y159" s="42"/>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669"/>
      <c r="AX159" s="42"/>
      <c r="AY159" s="42"/>
      <c r="AZ159" s="42"/>
      <c r="BA159" s="496"/>
      <c r="BB159" s="496"/>
      <c r="BC159" s="496"/>
      <c r="BD159" s="496"/>
      <c r="BE159" s="496"/>
      <c r="BF159" s="496"/>
      <c r="BG159" s="496"/>
    </row>
    <row r="160" spans="1:59">
      <c r="A160" s="38"/>
      <c r="B160" s="38" t="s">
        <v>740</v>
      </c>
      <c r="C160" s="38"/>
      <c r="D160" s="38"/>
      <c r="E160" s="38"/>
      <c r="F160" s="38"/>
      <c r="G160" s="52"/>
      <c r="H160" s="38"/>
      <c r="I160" s="38"/>
      <c r="J160" s="52"/>
      <c r="K160" s="56">
        <f t="shared" ref="K160:AF160" si="500">K12/K129*100</f>
        <v>9.8254375515440291</v>
      </c>
      <c r="L160" s="56">
        <f t="shared" si="500"/>
        <v>10.19128042568815</v>
      </c>
      <c r="M160" s="56">
        <f t="shared" si="500"/>
        <v>9.937240829939773</v>
      </c>
      <c r="N160" s="56">
        <f t="shared" si="500"/>
        <v>7.8677422567473361</v>
      </c>
      <c r="O160" s="56">
        <f t="shared" si="500"/>
        <v>6.6781353923339823</v>
      </c>
      <c r="P160" s="56">
        <f t="shared" si="500"/>
        <v>7.0687959886481728</v>
      </c>
      <c r="Q160" s="56">
        <f t="shared" si="500"/>
        <v>6.615363219136805</v>
      </c>
      <c r="R160" s="56">
        <f t="shared" si="500"/>
        <v>7.3202122604150173</v>
      </c>
      <c r="S160" s="56">
        <f t="shared" si="500"/>
        <v>7.4964313165696712</v>
      </c>
      <c r="T160" s="56">
        <f t="shared" si="500"/>
        <v>7.5577170840126273</v>
      </c>
      <c r="U160" s="56">
        <f t="shared" si="500"/>
        <v>7.4614180272869604</v>
      </c>
      <c r="V160" s="56">
        <f t="shared" si="500"/>
        <v>7.6853815368279221</v>
      </c>
      <c r="W160" s="56">
        <f t="shared" si="500"/>
        <v>6.7618897926572092</v>
      </c>
      <c r="X160" s="56">
        <f t="shared" si="500"/>
        <v>6.9775015300307137</v>
      </c>
      <c r="Y160" s="56">
        <f t="shared" si="500"/>
        <v>7.2236301928178674</v>
      </c>
      <c r="Z160" s="56">
        <f t="shared" si="500"/>
        <v>7.5464694194859678</v>
      </c>
      <c r="AA160" s="56">
        <f t="shared" si="500"/>
        <v>7.9036367705992188</v>
      </c>
      <c r="AB160" s="56">
        <f t="shared" si="500"/>
        <v>8.251905797291279</v>
      </c>
      <c r="AC160" s="56">
        <f t="shared" si="500"/>
        <v>8.1560768669021773</v>
      </c>
      <c r="AD160" s="56">
        <f t="shared" si="500"/>
        <v>8.1488438525844522</v>
      </c>
      <c r="AE160" s="56">
        <f t="shared" si="500"/>
        <v>7.8378072617798082</v>
      </c>
      <c r="AF160" s="56">
        <f t="shared" si="500"/>
        <v>8.4991820518812808</v>
      </c>
      <c r="AG160" s="56">
        <f t="shared" ref="AG160:AN160" si="501">AG12/AG129*100</f>
        <v>8.506566190033265</v>
      </c>
      <c r="AH160" s="56">
        <f t="shared" si="501"/>
        <v>7.3357848925474851</v>
      </c>
      <c r="AI160" s="56">
        <f t="shared" si="501"/>
        <v>6.5291483310687459</v>
      </c>
      <c r="AJ160" s="56">
        <f t="shared" si="501"/>
        <v>6.8549748065286051</v>
      </c>
      <c r="AK160" s="56">
        <f t="shared" si="501"/>
        <v>6.9937810497221298</v>
      </c>
      <c r="AL160" s="56">
        <f t="shared" si="501"/>
        <v>9.5338279260325542</v>
      </c>
      <c r="AM160" s="56">
        <f t="shared" si="501"/>
        <v>8.9830222281692738</v>
      </c>
      <c r="AN160" s="56">
        <f t="shared" si="501"/>
        <v>9.4835846560463644</v>
      </c>
      <c r="AO160" s="56">
        <f t="shared" ref="AO160:AP160" si="502">AO12/AO129*100</f>
        <v>9.6077451414373627</v>
      </c>
      <c r="AP160" s="56">
        <f t="shared" si="502"/>
        <v>9.7910454428697467</v>
      </c>
      <c r="AQ160" s="56">
        <f t="shared" ref="AQ160:AR160" si="503">AQ12/AQ129*100</f>
        <v>8.6774744679063307</v>
      </c>
      <c r="AR160" s="56">
        <f t="shared" si="503"/>
        <v>8.9565967777113986</v>
      </c>
      <c r="AS160" s="56">
        <f t="shared" ref="AS160" si="504">AS12/AS129*100</f>
        <v>8.6315283370394855</v>
      </c>
      <c r="AT160" s="56">
        <f t="shared" ref="AT160" si="505">AT12/AT129*100</f>
        <v>9.4420536638795287</v>
      </c>
      <c r="AU160" s="56">
        <f t="shared" ref="AU160" si="506">AU12/AU129*100</f>
        <v>5.8000000000000007</v>
      </c>
      <c r="AV160" s="38"/>
      <c r="AW160" s="678">
        <v>5.8000000000000007</v>
      </c>
      <c r="AX160" s="56"/>
      <c r="AY160" s="38"/>
      <c r="AZ160" s="38"/>
      <c r="BA160" s="475"/>
      <c r="BB160" s="475"/>
      <c r="BC160" s="475"/>
      <c r="BD160" s="475"/>
      <c r="BE160" s="475"/>
      <c r="BF160" s="475"/>
      <c r="BG160" s="475"/>
    </row>
    <row r="161" spans="1:59">
      <c r="A161" s="38"/>
      <c r="B161" s="38"/>
      <c r="C161" s="38"/>
      <c r="D161" s="38"/>
      <c r="E161" s="38"/>
      <c r="F161" s="38"/>
      <c r="G161" s="52"/>
      <c r="H161" s="38"/>
      <c r="I161" s="38"/>
      <c r="J161" s="52"/>
      <c r="K161" s="56"/>
      <c r="L161" s="56"/>
      <c r="M161" s="56"/>
      <c r="N161" s="56"/>
      <c r="O161" s="56"/>
      <c r="P161" s="56"/>
      <c r="Q161" s="56"/>
      <c r="R161" s="56"/>
      <c r="S161" s="56"/>
      <c r="T161" s="56"/>
      <c r="U161" s="56"/>
      <c r="V161" s="56"/>
      <c r="W161" s="56"/>
      <c r="X161" s="56"/>
      <c r="Y161" s="56"/>
      <c r="Z161" s="56"/>
      <c r="AA161" s="56"/>
      <c r="AB161" s="56"/>
      <c r="AC161" s="56"/>
      <c r="AD161" s="38"/>
      <c r="AE161" s="38"/>
      <c r="AF161" s="38"/>
      <c r="AG161" s="38"/>
      <c r="AH161" s="38"/>
      <c r="AI161" s="38"/>
      <c r="AJ161" s="38"/>
      <c r="AK161" s="38"/>
      <c r="AL161" s="38"/>
      <c r="AM161" s="38"/>
      <c r="AN161" s="38"/>
      <c r="AO161" s="38"/>
      <c r="AP161" s="38"/>
      <c r="AQ161" s="38"/>
      <c r="AR161" s="38"/>
      <c r="AS161" s="38"/>
      <c r="AT161" s="38"/>
      <c r="AU161" s="38"/>
      <c r="AV161" s="566"/>
      <c r="AW161" s="671"/>
      <c r="AX161" s="56"/>
      <c r="AY161" s="38"/>
      <c r="AZ161" s="38"/>
      <c r="BA161" s="475"/>
      <c r="BB161" s="475"/>
      <c r="BC161" s="475"/>
      <c r="BD161" s="475"/>
      <c r="BE161" s="475"/>
      <c r="BF161" s="475"/>
      <c r="BG161" s="475"/>
    </row>
    <row r="162" spans="1:59" s="364" customFormat="1">
      <c r="A162" s="5"/>
      <c r="B162" s="37" t="s">
        <v>1517</v>
      </c>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499"/>
      <c r="BB162" s="499"/>
      <c r="BC162" s="499"/>
      <c r="BD162" s="499"/>
      <c r="BE162" s="499"/>
      <c r="BF162" s="499"/>
      <c r="BG162" s="499"/>
    </row>
    <row r="163" spans="1:59" outlineLevel="1">
      <c r="A163" s="38"/>
      <c r="B163" s="38"/>
      <c r="C163" s="38"/>
      <c r="D163" s="38"/>
      <c r="E163" s="38"/>
      <c r="F163" s="38"/>
      <c r="G163" s="52"/>
      <c r="H163" s="38"/>
      <c r="I163" s="38"/>
      <c r="J163" s="52"/>
      <c r="K163" s="52"/>
      <c r="L163" s="38"/>
      <c r="M163" s="38"/>
      <c r="N163" s="38"/>
      <c r="O163" s="38"/>
      <c r="P163" s="50"/>
      <c r="Q163" s="50"/>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566"/>
      <c r="AW163" s="754"/>
      <c r="AX163" s="755"/>
      <c r="AY163" s="651"/>
      <c r="AZ163" s="38"/>
      <c r="BA163" s="475"/>
      <c r="BB163" s="475"/>
      <c r="BC163" s="475"/>
      <c r="BD163" s="475"/>
      <c r="BE163" s="475"/>
      <c r="BF163" s="475"/>
      <c r="BG163" s="475"/>
    </row>
    <row r="164" spans="1:59" s="359" customFormat="1" outlineLevel="1">
      <c r="A164" s="13" t="s">
        <v>1516</v>
      </c>
      <c r="B164" s="13" t="s">
        <v>575</v>
      </c>
      <c r="C164" s="13"/>
      <c r="D164" s="13"/>
      <c r="E164" s="13"/>
      <c r="F164" s="13"/>
      <c r="G164" s="54"/>
      <c r="H164" s="13"/>
      <c r="I164" s="13"/>
      <c r="J164" s="54"/>
      <c r="K164" s="54"/>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434"/>
      <c r="AI164" s="434"/>
      <c r="AJ164" s="434"/>
      <c r="AK164" s="434"/>
      <c r="AL164" s="434"/>
      <c r="AM164" s="434"/>
      <c r="AN164" s="434"/>
      <c r="AO164" s="434"/>
      <c r="AP164" s="434"/>
      <c r="AQ164" s="434"/>
      <c r="AR164" s="434"/>
      <c r="AS164" s="434"/>
      <c r="AT164" s="434"/>
      <c r="AU164" s="434"/>
      <c r="AV164" s="13"/>
      <c r="AW164" s="685"/>
      <c r="AX164" s="653"/>
      <c r="AY164" s="13"/>
      <c r="AZ164" s="13"/>
      <c r="BA164" s="495"/>
      <c r="BB164" s="495"/>
      <c r="BC164" s="495"/>
      <c r="BD164" s="495"/>
      <c r="BE164" s="495"/>
      <c r="BF164" s="495"/>
      <c r="BG164" s="495"/>
    </row>
    <row r="165" spans="1:59" outlineLevel="1">
      <c r="A165" s="38"/>
      <c r="B165" s="38" t="s">
        <v>621</v>
      </c>
      <c r="C165" s="38"/>
      <c r="D165" s="38"/>
      <c r="E165" s="38"/>
      <c r="F165" s="38"/>
      <c r="G165" s="52"/>
      <c r="H165" s="38"/>
      <c r="I165" s="38"/>
      <c r="J165" s="52"/>
      <c r="K165" s="52"/>
      <c r="L165" s="38"/>
      <c r="M165" s="38"/>
      <c r="N165" s="38"/>
      <c r="O165" s="306">
        <v>102408.27726436721</v>
      </c>
      <c r="P165" s="318">
        <v>79321.747276524766</v>
      </c>
      <c r="Q165" s="318">
        <v>101474.7850603605</v>
      </c>
      <c r="R165" s="318">
        <v>83653.968539805632</v>
      </c>
      <c r="S165" s="318">
        <v>80159.979496957894</v>
      </c>
      <c r="T165" s="318">
        <v>68063.042331387667</v>
      </c>
      <c r="U165" s="318">
        <v>67032.049328652676</v>
      </c>
      <c r="V165" s="318">
        <v>76149.015377972217</v>
      </c>
      <c r="W165" s="318">
        <v>102132.64889074389</v>
      </c>
      <c r="X165" s="318">
        <v>123849.32412981405</v>
      </c>
      <c r="Y165" s="318">
        <v>137161.70466454167</v>
      </c>
      <c r="Z165" s="318">
        <v>159745</v>
      </c>
      <c r="AA165" s="318">
        <v>149679</v>
      </c>
      <c r="AB165" s="318">
        <v>122238</v>
      </c>
      <c r="AC165" s="306">
        <v>119410</v>
      </c>
      <c r="AD165" s="38">
        <v>93416</v>
      </c>
      <c r="AE165" s="38">
        <v>133056</v>
      </c>
      <c r="AF165" s="38"/>
      <c r="AG165" s="38"/>
      <c r="AH165" s="38"/>
      <c r="AI165" s="38"/>
      <c r="AJ165" s="38"/>
      <c r="AK165" s="38"/>
      <c r="AL165" s="38"/>
      <c r="AM165" s="38"/>
      <c r="AN165" s="38"/>
      <c r="AO165" s="38"/>
      <c r="AP165" s="38"/>
      <c r="AQ165" s="38"/>
      <c r="AR165" s="38"/>
      <c r="AS165" s="38"/>
      <c r="AT165" s="38"/>
      <c r="AU165" s="38"/>
      <c r="AV165" s="566">
        <f>50%*0.7%</f>
        <v>3.4999999999999996E-3</v>
      </c>
      <c r="AW165" s="671"/>
      <c r="AX165" s="38"/>
      <c r="AY165" s="38"/>
      <c r="AZ165" s="38"/>
      <c r="BA165" s="475"/>
      <c r="BB165" s="475"/>
      <c r="BC165" s="475"/>
      <c r="BD165" s="475"/>
      <c r="BE165" s="475"/>
      <c r="BF165" s="475"/>
      <c r="BG165" s="475"/>
    </row>
    <row r="166" spans="1:59" outlineLevel="1">
      <c r="A166" s="38"/>
      <c r="B166" s="465" t="s">
        <v>2465</v>
      </c>
      <c r="C166" s="38"/>
      <c r="D166" s="38"/>
      <c r="E166" s="38"/>
      <c r="F166" s="38"/>
      <c r="G166" s="52"/>
      <c r="H166" s="38"/>
      <c r="I166" s="38"/>
      <c r="J166" s="52"/>
      <c r="K166" s="52"/>
      <c r="L166" s="38"/>
      <c r="M166" s="38"/>
      <c r="N166" s="38"/>
      <c r="O166" s="306">
        <v>27743.649104401884</v>
      </c>
      <c r="P166" s="306">
        <v>6250.1980747871066</v>
      </c>
      <c r="Q166" s="306">
        <v>737.22973338463282</v>
      </c>
      <c r="R166" s="306">
        <v>26984.189109799518</v>
      </c>
      <c r="S166" s="306">
        <v>31318.310078324572</v>
      </c>
      <c r="T166" s="306">
        <v>17596.691169014826</v>
      </c>
      <c r="U166" s="306">
        <v>22569.871683612666</v>
      </c>
      <c r="V166" s="306">
        <v>21701.568153542597</v>
      </c>
      <c r="W166" s="306">
        <v>9684.9129480209413</v>
      </c>
      <c r="X166" s="309">
        <v>3070.6668743628447</v>
      </c>
      <c r="Y166" s="309">
        <v>81.043935338171437</v>
      </c>
      <c r="Z166" s="306"/>
      <c r="AA166" s="306"/>
      <c r="AB166" s="306"/>
      <c r="AC166" s="306"/>
      <c r="AD166" s="38"/>
      <c r="AE166" s="38"/>
      <c r="AF166" s="38"/>
      <c r="AG166" s="38"/>
      <c r="AH166" s="38"/>
      <c r="AI166" s="38"/>
      <c r="AJ166" s="38"/>
      <c r="AK166" s="38"/>
      <c r="AL166" s="38"/>
      <c r="AM166" s="38"/>
      <c r="AN166" s="38"/>
      <c r="AO166" s="38"/>
      <c r="AP166" s="38"/>
      <c r="AQ166" s="38"/>
      <c r="AR166" s="38"/>
      <c r="AS166" s="38"/>
      <c r="AT166" s="38"/>
      <c r="AU166" s="38"/>
      <c r="AV166" s="38"/>
      <c r="AW166" s="671"/>
      <c r="AX166" s="38"/>
      <c r="AY166" s="38"/>
      <c r="AZ166" s="38"/>
      <c r="BA166" s="475"/>
      <c r="BB166" s="475"/>
      <c r="BC166" s="475"/>
      <c r="BD166" s="475"/>
      <c r="BE166" s="475"/>
      <c r="BF166" s="475"/>
      <c r="BG166" s="475"/>
    </row>
    <row r="167" spans="1:59" s="357" customFormat="1" outlineLevel="1">
      <c r="A167" s="12"/>
      <c r="B167" s="12" t="s">
        <v>1518</v>
      </c>
      <c r="C167" s="12"/>
      <c r="D167" s="12"/>
      <c r="E167" s="12"/>
      <c r="F167" s="12"/>
      <c r="G167" s="53"/>
      <c r="H167" s="12"/>
      <c r="I167" s="12"/>
      <c r="J167" s="53"/>
      <c r="K167" s="53"/>
      <c r="L167" s="12"/>
      <c r="M167" s="12"/>
      <c r="N167" s="12"/>
      <c r="O167" s="12">
        <f t="shared" ref="O167:AE167" si="507">+O165+O166</f>
        <v>130151.92636876908</v>
      </c>
      <c r="P167" s="12">
        <f t="shared" si="507"/>
        <v>85571.945351311879</v>
      </c>
      <c r="Q167" s="12">
        <f t="shared" si="507"/>
        <v>102212.01479374514</v>
      </c>
      <c r="R167" s="12">
        <f t="shared" si="507"/>
        <v>110638.15764960516</v>
      </c>
      <c r="S167" s="12">
        <f t="shared" si="507"/>
        <v>111478.28957528247</v>
      </c>
      <c r="T167" s="12">
        <f t="shared" si="507"/>
        <v>85659.733500402494</v>
      </c>
      <c r="U167" s="12">
        <f t="shared" si="507"/>
        <v>89601.921012265346</v>
      </c>
      <c r="V167" s="12">
        <f t="shared" si="507"/>
        <v>97850.583531514814</v>
      </c>
      <c r="W167" s="12">
        <f t="shared" si="507"/>
        <v>111817.56183876483</v>
      </c>
      <c r="X167" s="12">
        <f t="shared" si="507"/>
        <v>126919.99100417689</v>
      </c>
      <c r="Y167" s="12">
        <f t="shared" si="507"/>
        <v>137242.74859987985</v>
      </c>
      <c r="Z167" s="12">
        <f t="shared" si="507"/>
        <v>159745</v>
      </c>
      <c r="AA167" s="12">
        <f t="shared" si="507"/>
        <v>149679</v>
      </c>
      <c r="AB167" s="12">
        <f t="shared" si="507"/>
        <v>122238</v>
      </c>
      <c r="AC167" s="12">
        <f t="shared" si="507"/>
        <v>119410</v>
      </c>
      <c r="AD167" s="12">
        <f t="shared" si="507"/>
        <v>93416</v>
      </c>
      <c r="AE167" s="12">
        <f t="shared" si="507"/>
        <v>133056</v>
      </c>
      <c r="AF167" s="12">
        <v>98126</v>
      </c>
      <c r="AG167" s="12">
        <v>110194</v>
      </c>
      <c r="AH167" s="12">
        <v>118409</v>
      </c>
      <c r="AI167" s="12">
        <v>153207</v>
      </c>
      <c r="AJ167" s="12">
        <v>114158</v>
      </c>
      <c r="AK167" s="12">
        <v>116060</v>
      </c>
      <c r="AL167" s="53">
        <v>134807</v>
      </c>
      <c r="AM167" s="750">
        <v>250433</v>
      </c>
      <c r="AN167" s="750">
        <v>215287</v>
      </c>
      <c r="AO167" s="750">
        <v>215804</v>
      </c>
      <c r="AP167" s="750">
        <v>183819</v>
      </c>
      <c r="AQ167" s="750">
        <v>231481</v>
      </c>
      <c r="AR167" s="750"/>
      <c r="AS167" s="750"/>
      <c r="AT167" s="750"/>
      <c r="AU167" s="750"/>
      <c r="AV167" s="401">
        <f>AQ167/AM167</f>
        <v>0.92432307243853651</v>
      </c>
      <c r="AW167" s="670"/>
      <c r="AX167" s="12"/>
      <c r="AY167" s="652"/>
      <c r="AZ167" s="12"/>
      <c r="BA167" s="494"/>
      <c r="BB167" s="494"/>
      <c r="BC167" s="494"/>
      <c r="BD167" s="494"/>
      <c r="BE167" s="494"/>
      <c r="BF167" s="494"/>
      <c r="BG167" s="494"/>
    </row>
    <row r="168" spans="1:59" outlineLevel="1">
      <c r="A168" s="38"/>
      <c r="B168" s="38"/>
      <c r="C168" s="38"/>
      <c r="D168" s="38"/>
      <c r="E168" s="38"/>
      <c r="F168" s="38"/>
      <c r="G168" s="52"/>
      <c r="H168" s="38"/>
      <c r="I168" s="38"/>
      <c r="J168" s="52"/>
      <c r="K168" s="52"/>
      <c r="L168" s="38"/>
      <c r="M168" s="38"/>
      <c r="N168" s="38"/>
      <c r="O168" s="38"/>
      <c r="P168" s="38"/>
      <c r="Q168" s="38"/>
      <c r="R168" s="38"/>
      <c r="S168" s="38"/>
      <c r="T168" s="38"/>
      <c r="U168" s="38"/>
      <c r="V168" s="38"/>
      <c r="W168" s="38"/>
      <c r="X168" s="38"/>
      <c r="Y168" s="38"/>
      <c r="Z168" s="38"/>
      <c r="AA168" s="310"/>
      <c r="AB168" s="310"/>
      <c r="AC168" s="310"/>
      <c r="AD168" s="310"/>
      <c r="AE168" s="310"/>
      <c r="AF168" s="38"/>
      <c r="AG168" s="38"/>
      <c r="AH168" s="310"/>
      <c r="AI168" s="310"/>
      <c r="AJ168" s="310"/>
      <c r="AK168" s="310"/>
      <c r="AL168" s="310"/>
      <c r="AM168" s="756"/>
      <c r="AN168" s="756"/>
      <c r="AO168" s="756"/>
      <c r="AP168" s="756"/>
      <c r="AQ168" s="756"/>
      <c r="AR168" s="756"/>
      <c r="AS168" s="756"/>
      <c r="AT168" s="756"/>
      <c r="AU168" s="756"/>
      <c r="AV168" s="310"/>
      <c r="AW168" s="686"/>
      <c r="AX168" s="310"/>
      <c r="AY168" s="38"/>
      <c r="AZ168" s="38"/>
      <c r="BA168" s="475"/>
      <c r="BB168" s="475"/>
      <c r="BC168" s="475"/>
      <c r="BD168" s="475"/>
      <c r="BE168" s="475"/>
      <c r="BF168" s="475"/>
      <c r="BG168" s="475"/>
    </row>
    <row r="169" spans="1:59" outlineLevel="1">
      <c r="A169" s="38"/>
      <c r="B169" s="38" t="s">
        <v>1519</v>
      </c>
      <c r="C169" s="38"/>
      <c r="D169" s="38"/>
      <c r="E169" s="38"/>
      <c r="F169" s="38"/>
      <c r="G169" s="52"/>
      <c r="H169" s="38"/>
      <c r="I169" s="38"/>
      <c r="J169" s="52"/>
      <c r="K169" s="52"/>
      <c r="L169" s="38"/>
      <c r="M169" s="38"/>
      <c r="N169" s="38"/>
      <c r="O169" s="306">
        <v>45924.558661031333</v>
      </c>
      <c r="P169" s="306">
        <v>29919.583636031231</v>
      </c>
      <c r="Q169" s="306">
        <v>7313.0568325534969</v>
      </c>
      <c r="R169" s="306">
        <v>601.96935504808584</v>
      </c>
      <c r="S169" s="306"/>
      <c r="T169" s="306"/>
      <c r="U169" s="306"/>
      <c r="V169" s="306"/>
      <c r="W169" s="306"/>
      <c r="X169" s="306"/>
      <c r="Y169" s="310"/>
      <c r="Z169" s="310"/>
      <c r="AA169" s="310"/>
      <c r="AB169" s="310"/>
      <c r="AC169" s="310"/>
      <c r="AD169" s="38"/>
      <c r="AE169" s="38"/>
      <c r="AF169" s="310"/>
      <c r="AG169" s="310"/>
      <c r="AH169" s="38"/>
      <c r="AI169" s="38"/>
      <c r="AJ169" s="38"/>
      <c r="AK169" s="38"/>
      <c r="AL169" s="38"/>
      <c r="AM169" s="749"/>
      <c r="AN169" s="749"/>
      <c r="AO169" s="749"/>
      <c r="AP169" s="749"/>
      <c r="AQ169" s="749"/>
      <c r="AR169" s="749"/>
      <c r="AS169" s="749"/>
      <c r="AT169" s="749"/>
      <c r="AU169" s="749"/>
      <c r="AV169" s="38"/>
      <c r="AW169" s="671"/>
      <c r="AX169" s="38"/>
      <c r="AY169" s="38"/>
      <c r="AZ169" s="38"/>
      <c r="BA169" s="475"/>
      <c r="BB169" s="475"/>
      <c r="BC169" s="475"/>
      <c r="BD169" s="475"/>
      <c r="BE169" s="475"/>
      <c r="BF169" s="475"/>
      <c r="BG169" s="475"/>
    </row>
    <row r="170" spans="1:59" outlineLevel="1">
      <c r="A170" s="38"/>
      <c r="B170" s="38" t="s">
        <v>624</v>
      </c>
      <c r="C170" s="38"/>
      <c r="D170" s="38"/>
      <c r="E170" s="38"/>
      <c r="F170" s="38"/>
      <c r="G170" s="52"/>
      <c r="H170" s="38"/>
      <c r="I170" s="38"/>
      <c r="J170" s="52"/>
      <c r="K170" s="52"/>
      <c r="L170" s="38"/>
      <c r="M170" s="38"/>
      <c r="N170" s="38"/>
      <c r="O170" s="306">
        <v>52077.517513433762</v>
      </c>
      <c r="P170" s="306">
        <v>46741.039337526876</v>
      </c>
      <c r="Q170" s="306">
        <v>33982.683219873245</v>
      </c>
      <c r="R170" s="306">
        <v>25573.140220244739</v>
      </c>
      <c r="S170" s="306">
        <v>5742.5284782640083</v>
      </c>
      <c r="T170" s="306">
        <v>104.11372203551262</v>
      </c>
      <c r="U170" s="306">
        <v>40.267093861487595</v>
      </c>
      <c r="V170" s="306">
        <v>1.9798382252799871</v>
      </c>
      <c r="W170" s="306"/>
      <c r="X170" s="306"/>
      <c r="Y170" s="310"/>
      <c r="Z170" s="310"/>
      <c r="AA170" s="310"/>
      <c r="AB170" s="310"/>
      <c r="AC170" s="310"/>
      <c r="AD170" s="38">
        <v>80982</v>
      </c>
      <c r="AE170" s="38"/>
      <c r="AF170" s="310"/>
      <c r="AG170" s="310"/>
      <c r="AH170" s="38"/>
      <c r="AI170" s="38"/>
      <c r="AJ170" s="38"/>
      <c r="AK170" s="38"/>
      <c r="AL170" s="38"/>
      <c r="AM170" s="749"/>
      <c r="AN170" s="749"/>
      <c r="AO170" s="749"/>
      <c r="AP170" s="749"/>
      <c r="AQ170" s="749"/>
      <c r="AR170" s="749"/>
      <c r="AS170" s="749"/>
      <c r="AT170" s="749"/>
      <c r="AU170" s="749"/>
      <c r="AV170" s="38"/>
      <c r="AW170" s="671"/>
      <c r="AX170" s="38"/>
      <c r="AY170" s="38"/>
      <c r="AZ170" s="38"/>
      <c r="BA170" s="475"/>
      <c r="BB170" s="475"/>
      <c r="BC170" s="475"/>
      <c r="BD170" s="475"/>
      <c r="BE170" s="475"/>
      <c r="BF170" s="475"/>
      <c r="BG170" s="475"/>
    </row>
    <row r="171" spans="1:59" outlineLevel="1">
      <c r="A171" s="38"/>
      <c r="B171" s="38" t="s">
        <v>1520</v>
      </c>
      <c r="C171" s="38"/>
      <c r="D171" s="38"/>
      <c r="E171" s="38"/>
      <c r="F171" s="38"/>
      <c r="G171" s="52"/>
      <c r="H171" s="38"/>
      <c r="I171" s="38"/>
      <c r="J171" s="52"/>
      <c r="K171" s="52"/>
      <c r="L171" s="38"/>
      <c r="M171" s="38"/>
      <c r="N171" s="38"/>
      <c r="O171" s="306">
        <v>0</v>
      </c>
      <c r="P171" s="306">
        <v>118381.18672200741</v>
      </c>
      <c r="Q171" s="306">
        <v>209084.26773206907</v>
      </c>
      <c r="R171" s="306">
        <v>226460.12901922775</v>
      </c>
      <c r="S171" s="306">
        <v>231128.49831459537</v>
      </c>
      <c r="T171" s="306">
        <v>249507.11226360244</v>
      </c>
      <c r="U171" s="306">
        <v>199687.51645089735</v>
      </c>
      <c r="V171" s="306">
        <v>219103.66728578188</v>
      </c>
      <c r="W171" s="306">
        <v>204083.77034532517</v>
      </c>
      <c r="X171" s="309">
        <v>168172.13639263448</v>
      </c>
      <c r="Y171" s="309">
        <v>132392.66833125698</v>
      </c>
      <c r="Z171" s="309">
        <v>101350</v>
      </c>
      <c r="AA171" s="309">
        <v>161182</v>
      </c>
      <c r="AB171" s="309">
        <v>179329</v>
      </c>
      <c r="AC171" s="309">
        <v>209700</v>
      </c>
      <c r="AD171" s="38">
        <v>129112</v>
      </c>
      <c r="AE171" s="38">
        <v>211811</v>
      </c>
      <c r="AF171" s="309">
        <v>132206</v>
      </c>
      <c r="AG171" s="309">
        <v>209269</v>
      </c>
      <c r="AH171" s="38">
        <v>159965</v>
      </c>
      <c r="AI171" s="38"/>
      <c r="AJ171" s="38"/>
      <c r="AK171" s="38"/>
      <c r="AL171" s="38"/>
      <c r="AM171" s="749">
        <v>39931</v>
      </c>
      <c r="AN171" s="748">
        <f>6810+4861+3216</f>
        <v>14887</v>
      </c>
      <c r="AO171" s="749">
        <f>56360-AN171-AM171</f>
        <v>1542</v>
      </c>
      <c r="AP171" s="749">
        <f>56367-AM171-AN171-AO171</f>
        <v>7</v>
      </c>
      <c r="AQ171" s="749"/>
      <c r="AR171" s="749"/>
      <c r="AS171" s="749"/>
      <c r="AT171" s="749"/>
      <c r="AU171" s="749"/>
      <c r="AV171" s="38"/>
      <c r="AW171" s="671"/>
      <c r="AX171" s="38"/>
      <c r="AY171" s="38"/>
      <c r="AZ171" s="38"/>
      <c r="BA171" s="475"/>
      <c r="BB171" s="475"/>
      <c r="BC171" s="475"/>
      <c r="BD171" s="475"/>
      <c r="BE171" s="475"/>
      <c r="BF171" s="475"/>
      <c r="BG171" s="475"/>
    </row>
    <row r="172" spans="1:59" outlineLevel="1">
      <c r="A172" s="38"/>
      <c r="B172" s="38" t="s">
        <v>1521</v>
      </c>
      <c r="C172" s="38"/>
      <c r="D172" s="38"/>
      <c r="E172" s="38"/>
      <c r="F172" s="38"/>
      <c r="G172" s="52"/>
      <c r="H172" s="38"/>
      <c r="I172" s="38"/>
      <c r="J172" s="52"/>
      <c r="K172" s="52"/>
      <c r="L172" s="38"/>
      <c r="M172" s="38"/>
      <c r="N172" s="38"/>
      <c r="O172" s="306"/>
      <c r="P172" s="306"/>
      <c r="Q172" s="306"/>
      <c r="R172" s="306"/>
      <c r="S172" s="306"/>
      <c r="T172" s="306"/>
      <c r="U172" s="306"/>
      <c r="V172" s="306">
        <v>3322.0987598239567</v>
      </c>
      <c r="W172" s="306">
        <v>92217.807496101726</v>
      </c>
      <c r="X172" s="309">
        <v>132602.65026883819</v>
      </c>
      <c r="Y172" s="309">
        <v>141593.84490488892</v>
      </c>
      <c r="Z172" s="309">
        <v>147535</v>
      </c>
      <c r="AA172" s="309">
        <v>118802</v>
      </c>
      <c r="AB172" s="309">
        <v>134696</v>
      </c>
      <c r="AC172" s="309">
        <v>171250</v>
      </c>
      <c r="AD172" s="38">
        <v>89643</v>
      </c>
      <c r="AE172" s="38">
        <v>78067</v>
      </c>
      <c r="AF172" s="309">
        <v>79148</v>
      </c>
      <c r="AG172" s="309">
        <v>54289</v>
      </c>
      <c r="AH172" s="38">
        <v>60855</v>
      </c>
      <c r="AI172" s="38"/>
      <c r="AJ172" s="38"/>
      <c r="AK172" s="38"/>
      <c r="AL172" s="38"/>
      <c r="AM172" s="749">
        <v>13051</v>
      </c>
      <c r="AN172" s="748">
        <f>14776+12633+17989</f>
        <v>45398</v>
      </c>
      <c r="AO172" s="749">
        <f>112349-AN172-AM172</f>
        <v>53900</v>
      </c>
      <c r="AP172" s="749">
        <f>147492-AO172-AN172-AM172</f>
        <v>35143</v>
      </c>
      <c r="AQ172" s="749">
        <v>29332</v>
      </c>
      <c r="AR172" s="749"/>
      <c r="AS172" s="749"/>
      <c r="AT172" s="749"/>
      <c r="AU172" s="749"/>
      <c r="AV172" s="38"/>
      <c r="AW172" s="671"/>
      <c r="AX172" s="38"/>
      <c r="AY172" s="38"/>
      <c r="AZ172" s="38"/>
      <c r="BA172" s="475"/>
      <c r="BB172" s="475"/>
      <c r="BC172" s="475"/>
      <c r="BD172" s="475"/>
      <c r="BE172" s="475"/>
      <c r="BF172" s="475"/>
      <c r="BG172" s="475"/>
    </row>
    <row r="173" spans="1:59" outlineLevel="1">
      <c r="A173" s="38"/>
      <c r="B173" s="38" t="s">
        <v>2319</v>
      </c>
      <c r="C173" s="38"/>
      <c r="D173" s="38"/>
      <c r="E173" s="38"/>
      <c r="F173" s="38"/>
      <c r="G173" s="52"/>
      <c r="H173" s="38"/>
      <c r="I173" s="38"/>
      <c r="J173" s="52"/>
      <c r="K173" s="52"/>
      <c r="L173" s="38"/>
      <c r="M173" s="38"/>
      <c r="N173" s="38"/>
      <c r="O173" s="306"/>
      <c r="P173" s="306"/>
      <c r="Q173" s="306"/>
      <c r="R173" s="306"/>
      <c r="S173" s="306">
        <v>32035.298896534812</v>
      </c>
      <c r="T173" s="306">
        <v>89102.485489608065</v>
      </c>
      <c r="U173" s="306">
        <v>100359.38699562602</v>
      </c>
      <c r="V173" s="306">
        <v>106047.84406419462</v>
      </c>
      <c r="W173" s="306">
        <v>58922.41062459298</v>
      </c>
      <c r="X173" s="309">
        <v>40810.548503903359</v>
      </c>
      <c r="Y173" s="309">
        <v>32587.977015609853</v>
      </c>
      <c r="Z173" s="309">
        <v>27514</v>
      </c>
      <c r="AA173" s="309">
        <v>19407</v>
      </c>
      <c r="AB173" s="309">
        <v>10953</v>
      </c>
      <c r="AC173" s="309">
        <v>6461</v>
      </c>
      <c r="AD173" s="38">
        <v>190</v>
      </c>
      <c r="AE173" s="38">
        <v>7</v>
      </c>
      <c r="AF173" s="309"/>
      <c r="AG173" s="309">
        <v>31</v>
      </c>
      <c r="AH173" s="38">
        <v>31</v>
      </c>
      <c r="AI173" s="38"/>
      <c r="AJ173" s="38"/>
      <c r="AK173" s="38"/>
      <c r="AL173" s="38"/>
      <c r="AM173" s="749">
        <v>9967</v>
      </c>
      <c r="AN173" s="749">
        <v>3862</v>
      </c>
      <c r="AO173" s="749">
        <f>16032-AN173-AM173</f>
        <v>2203</v>
      </c>
      <c r="AP173" s="749">
        <f>16242-AO173-AN173-AM173</f>
        <v>210</v>
      </c>
      <c r="AQ173" s="749"/>
      <c r="AR173" s="749"/>
      <c r="AS173" s="749"/>
      <c r="AT173" s="749"/>
      <c r="AU173" s="749"/>
      <c r="AV173" s="38"/>
      <c r="AW173" s="671"/>
      <c r="AX173" s="38"/>
      <c r="AY173" s="38"/>
      <c r="AZ173" s="38"/>
      <c r="BA173" s="475"/>
      <c r="BB173" s="475"/>
      <c r="BC173" s="475"/>
      <c r="BD173" s="475"/>
      <c r="BE173" s="475"/>
      <c r="BF173" s="475"/>
      <c r="BG173" s="475"/>
    </row>
    <row r="174" spans="1:59" outlineLevel="1">
      <c r="A174" s="38"/>
      <c r="B174" s="38" t="s">
        <v>2272</v>
      </c>
      <c r="C174" s="38"/>
      <c r="D174" s="38"/>
      <c r="E174" s="38"/>
      <c r="F174" s="38"/>
      <c r="G174" s="52"/>
      <c r="H174" s="38"/>
      <c r="I174" s="38"/>
      <c r="J174" s="52"/>
      <c r="K174" s="52"/>
      <c r="L174" s="38"/>
      <c r="M174" s="38"/>
      <c r="N174" s="38"/>
      <c r="O174" s="306"/>
      <c r="P174" s="306"/>
      <c r="Q174" s="306"/>
      <c r="R174" s="306"/>
      <c r="S174" s="306"/>
      <c r="T174" s="306"/>
      <c r="U174" s="306"/>
      <c r="V174" s="306"/>
      <c r="W174" s="306"/>
      <c r="X174" s="309">
        <v>25299.996544249436</v>
      </c>
      <c r="Y174" s="309">
        <v>9894.4307469056821</v>
      </c>
      <c r="Z174" s="309">
        <v>101</v>
      </c>
      <c r="AA174" s="309">
        <v>5</v>
      </c>
      <c r="AB174" s="309">
        <v>0</v>
      </c>
      <c r="AC174" s="309"/>
      <c r="AD174" s="38"/>
      <c r="AE174" s="38"/>
      <c r="AF174" s="309"/>
      <c r="AG174" s="309"/>
      <c r="AH174" s="38"/>
      <c r="AI174" s="38"/>
      <c r="AJ174" s="38"/>
      <c r="AK174" s="38"/>
      <c r="AL174" s="38"/>
      <c r="AM174" s="749"/>
      <c r="AN174" s="749"/>
      <c r="AO174" s="749"/>
      <c r="AP174" s="749">
        <v>23</v>
      </c>
      <c r="AQ174" s="749"/>
      <c r="AR174" s="749"/>
      <c r="AS174" s="749"/>
      <c r="AT174" s="749"/>
      <c r="AU174" s="749"/>
      <c r="AV174" s="38"/>
      <c r="AW174" s="671"/>
      <c r="AX174" s="38"/>
      <c r="AY174" s="38"/>
      <c r="AZ174" s="38"/>
      <c r="BA174" s="475"/>
      <c r="BB174" s="475"/>
      <c r="BC174" s="475"/>
      <c r="BD174" s="475"/>
      <c r="BE174" s="475"/>
      <c r="BF174" s="475"/>
      <c r="BG174" s="475"/>
    </row>
    <row r="175" spans="1:59" outlineLevel="1">
      <c r="A175" s="38"/>
      <c r="B175" s="465" t="s">
        <v>2509</v>
      </c>
      <c r="C175" s="38"/>
      <c r="D175" s="38"/>
      <c r="E175" s="38"/>
      <c r="F175" s="38"/>
      <c r="G175" s="52"/>
      <c r="H175" s="38"/>
      <c r="I175" s="38"/>
      <c r="J175" s="52"/>
      <c r="K175" s="52"/>
      <c r="L175" s="38"/>
      <c r="M175" s="38"/>
      <c r="N175" s="38"/>
      <c r="O175" s="306"/>
      <c r="P175" s="306"/>
      <c r="Q175" s="306"/>
      <c r="R175" s="306"/>
      <c r="S175" s="306"/>
      <c r="T175" s="306"/>
      <c r="U175" s="306"/>
      <c r="V175" s="306"/>
      <c r="W175" s="306"/>
      <c r="X175" s="309"/>
      <c r="Y175" s="309"/>
      <c r="Z175" s="309"/>
      <c r="AA175" s="309"/>
      <c r="AB175" s="309"/>
      <c r="AC175" s="309"/>
      <c r="AD175" s="38"/>
      <c r="AE175" s="38"/>
      <c r="AF175" s="309"/>
      <c r="AG175" s="309"/>
      <c r="AH175" s="38"/>
      <c r="AI175" s="38"/>
      <c r="AJ175" s="38"/>
      <c r="AK175" s="38"/>
      <c r="AL175" s="38"/>
      <c r="AM175" s="749"/>
      <c r="AN175" s="749"/>
      <c r="AO175" s="749"/>
      <c r="AP175" s="749">
        <v>17974</v>
      </c>
      <c r="AQ175" s="749">
        <v>82387</v>
      </c>
      <c r="AR175" s="749"/>
      <c r="AS175" s="749"/>
      <c r="AT175" s="749"/>
      <c r="AU175" s="749"/>
      <c r="AV175" s="38"/>
      <c r="AW175" s="671"/>
      <c r="AX175" s="38"/>
      <c r="AY175" s="38"/>
      <c r="AZ175" s="38"/>
      <c r="BA175" s="475"/>
      <c r="BB175" s="475"/>
      <c r="BC175" s="475"/>
      <c r="BD175" s="475"/>
      <c r="BE175" s="475"/>
      <c r="BF175" s="475"/>
      <c r="BG175" s="475"/>
    </row>
    <row r="176" spans="1:59" s="357" customFormat="1" outlineLevel="1">
      <c r="A176" s="12"/>
      <c r="B176" s="12" t="s">
        <v>1522</v>
      </c>
      <c r="C176" s="12"/>
      <c r="D176" s="12"/>
      <c r="E176" s="12"/>
      <c r="F176" s="12"/>
      <c r="G176" s="53"/>
      <c r="H176" s="12"/>
      <c r="I176" s="12"/>
      <c r="J176" s="53"/>
      <c r="K176" s="53"/>
      <c r="L176" s="12"/>
      <c r="M176" s="12"/>
      <c r="N176" s="12"/>
      <c r="O176" s="12">
        <f t="shared" ref="O176:AE176" si="508">+SUM(O169:O174)</f>
        <v>98002.076174465095</v>
      </c>
      <c r="P176" s="12">
        <f t="shared" si="508"/>
        <v>195041.80969556552</v>
      </c>
      <c r="Q176" s="12">
        <f t="shared" si="508"/>
        <v>250380.00778449583</v>
      </c>
      <c r="R176" s="12">
        <f t="shared" si="508"/>
        <v>252635.23859452058</v>
      </c>
      <c r="S176" s="12">
        <f t="shared" si="508"/>
        <v>268906.3256893942</v>
      </c>
      <c r="T176" s="12">
        <f t="shared" si="508"/>
        <v>338713.711475246</v>
      </c>
      <c r="U176" s="12">
        <f t="shared" si="508"/>
        <v>300087.17054038483</v>
      </c>
      <c r="V176" s="12">
        <f t="shared" si="508"/>
        <v>328475.58994802576</v>
      </c>
      <c r="W176" s="12">
        <f t="shared" si="508"/>
        <v>355223.98846601986</v>
      </c>
      <c r="X176" s="12">
        <f t="shared" si="508"/>
        <v>366885.33170962543</v>
      </c>
      <c r="Y176" s="12">
        <f t="shared" si="508"/>
        <v>316468.92099866143</v>
      </c>
      <c r="Z176" s="12">
        <f t="shared" si="508"/>
        <v>276500</v>
      </c>
      <c r="AA176" s="12">
        <f t="shared" si="508"/>
        <v>299396</v>
      </c>
      <c r="AB176" s="12">
        <f t="shared" si="508"/>
        <v>324978</v>
      </c>
      <c r="AC176" s="12">
        <f t="shared" si="508"/>
        <v>387411</v>
      </c>
      <c r="AD176" s="12">
        <f t="shared" si="508"/>
        <v>299927</v>
      </c>
      <c r="AE176" s="12">
        <f t="shared" si="508"/>
        <v>289885</v>
      </c>
      <c r="AF176" s="12">
        <f>+SUM(AF169:AF174)</f>
        <v>211354</v>
      </c>
      <c r="AG176" s="12">
        <f>+SUM(AG169:AG174)</f>
        <v>263589</v>
      </c>
      <c r="AH176" s="12">
        <v>220851</v>
      </c>
      <c r="AI176" s="12">
        <v>161044</v>
      </c>
      <c r="AJ176" s="12">
        <v>164508</v>
      </c>
      <c r="AK176" s="12">
        <v>147167</v>
      </c>
      <c r="AL176" s="53">
        <v>80136</v>
      </c>
      <c r="AM176" s="750">
        <f>+AM173+AM172+AM171</f>
        <v>62949</v>
      </c>
      <c r="AN176" s="750">
        <f>+AN173+AN172+AN171</f>
        <v>64147</v>
      </c>
      <c r="AO176" s="750">
        <f>+AO173+AO172+AO171</f>
        <v>57645</v>
      </c>
      <c r="AP176" s="750">
        <f t="shared" ref="AP176:AU176" si="509">+AP173+AP172+AP171+AP174+AP175</f>
        <v>53357</v>
      </c>
      <c r="AQ176" s="750">
        <f t="shared" si="509"/>
        <v>111719</v>
      </c>
      <c r="AR176" s="750">
        <f t="shared" si="509"/>
        <v>0</v>
      </c>
      <c r="AS176" s="750">
        <f t="shared" si="509"/>
        <v>0</v>
      </c>
      <c r="AT176" s="750">
        <f t="shared" si="509"/>
        <v>0</v>
      </c>
      <c r="AU176" s="750">
        <f t="shared" si="509"/>
        <v>0</v>
      </c>
      <c r="AV176" s="401">
        <f>AQ176/AM176</f>
        <v>1.7747541660709463</v>
      </c>
      <c r="AW176" s="670">
        <v>0</v>
      </c>
      <c r="AX176" s="12"/>
      <c r="AY176" s="652"/>
      <c r="AZ176" s="12"/>
      <c r="BA176" s="494"/>
      <c r="BB176" s="494"/>
      <c r="BC176" s="494"/>
      <c r="BD176" s="494"/>
      <c r="BE176" s="494"/>
      <c r="BF176" s="494"/>
      <c r="BG176" s="494"/>
    </row>
    <row r="177" spans="1:59" outlineLevel="1">
      <c r="A177" s="38"/>
      <c r="B177" s="38"/>
      <c r="C177" s="38"/>
      <c r="D177" s="38"/>
      <c r="E177" s="38"/>
      <c r="F177" s="38"/>
      <c r="G177" s="52"/>
      <c r="H177" s="38"/>
      <c r="I177" s="38"/>
      <c r="J177" s="52"/>
      <c r="K177" s="52"/>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621"/>
      <c r="AJ177" s="621"/>
      <c r="AK177" s="621"/>
      <c r="AL177" s="38"/>
      <c r="AM177" s="749"/>
      <c r="AN177" s="749"/>
      <c r="AO177" s="749"/>
      <c r="AP177" s="749"/>
      <c r="AQ177" s="749"/>
      <c r="AR177" s="749"/>
      <c r="AS177" s="749"/>
      <c r="AT177" s="749"/>
      <c r="AU177" s="749"/>
      <c r="AV177" s="38"/>
      <c r="AW177" s="671"/>
      <c r="AX177" s="38"/>
      <c r="AY177" s="38"/>
      <c r="AZ177" s="38"/>
      <c r="BA177" s="475"/>
      <c r="BB177" s="475"/>
      <c r="BC177" s="475"/>
      <c r="BD177" s="475"/>
      <c r="BE177" s="475"/>
      <c r="BF177" s="475"/>
      <c r="BG177" s="475"/>
    </row>
    <row r="178" spans="1:59" outlineLevel="1">
      <c r="A178" s="38"/>
      <c r="B178" s="38" t="s">
        <v>619</v>
      </c>
      <c r="C178" s="38"/>
      <c r="D178" s="38"/>
      <c r="E178" s="38"/>
      <c r="F178" s="38"/>
      <c r="G178" s="52"/>
      <c r="H178" s="38"/>
      <c r="I178" s="38"/>
      <c r="J178" s="52"/>
      <c r="K178" s="52"/>
      <c r="L178" s="38"/>
      <c r="M178" s="38"/>
      <c r="N178" s="38"/>
      <c r="O178" s="306">
        <v>101400.39111903659</v>
      </c>
      <c r="P178" s="306">
        <v>130259.68636259745</v>
      </c>
      <c r="Q178" s="306">
        <v>131735.02385410725</v>
      </c>
      <c r="R178" s="306">
        <v>185312.60470918199</v>
      </c>
      <c r="S178" s="306">
        <v>181775.52435885469</v>
      </c>
      <c r="T178" s="306">
        <v>202774.61004956573</v>
      </c>
      <c r="U178" s="306">
        <v>203820.18739081701</v>
      </c>
      <c r="V178" s="306">
        <v>183376.63664085529</v>
      </c>
      <c r="W178" s="306">
        <v>150284.70051840445</v>
      </c>
      <c r="X178" s="309">
        <v>184503.47007917441</v>
      </c>
      <c r="Y178" s="309">
        <v>179503.3743664959</v>
      </c>
      <c r="Z178" s="306">
        <v>170367</v>
      </c>
      <c r="AA178" s="306">
        <v>159537</v>
      </c>
      <c r="AB178" s="306">
        <v>145618</v>
      </c>
      <c r="AC178" s="306">
        <v>170650</v>
      </c>
      <c r="AD178" s="38">
        <v>151645</v>
      </c>
      <c r="AE178" s="38">
        <f>108593+18094+10929</f>
        <v>137616</v>
      </c>
      <c r="AF178" s="306">
        <v>182738</v>
      </c>
      <c r="AG178" s="306">
        <v>138213</v>
      </c>
      <c r="AH178" s="38">
        <v>142122</v>
      </c>
      <c r="AI178" s="38">
        <v>162761</v>
      </c>
      <c r="AJ178" s="38">
        <v>165478</v>
      </c>
      <c r="AK178" s="38">
        <v>157543</v>
      </c>
      <c r="AL178" s="38">
        <v>145572</v>
      </c>
      <c r="AM178" s="749">
        <v>155416</v>
      </c>
      <c r="AN178" s="749">
        <v>169228</v>
      </c>
      <c r="AO178" s="749">
        <v>153966</v>
      </c>
      <c r="AP178" s="749">
        <v>139761</v>
      </c>
      <c r="AQ178" s="749">
        <v>140520</v>
      </c>
      <c r="AR178" s="749"/>
      <c r="AS178" s="749"/>
      <c r="AT178" s="749"/>
      <c r="AU178" s="749"/>
      <c r="AV178" s="38"/>
      <c r="AW178" s="671"/>
      <c r="AX178" s="38"/>
      <c r="AY178" s="120"/>
      <c r="AZ178" s="38"/>
      <c r="BA178" s="475"/>
      <c r="BB178" s="475"/>
      <c r="BC178" s="475"/>
      <c r="BD178" s="475"/>
      <c r="BE178" s="475"/>
      <c r="BF178" s="475"/>
      <c r="BG178" s="475"/>
    </row>
    <row r="179" spans="1:59" outlineLevel="1">
      <c r="A179" s="38"/>
      <c r="B179" s="465" t="s">
        <v>2518</v>
      </c>
      <c r="C179" s="38"/>
      <c r="D179" s="38"/>
      <c r="E179" s="38"/>
      <c r="F179" s="38"/>
      <c r="G179" s="52"/>
      <c r="H179" s="38"/>
      <c r="I179" s="38"/>
      <c r="J179" s="52"/>
      <c r="K179" s="52"/>
      <c r="L179" s="38"/>
      <c r="M179" s="38"/>
      <c r="N179" s="38"/>
      <c r="O179" s="306">
        <v>2725.6439333980261</v>
      </c>
      <c r="P179" s="306">
        <v>3911.9844513627067</v>
      </c>
      <c r="Q179" s="306">
        <v>3544.5219594777959</v>
      </c>
      <c r="R179" s="306">
        <v>3102.0589832258529</v>
      </c>
      <c r="S179" s="306">
        <v>4179.8733301047341</v>
      </c>
      <c r="T179" s="306">
        <v>6250.8418396860425</v>
      </c>
      <c r="U179" s="306">
        <v>6600.4708443987211</v>
      </c>
      <c r="V179" s="306">
        <v>7458.1882026489566</v>
      </c>
      <c r="W179" s="306">
        <v>5889</v>
      </c>
      <c r="X179" s="306">
        <v>6738</v>
      </c>
      <c r="Y179" s="306">
        <v>9254</v>
      </c>
      <c r="Z179" s="306">
        <v>9961</v>
      </c>
      <c r="AA179" s="306">
        <v>10110</v>
      </c>
      <c r="AB179" s="306">
        <v>9081</v>
      </c>
      <c r="AC179" s="306">
        <v>9856</v>
      </c>
      <c r="AD179" s="38">
        <v>11126</v>
      </c>
      <c r="AE179" s="38">
        <f>2022+9076</f>
        <v>11098</v>
      </c>
      <c r="AF179" s="306">
        <v>14221</v>
      </c>
      <c r="AG179" s="306">
        <v>15216</v>
      </c>
      <c r="AH179" s="38">
        <v>12526</v>
      </c>
      <c r="AI179" s="38">
        <v>13837</v>
      </c>
      <c r="AJ179" s="38">
        <v>17636</v>
      </c>
      <c r="AK179" s="38">
        <v>18079</v>
      </c>
      <c r="AL179" s="38">
        <v>18922</v>
      </c>
      <c r="AM179" s="749">
        <v>17020</v>
      </c>
      <c r="AN179" s="749">
        <v>20668</v>
      </c>
      <c r="AO179" s="749">
        <v>47612</v>
      </c>
      <c r="AP179" s="749">
        <v>91845</v>
      </c>
      <c r="AQ179" s="749">
        <v>65140</v>
      </c>
      <c r="AR179" s="749"/>
      <c r="AS179" s="749"/>
      <c r="AT179" s="749"/>
      <c r="AU179" s="749"/>
      <c r="AV179" s="38"/>
      <c r="AW179" s="671"/>
      <c r="AX179" s="38"/>
      <c r="AY179" s="120"/>
      <c r="AZ179" s="38"/>
      <c r="BA179" s="475"/>
      <c r="BB179" s="475"/>
      <c r="BC179" s="475"/>
      <c r="BD179" s="475"/>
      <c r="BE179" s="475"/>
      <c r="BF179" s="475"/>
      <c r="BG179" s="475"/>
    </row>
    <row r="180" spans="1:59" s="357" customFormat="1" outlineLevel="1">
      <c r="A180" s="12"/>
      <c r="B180" s="12" t="s">
        <v>1523</v>
      </c>
      <c r="C180" s="12"/>
      <c r="D180" s="12"/>
      <c r="E180" s="12"/>
      <c r="F180" s="12"/>
      <c r="G180" s="53"/>
      <c r="H180" s="12"/>
      <c r="I180" s="12"/>
      <c r="J180" s="53"/>
      <c r="K180" s="53"/>
      <c r="L180" s="12"/>
      <c r="M180" s="12"/>
      <c r="N180" s="12"/>
      <c r="O180" s="12">
        <f t="shared" ref="O180:Z180" si="510">+O178+O179</f>
        <v>104126.03505243461</v>
      </c>
      <c r="P180" s="12">
        <f t="shared" si="510"/>
        <v>134171.67081396017</v>
      </c>
      <c r="Q180" s="12">
        <f t="shared" si="510"/>
        <v>135279.54581358505</v>
      </c>
      <c r="R180" s="12">
        <f t="shared" si="510"/>
        <v>188414.66369240783</v>
      </c>
      <c r="S180" s="12">
        <f t="shared" si="510"/>
        <v>185955.39768895943</v>
      </c>
      <c r="T180" s="12">
        <f t="shared" si="510"/>
        <v>209025.45188925177</v>
      </c>
      <c r="U180" s="12">
        <f t="shared" si="510"/>
        <v>210420.65823521573</v>
      </c>
      <c r="V180" s="12">
        <f t="shared" si="510"/>
        <v>190834.82484350423</v>
      </c>
      <c r="W180" s="12">
        <f t="shared" si="510"/>
        <v>156173.70051840445</v>
      </c>
      <c r="X180" s="12">
        <f t="shared" si="510"/>
        <v>191241.47007917441</v>
      </c>
      <c r="Y180" s="12">
        <f t="shared" si="510"/>
        <v>188757.3743664959</v>
      </c>
      <c r="Z180" s="12">
        <f t="shared" si="510"/>
        <v>180328</v>
      </c>
      <c r="AA180" s="12">
        <f t="shared" ref="AA180:AM180" si="511">+AA179+AA178</f>
        <v>169647</v>
      </c>
      <c r="AB180" s="12">
        <f t="shared" si="511"/>
        <v>154699</v>
      </c>
      <c r="AC180" s="12">
        <f t="shared" si="511"/>
        <v>180506</v>
      </c>
      <c r="AD180" s="12">
        <f t="shared" si="511"/>
        <v>162771</v>
      </c>
      <c r="AE180" s="12">
        <f t="shared" si="511"/>
        <v>148714</v>
      </c>
      <c r="AF180" s="12">
        <f t="shared" si="511"/>
        <v>196959</v>
      </c>
      <c r="AG180" s="12">
        <f t="shared" si="511"/>
        <v>153429</v>
      </c>
      <c r="AH180" s="12">
        <f t="shared" si="511"/>
        <v>154648</v>
      </c>
      <c r="AI180" s="12">
        <f t="shared" si="511"/>
        <v>176598</v>
      </c>
      <c r="AJ180" s="12">
        <f t="shared" si="511"/>
        <v>183114</v>
      </c>
      <c r="AK180" s="12">
        <f t="shared" si="511"/>
        <v>175622</v>
      </c>
      <c r="AL180" s="12">
        <f t="shared" si="511"/>
        <v>164494</v>
      </c>
      <c r="AM180" s="12">
        <f t="shared" si="511"/>
        <v>172436</v>
      </c>
      <c r="AN180" s="12">
        <f>+AN178+AN179</f>
        <v>189896</v>
      </c>
      <c r="AO180" s="12">
        <f>+AO178+AO179</f>
        <v>201578</v>
      </c>
      <c r="AP180" s="12">
        <f t="shared" ref="AP180:AS180" si="512">+AP179+AP178</f>
        <v>231606</v>
      </c>
      <c r="AQ180" s="12">
        <f t="shared" si="512"/>
        <v>205660</v>
      </c>
      <c r="AR180" s="12">
        <f t="shared" si="512"/>
        <v>0</v>
      </c>
      <c r="AS180" s="12">
        <f t="shared" si="512"/>
        <v>0</v>
      </c>
      <c r="AT180" s="12">
        <f t="shared" ref="AT180" si="513">+AT179+AT178</f>
        <v>0</v>
      </c>
      <c r="AU180" s="12">
        <f t="shared" ref="AU180" si="514">+AU179+AU178</f>
        <v>0</v>
      </c>
      <c r="AV180" s="401">
        <f>AQ180/AM180</f>
        <v>1.1926743835394</v>
      </c>
      <c r="AW180" s="670">
        <v>0</v>
      </c>
      <c r="AX180" s="12"/>
      <c r="AY180" s="652"/>
      <c r="AZ180" s="12"/>
      <c r="BA180" s="494"/>
      <c r="BB180" s="494"/>
      <c r="BC180" s="494"/>
      <c r="BD180" s="494"/>
      <c r="BE180" s="494"/>
      <c r="BF180" s="494"/>
      <c r="BG180" s="494"/>
    </row>
    <row r="181" spans="1:59" s="357" customFormat="1" outlineLevel="1">
      <c r="A181" s="12"/>
      <c r="B181" s="12"/>
      <c r="C181" s="12"/>
      <c r="D181" s="12"/>
      <c r="E181" s="12"/>
      <c r="F181" s="12"/>
      <c r="G181" s="53"/>
      <c r="H181" s="12"/>
      <c r="I181" s="12"/>
      <c r="J181" s="53"/>
      <c r="K181" s="53"/>
      <c r="L181" s="12"/>
      <c r="M181" s="12"/>
      <c r="N181" s="12"/>
      <c r="O181" s="12"/>
      <c r="P181" s="12"/>
      <c r="Q181" s="12"/>
      <c r="R181" s="12"/>
      <c r="S181" s="12"/>
      <c r="T181" s="12"/>
      <c r="U181" s="12"/>
      <c r="V181" s="12"/>
      <c r="W181" s="12"/>
      <c r="X181" s="12"/>
      <c r="Y181" s="12"/>
      <c r="Z181" s="12"/>
      <c r="AA181" s="12"/>
      <c r="AB181" s="12"/>
      <c r="AC181" s="757"/>
      <c r="AD181" s="757"/>
      <c r="AE181" s="757"/>
      <c r="AF181" s="12"/>
      <c r="AG181" s="12"/>
      <c r="AH181" s="757"/>
      <c r="AI181" s="757"/>
      <c r="AJ181" s="757"/>
      <c r="AK181" s="757"/>
      <c r="AL181" s="757"/>
      <c r="AM181" s="757"/>
      <c r="AN181" s="757"/>
      <c r="AO181" s="757"/>
      <c r="AP181" s="757"/>
      <c r="AQ181" s="757"/>
      <c r="AR181" s="757"/>
      <c r="AS181" s="757"/>
      <c r="AT181" s="757"/>
      <c r="AU181" s="757"/>
      <c r="AV181" s="757"/>
      <c r="AW181" s="758"/>
      <c r="AX181" s="563"/>
      <c r="AY181" s="12"/>
      <c r="AZ181" s="12"/>
      <c r="BA181" s="494"/>
      <c r="BB181" s="494"/>
      <c r="BC181" s="494"/>
      <c r="BD181" s="494"/>
      <c r="BE181" s="494"/>
      <c r="BF181" s="494"/>
      <c r="BG181" s="494"/>
    </row>
    <row r="182" spans="1:59" s="357" customFormat="1" outlineLevel="1">
      <c r="A182" s="12"/>
      <c r="B182" s="13" t="s">
        <v>744</v>
      </c>
      <c r="C182" s="12"/>
      <c r="D182" s="12"/>
      <c r="E182" s="12"/>
      <c r="F182" s="12"/>
      <c r="G182" s="53"/>
      <c r="H182" s="12"/>
      <c r="I182" s="12"/>
      <c r="J182" s="53"/>
      <c r="K182" s="53"/>
      <c r="L182" s="12"/>
      <c r="M182" s="12"/>
      <c r="N182" s="12"/>
      <c r="O182" s="12"/>
      <c r="P182" s="12"/>
      <c r="Q182" s="12"/>
      <c r="R182" s="12"/>
      <c r="S182" s="12"/>
      <c r="T182" s="12"/>
      <c r="U182" s="12"/>
      <c r="V182" s="12"/>
      <c r="W182" s="12"/>
      <c r="X182" s="12"/>
      <c r="Y182" s="12"/>
      <c r="Z182" s="12"/>
      <c r="AA182" s="12"/>
      <c r="AB182" s="400"/>
      <c r="AC182" s="400"/>
      <c r="AD182" s="404"/>
      <c r="AE182" s="404"/>
      <c r="AF182" s="12"/>
      <c r="AG182" s="12"/>
      <c r="AH182" s="63"/>
      <c r="AI182" s="63"/>
      <c r="AJ182" s="38"/>
      <c r="AK182" s="38"/>
      <c r="AL182" s="38"/>
      <c r="AM182" s="38"/>
      <c r="AN182" s="38"/>
      <c r="AO182" s="38"/>
      <c r="AP182" s="63"/>
      <c r="AQ182" s="63"/>
      <c r="AR182" s="63"/>
      <c r="AS182" s="63"/>
      <c r="AT182" s="63"/>
      <c r="AU182" s="63"/>
      <c r="AV182" s="50"/>
      <c r="AW182" s="687"/>
      <c r="AX182" s="564"/>
      <c r="AY182" s="12"/>
      <c r="AZ182" s="12"/>
      <c r="BA182" s="494"/>
      <c r="BB182" s="494"/>
      <c r="BC182" s="494"/>
      <c r="BD182" s="494"/>
      <c r="BE182" s="494"/>
      <c r="BF182" s="494"/>
      <c r="BG182" s="494"/>
    </row>
    <row r="183" spans="1:59" outlineLevel="1">
      <c r="A183" s="38"/>
      <c r="B183" s="38" t="s">
        <v>576</v>
      </c>
      <c r="C183" s="38"/>
      <c r="D183" s="38"/>
      <c r="E183" s="38"/>
      <c r="F183" s="38"/>
      <c r="G183" s="52"/>
      <c r="H183" s="38"/>
      <c r="I183" s="38"/>
      <c r="J183" s="52"/>
      <c r="K183" s="52"/>
      <c r="L183" s="38"/>
      <c r="M183" s="38"/>
      <c r="N183" s="38"/>
      <c r="O183" s="306">
        <f t="shared" ref="O183:Z183" si="515">+O167+O176+O180</f>
        <v>332280.03759566881</v>
      </c>
      <c r="P183" s="306">
        <f t="shared" si="515"/>
        <v>414785.42586083757</v>
      </c>
      <c r="Q183" s="306">
        <f t="shared" si="515"/>
        <v>487871.568391826</v>
      </c>
      <c r="R183" s="306">
        <f t="shared" si="515"/>
        <v>551688.05993653357</v>
      </c>
      <c r="S183" s="306">
        <f t="shared" si="515"/>
        <v>566340.01295363612</v>
      </c>
      <c r="T183" s="306">
        <f t="shared" si="515"/>
        <v>633398.89686490025</v>
      </c>
      <c r="U183" s="306">
        <f t="shared" si="515"/>
        <v>600109.74978786591</v>
      </c>
      <c r="V183" s="306">
        <f t="shared" si="515"/>
        <v>617160.99832304474</v>
      </c>
      <c r="W183" s="306">
        <f t="shared" si="515"/>
        <v>623215.25082318916</v>
      </c>
      <c r="X183" s="306">
        <f t="shared" si="515"/>
        <v>685046.79279297672</v>
      </c>
      <c r="Y183" s="306">
        <f t="shared" si="515"/>
        <v>642469.04396503721</v>
      </c>
      <c r="Z183" s="318">
        <f t="shared" si="515"/>
        <v>616573</v>
      </c>
      <c r="AA183" s="38">
        <v>618489</v>
      </c>
      <c r="AB183" s="38">
        <v>601876</v>
      </c>
      <c r="AC183" s="554">
        <f>+AC180+AC176+AC167</f>
        <v>687327</v>
      </c>
      <c r="AD183" s="555">
        <v>556147</v>
      </c>
      <c r="AE183" s="555">
        <v>571655</v>
      </c>
      <c r="AF183" s="556">
        <v>506472</v>
      </c>
      <c r="AG183" s="306">
        <v>527181</v>
      </c>
      <c r="AH183" s="554">
        <v>493922</v>
      </c>
      <c r="AI183" s="554">
        <v>490841</v>
      </c>
      <c r="AJ183" s="554">
        <f>952492-AI183</f>
        <v>461651</v>
      </c>
      <c r="AK183" s="554">
        <v>438849</v>
      </c>
      <c r="AL183" s="705">
        <v>379437</v>
      </c>
      <c r="AM183" s="705">
        <v>485818</v>
      </c>
      <c r="AN183" s="819">
        <f>903097-AN188</f>
        <v>469330</v>
      </c>
      <c r="AO183" s="819">
        <v>475027</v>
      </c>
      <c r="AP183" s="819">
        <v>468795</v>
      </c>
      <c r="AQ183" s="688">
        <v>548880</v>
      </c>
      <c r="AR183" s="688">
        <v>579545</v>
      </c>
      <c r="AS183" s="688">
        <v>459427</v>
      </c>
      <c r="AT183" s="688">
        <v>413539</v>
      </c>
      <c r="AU183" s="688">
        <f>+SUM('Monthly Volumes'!EZ5:FD5)</f>
        <v>455666</v>
      </c>
      <c r="AV183" s="50"/>
      <c r="AW183" s="688">
        <v>413539</v>
      </c>
      <c r="AX183" s="556"/>
      <c r="AY183" s="120"/>
      <c r="AZ183" s="45"/>
      <c r="BA183" s="475"/>
      <c r="BB183" s="475"/>
      <c r="BC183" s="475"/>
      <c r="BD183" s="475"/>
      <c r="BE183" s="475"/>
      <c r="BF183" s="475"/>
      <c r="BG183" s="475"/>
    </row>
    <row r="184" spans="1:59" outlineLevel="1">
      <c r="A184" s="38"/>
      <c r="B184" s="38" t="s">
        <v>1524</v>
      </c>
      <c r="C184" s="38"/>
      <c r="D184" s="38"/>
      <c r="E184" s="38"/>
      <c r="F184" s="38"/>
      <c r="G184" s="52"/>
      <c r="H184" s="38"/>
      <c r="I184" s="38"/>
      <c r="J184" s="52"/>
      <c r="K184" s="52"/>
      <c r="L184" s="38"/>
      <c r="M184" s="38"/>
      <c r="N184" s="38"/>
      <c r="O184" s="306">
        <v>37636</v>
      </c>
      <c r="P184" s="306">
        <v>47314</v>
      </c>
      <c r="Q184" s="306">
        <v>46578</v>
      </c>
      <c r="R184" s="306">
        <v>44522</v>
      </c>
      <c r="S184" s="306">
        <v>38289</v>
      </c>
      <c r="T184" s="306">
        <v>60566</v>
      </c>
      <c r="U184" s="306">
        <v>51648</v>
      </c>
      <c r="V184" s="306">
        <v>55100</v>
      </c>
      <c r="W184" s="306">
        <v>42276</v>
      </c>
      <c r="X184" s="306">
        <v>55332</v>
      </c>
      <c r="Y184" s="306">
        <v>52134</v>
      </c>
      <c r="Z184" s="318">
        <v>53237</v>
      </c>
      <c r="AA184" s="38">
        <v>44837</v>
      </c>
      <c r="AB184" s="38">
        <v>57047</v>
      </c>
      <c r="AC184" s="554">
        <v>64212</v>
      </c>
      <c r="AD184" s="555">
        <v>60079</v>
      </c>
      <c r="AE184" s="555">
        <v>45057</v>
      </c>
      <c r="AF184" s="556">
        <v>53828</v>
      </c>
      <c r="AG184" s="556">
        <v>44003</v>
      </c>
      <c r="AH184" s="557">
        <v>44024</v>
      </c>
      <c r="AI184" s="557">
        <v>55622</v>
      </c>
      <c r="AJ184" s="557">
        <f>130460-AI184</f>
        <v>74838</v>
      </c>
      <c r="AK184" s="557">
        <v>55257</v>
      </c>
      <c r="AL184" s="557">
        <v>48628</v>
      </c>
      <c r="AM184" s="557">
        <v>50715</v>
      </c>
      <c r="AN184" s="557">
        <f>153499-AN189</f>
        <v>67117</v>
      </c>
      <c r="AO184" s="557">
        <v>66034</v>
      </c>
      <c r="AP184" s="820">
        <f>254995-AM184-AN184-AO184</f>
        <v>71129</v>
      </c>
      <c r="AQ184" s="689">
        <v>75204</v>
      </c>
      <c r="AR184" s="689">
        <v>74383</v>
      </c>
      <c r="AS184" s="689">
        <v>53602</v>
      </c>
      <c r="AT184" s="689">
        <v>50037</v>
      </c>
      <c r="AU184" s="689">
        <v>50037</v>
      </c>
      <c r="AV184" s="45">
        <f>AQ184/AM184</f>
        <v>1.4828748890860692</v>
      </c>
      <c r="AW184" s="689">
        <v>50037</v>
      </c>
      <c r="AX184" s="556"/>
      <c r="AY184" s="120"/>
      <c r="AZ184" s="45"/>
      <c r="BA184" s="475"/>
      <c r="BB184" s="475"/>
      <c r="BC184" s="475"/>
      <c r="BD184" s="475"/>
      <c r="BE184" s="475"/>
      <c r="BF184" s="475"/>
      <c r="BG184" s="475"/>
    </row>
    <row r="185" spans="1:59" s="357" customFormat="1" outlineLevel="1">
      <c r="A185" s="12"/>
      <c r="B185" s="12" t="s">
        <v>230</v>
      </c>
      <c r="C185" s="12">
        <v>548831</v>
      </c>
      <c r="D185" s="12">
        <v>596278</v>
      </c>
      <c r="E185" s="12">
        <v>622600</v>
      </c>
      <c r="F185" s="12">
        <v>511654</v>
      </c>
      <c r="G185" s="53">
        <v>421352.60709278681</v>
      </c>
      <c r="H185" s="12">
        <v>455874.61415407818</v>
      </c>
      <c r="I185" s="12">
        <v>560873.91166128789</v>
      </c>
      <c r="J185" s="53">
        <v>394350.70716805616</v>
      </c>
      <c r="K185" s="53">
        <v>421378.39582650363</v>
      </c>
      <c r="L185" s="12">
        <v>433110.16724994592</v>
      </c>
      <c r="M185" s="12">
        <v>278515.95896077284</v>
      </c>
      <c r="N185" s="12">
        <v>288583.3461424532</v>
      </c>
      <c r="O185" s="12">
        <f t="shared" ref="O185:Z185" si="516">+O183+O184</f>
        <v>369916.03759566881</v>
      </c>
      <c r="P185" s="12">
        <f t="shared" si="516"/>
        <v>462099.42586083757</v>
      </c>
      <c r="Q185" s="12">
        <f t="shared" si="516"/>
        <v>534449.568391826</v>
      </c>
      <c r="R185" s="12">
        <f t="shared" si="516"/>
        <v>596210.05993653357</v>
      </c>
      <c r="S185" s="12">
        <f t="shared" si="516"/>
        <v>604629.01295363612</v>
      </c>
      <c r="T185" s="12">
        <f t="shared" si="516"/>
        <v>693964.89686490025</v>
      </c>
      <c r="U185" s="12">
        <f t="shared" si="516"/>
        <v>651757.74978786591</v>
      </c>
      <c r="V185" s="12">
        <f t="shared" si="516"/>
        <v>672260.99832304474</v>
      </c>
      <c r="W185" s="12">
        <f t="shared" si="516"/>
        <v>665491.25082318916</v>
      </c>
      <c r="X185" s="12">
        <f t="shared" si="516"/>
        <v>740378.79279297672</v>
      </c>
      <c r="Y185" s="12">
        <f t="shared" si="516"/>
        <v>694603.04396503721</v>
      </c>
      <c r="Z185" s="12">
        <f t="shared" si="516"/>
        <v>669810</v>
      </c>
      <c r="AA185" s="12">
        <f t="shared" ref="AA185:AK185" si="517">+AA184+AA183</f>
        <v>663326</v>
      </c>
      <c r="AB185" s="12">
        <f t="shared" si="517"/>
        <v>658923</v>
      </c>
      <c r="AC185" s="12">
        <f t="shared" si="517"/>
        <v>751539</v>
      </c>
      <c r="AD185" s="53">
        <f t="shared" si="517"/>
        <v>616226</v>
      </c>
      <c r="AE185" s="53">
        <f t="shared" si="517"/>
        <v>616712</v>
      </c>
      <c r="AF185" s="53">
        <f t="shared" si="517"/>
        <v>560300</v>
      </c>
      <c r="AG185" s="53">
        <f t="shared" si="517"/>
        <v>571184</v>
      </c>
      <c r="AH185" s="53">
        <f t="shared" si="517"/>
        <v>537946</v>
      </c>
      <c r="AI185" s="53">
        <f t="shared" si="517"/>
        <v>546463</v>
      </c>
      <c r="AJ185" s="53">
        <f t="shared" si="517"/>
        <v>536489</v>
      </c>
      <c r="AK185" s="53">
        <f t="shared" si="517"/>
        <v>494106</v>
      </c>
      <c r="AL185" s="53">
        <f>+AL183+AL184</f>
        <v>428065</v>
      </c>
      <c r="AM185" s="53">
        <v>536533</v>
      </c>
      <c r="AN185" s="53">
        <v>536447</v>
      </c>
      <c r="AO185" s="53">
        <f>AO183+AO184</f>
        <v>541061</v>
      </c>
      <c r="AP185" s="53">
        <f>AP183+AP184</f>
        <v>539924</v>
      </c>
      <c r="AQ185" s="53">
        <f t="shared" ref="AQ185" si="518">AQ183+AQ184</f>
        <v>624084</v>
      </c>
      <c r="AR185" s="53">
        <f>AR183+AR184</f>
        <v>653928</v>
      </c>
      <c r="AS185" s="53">
        <f>AS183+AS184</f>
        <v>513029</v>
      </c>
      <c r="AT185" s="53">
        <f>AT183+AT184</f>
        <v>463576</v>
      </c>
      <c r="AU185" s="53">
        <f>AU183+AU184</f>
        <v>505703</v>
      </c>
      <c r="AV185" s="12"/>
      <c r="AW185" s="690">
        <v>463576</v>
      </c>
      <c r="AX185" s="53"/>
      <c r="AY185" s="652"/>
      <c r="AZ185" s="12"/>
      <c r="BA185" s="494"/>
      <c r="BB185" s="494"/>
      <c r="BC185" s="494"/>
      <c r="BD185" s="494"/>
      <c r="BE185" s="494"/>
      <c r="BF185" s="494"/>
      <c r="BG185" s="494"/>
    </row>
    <row r="186" spans="1:59" outlineLevel="1">
      <c r="A186" s="38"/>
      <c r="B186" s="38"/>
      <c r="C186" s="38"/>
      <c r="D186" s="38"/>
      <c r="E186" s="38"/>
      <c r="F186" s="38"/>
      <c r="G186" s="52"/>
      <c r="H186" s="38"/>
      <c r="I186" s="38"/>
      <c r="J186" s="52"/>
      <c r="K186" s="52"/>
      <c r="L186" s="38"/>
      <c r="M186" s="38"/>
      <c r="N186" s="38"/>
      <c r="O186" s="38"/>
      <c r="P186" s="38"/>
      <c r="Q186" s="38"/>
      <c r="R186" s="38"/>
      <c r="S186" s="38"/>
      <c r="T186" s="38"/>
      <c r="U186" s="38"/>
      <c r="V186" s="38"/>
      <c r="W186" s="420"/>
      <c r="X186" s="420"/>
      <c r="Y186" s="420"/>
      <c r="Z186" s="420"/>
      <c r="AA186" s="420"/>
      <c r="AB186" s="420"/>
      <c r="AC186" s="420"/>
      <c r="AD186" s="420"/>
      <c r="AE186" s="562">
        <f>AE184/AE185</f>
        <v>7.3060034505571483E-2</v>
      </c>
      <c r="AF186" s="562">
        <f>AF184/AF185</f>
        <v>9.6069962520078531E-2</v>
      </c>
      <c r="AG186" s="562">
        <f>AG184/AG185</f>
        <v>7.7038222359169725E-2</v>
      </c>
      <c r="AH186" s="420">
        <f t="shared" ref="AH186:AM186" si="519">+AH184/AH185</f>
        <v>8.1837210426325316E-2</v>
      </c>
      <c r="AI186" s="420">
        <f t="shared" si="519"/>
        <v>0.10178548227418874</v>
      </c>
      <c r="AJ186" s="420">
        <f t="shared" si="519"/>
        <v>0.13949587037199271</v>
      </c>
      <c r="AK186" s="420">
        <f t="shared" si="519"/>
        <v>0.11183227890371701</v>
      </c>
      <c r="AL186" s="420">
        <f t="shared" si="519"/>
        <v>0.11359957015873758</v>
      </c>
      <c r="AM186" s="420">
        <f t="shared" si="519"/>
        <v>9.4523542820292503E-2</v>
      </c>
      <c r="AN186" s="420">
        <f t="shared" ref="AN186:AP186" si="520">+AN184/AN185</f>
        <v>0.12511394415478136</v>
      </c>
      <c r="AO186" s="420">
        <f t="shared" si="520"/>
        <v>0.12204538859758882</v>
      </c>
      <c r="AP186" s="420">
        <f t="shared" si="520"/>
        <v>0.1317389114023455</v>
      </c>
      <c r="AQ186" s="420">
        <f t="shared" ref="AQ186" si="521">+AQ184/AQ185</f>
        <v>0.12050300921029862</v>
      </c>
      <c r="AR186" s="420">
        <f t="shared" ref="AR186:AS186" si="522">+AR184/AR185</f>
        <v>0.11374799672135158</v>
      </c>
      <c r="AS186" s="420">
        <f t="shared" si="522"/>
        <v>0.10448142307744786</v>
      </c>
      <c r="AT186" s="420">
        <f t="shared" ref="AT186" si="523">+AT184/AT185</f>
        <v>0.10793699414982656</v>
      </c>
      <c r="AU186" s="420">
        <f t="shared" ref="AU186" si="524">+AU184/AU185</f>
        <v>9.8945428443177122E-2</v>
      </c>
      <c r="AV186" s="38"/>
      <c r="AW186" s="691">
        <v>0.10793699414982656</v>
      </c>
      <c r="AX186" s="420"/>
      <c r="AY186" s="38"/>
      <c r="AZ186" s="38"/>
      <c r="BA186" s="475"/>
      <c r="BB186" s="475"/>
      <c r="BC186" s="475"/>
      <c r="BD186" s="475"/>
      <c r="BE186" s="475"/>
      <c r="BF186" s="475"/>
      <c r="BG186" s="475"/>
    </row>
    <row r="187" spans="1:59" s="357" customFormat="1" outlineLevel="1">
      <c r="A187" s="12"/>
      <c r="B187" s="13" t="s">
        <v>587</v>
      </c>
      <c r="C187" s="12"/>
      <c r="D187" s="12"/>
      <c r="E187" s="12"/>
      <c r="F187" s="12"/>
      <c r="G187" s="53"/>
      <c r="H187" s="12"/>
      <c r="I187" s="12"/>
      <c r="J187" s="53"/>
      <c r="K187" s="53"/>
      <c r="L187" s="12"/>
      <c r="M187" s="12"/>
      <c r="N187" s="12"/>
      <c r="O187" s="12"/>
      <c r="P187" s="12"/>
      <c r="Q187" s="12"/>
      <c r="R187" s="12"/>
      <c r="S187" s="12"/>
      <c r="T187" s="12"/>
      <c r="U187" s="12"/>
      <c r="V187" s="12"/>
      <c r="W187" s="12"/>
      <c r="X187" s="12"/>
      <c r="Y187" s="12"/>
      <c r="Z187" s="12"/>
      <c r="AA187" s="12"/>
      <c r="AB187" s="12"/>
      <c r="AC187" s="12"/>
      <c r="AD187" s="53"/>
      <c r="AE187" s="53"/>
      <c r="AF187" s="12"/>
      <c r="AG187" s="12"/>
      <c r="AH187" s="53"/>
      <c r="AI187" s="53"/>
      <c r="AJ187" s="53"/>
      <c r="AK187" s="53"/>
      <c r="AL187" s="53"/>
      <c r="AM187" s="53"/>
      <c r="AN187" s="53"/>
      <c r="AO187" s="53"/>
      <c r="AP187" s="53"/>
      <c r="AQ187" s="53"/>
      <c r="AR187" s="53"/>
      <c r="AS187" s="53"/>
      <c r="AT187" s="53"/>
      <c r="AU187" s="53"/>
      <c r="AV187" s="12"/>
      <c r="AW187" s="690"/>
      <c r="AX187" s="12"/>
      <c r="AY187" s="12"/>
      <c r="AZ187" s="12"/>
      <c r="BA187" s="494"/>
      <c r="BB187" s="494"/>
      <c r="BC187" s="494"/>
      <c r="BD187" s="494"/>
      <c r="BE187" s="494"/>
      <c r="BF187" s="494"/>
      <c r="BG187" s="494"/>
    </row>
    <row r="188" spans="1:59" outlineLevel="1">
      <c r="A188" s="38"/>
      <c r="B188" s="38" t="s">
        <v>576</v>
      </c>
      <c r="C188" s="38"/>
      <c r="D188" s="38"/>
      <c r="E188" s="38"/>
      <c r="F188" s="38"/>
      <c r="G188" s="52"/>
      <c r="H188" s="38"/>
      <c r="I188" s="38"/>
      <c r="J188" s="52"/>
      <c r="K188" s="52"/>
      <c r="L188" s="38"/>
      <c r="M188" s="38"/>
      <c r="N188" s="38"/>
      <c r="O188" s="306">
        <v>152533</v>
      </c>
      <c r="P188" s="306">
        <v>186030</v>
      </c>
      <c r="Q188" s="306">
        <v>223845</v>
      </c>
      <c r="R188" s="306">
        <v>162689</v>
      </c>
      <c r="S188" s="306">
        <v>262270</v>
      </c>
      <c r="T188" s="306">
        <v>250822</v>
      </c>
      <c r="U188" s="306">
        <v>239929</v>
      </c>
      <c r="V188" s="306">
        <v>219416</v>
      </c>
      <c r="W188" s="306">
        <v>339876</v>
      </c>
      <c r="X188" s="306">
        <v>342686</v>
      </c>
      <c r="Y188" s="306">
        <v>304279.95603496279</v>
      </c>
      <c r="Z188" s="311">
        <v>280732</v>
      </c>
      <c r="AA188" s="38">
        <v>364134</v>
      </c>
      <c r="AB188" s="556">
        <v>326648</v>
      </c>
      <c r="AC188" s="556">
        <v>298956</v>
      </c>
      <c r="AD188" s="557">
        <v>303537</v>
      </c>
      <c r="AE188" s="557">
        <v>288496</v>
      </c>
      <c r="AF188" s="556">
        <v>342818</v>
      </c>
      <c r="AG188" s="306">
        <v>360490</v>
      </c>
      <c r="AH188" s="557">
        <v>331369</v>
      </c>
      <c r="AI188" s="557">
        <v>384017</v>
      </c>
      <c r="AJ188" s="557">
        <f>821519-AI188</f>
        <v>437502</v>
      </c>
      <c r="AK188" s="557">
        <v>406255</v>
      </c>
      <c r="AL188" s="557">
        <v>293532</v>
      </c>
      <c r="AM188" s="557">
        <v>389417</v>
      </c>
      <c r="AN188" s="557">
        <f>138762+152488+142517</f>
        <v>433767</v>
      </c>
      <c r="AO188" s="557">
        <v>352374</v>
      </c>
      <c r="AP188" s="557">
        <v>283737</v>
      </c>
      <c r="AQ188" s="689">
        <v>323660</v>
      </c>
      <c r="AR188" s="689">
        <v>317869</v>
      </c>
      <c r="AS188" s="689">
        <v>289534</v>
      </c>
      <c r="AT188" s="689">
        <v>287478</v>
      </c>
      <c r="AU188" s="689">
        <f>+SUM('Monthly Volumes'!EZ6:FD6)</f>
        <v>327459</v>
      </c>
      <c r="AV188" s="45">
        <f t="shared" ref="AV188:AV190" si="525">AQ188/AM188</f>
        <v>0.83113988346682344</v>
      </c>
      <c r="AW188" s="689">
        <v>287478</v>
      </c>
      <c r="AX188" s="556"/>
      <c r="AY188" s="120"/>
      <c r="AZ188" s="45"/>
      <c r="BA188" s="475"/>
      <c r="BB188" s="475"/>
      <c r="BC188" s="475"/>
      <c r="BD188" s="475"/>
      <c r="BE188" s="475"/>
      <c r="BF188" s="475"/>
      <c r="BG188" s="475"/>
    </row>
    <row r="189" spans="1:59" outlineLevel="1">
      <c r="A189" s="38"/>
      <c r="B189" s="38" t="s">
        <v>1524</v>
      </c>
      <c r="C189" s="38"/>
      <c r="D189" s="38"/>
      <c r="E189" s="38"/>
      <c r="F189" s="38"/>
      <c r="G189" s="52"/>
      <c r="H189" s="38"/>
      <c r="I189" s="38"/>
      <c r="J189" s="52"/>
      <c r="K189" s="52"/>
      <c r="L189" s="38"/>
      <c r="M189" s="38"/>
      <c r="N189" s="38"/>
      <c r="O189" s="306">
        <v>25606</v>
      </c>
      <c r="P189" s="306">
        <v>37932</v>
      </c>
      <c r="Q189" s="306">
        <v>49589</v>
      </c>
      <c r="R189" s="306">
        <v>51782</v>
      </c>
      <c r="S189" s="306">
        <v>61629</v>
      </c>
      <c r="T189" s="306">
        <v>56510</v>
      </c>
      <c r="U189" s="306">
        <v>56715</v>
      </c>
      <c r="V189" s="306">
        <v>56427</v>
      </c>
      <c r="W189" s="306">
        <v>87488</v>
      </c>
      <c r="X189" s="306">
        <v>81448</v>
      </c>
      <c r="Y189" s="306">
        <v>76558</v>
      </c>
      <c r="Z189" s="306">
        <v>66682</v>
      </c>
      <c r="AA189" s="38">
        <v>51511</v>
      </c>
      <c r="AB189" s="556">
        <v>63637</v>
      </c>
      <c r="AC189" s="556">
        <v>77266</v>
      </c>
      <c r="AD189" s="557">
        <v>61468</v>
      </c>
      <c r="AE189" s="557">
        <v>74067</v>
      </c>
      <c r="AF189" s="556">
        <v>58212</v>
      </c>
      <c r="AG189" s="556">
        <v>62016</v>
      </c>
      <c r="AH189" s="557">
        <v>66467</v>
      </c>
      <c r="AI189" s="557">
        <v>57950</v>
      </c>
      <c r="AJ189" s="557">
        <f>139541-AI189</f>
        <v>81591</v>
      </c>
      <c r="AK189" s="557">
        <v>84159</v>
      </c>
      <c r="AL189" s="557">
        <v>61072</v>
      </c>
      <c r="AM189" s="557">
        <v>87079</v>
      </c>
      <c r="AN189" s="820">
        <f>25928+29170+31284</f>
        <v>86382</v>
      </c>
      <c r="AO189" s="820">
        <f>124097-AO184</f>
        <v>58063</v>
      </c>
      <c r="AP189" s="820">
        <v>48810</v>
      </c>
      <c r="AQ189" s="689">
        <v>46989</v>
      </c>
      <c r="AR189" s="689">
        <v>60148</v>
      </c>
      <c r="AS189" s="689">
        <v>49082</v>
      </c>
      <c r="AT189" s="689">
        <v>36573</v>
      </c>
      <c r="AU189" s="689">
        <v>36573</v>
      </c>
      <c r="AV189" s="45">
        <f t="shared" si="525"/>
        <v>0.539613454449408</v>
      </c>
      <c r="AW189" s="689">
        <v>36573</v>
      </c>
      <c r="AX189" s="556"/>
      <c r="AY189" s="120">
        <f>289534-271066</f>
        <v>18468</v>
      </c>
      <c r="AZ189" s="45"/>
      <c r="BA189" s="475"/>
      <c r="BB189" s="475"/>
      <c r="BC189" s="475"/>
      <c r="BD189" s="475"/>
      <c r="BE189" s="475"/>
      <c r="BF189" s="475"/>
      <c r="BG189" s="475"/>
    </row>
    <row r="190" spans="1:59" s="357" customFormat="1" outlineLevel="1">
      <c r="A190" s="12"/>
      <c r="B190" s="12" t="s">
        <v>230</v>
      </c>
      <c r="C190" s="12">
        <v>98263</v>
      </c>
      <c r="D190" s="12">
        <v>111847</v>
      </c>
      <c r="E190" s="12">
        <v>115619</v>
      </c>
      <c r="F190" s="12">
        <v>113703</v>
      </c>
      <c r="G190" s="53">
        <v>149760</v>
      </c>
      <c r="H190" s="12">
        <v>158218</v>
      </c>
      <c r="I190" s="12">
        <v>152569</v>
      </c>
      <c r="J190" s="53">
        <v>157750</v>
      </c>
      <c r="K190" s="53">
        <v>198717</v>
      </c>
      <c r="L190" s="12">
        <v>206930</v>
      </c>
      <c r="M190" s="12">
        <v>215233</v>
      </c>
      <c r="N190" s="12">
        <v>151639</v>
      </c>
      <c r="O190" s="12">
        <f t="shared" ref="O190:AE190" si="526">+O188+O189</f>
        <v>178139</v>
      </c>
      <c r="P190" s="12">
        <f t="shared" si="526"/>
        <v>223962</v>
      </c>
      <c r="Q190" s="12">
        <f t="shared" si="526"/>
        <v>273434</v>
      </c>
      <c r="R190" s="12">
        <f t="shared" si="526"/>
        <v>214471</v>
      </c>
      <c r="S190" s="12">
        <f t="shared" si="526"/>
        <v>323899</v>
      </c>
      <c r="T190" s="12">
        <f t="shared" si="526"/>
        <v>307332</v>
      </c>
      <c r="U190" s="12">
        <f t="shared" si="526"/>
        <v>296644</v>
      </c>
      <c r="V190" s="12">
        <f t="shared" si="526"/>
        <v>275843</v>
      </c>
      <c r="W190" s="12">
        <f t="shared" si="526"/>
        <v>427364</v>
      </c>
      <c r="X190" s="12">
        <f t="shared" si="526"/>
        <v>424134</v>
      </c>
      <c r="Y190" s="12">
        <f t="shared" si="526"/>
        <v>380837.95603496279</v>
      </c>
      <c r="Z190" s="12">
        <f t="shared" si="526"/>
        <v>347414</v>
      </c>
      <c r="AA190" s="12">
        <f t="shared" si="526"/>
        <v>415645</v>
      </c>
      <c r="AB190" s="558">
        <f t="shared" si="526"/>
        <v>390285</v>
      </c>
      <c r="AC190" s="558">
        <f t="shared" si="526"/>
        <v>376222</v>
      </c>
      <c r="AD190" s="558">
        <f t="shared" si="526"/>
        <v>365005</v>
      </c>
      <c r="AE190" s="558">
        <f t="shared" si="526"/>
        <v>362563</v>
      </c>
      <c r="AF190" s="558">
        <f t="shared" ref="AF190:AL190" si="527">+AF188+AF189</f>
        <v>401030</v>
      </c>
      <c r="AG190" s="558">
        <f t="shared" si="527"/>
        <v>422506</v>
      </c>
      <c r="AH190" s="558">
        <f t="shared" si="527"/>
        <v>397836</v>
      </c>
      <c r="AI190" s="558">
        <f t="shared" si="527"/>
        <v>441967</v>
      </c>
      <c r="AJ190" s="558">
        <f t="shared" si="527"/>
        <v>519093</v>
      </c>
      <c r="AK190" s="558">
        <f t="shared" si="527"/>
        <v>490414</v>
      </c>
      <c r="AL190" s="53">
        <f t="shared" si="527"/>
        <v>354604</v>
      </c>
      <c r="AM190" s="53">
        <v>476496</v>
      </c>
      <c r="AN190" s="53">
        <v>520149</v>
      </c>
      <c r="AO190" s="53">
        <f>AO188+AO189</f>
        <v>410437</v>
      </c>
      <c r="AP190" s="53">
        <f>AP188+AP189</f>
        <v>332547</v>
      </c>
      <c r="AQ190" s="53">
        <f t="shared" ref="AQ190" si="528">AQ188+AQ189</f>
        <v>370649</v>
      </c>
      <c r="AR190" s="53">
        <f>AR188+AR189</f>
        <v>378017</v>
      </c>
      <c r="AS190" s="53">
        <f>AS188+AS189</f>
        <v>338616</v>
      </c>
      <c r="AT190" s="53">
        <f>AT188+AT189</f>
        <v>324051</v>
      </c>
      <c r="AU190" s="53">
        <f>AU188+AU189</f>
        <v>364032</v>
      </c>
      <c r="AV190" s="45">
        <f t="shared" si="525"/>
        <v>0.77786382257143816</v>
      </c>
      <c r="AW190" s="692">
        <v>324051</v>
      </c>
      <c r="AX190" s="558"/>
      <c r="AY190" s="652"/>
      <c r="AZ190" s="45"/>
      <c r="BA190" s="494"/>
      <c r="BB190" s="494"/>
      <c r="BC190" s="494"/>
      <c r="BD190" s="494"/>
      <c r="BE190" s="494"/>
      <c r="BF190" s="494"/>
      <c r="BG190" s="494"/>
    </row>
    <row r="191" spans="1:59" s="357" customFormat="1" outlineLevel="1">
      <c r="A191" s="12"/>
      <c r="B191" s="12"/>
      <c r="C191" s="12"/>
      <c r="D191" s="12"/>
      <c r="E191" s="12"/>
      <c r="F191" s="12"/>
      <c r="G191" s="53"/>
      <c r="H191" s="12"/>
      <c r="I191" s="12"/>
      <c r="J191" s="53"/>
      <c r="K191" s="53"/>
      <c r="L191" s="12"/>
      <c r="M191" s="12"/>
      <c r="N191" s="12"/>
      <c r="O191" s="12"/>
      <c r="P191" s="12"/>
      <c r="Q191" s="12"/>
      <c r="R191" s="12"/>
      <c r="S191" s="12"/>
      <c r="T191" s="12"/>
      <c r="U191" s="12"/>
      <c r="V191" s="12"/>
      <c r="W191" s="12"/>
      <c r="X191" s="12"/>
      <c r="Y191" s="12"/>
      <c r="Z191" s="757"/>
      <c r="AA191" s="757"/>
      <c r="AB191" s="757"/>
      <c r="AC191" s="757">
        <f>AC190/AC192</f>
        <v>0.33360082499749505</v>
      </c>
      <c r="AD191" s="757"/>
      <c r="AE191" s="757"/>
      <c r="AF191" s="757">
        <f t="shared" ref="AF191:AM191" si="529">AF190/AF192</f>
        <v>0.41716164064369154</v>
      </c>
      <c r="AG191" s="757">
        <f t="shared" si="529"/>
        <v>0.42518894222544257</v>
      </c>
      <c r="AH191" s="757">
        <f t="shared" si="529"/>
        <v>0.42513747860078521</v>
      </c>
      <c r="AI191" s="757">
        <f t="shared" si="529"/>
        <v>0.44714041459688597</v>
      </c>
      <c r="AJ191" s="757">
        <f t="shared" si="529"/>
        <v>0.49175999590747094</v>
      </c>
      <c r="AK191" s="757">
        <f t="shared" si="529"/>
        <v>0.49812497460691507</v>
      </c>
      <c r="AL191" s="757">
        <f t="shared" si="529"/>
        <v>0.45307019953518024</v>
      </c>
      <c r="AM191" s="757">
        <f t="shared" si="529"/>
        <v>0.47036758078988855</v>
      </c>
      <c r="AN191" s="821">
        <f t="shared" ref="AN191:AP191" si="530">AN190/AN192</f>
        <v>0.49228749682944095</v>
      </c>
      <c r="AO191" s="821">
        <f t="shared" si="530"/>
        <v>0.43135876270890744</v>
      </c>
      <c r="AP191" s="821">
        <f t="shared" si="530"/>
        <v>0.38115536218395796</v>
      </c>
      <c r="AQ191" s="821">
        <f t="shared" ref="AQ191" si="531">AQ190/AQ192</f>
        <v>0.37261154500755478</v>
      </c>
      <c r="AR191" s="821">
        <f t="shared" ref="AR191:AS191" si="532">AR190/AR192</f>
        <v>0.36631506524088009</v>
      </c>
      <c r="AS191" s="821">
        <f t="shared" si="532"/>
        <v>0.39760228733803404</v>
      </c>
      <c r="AT191" s="821">
        <f t="shared" ref="AT191" si="533">AT190/AT192</f>
        <v>0.41142698256916027</v>
      </c>
      <c r="AU191" s="821">
        <f t="shared" ref="AU191" si="534">AU190/AU192</f>
        <v>0.41855507712119211</v>
      </c>
      <c r="AV191" s="12"/>
      <c r="AW191" s="758">
        <v>0.41142698256916027</v>
      </c>
      <c r="AX191" s="757"/>
      <c r="AY191" s="12"/>
      <c r="AZ191" s="12"/>
      <c r="BA191" s="494"/>
      <c r="BB191" s="494"/>
      <c r="BC191" s="494"/>
      <c r="BD191" s="494"/>
      <c r="BE191" s="494"/>
      <c r="BF191" s="494"/>
      <c r="BG191" s="494"/>
    </row>
    <row r="192" spans="1:59" s="357" customFormat="1" outlineLevel="1">
      <c r="A192" s="12"/>
      <c r="B192" s="12" t="s">
        <v>1525</v>
      </c>
      <c r="C192" s="12">
        <f t="shared" ref="C192:AG192" si="535">+C190+C185</f>
        <v>647094</v>
      </c>
      <c r="D192" s="12">
        <f t="shared" si="535"/>
        <v>708125</v>
      </c>
      <c r="E192" s="12">
        <f t="shared" si="535"/>
        <v>738219</v>
      </c>
      <c r="F192" s="12">
        <f t="shared" si="535"/>
        <v>625357</v>
      </c>
      <c r="G192" s="12">
        <f t="shared" si="535"/>
        <v>571112.60709278681</v>
      </c>
      <c r="H192" s="12">
        <f t="shared" si="535"/>
        <v>614092.61415407818</v>
      </c>
      <c r="I192" s="12">
        <f t="shared" si="535"/>
        <v>713442.91166128789</v>
      </c>
      <c r="J192" s="12">
        <f t="shared" si="535"/>
        <v>552100.70716805616</v>
      </c>
      <c r="K192" s="12">
        <f t="shared" si="535"/>
        <v>620095.39582650363</v>
      </c>
      <c r="L192" s="12">
        <f t="shared" si="535"/>
        <v>640040.16724994592</v>
      </c>
      <c r="M192" s="12">
        <f t="shared" si="535"/>
        <v>493748.95896077284</v>
      </c>
      <c r="N192" s="12">
        <f t="shared" si="535"/>
        <v>440222.3461424532</v>
      </c>
      <c r="O192" s="12">
        <f t="shared" si="535"/>
        <v>548055.03759566881</v>
      </c>
      <c r="P192" s="12">
        <f t="shared" si="535"/>
        <v>686061.42586083757</v>
      </c>
      <c r="Q192" s="12">
        <f t="shared" si="535"/>
        <v>807883.568391826</v>
      </c>
      <c r="R192" s="12">
        <f t="shared" si="535"/>
        <v>810681.05993653357</v>
      </c>
      <c r="S192" s="12">
        <f t="shared" si="535"/>
        <v>928528.01295363612</v>
      </c>
      <c r="T192" s="12">
        <f t="shared" si="535"/>
        <v>1001296.8968649002</v>
      </c>
      <c r="U192" s="12">
        <f t="shared" si="535"/>
        <v>948401.74978786591</v>
      </c>
      <c r="V192" s="12">
        <f t="shared" si="535"/>
        <v>948103.99832304474</v>
      </c>
      <c r="W192" s="12">
        <f t="shared" si="535"/>
        <v>1092855.250823189</v>
      </c>
      <c r="X192" s="12">
        <f t="shared" si="535"/>
        <v>1164512.7927929768</v>
      </c>
      <c r="Y192" s="12">
        <f t="shared" si="535"/>
        <v>1075441</v>
      </c>
      <c r="Z192" s="12">
        <f t="shared" si="535"/>
        <v>1017224</v>
      </c>
      <c r="AA192" s="12">
        <f t="shared" si="535"/>
        <v>1078971</v>
      </c>
      <c r="AB192" s="12">
        <f t="shared" si="535"/>
        <v>1049208</v>
      </c>
      <c r="AC192" s="12">
        <f t="shared" si="535"/>
        <v>1127761</v>
      </c>
      <c r="AD192" s="12">
        <f t="shared" si="535"/>
        <v>981231</v>
      </c>
      <c r="AE192" s="12">
        <f t="shared" si="535"/>
        <v>979275</v>
      </c>
      <c r="AF192" s="12">
        <f t="shared" si="535"/>
        <v>961330</v>
      </c>
      <c r="AG192" s="12">
        <f t="shared" si="535"/>
        <v>993690</v>
      </c>
      <c r="AH192" s="12">
        <f t="shared" ref="AH192:AM192" si="536">+AH190+AH185</f>
        <v>935782</v>
      </c>
      <c r="AI192" s="12">
        <f t="shared" si="536"/>
        <v>988430</v>
      </c>
      <c r="AJ192" s="12">
        <f t="shared" si="536"/>
        <v>1055582</v>
      </c>
      <c r="AK192" s="12">
        <f t="shared" si="536"/>
        <v>984520</v>
      </c>
      <c r="AL192" s="12">
        <f t="shared" si="536"/>
        <v>782669</v>
      </c>
      <c r="AM192" s="12">
        <f t="shared" si="536"/>
        <v>1013029</v>
      </c>
      <c r="AN192" s="53">
        <f t="shared" ref="AN192:AP192" si="537">+AN190+AN185</f>
        <v>1056596</v>
      </c>
      <c r="AO192" s="53">
        <f t="shared" si="537"/>
        <v>951498</v>
      </c>
      <c r="AP192" s="53">
        <f t="shared" si="537"/>
        <v>872471</v>
      </c>
      <c r="AQ192" s="53">
        <f t="shared" ref="AQ192" si="538">+AQ190+AQ185</f>
        <v>994733</v>
      </c>
      <c r="AR192" s="53">
        <f t="shared" ref="AR192:AS192" si="539">+AR190+AR185</f>
        <v>1031945</v>
      </c>
      <c r="AS192" s="53">
        <f t="shared" si="539"/>
        <v>851645</v>
      </c>
      <c r="AT192" s="53">
        <f t="shared" ref="AT192" si="540">+AT190+AT185</f>
        <v>787627</v>
      </c>
      <c r="AU192" s="53">
        <f t="shared" ref="AU192" si="541">+AU190+AU185</f>
        <v>869735</v>
      </c>
      <c r="AV192" s="564">
        <f>AR192/AM192</f>
        <v>1.0186727132194635</v>
      </c>
      <c r="AW192" s="670">
        <v>787627</v>
      </c>
      <c r="AX192" s="12"/>
      <c r="AY192" s="120"/>
      <c r="AZ192" s="45"/>
      <c r="BA192" s="494"/>
      <c r="BB192" s="494"/>
      <c r="BC192" s="494"/>
      <c r="BD192" s="494"/>
      <c r="BE192" s="494"/>
      <c r="BF192" s="494"/>
      <c r="BG192" s="494"/>
    </row>
    <row r="193" spans="1:59" s="357" customFormat="1" ht="13.5" outlineLevel="1" thickBot="1">
      <c r="A193" s="12"/>
      <c r="B193" s="12"/>
      <c r="C193" s="12"/>
      <c r="D193" s="12"/>
      <c r="E193" s="12"/>
      <c r="F193" s="12"/>
      <c r="G193" s="53"/>
      <c r="H193" s="12"/>
      <c r="I193" s="12"/>
      <c r="J193" s="53"/>
      <c r="K193" s="53"/>
      <c r="L193" s="12"/>
      <c r="M193" s="12"/>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53"/>
      <c r="AP193" s="53"/>
      <c r="AQ193" s="53"/>
      <c r="AR193" s="53"/>
      <c r="AS193" s="53"/>
      <c r="AT193" s="53"/>
      <c r="AU193" s="53"/>
      <c r="AV193" s="12"/>
      <c r="AW193" s="670"/>
      <c r="AX193" s="12"/>
      <c r="AY193" s="12"/>
      <c r="AZ193" s="12"/>
      <c r="BA193" s="494"/>
      <c r="BB193" s="494"/>
      <c r="BC193" s="494"/>
      <c r="BD193" s="494"/>
      <c r="BE193" s="494"/>
      <c r="BF193" s="494"/>
      <c r="BG193" s="494"/>
    </row>
    <row r="194" spans="1:59" ht="13.5" thickBot="1">
      <c r="A194" s="38"/>
      <c r="B194" s="39"/>
      <c r="C194" s="40" t="s">
        <v>477</v>
      </c>
      <c r="D194" s="40" t="s">
        <v>478</v>
      </c>
      <c r="E194" s="40" t="s">
        <v>479</v>
      </c>
      <c r="F194" s="40" t="s">
        <v>480</v>
      </c>
      <c r="G194" s="40" t="s">
        <v>481</v>
      </c>
      <c r="H194" s="40" t="s">
        <v>482</v>
      </c>
      <c r="I194" s="40" t="s">
        <v>483</v>
      </c>
      <c r="J194" s="40" t="s">
        <v>484</v>
      </c>
      <c r="K194" s="40" t="s">
        <v>563</v>
      </c>
      <c r="L194" s="40" t="s">
        <v>588</v>
      </c>
      <c r="M194" s="40" t="s">
        <v>596</v>
      </c>
      <c r="N194" s="40" t="s">
        <v>1744</v>
      </c>
      <c r="O194" s="40" t="s">
        <v>656</v>
      </c>
      <c r="P194" s="40" t="s">
        <v>599</v>
      </c>
      <c r="Q194" s="40" t="s">
        <v>202</v>
      </c>
      <c r="R194" s="40" t="s">
        <v>722</v>
      </c>
      <c r="S194" s="40" t="s">
        <v>827</v>
      </c>
      <c r="T194" s="40" t="s">
        <v>1745</v>
      </c>
      <c r="U194" s="40" t="s">
        <v>1746</v>
      </c>
      <c r="V194" s="40" t="s">
        <v>1747</v>
      </c>
      <c r="W194" s="40" t="s">
        <v>1748</v>
      </c>
      <c r="X194" s="40" t="s">
        <v>1749</v>
      </c>
      <c r="Y194" s="40" t="s">
        <v>1750</v>
      </c>
      <c r="Z194" s="40" t="s">
        <v>1751</v>
      </c>
      <c r="AA194" s="40" t="s">
        <v>1515</v>
      </c>
      <c r="AB194" s="40" t="s">
        <v>1029</v>
      </c>
      <c r="AC194" s="40" t="s">
        <v>110</v>
      </c>
      <c r="AD194" s="40" t="s">
        <v>1131</v>
      </c>
      <c r="AE194" s="40" t="s">
        <v>1305</v>
      </c>
      <c r="AF194" s="40" t="s">
        <v>1120</v>
      </c>
      <c r="AG194" s="40" t="s">
        <v>1724</v>
      </c>
      <c r="AH194" s="40" t="s">
        <v>1503</v>
      </c>
      <c r="AI194" s="40" t="s">
        <v>1643</v>
      </c>
      <c r="AJ194" s="40" t="s">
        <v>2372</v>
      </c>
      <c r="AK194" s="40" t="s">
        <v>2394</v>
      </c>
      <c r="AL194" s="40" t="s">
        <v>2404</v>
      </c>
      <c r="AM194" s="40" t="s">
        <v>2417</v>
      </c>
      <c r="AN194" s="40" t="s">
        <v>2467</v>
      </c>
      <c r="AO194" s="40" t="s">
        <v>2497</v>
      </c>
      <c r="AP194" s="40" t="s">
        <v>2504</v>
      </c>
      <c r="AQ194" s="40" t="s">
        <v>2504</v>
      </c>
      <c r="AR194" s="40" t="s">
        <v>2467</v>
      </c>
      <c r="AS194" s="40" t="s">
        <v>2494</v>
      </c>
      <c r="AT194" s="40" t="s">
        <v>2504</v>
      </c>
      <c r="AU194" s="40" t="s">
        <v>2504</v>
      </c>
      <c r="AV194" s="361"/>
      <c r="AW194" s="40" t="s">
        <v>2504</v>
      </c>
      <c r="AX194" s="40"/>
      <c r="AY194" s="40"/>
      <c r="AZ194" s="40"/>
      <c r="BA194" s="475"/>
      <c r="BB194" s="475"/>
      <c r="BC194" s="475"/>
      <c r="BD194" s="475"/>
      <c r="BE194" s="475"/>
      <c r="BF194" s="475"/>
      <c r="BG194" s="475"/>
    </row>
    <row r="195" spans="1:59" s="359" customFormat="1" outlineLevel="1">
      <c r="A195" s="13" t="s">
        <v>163</v>
      </c>
      <c r="B195" s="13" t="s">
        <v>1526</v>
      </c>
      <c r="C195" s="13"/>
      <c r="D195" s="13"/>
      <c r="E195" s="13"/>
      <c r="F195" s="13"/>
      <c r="G195" s="54"/>
      <c r="H195" s="13"/>
      <c r="I195" s="13"/>
      <c r="J195" s="54"/>
      <c r="K195" s="54"/>
      <c r="L195" s="13"/>
      <c r="M195" s="13"/>
      <c r="N195" s="13"/>
      <c r="O195" s="13"/>
      <c r="P195" s="13"/>
      <c r="Q195" s="13"/>
      <c r="R195" s="13"/>
      <c r="S195" s="13"/>
      <c r="T195" s="13"/>
      <c r="U195" s="13"/>
      <c r="V195" s="13"/>
      <c r="W195" s="13"/>
      <c r="X195" s="13"/>
      <c r="Y195" s="13"/>
      <c r="Z195" s="13"/>
      <c r="AA195" s="13"/>
      <c r="AB195" s="13"/>
      <c r="AC195" s="13"/>
      <c r="AD195" s="13"/>
      <c r="AE195" s="13"/>
      <c r="AF195" s="13"/>
      <c r="AG195" s="13"/>
      <c r="AH195" s="13"/>
      <c r="AI195" s="13"/>
      <c r="AJ195" s="13"/>
      <c r="AK195" s="319"/>
      <c r="AL195" s="319"/>
      <c r="AM195" s="319"/>
      <c r="AN195" s="319"/>
      <c r="AO195" s="319"/>
      <c r="AP195" s="874"/>
      <c r="AQ195" s="874"/>
      <c r="AR195" s="874"/>
      <c r="AS195" s="874"/>
      <c r="AT195" s="874"/>
      <c r="AU195" s="874"/>
      <c r="AV195" s="13" t="s">
        <v>1526</v>
      </c>
      <c r="AW195" s="674"/>
      <c r="AX195" s="13"/>
      <c r="AY195" s="13"/>
      <c r="AZ195" s="13"/>
      <c r="BA195" s="495"/>
      <c r="BB195" s="495"/>
      <c r="BC195" s="495"/>
      <c r="BD195" s="495"/>
      <c r="BE195" s="495"/>
      <c r="BF195" s="495"/>
      <c r="BG195" s="495"/>
    </row>
    <row r="196" spans="1:59" s="360" customFormat="1" outlineLevel="1">
      <c r="A196" s="46"/>
      <c r="B196" s="46" t="s">
        <v>576</v>
      </c>
      <c r="C196" s="46"/>
      <c r="D196" s="46"/>
      <c r="E196" s="46"/>
      <c r="F196" s="46"/>
      <c r="G196" s="58"/>
      <c r="H196" s="46"/>
      <c r="I196" s="46"/>
      <c r="J196" s="58"/>
      <c r="K196" s="58"/>
      <c r="L196" s="46"/>
      <c r="M196" s="46"/>
      <c r="N196" s="46"/>
      <c r="O196" s="312">
        <f t="shared" ref="O196:AE196" si="542">+(O183+O188)/O192*100</f>
        <v>88.46064798939824</v>
      </c>
      <c r="P196" s="312">
        <f t="shared" si="542"/>
        <v>87.574581985419556</v>
      </c>
      <c r="Q196" s="312">
        <f t="shared" si="542"/>
        <v>88.096428277229336</v>
      </c>
      <c r="R196" s="312">
        <f t="shared" si="542"/>
        <v>88.120605653777147</v>
      </c>
      <c r="S196" s="312">
        <f t="shared" si="542"/>
        <v>89.239096870953617</v>
      </c>
      <c r="T196" s="312">
        <f t="shared" si="542"/>
        <v>88.307563883742219</v>
      </c>
      <c r="U196" s="312">
        <f t="shared" si="542"/>
        <v>88.574145922417571</v>
      </c>
      <c r="V196" s="312">
        <f t="shared" si="542"/>
        <v>88.236838975759738</v>
      </c>
      <c r="W196" s="312">
        <f t="shared" si="542"/>
        <v>88.126149377764747</v>
      </c>
      <c r="X196" s="312">
        <f t="shared" si="542"/>
        <v>88.254315380087334</v>
      </c>
      <c r="Y196" s="312">
        <f t="shared" si="542"/>
        <v>88.033560186007421</v>
      </c>
      <c r="Z196" s="312">
        <f t="shared" si="542"/>
        <v>88.211151132887153</v>
      </c>
      <c r="AA196" s="312">
        <f t="shared" si="542"/>
        <v>91.070380946290499</v>
      </c>
      <c r="AB196" s="312">
        <f t="shared" si="542"/>
        <v>88.497609625546119</v>
      </c>
      <c r="AC196" s="312">
        <f t="shared" si="542"/>
        <v>87.454966078805711</v>
      </c>
      <c r="AD196" s="312">
        <f t="shared" si="542"/>
        <v>87.612804732015192</v>
      </c>
      <c r="AE196" s="312">
        <f t="shared" si="542"/>
        <v>87.835490541472012</v>
      </c>
      <c r="AF196" s="312">
        <f t="shared" ref="AF196:AM196" si="543">+(AF183+AF188)/AF192*100</f>
        <v>88.345313263915614</v>
      </c>
      <c r="AG196" s="312">
        <f t="shared" si="543"/>
        <v>89.330777204158238</v>
      </c>
      <c r="AH196" s="312">
        <f t="shared" si="543"/>
        <v>88.192655981841924</v>
      </c>
      <c r="AI196" s="312">
        <f t="shared" si="543"/>
        <v>88.509859069433332</v>
      </c>
      <c r="AJ196" s="312">
        <f t="shared" si="543"/>
        <v>85.18078178672998</v>
      </c>
      <c r="AK196" s="312">
        <f t="shared" si="543"/>
        <v>85.839190671596313</v>
      </c>
      <c r="AL196" s="312">
        <f t="shared" si="543"/>
        <v>85.98385779940179</v>
      </c>
      <c r="AM196" s="312">
        <f t="shared" si="543"/>
        <v>86.397822767166588</v>
      </c>
      <c r="AN196" s="312">
        <f t="shared" ref="AN196:AP196" si="544">+(AN183+AN188)/AN192*100</f>
        <v>85.472309189131892</v>
      </c>
      <c r="AO196" s="312">
        <f t="shared" si="544"/>
        <v>86.957723505461914</v>
      </c>
      <c r="AP196" s="312">
        <f t="shared" si="544"/>
        <v>86.25295282020835</v>
      </c>
      <c r="AQ196" s="312">
        <f t="shared" ref="AQ196:AR196" si="545">+(AQ183+AQ188)/AQ192*100</f>
        <v>87.716000172910725</v>
      </c>
      <c r="AR196" s="312">
        <f t="shared" si="545"/>
        <v>86.963355605192135</v>
      </c>
      <c r="AS196" s="312">
        <f t="shared" ref="AS196" si="546">+(AS183+AS188)/AS192*100</f>
        <v>87.942863517075779</v>
      </c>
      <c r="AT196" s="312">
        <f t="shared" ref="AT196" si="547">+(AT183+AT188)/AT192*100</f>
        <v>89.003678136986167</v>
      </c>
      <c r="AU196" s="312">
        <f t="shared" ref="AU196" si="548">+(AU183+AU188)/AU192*100</f>
        <v>90.041794339655183</v>
      </c>
      <c r="AV196" s="46" t="s">
        <v>576</v>
      </c>
      <c r="AW196" s="693">
        <v>89.003678136986167</v>
      </c>
      <c r="AX196" s="312"/>
      <c r="AY196" s="46"/>
      <c r="AZ196" s="46"/>
      <c r="BA196" s="500"/>
      <c r="BB196" s="500"/>
      <c r="BC196" s="500"/>
      <c r="BD196" s="500"/>
      <c r="BE196" s="500"/>
      <c r="BF196" s="500"/>
      <c r="BG196" s="500"/>
    </row>
    <row r="197" spans="1:59" s="360" customFormat="1" outlineLevel="1">
      <c r="A197" s="46"/>
      <c r="B197" s="46" t="s">
        <v>1527</v>
      </c>
      <c r="C197" s="46"/>
      <c r="D197" s="46"/>
      <c r="E197" s="46"/>
      <c r="F197" s="46"/>
      <c r="G197" s="58"/>
      <c r="H197" s="46"/>
      <c r="I197" s="46"/>
      <c r="J197" s="58"/>
      <c r="K197" s="58"/>
      <c r="L197" s="46"/>
      <c r="M197" s="46"/>
      <c r="N197" s="46"/>
      <c r="O197" s="312">
        <f t="shared" ref="O197:AE197" si="549">+(O184+O189)/O192*100</f>
        <v>11.539352010601753</v>
      </c>
      <c r="P197" s="312">
        <f t="shared" si="549"/>
        <v>12.425418014580449</v>
      </c>
      <c r="Q197" s="312">
        <f t="shared" si="549"/>
        <v>11.903571722770664</v>
      </c>
      <c r="R197" s="312">
        <f t="shared" si="549"/>
        <v>11.879394346222846</v>
      </c>
      <c r="S197" s="312">
        <f t="shared" si="549"/>
        <v>10.76090312904638</v>
      </c>
      <c r="T197" s="312">
        <f t="shared" si="549"/>
        <v>11.692436116257779</v>
      </c>
      <c r="U197" s="312">
        <f t="shared" si="549"/>
        <v>11.425854077582432</v>
      </c>
      <c r="V197" s="312">
        <f t="shared" si="549"/>
        <v>11.763161024240269</v>
      </c>
      <c r="W197" s="312">
        <f t="shared" si="549"/>
        <v>11.873850622235265</v>
      </c>
      <c r="X197" s="312">
        <f t="shared" si="549"/>
        <v>11.745684619912655</v>
      </c>
      <c r="Y197" s="312">
        <f t="shared" si="549"/>
        <v>11.966439813992585</v>
      </c>
      <c r="Z197" s="312">
        <f t="shared" si="549"/>
        <v>11.788848867112849</v>
      </c>
      <c r="AA197" s="312">
        <f t="shared" si="549"/>
        <v>8.9296190537095068</v>
      </c>
      <c r="AB197" s="312">
        <f t="shared" si="549"/>
        <v>11.502390374453872</v>
      </c>
      <c r="AC197" s="312">
        <f t="shared" si="549"/>
        <v>12.545033921194296</v>
      </c>
      <c r="AD197" s="312">
        <f t="shared" si="549"/>
        <v>12.387195267984808</v>
      </c>
      <c r="AE197" s="312">
        <f t="shared" si="549"/>
        <v>12.164509458527993</v>
      </c>
      <c r="AF197" s="312">
        <f t="shared" ref="AF197:AM197" si="550">+(AF184+AF189)/AF192*100</f>
        <v>11.654686736084383</v>
      </c>
      <c r="AG197" s="312">
        <f t="shared" si="550"/>
        <v>10.669222795841762</v>
      </c>
      <c r="AH197" s="312">
        <f t="shared" si="550"/>
        <v>11.807344018158075</v>
      </c>
      <c r="AI197" s="312">
        <f t="shared" si="550"/>
        <v>11.490140930566655</v>
      </c>
      <c r="AJ197" s="312">
        <f t="shared" si="550"/>
        <v>14.819218213270025</v>
      </c>
      <c r="AK197" s="312">
        <f t="shared" si="550"/>
        <v>14.16080932840369</v>
      </c>
      <c r="AL197" s="312">
        <f t="shared" si="550"/>
        <v>14.016142200598209</v>
      </c>
      <c r="AM197" s="312">
        <f t="shared" si="550"/>
        <v>13.602177232833412</v>
      </c>
      <c r="AN197" s="312">
        <f t="shared" ref="AN197:AP197" si="551">+(AN184+AN189)/AN192*100</f>
        <v>14.527690810868107</v>
      </c>
      <c r="AO197" s="312">
        <f t="shared" si="551"/>
        <v>13.042276494538086</v>
      </c>
      <c r="AP197" s="312">
        <f t="shared" si="551"/>
        <v>13.74704717979165</v>
      </c>
      <c r="AQ197" s="312">
        <f t="shared" ref="AQ197:AR197" si="552">+(AQ184+AQ189)/AQ192*100</f>
        <v>12.283999827089279</v>
      </c>
      <c r="AR197" s="312">
        <f t="shared" si="552"/>
        <v>13.036644394807864</v>
      </c>
      <c r="AS197" s="312">
        <f t="shared" ref="AS197" si="553">+(AS184+AS189)/AS192*100</f>
        <v>12.057136482924223</v>
      </c>
      <c r="AT197" s="312">
        <f t="shared" ref="AT197" si="554">+(AT184+AT189)/AT192*100</f>
        <v>10.996321863013838</v>
      </c>
      <c r="AU197" s="312">
        <f t="shared" ref="AU197" si="555">+(AU184+AU189)/AU192*100</f>
        <v>9.9582056603448184</v>
      </c>
      <c r="AV197" s="46" t="s">
        <v>1527</v>
      </c>
      <c r="AW197" s="46">
        <v>10.996321863013838</v>
      </c>
      <c r="AX197" s="312"/>
      <c r="AY197" s="46"/>
      <c r="AZ197" s="46"/>
      <c r="BA197" s="500"/>
      <c r="BB197" s="500"/>
      <c r="BC197" s="500"/>
      <c r="BD197" s="500"/>
      <c r="BE197" s="500"/>
      <c r="BF197" s="500"/>
      <c r="BG197" s="500"/>
    </row>
    <row r="198" spans="1:59" s="360" customFormat="1" outlineLevel="1">
      <c r="A198" s="46"/>
      <c r="B198" s="46" t="s">
        <v>587</v>
      </c>
      <c r="C198" s="46"/>
      <c r="D198" s="46"/>
      <c r="E198" s="46"/>
      <c r="F198" s="46"/>
      <c r="G198" s="58"/>
      <c r="H198" s="46"/>
      <c r="I198" s="46"/>
      <c r="J198" s="58"/>
      <c r="K198" s="58"/>
      <c r="L198" s="46"/>
      <c r="M198" s="46"/>
      <c r="N198" s="46"/>
      <c r="O198" s="312">
        <f t="shared" ref="O198:AE198" si="556">+O190/O192*100</f>
        <v>32.503852310435875</v>
      </c>
      <c r="P198" s="312">
        <f t="shared" si="556"/>
        <v>32.644598800899352</v>
      </c>
      <c r="Q198" s="312">
        <f t="shared" si="556"/>
        <v>33.845718702299891</v>
      </c>
      <c r="R198" s="312">
        <f t="shared" si="556"/>
        <v>26.455656928359772</v>
      </c>
      <c r="S198" s="312">
        <f t="shared" si="556"/>
        <v>34.883061736573922</v>
      </c>
      <c r="T198" s="312">
        <f t="shared" si="556"/>
        <v>30.693393833763842</v>
      </c>
      <c r="U198" s="312">
        <f t="shared" si="556"/>
        <v>31.27830585153939</v>
      </c>
      <c r="V198" s="312">
        <f t="shared" si="556"/>
        <v>29.094171155052212</v>
      </c>
      <c r="W198" s="312">
        <f t="shared" si="556"/>
        <v>39.105270316273788</v>
      </c>
      <c r="X198" s="312">
        <f t="shared" si="556"/>
        <v>36.421583569103916</v>
      </c>
      <c r="Y198" s="312">
        <f t="shared" si="556"/>
        <v>35.412259346162436</v>
      </c>
      <c r="Z198" s="312">
        <f t="shared" si="556"/>
        <v>34.153146209684401</v>
      </c>
      <c r="AA198" s="312">
        <f t="shared" si="556"/>
        <v>38.522351388498855</v>
      </c>
      <c r="AB198" s="312">
        <f t="shared" si="556"/>
        <v>37.198057963721212</v>
      </c>
      <c r="AC198" s="312">
        <f t="shared" si="556"/>
        <v>33.360082499749502</v>
      </c>
      <c r="AD198" s="312">
        <f t="shared" si="556"/>
        <v>37.198682063652697</v>
      </c>
      <c r="AE198" s="312">
        <f t="shared" si="556"/>
        <v>37.02361440861862</v>
      </c>
      <c r="AF198" s="312">
        <f t="shared" ref="AF198:AM198" si="557">+AF190/AF192*100</f>
        <v>41.716164064369153</v>
      </c>
      <c r="AG198" s="312">
        <f t="shared" si="557"/>
        <v>42.518894222544255</v>
      </c>
      <c r="AH198" s="312">
        <f t="shared" si="557"/>
        <v>42.513747860078524</v>
      </c>
      <c r="AI198" s="312">
        <f t="shared" si="557"/>
        <v>44.714041459688595</v>
      </c>
      <c r="AJ198" s="312">
        <f t="shared" si="557"/>
        <v>49.175999590747097</v>
      </c>
      <c r="AK198" s="312">
        <f t="shared" si="557"/>
        <v>49.81249746069151</v>
      </c>
      <c r="AL198" s="312">
        <f t="shared" si="557"/>
        <v>45.307019953518022</v>
      </c>
      <c r="AM198" s="312">
        <f t="shared" si="557"/>
        <v>47.036758078988854</v>
      </c>
      <c r="AN198" s="312">
        <f t="shared" ref="AN198:AP198" si="558">+AN190/AN192*100</f>
        <v>49.228749682944098</v>
      </c>
      <c r="AO198" s="312">
        <f t="shared" si="558"/>
        <v>43.135876270890741</v>
      </c>
      <c r="AP198" s="312">
        <f t="shared" si="558"/>
        <v>38.115536218395796</v>
      </c>
      <c r="AQ198" s="312">
        <f t="shared" ref="AQ198:AR198" si="559">+AQ190/AQ192*100</f>
        <v>37.261154500755481</v>
      </c>
      <c r="AR198" s="312">
        <f t="shared" si="559"/>
        <v>36.63150652408801</v>
      </c>
      <c r="AS198" s="312">
        <f t="shared" ref="AS198" si="560">+AS190/AS192*100</f>
        <v>39.760228733803402</v>
      </c>
      <c r="AT198" s="312">
        <f t="shared" ref="AT198" si="561">+AT190/AT192*100</f>
        <v>41.142698256916027</v>
      </c>
      <c r="AU198" s="312">
        <f t="shared" ref="AU198" si="562">+AU190/AU192*100</f>
        <v>41.855507712119213</v>
      </c>
      <c r="AV198" s="46" t="s">
        <v>587</v>
      </c>
      <c r="AW198" s="693">
        <v>41.142698256916027</v>
      </c>
      <c r="AX198" s="312"/>
      <c r="AY198" s="46"/>
      <c r="AZ198" s="46"/>
      <c r="BA198" s="500"/>
      <c r="BB198" s="500"/>
      <c r="BC198" s="500"/>
      <c r="BD198" s="500"/>
      <c r="BE198" s="500"/>
      <c r="BF198" s="500"/>
      <c r="BG198" s="500"/>
    </row>
    <row r="199" spans="1:59" outlineLevel="1">
      <c r="A199" s="38"/>
      <c r="B199" s="38"/>
      <c r="C199" s="38"/>
      <c r="D199" s="38"/>
      <c r="E199" s="38"/>
      <c r="F199" s="38"/>
      <c r="G199" s="52"/>
      <c r="H199" s="38"/>
      <c r="I199" s="38"/>
      <c r="J199" s="52"/>
      <c r="K199" s="52"/>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671"/>
      <c r="AX199" s="38"/>
      <c r="AY199" s="38"/>
      <c r="AZ199" s="38"/>
      <c r="BA199" s="475"/>
      <c r="BB199" s="475"/>
      <c r="BC199" s="475"/>
      <c r="BD199" s="475"/>
      <c r="BE199" s="475"/>
      <c r="BF199" s="475"/>
      <c r="BG199" s="475"/>
    </row>
    <row r="200" spans="1:59" s="359" customFormat="1" outlineLevel="1">
      <c r="A200" s="13" t="s">
        <v>163</v>
      </c>
      <c r="B200" s="13" t="s">
        <v>1974</v>
      </c>
      <c r="C200" s="13"/>
      <c r="D200" s="13"/>
      <c r="E200" s="13"/>
      <c r="F200" s="13"/>
      <c r="G200" s="54"/>
      <c r="H200" s="13"/>
      <c r="I200" s="13"/>
      <c r="J200" s="54"/>
      <c r="K200" s="54"/>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t="s">
        <v>1974</v>
      </c>
      <c r="AW200" s="674"/>
      <c r="AX200" s="13"/>
      <c r="AY200" s="319"/>
      <c r="AZ200" s="13"/>
      <c r="BA200" s="495"/>
      <c r="BB200" s="495"/>
      <c r="BC200" s="495"/>
      <c r="BD200" s="495"/>
      <c r="BE200" s="495"/>
      <c r="BF200" s="495"/>
      <c r="BG200" s="495"/>
    </row>
    <row r="201" spans="1:59" s="360" customFormat="1" outlineLevel="1">
      <c r="A201" s="46"/>
      <c r="B201" s="46" t="s">
        <v>1518</v>
      </c>
      <c r="C201" s="486"/>
      <c r="D201" s="486"/>
      <c r="E201" s="486"/>
      <c r="F201" s="46"/>
      <c r="G201" s="58"/>
      <c r="H201" s="46"/>
      <c r="I201" s="46"/>
      <c r="J201" s="58"/>
      <c r="K201" s="58"/>
      <c r="L201" s="46"/>
      <c r="M201" s="46"/>
      <c r="N201" s="46"/>
      <c r="O201" s="312">
        <f t="shared" ref="O201:AK201" si="563">+O167/O$183*100</f>
        <v>39.169348634522237</v>
      </c>
      <c r="P201" s="312">
        <f t="shared" si="563"/>
        <v>20.630412742616869</v>
      </c>
      <c r="Q201" s="312">
        <f t="shared" si="563"/>
        <v>20.950598767349206</v>
      </c>
      <c r="R201" s="312">
        <f t="shared" si="563"/>
        <v>20.054477463647306</v>
      </c>
      <c r="S201" s="312">
        <f t="shared" si="563"/>
        <v>19.683986125912089</v>
      </c>
      <c r="T201" s="312">
        <f t="shared" si="563"/>
        <v>13.523821074584715</v>
      </c>
      <c r="U201" s="312">
        <f t="shared" si="563"/>
        <v>14.930922392768812</v>
      </c>
      <c r="V201" s="312">
        <f t="shared" si="563"/>
        <v>15.854952564629857</v>
      </c>
      <c r="W201" s="312">
        <f t="shared" si="563"/>
        <v>17.942045174771938</v>
      </c>
      <c r="X201" s="312">
        <f t="shared" si="563"/>
        <v>18.527200234996577</v>
      </c>
      <c r="Y201" s="312">
        <f t="shared" si="563"/>
        <v>21.361768304489473</v>
      </c>
      <c r="Z201" s="312">
        <f t="shared" si="563"/>
        <v>25.90852989021576</v>
      </c>
      <c r="AA201" s="312">
        <f t="shared" si="563"/>
        <v>24.200753772500398</v>
      </c>
      <c r="AB201" s="312">
        <f t="shared" si="563"/>
        <v>20.30949896656454</v>
      </c>
      <c r="AC201" s="312">
        <f t="shared" si="563"/>
        <v>17.373098976178731</v>
      </c>
      <c r="AD201" s="312">
        <f t="shared" si="563"/>
        <v>16.796997916018608</v>
      </c>
      <c r="AE201" s="312">
        <f t="shared" si="563"/>
        <v>23.275577052592912</v>
      </c>
      <c r="AF201" s="312">
        <f t="shared" si="563"/>
        <v>19.374417539370388</v>
      </c>
      <c r="AG201" s="312">
        <f t="shared" si="563"/>
        <v>20.902498382908338</v>
      </c>
      <c r="AH201" s="312">
        <f t="shared" si="563"/>
        <v>23.973218443397943</v>
      </c>
      <c r="AI201" s="312">
        <f t="shared" si="563"/>
        <v>31.213162714606156</v>
      </c>
      <c r="AJ201" s="312">
        <f t="shared" si="563"/>
        <v>24.728203772980024</v>
      </c>
      <c r="AK201" s="312">
        <f t="shared" si="563"/>
        <v>26.446454247360712</v>
      </c>
      <c r="AL201" s="312">
        <f>+AL167/($AL$167++$AL$176+$AL$180)*100</f>
        <v>35.528164095752388</v>
      </c>
      <c r="AM201" s="312">
        <f>+AM167/($AM$167++$AM$176+$AM$180)*100</f>
        <v>51.548728124524004</v>
      </c>
      <c r="AN201" s="312">
        <f>+AN167/($AN$167++$AN$176+$AN$180)*100</f>
        <v>45.871135448405177</v>
      </c>
      <c r="AO201" s="312">
        <f>+AO167/($AN$167++$AN$176+$AN$180)*100</f>
        <v>45.981292480770456</v>
      </c>
      <c r="AP201" s="312">
        <f>+AP167/($AN$167++$AN$176+$AN$180)*100</f>
        <v>39.166258283084396</v>
      </c>
      <c r="AQ201" s="312">
        <f t="shared" ref="AQ201:AR201" si="564">+AQ167/($AN$167++$AN$176+$AN$180)*100</f>
        <v>49.321586090810307</v>
      </c>
      <c r="AR201" s="312">
        <f t="shared" si="564"/>
        <v>0</v>
      </c>
      <c r="AS201" s="312">
        <f t="shared" ref="AS201" si="565">+AS167/($AN$167++$AN$176+$AN$180)*100</f>
        <v>0</v>
      </c>
      <c r="AT201" s="312">
        <f t="shared" ref="AT201" si="566">+AT167/($AN$167++$AN$176+$AN$180)*100</f>
        <v>0</v>
      </c>
      <c r="AU201" s="312">
        <f t="shared" ref="AU201" si="567">+AU167/($AN$167++$AN$176+$AN$180)*100</f>
        <v>0</v>
      </c>
      <c r="AV201" s="46" t="s">
        <v>1518</v>
      </c>
      <c r="AW201" s="693">
        <v>0</v>
      </c>
      <c r="AX201" s="312"/>
      <c r="AY201" s="321"/>
      <c r="AZ201" s="321"/>
      <c r="BA201" s="500"/>
      <c r="BB201" s="500"/>
      <c r="BC201" s="500"/>
      <c r="BD201" s="500"/>
      <c r="BE201" s="500"/>
      <c r="BF201" s="500"/>
      <c r="BG201" s="500"/>
    </row>
    <row r="202" spans="1:59" s="360" customFormat="1" outlineLevel="1">
      <c r="A202" s="46"/>
      <c r="B202" s="46" t="s">
        <v>1522</v>
      </c>
      <c r="C202" s="486"/>
      <c r="D202" s="486"/>
      <c r="E202" s="486"/>
      <c r="F202" s="46"/>
      <c r="G202" s="58"/>
      <c r="H202" s="46"/>
      <c r="I202" s="46"/>
      <c r="J202" s="58"/>
      <c r="K202" s="58"/>
      <c r="L202" s="46"/>
      <c r="M202" s="46"/>
      <c r="N202" s="46"/>
      <c r="O202" s="312">
        <f t="shared" ref="O202:AE202" si="568">+O176/O$183*100</f>
        <v>29.493819997010419</v>
      </c>
      <c r="P202" s="312">
        <f t="shared" si="568"/>
        <v>47.022339150605298</v>
      </c>
      <c r="Q202" s="312">
        <f t="shared" si="568"/>
        <v>51.320885250563983</v>
      </c>
      <c r="R202" s="312">
        <f t="shared" si="568"/>
        <v>45.793131470632851</v>
      </c>
      <c r="S202" s="312">
        <f t="shared" si="568"/>
        <v>47.48142803595416</v>
      </c>
      <c r="T202" s="312">
        <f t="shared" si="568"/>
        <v>53.475576473492247</v>
      </c>
      <c r="U202" s="312">
        <f t="shared" si="568"/>
        <v>50.005381623355269</v>
      </c>
      <c r="V202" s="312">
        <f t="shared" si="568"/>
        <v>53.223646802141175</v>
      </c>
      <c r="W202" s="312">
        <f t="shared" si="568"/>
        <v>56.998603291048077</v>
      </c>
      <c r="X202" s="312">
        <f t="shared" si="568"/>
        <v>53.556243977701435</v>
      </c>
      <c r="Y202" s="312">
        <f t="shared" si="568"/>
        <v>49.258236481800587</v>
      </c>
      <c r="Z202" s="312">
        <f t="shared" si="568"/>
        <v>44.844649376472859</v>
      </c>
      <c r="AA202" s="312">
        <f t="shared" si="568"/>
        <v>48.407651550795563</v>
      </c>
      <c r="AB202" s="312">
        <f t="shared" si="568"/>
        <v>53.994178202819185</v>
      </c>
      <c r="AC202" s="312">
        <f t="shared" si="568"/>
        <v>56.364874361111958</v>
      </c>
      <c r="AD202" s="312">
        <f t="shared" si="568"/>
        <v>53.929446711031439</v>
      </c>
      <c r="AE202" s="312">
        <f t="shared" si="568"/>
        <v>50.709781249180011</v>
      </c>
      <c r="AF202" s="312">
        <f t="shared" ref="AF202:AK202" si="569">+AF176/AF$183*100</f>
        <v>41.730638613783185</v>
      </c>
      <c r="AG202" s="312">
        <f t="shared" si="569"/>
        <v>49.999715467742575</v>
      </c>
      <c r="AH202" s="312">
        <f t="shared" si="569"/>
        <v>44.713740226189557</v>
      </c>
      <c r="AI202" s="312">
        <f t="shared" si="569"/>
        <v>32.809810101438138</v>
      </c>
      <c r="AJ202" s="312">
        <f t="shared" si="569"/>
        <v>35.634711069617524</v>
      </c>
      <c r="AK202" s="312">
        <f t="shared" si="569"/>
        <v>33.534769362582573</v>
      </c>
      <c r="AL202" s="312">
        <f>+AL176/($AL$167++$AL$176+$AL$180)*100</f>
        <v>21.119711572672141</v>
      </c>
      <c r="AM202" s="312">
        <f>+AM176/($AM$167++$AM$176+$AM$180)*100</f>
        <v>12.957321466063423</v>
      </c>
      <c r="AN202" s="312">
        <f>+AN176/($AN$167++$AN$176+$AN$180)*100</f>
        <v>13.667781731404343</v>
      </c>
      <c r="AO202" s="312">
        <f>+AO176/($AN$167++$AN$176+$AN$180)*100</f>
        <v>12.282402573881916</v>
      </c>
      <c r="AP202" s="312">
        <f>+AP176/($AN$167++$AN$176+$AN$180)*100</f>
        <v>11.368759721304839</v>
      </c>
      <c r="AQ202" s="312">
        <f t="shared" ref="AQ202:AR202" si="570">+AQ176/($AN$167++$AN$176+$AN$180)*100</f>
        <v>23.803933266571494</v>
      </c>
      <c r="AR202" s="312">
        <f t="shared" si="570"/>
        <v>0</v>
      </c>
      <c r="AS202" s="312">
        <f t="shared" ref="AS202" si="571">+AS176/($AN$167++$AN$176+$AN$180)*100</f>
        <v>0</v>
      </c>
      <c r="AT202" s="312">
        <f t="shared" ref="AT202" si="572">+AT176/($AN$167++$AN$176+$AN$180)*100</f>
        <v>0</v>
      </c>
      <c r="AU202" s="312">
        <f t="shared" ref="AU202" si="573">+AU176/($AN$167++$AN$176+$AN$180)*100</f>
        <v>0</v>
      </c>
      <c r="AV202" s="46" t="s">
        <v>1522</v>
      </c>
      <c r="AW202" s="693">
        <v>0</v>
      </c>
      <c r="AX202" s="312"/>
      <c r="AY202" s="321"/>
      <c r="AZ202" s="321"/>
      <c r="BA202" s="500"/>
      <c r="BB202" s="500"/>
      <c r="BC202" s="500"/>
      <c r="BD202" s="500"/>
      <c r="BE202" s="500"/>
      <c r="BF202" s="500"/>
      <c r="BG202" s="500"/>
    </row>
    <row r="203" spans="1:59" s="360" customFormat="1" outlineLevel="1">
      <c r="A203" s="46"/>
      <c r="B203" s="46" t="s">
        <v>1523</v>
      </c>
      <c r="C203" s="486"/>
      <c r="D203" s="486"/>
      <c r="E203" s="486"/>
      <c r="F203" s="46"/>
      <c r="G203" s="58"/>
      <c r="H203" s="46"/>
      <c r="I203" s="46"/>
      <c r="J203" s="58"/>
      <c r="K203" s="58"/>
      <c r="L203" s="46"/>
      <c r="M203" s="46"/>
      <c r="N203" s="46"/>
      <c r="O203" s="312">
        <f t="shared" ref="O203:AE203" si="574">+O180/O$183*100</f>
        <v>31.336831368467337</v>
      </c>
      <c r="P203" s="312">
        <f t="shared" si="574"/>
        <v>32.34724810677784</v>
      </c>
      <c r="Q203" s="312">
        <f t="shared" si="574"/>
        <v>27.728515982086812</v>
      </c>
      <c r="R203" s="312">
        <f t="shared" si="574"/>
        <v>34.152391065719847</v>
      </c>
      <c r="S203" s="312">
        <f t="shared" si="574"/>
        <v>32.834585838133748</v>
      </c>
      <c r="T203" s="312">
        <f t="shared" si="574"/>
        <v>33.000602451923037</v>
      </c>
      <c r="U203" s="312">
        <f t="shared" si="574"/>
        <v>35.063695983875917</v>
      </c>
      <c r="V203" s="312">
        <f t="shared" si="574"/>
        <v>30.921400633228981</v>
      </c>
      <c r="W203" s="312">
        <f t="shared" si="574"/>
        <v>25.059351534179982</v>
      </c>
      <c r="X203" s="312">
        <f t="shared" si="574"/>
        <v>27.916555787301988</v>
      </c>
      <c r="Y203" s="312">
        <f t="shared" si="574"/>
        <v>29.379995213709936</v>
      </c>
      <c r="Z203" s="312">
        <f t="shared" si="574"/>
        <v>29.246820733311385</v>
      </c>
      <c r="AA203" s="312">
        <f t="shared" si="574"/>
        <v>27.429267133287738</v>
      </c>
      <c r="AB203" s="312">
        <f t="shared" si="574"/>
        <v>25.702802570629167</v>
      </c>
      <c r="AC203" s="312">
        <f t="shared" si="574"/>
        <v>26.26202666270931</v>
      </c>
      <c r="AD203" s="312">
        <f t="shared" si="574"/>
        <v>29.267621689948882</v>
      </c>
      <c r="AE203" s="312">
        <f t="shared" si="574"/>
        <v>26.014641698227077</v>
      </c>
      <c r="AF203" s="312">
        <f t="shared" ref="AF203:AK203" si="575">+AF180/AF$183*100</f>
        <v>38.888428185566035</v>
      </c>
      <c r="AG203" s="312">
        <f t="shared" si="575"/>
        <v>29.103666482669137</v>
      </c>
      <c r="AH203" s="312">
        <f t="shared" si="575"/>
        <v>31.310206874769701</v>
      </c>
      <c r="AI203" s="312">
        <f t="shared" si="575"/>
        <v>35.978657039652347</v>
      </c>
      <c r="AJ203" s="312">
        <f t="shared" si="575"/>
        <v>39.665028343922145</v>
      </c>
      <c r="AK203" s="312">
        <f t="shared" si="575"/>
        <v>40.018776390056715</v>
      </c>
      <c r="AL203" s="312">
        <f>+AL180/($AL$167++$AL$176+$AL$180)*100</f>
        <v>43.352124331575467</v>
      </c>
      <c r="AM203" s="312">
        <f>+AM180/($AM$167++$AM$176+$AM$180)*100</f>
        <v>35.493950409412577</v>
      </c>
      <c r="AN203" s="312">
        <f>+AN180/($AN$167++$AN$176+$AN$180)*100</f>
        <v>40.461082820190484</v>
      </c>
      <c r="AO203" s="312">
        <f>+AO180/($AN$167++$AN$176+$AN$180)*100</f>
        <v>42.950162998316749</v>
      </c>
      <c r="AP203" s="312">
        <f>+AP180/($AN$167++$AN$176+$AN$180)*100</f>
        <v>49.348219802697464</v>
      </c>
      <c r="AQ203" s="312">
        <f t="shared" ref="AQ203:AR203" si="576">+AQ180/($AN$167++$AN$176+$AN$180)*100</f>
        <v>43.819913493703787</v>
      </c>
      <c r="AR203" s="312">
        <f t="shared" si="576"/>
        <v>0</v>
      </c>
      <c r="AS203" s="312">
        <f t="shared" ref="AS203" si="577">+AS180/($AN$167++$AN$176+$AN$180)*100</f>
        <v>0</v>
      </c>
      <c r="AT203" s="312">
        <f t="shared" ref="AT203" si="578">+AT180/($AN$167++$AN$176+$AN$180)*100</f>
        <v>0</v>
      </c>
      <c r="AU203" s="312">
        <f t="shared" ref="AU203" si="579">+AU180/($AN$167++$AN$176+$AN$180)*100</f>
        <v>0</v>
      </c>
      <c r="AV203" s="46" t="s">
        <v>1523</v>
      </c>
      <c r="AW203" s="693">
        <v>0</v>
      </c>
      <c r="AX203" s="312"/>
      <c r="AY203" s="321"/>
      <c r="AZ203" s="321"/>
      <c r="BA203" s="321"/>
      <c r="BB203" s="500"/>
      <c r="BC203" s="500"/>
      <c r="BD203" s="500"/>
      <c r="BE203" s="500"/>
      <c r="BF203" s="500"/>
      <c r="BG203" s="500"/>
    </row>
    <row r="204" spans="1:59" s="360" customFormat="1" outlineLevel="1">
      <c r="A204" s="46"/>
      <c r="B204" s="46"/>
      <c r="C204" s="502"/>
      <c r="D204" s="502"/>
      <c r="E204" s="502"/>
      <c r="F204" s="503"/>
      <c r="G204" s="504"/>
      <c r="H204" s="503"/>
      <c r="I204" s="503"/>
      <c r="J204" s="504"/>
      <c r="K204" s="504"/>
      <c r="L204" s="503"/>
      <c r="M204" s="503"/>
      <c r="N204" s="503"/>
      <c r="O204" s="505"/>
      <c r="P204" s="505"/>
      <c r="Q204" s="505"/>
      <c r="R204" s="312"/>
      <c r="S204" s="312"/>
      <c r="T204" s="312"/>
      <c r="U204" s="312"/>
      <c r="V204" s="312"/>
      <c r="W204" s="312"/>
      <c r="X204" s="312"/>
      <c r="Y204" s="312"/>
      <c r="Z204" s="312"/>
      <c r="AA204" s="312"/>
      <c r="AB204" s="312"/>
      <c r="AC204" s="312"/>
      <c r="AD204" s="312"/>
      <c r="AE204" s="312"/>
      <c r="AF204" s="312"/>
      <c r="AG204" s="312"/>
      <c r="AH204" s="312"/>
      <c r="AI204" s="312"/>
      <c r="AJ204" s="312"/>
      <c r="AK204" s="312"/>
      <c r="AL204" s="312"/>
      <c r="AM204" s="312"/>
      <c r="AN204" s="312"/>
      <c r="AO204" s="312"/>
      <c r="AP204" s="312"/>
      <c r="AQ204" s="312"/>
      <c r="AR204" s="312"/>
      <c r="AS204" s="312"/>
      <c r="AT204" s="312"/>
      <c r="AU204" s="312"/>
      <c r="AV204" s="46"/>
      <c r="AW204" s="693"/>
      <c r="AX204" s="46"/>
      <c r="AY204" s="321"/>
      <c r="AZ204" s="321"/>
      <c r="BA204" s="321"/>
      <c r="BB204" s="500"/>
      <c r="BC204" s="500"/>
      <c r="BD204" s="500"/>
      <c r="BE204" s="500"/>
      <c r="BF204" s="500"/>
      <c r="BG204" s="500"/>
    </row>
    <row r="205" spans="1:59" s="360" customFormat="1" outlineLevel="1">
      <c r="A205" s="13" t="s">
        <v>163</v>
      </c>
      <c r="B205" s="13" t="s">
        <v>1975</v>
      </c>
      <c r="C205" s="502"/>
      <c r="D205" s="502"/>
      <c r="E205" s="502"/>
      <c r="F205" s="503"/>
      <c r="G205" s="504"/>
      <c r="H205" s="503"/>
      <c r="I205" s="503"/>
      <c r="J205" s="504"/>
      <c r="K205" s="504"/>
      <c r="L205" s="503"/>
      <c r="M205" s="503"/>
      <c r="N205" s="503"/>
      <c r="O205" s="505"/>
      <c r="P205" s="505"/>
      <c r="Q205" s="505"/>
      <c r="R205" s="312"/>
      <c r="S205" s="312"/>
      <c r="T205" s="312"/>
      <c r="U205" s="312"/>
      <c r="V205" s="312"/>
      <c r="W205" s="312"/>
      <c r="X205" s="312"/>
      <c r="Y205" s="312"/>
      <c r="Z205" s="312"/>
      <c r="AA205" s="312"/>
      <c r="AB205" s="312"/>
      <c r="AC205" s="312"/>
      <c r="AD205" s="312"/>
      <c r="AE205" s="312"/>
      <c r="AF205" s="312"/>
      <c r="AG205" s="312"/>
      <c r="AH205" s="312"/>
      <c r="AI205" s="312"/>
      <c r="AJ205" s="312"/>
      <c r="AK205" s="312"/>
      <c r="AL205" s="312"/>
      <c r="AM205" s="312"/>
      <c r="AN205" s="312"/>
      <c r="AO205" s="312"/>
      <c r="AP205" s="312"/>
      <c r="AQ205" s="312"/>
      <c r="AR205" s="312"/>
      <c r="AS205" s="312"/>
      <c r="AT205" s="312"/>
      <c r="AU205" s="312"/>
      <c r="AV205" s="13" t="s">
        <v>1975</v>
      </c>
      <c r="AW205" s="693"/>
      <c r="AX205" s="46"/>
      <c r="AY205" s="321"/>
      <c r="AZ205" s="321"/>
      <c r="BA205" s="500"/>
      <c r="BB205" s="500"/>
      <c r="BC205" s="500"/>
      <c r="BD205" s="500"/>
      <c r="BE205" s="500"/>
      <c r="BF205" s="500"/>
      <c r="BG205" s="500"/>
    </row>
    <row r="206" spans="1:59" s="360" customFormat="1" outlineLevel="1">
      <c r="A206" s="46"/>
      <c r="B206" s="46" t="s">
        <v>744</v>
      </c>
      <c r="C206" s="502"/>
      <c r="D206" s="502"/>
      <c r="E206" s="502"/>
      <c r="F206" s="503"/>
      <c r="G206" s="504"/>
      <c r="H206" s="503"/>
      <c r="I206" s="503"/>
      <c r="J206" s="504"/>
      <c r="K206" s="504"/>
      <c r="L206" s="503"/>
      <c r="M206" s="503"/>
      <c r="N206" s="503"/>
      <c r="O206" s="505"/>
      <c r="P206" s="505"/>
      <c r="Q206" s="505"/>
      <c r="R206" s="312"/>
      <c r="S206" s="312">
        <f t="shared" ref="S206:AE206" si="580">S184/S185*100</f>
        <v>6.3326435185365568</v>
      </c>
      <c r="T206" s="312">
        <f t="shared" si="580"/>
        <v>8.7275307834181231</v>
      </c>
      <c r="U206" s="312">
        <f t="shared" si="580"/>
        <v>7.9244167049506338</v>
      </c>
      <c r="V206" s="312">
        <f t="shared" si="580"/>
        <v>8.1962214284997899</v>
      </c>
      <c r="W206" s="312">
        <f t="shared" si="580"/>
        <v>6.3526004207727871</v>
      </c>
      <c r="X206" s="312">
        <f t="shared" si="580"/>
        <v>7.4734717604846121</v>
      </c>
      <c r="Y206" s="312">
        <f t="shared" si="580"/>
        <v>7.5055818503761351</v>
      </c>
      <c r="Z206" s="312">
        <f t="shared" si="580"/>
        <v>7.9480748271897994</v>
      </c>
      <c r="AA206" s="312">
        <f t="shared" si="580"/>
        <v>6.759421460940775</v>
      </c>
      <c r="AB206" s="312">
        <f t="shared" si="580"/>
        <v>8.6576124979701721</v>
      </c>
      <c r="AC206" s="312">
        <f t="shared" si="580"/>
        <v>8.5440675733395075</v>
      </c>
      <c r="AD206" s="312">
        <f t="shared" si="580"/>
        <v>9.749507485889918</v>
      </c>
      <c r="AE206" s="312">
        <f t="shared" si="580"/>
        <v>7.3060034505571485</v>
      </c>
      <c r="AF206" s="312">
        <f t="shared" ref="AF206:AM206" si="581">AF184/AF185*100</f>
        <v>9.6069962520078533</v>
      </c>
      <c r="AG206" s="312">
        <f t="shared" si="581"/>
        <v>7.7038222359169728</v>
      </c>
      <c r="AH206" s="312">
        <f t="shared" si="581"/>
        <v>8.1837210426325324</v>
      </c>
      <c r="AI206" s="312">
        <f t="shared" si="581"/>
        <v>10.178548227418874</v>
      </c>
      <c r="AJ206" s="312">
        <f t="shared" si="581"/>
        <v>13.949587037199271</v>
      </c>
      <c r="AK206" s="312">
        <f t="shared" si="581"/>
        <v>11.1832278903717</v>
      </c>
      <c r="AL206" s="312">
        <f t="shared" si="581"/>
        <v>11.359957015873757</v>
      </c>
      <c r="AM206" s="312">
        <f t="shared" si="581"/>
        <v>9.4523542820292494</v>
      </c>
      <c r="AN206" s="312">
        <f t="shared" ref="AN206:AP206" si="582">AN184/AN185*100</f>
        <v>12.511394415478136</v>
      </c>
      <c r="AO206" s="312">
        <f t="shared" si="582"/>
        <v>12.204538859758882</v>
      </c>
      <c r="AP206" s="312">
        <f t="shared" si="582"/>
        <v>13.17389114023455</v>
      </c>
      <c r="AQ206" s="312">
        <f t="shared" ref="AQ206:AR206" si="583">AQ184/AQ185*100</f>
        <v>12.050300921029862</v>
      </c>
      <c r="AR206" s="312">
        <f t="shared" si="583"/>
        <v>11.374799672135158</v>
      </c>
      <c r="AS206" s="312">
        <f t="shared" ref="AS206" si="584">AS184/AS185*100</f>
        <v>10.448142307744785</v>
      </c>
      <c r="AT206" s="312">
        <f t="shared" ref="AT206" si="585">AT184/AT185*100</f>
        <v>10.793699414982656</v>
      </c>
      <c r="AU206" s="312">
        <f t="shared" ref="AU206" si="586">AU184/AU185*100</f>
        <v>9.8945428443177121</v>
      </c>
      <c r="AV206" s="46" t="s">
        <v>744</v>
      </c>
      <c r="AW206" s="693">
        <v>10.793699414982656</v>
      </c>
      <c r="AX206" s="312"/>
      <c r="AY206" s="321"/>
      <c r="AZ206" s="321"/>
      <c r="BA206" s="321"/>
      <c r="BB206" s="500"/>
      <c r="BC206" s="500"/>
      <c r="BD206" s="500"/>
      <c r="BE206" s="500"/>
      <c r="BF206" s="500"/>
      <c r="BG206" s="500"/>
    </row>
    <row r="207" spans="1:59" s="360" customFormat="1" outlineLevel="1">
      <c r="A207" s="46"/>
      <c r="B207" s="46" t="s">
        <v>587</v>
      </c>
      <c r="C207" s="502"/>
      <c r="D207" s="502"/>
      <c r="E207" s="502"/>
      <c r="F207" s="503"/>
      <c r="G207" s="504"/>
      <c r="H207" s="503"/>
      <c r="I207" s="503"/>
      <c r="J207" s="504"/>
      <c r="K207" s="504"/>
      <c r="L207" s="503"/>
      <c r="M207" s="503"/>
      <c r="N207" s="503"/>
      <c r="O207" s="505"/>
      <c r="P207" s="505"/>
      <c r="Q207" s="505"/>
      <c r="R207" s="312"/>
      <c r="S207" s="312">
        <f t="shared" ref="S207:AE207" si="587">S189/S190*100</f>
        <v>19.027227623425823</v>
      </c>
      <c r="T207" s="312">
        <f t="shared" si="587"/>
        <v>18.387281506644278</v>
      </c>
      <c r="U207" s="312">
        <f t="shared" si="587"/>
        <v>19.118876498429096</v>
      </c>
      <c r="V207" s="312">
        <f t="shared" si="587"/>
        <v>20.4562015349311</v>
      </c>
      <c r="W207" s="312">
        <f t="shared" si="587"/>
        <v>20.471541823831675</v>
      </c>
      <c r="X207" s="312">
        <f t="shared" si="587"/>
        <v>19.203364974276997</v>
      </c>
      <c r="Y207" s="312">
        <f t="shared" si="587"/>
        <v>20.102513099553448</v>
      </c>
      <c r="Z207" s="312">
        <f t="shared" si="587"/>
        <v>19.193814872169803</v>
      </c>
      <c r="AA207" s="312">
        <f t="shared" si="587"/>
        <v>12.393027703930036</v>
      </c>
      <c r="AB207" s="312">
        <f t="shared" si="587"/>
        <v>16.305264101874268</v>
      </c>
      <c r="AC207" s="312">
        <f t="shared" si="587"/>
        <v>20.537342313846612</v>
      </c>
      <c r="AD207" s="312">
        <f t="shared" si="587"/>
        <v>16.840317255927999</v>
      </c>
      <c r="AE207" s="312">
        <f t="shared" si="587"/>
        <v>20.428725490466483</v>
      </c>
      <c r="AF207" s="312">
        <f t="shared" ref="AF207:AM207" si="588">AF189/AF190*100</f>
        <v>14.515622272647931</v>
      </c>
      <c r="AG207" s="312">
        <f t="shared" si="588"/>
        <v>14.678134748382272</v>
      </c>
      <c r="AH207" s="312">
        <f t="shared" si="588"/>
        <v>16.707135603615562</v>
      </c>
      <c r="AI207" s="312">
        <f t="shared" si="588"/>
        <v>13.111838666687783</v>
      </c>
      <c r="AJ207" s="312">
        <f t="shared" si="588"/>
        <v>15.717992729626484</v>
      </c>
      <c r="AK207" s="312">
        <f t="shared" si="588"/>
        <v>17.160806991643796</v>
      </c>
      <c r="AL207" s="312">
        <f t="shared" si="588"/>
        <v>17.222591961737599</v>
      </c>
      <c r="AM207" s="312">
        <f t="shared" si="588"/>
        <v>18.274864846714348</v>
      </c>
      <c r="AN207" s="312">
        <f t="shared" ref="AN207:AP207" si="589">AN189/AN190*100</f>
        <v>16.607164485560869</v>
      </c>
      <c r="AO207" s="312">
        <f t="shared" si="589"/>
        <v>14.146629080711534</v>
      </c>
      <c r="AP207" s="312">
        <f t="shared" si="589"/>
        <v>14.677624516233795</v>
      </c>
      <c r="AQ207" s="312">
        <f t="shared" ref="AQ207:AR207" si="590">AQ189/AQ190*100</f>
        <v>12.67749272222507</v>
      </c>
      <c r="AR207" s="312">
        <f t="shared" si="590"/>
        <v>15.911453717689945</v>
      </c>
      <c r="AS207" s="312">
        <f t="shared" ref="AS207" si="591">AS189/AS190*100</f>
        <v>14.494885061544641</v>
      </c>
      <c r="AT207" s="312">
        <f t="shared" ref="AT207" si="592">AT189/AT190*100</f>
        <v>11.286186433616932</v>
      </c>
      <c r="AU207" s="312">
        <f t="shared" ref="AU207" si="593">AU189/AU190*100</f>
        <v>10.046644251054852</v>
      </c>
      <c r="AV207" s="46" t="s">
        <v>587</v>
      </c>
      <c r="AW207" s="693">
        <v>11.286186433616932</v>
      </c>
      <c r="AX207" s="312"/>
      <c r="AY207" s="321"/>
      <c r="AZ207" s="321"/>
      <c r="BA207" s="321"/>
      <c r="BB207" s="500"/>
      <c r="BC207" s="500"/>
      <c r="BD207" s="500"/>
      <c r="BE207" s="500"/>
      <c r="BF207" s="500"/>
      <c r="BG207" s="500"/>
    </row>
    <row r="208" spans="1:59" s="360" customFormat="1" outlineLevel="1">
      <c r="A208" s="46"/>
      <c r="B208" s="714" t="s">
        <v>230</v>
      </c>
      <c r="C208" s="502"/>
      <c r="D208" s="502"/>
      <c r="E208" s="502"/>
      <c r="F208" s="503"/>
      <c r="G208" s="504"/>
      <c r="H208" s="503"/>
      <c r="I208" s="503"/>
      <c r="J208" s="504"/>
      <c r="K208" s="504"/>
      <c r="L208" s="503"/>
      <c r="M208" s="503"/>
      <c r="N208" s="503"/>
      <c r="O208" s="505"/>
      <c r="P208" s="505"/>
      <c r="Q208" s="505"/>
      <c r="R208" s="312"/>
      <c r="S208" s="312"/>
      <c r="T208" s="312"/>
      <c r="U208" s="312"/>
      <c r="V208" s="312"/>
      <c r="W208" s="312"/>
      <c r="X208" s="312"/>
      <c r="Y208" s="312"/>
      <c r="Z208" s="312">
        <f t="shared" ref="Z208:AK208" si="594">(Z184+Z189)/Z192*100</f>
        <v>11.788848867112849</v>
      </c>
      <c r="AA208" s="312">
        <f t="shared" si="594"/>
        <v>8.9296190537095068</v>
      </c>
      <c r="AB208" s="312">
        <f t="shared" si="594"/>
        <v>11.502390374453872</v>
      </c>
      <c r="AC208" s="312">
        <f t="shared" si="594"/>
        <v>12.545033921194296</v>
      </c>
      <c r="AD208" s="312">
        <f t="shared" si="594"/>
        <v>12.387195267984808</v>
      </c>
      <c r="AE208" s="312">
        <f t="shared" si="594"/>
        <v>12.164509458527993</v>
      </c>
      <c r="AF208" s="312">
        <f t="shared" si="594"/>
        <v>11.654686736084383</v>
      </c>
      <c r="AG208" s="312">
        <f t="shared" si="594"/>
        <v>10.669222795841762</v>
      </c>
      <c r="AH208" s="312">
        <f t="shared" si="594"/>
        <v>11.807344018158075</v>
      </c>
      <c r="AI208" s="312">
        <f t="shared" si="594"/>
        <v>11.490140930566655</v>
      </c>
      <c r="AJ208" s="312">
        <f t="shared" si="594"/>
        <v>14.819218213270025</v>
      </c>
      <c r="AK208" s="312">
        <f t="shared" si="594"/>
        <v>14.16080932840369</v>
      </c>
      <c r="AL208" s="312">
        <f t="shared" ref="AL208:AP208" si="595">(AL184+AL189)/AL192*100</f>
        <v>14.016142200598209</v>
      </c>
      <c r="AM208" s="312">
        <f t="shared" si="595"/>
        <v>13.602177232833412</v>
      </c>
      <c r="AN208" s="312">
        <f t="shared" si="595"/>
        <v>14.527690810868107</v>
      </c>
      <c r="AO208" s="312">
        <f t="shared" si="595"/>
        <v>13.042276494538086</v>
      </c>
      <c r="AP208" s="312">
        <f t="shared" si="595"/>
        <v>13.74704717979165</v>
      </c>
      <c r="AQ208" s="312">
        <f t="shared" ref="AQ208:AR208" si="596">(AQ184+AQ189)/AQ192*100</f>
        <v>12.283999827089279</v>
      </c>
      <c r="AR208" s="312">
        <f t="shared" si="596"/>
        <v>13.036644394807864</v>
      </c>
      <c r="AS208" s="312">
        <f t="shared" ref="AS208" si="597">(AS184+AS189)/AS192*100</f>
        <v>12.057136482924223</v>
      </c>
      <c r="AT208" s="312">
        <f t="shared" ref="AT208" si="598">(AT184+AT189)/AT192*100</f>
        <v>10.996321863013838</v>
      </c>
      <c r="AU208" s="312">
        <f t="shared" ref="AU208" si="599">(AU184+AU189)/AU192*100</f>
        <v>9.9582056603448184</v>
      </c>
      <c r="AV208" s="715" t="s">
        <v>2393</v>
      </c>
      <c r="AW208" s="693">
        <v>10.996321863013838</v>
      </c>
      <c r="AX208" s="46"/>
      <c r="AY208" s="321"/>
      <c r="AZ208" s="321"/>
      <c r="BA208" s="500"/>
      <c r="BB208" s="500"/>
      <c r="BC208" s="500"/>
      <c r="BD208" s="500"/>
      <c r="BE208" s="500"/>
      <c r="BF208" s="500"/>
      <c r="BG208" s="500"/>
    </row>
    <row r="209" spans="1:59">
      <c r="A209" s="69"/>
      <c r="B209" s="6" t="s">
        <v>1528</v>
      </c>
      <c r="C209" s="180"/>
      <c r="D209" s="180"/>
      <c r="E209" s="180"/>
      <c r="F209" s="180"/>
      <c r="G209" s="180"/>
      <c r="H209" s="180"/>
      <c r="I209" s="180"/>
      <c r="J209" s="180"/>
      <c r="K209" s="180"/>
      <c r="L209" s="180"/>
      <c r="M209" s="180"/>
      <c r="N209" s="180"/>
      <c r="O209" s="180"/>
      <c r="P209" s="180"/>
      <c r="Q209" s="180"/>
      <c r="R209" s="69"/>
      <c r="S209" s="69"/>
      <c r="T209" s="69"/>
      <c r="U209" s="69"/>
      <c r="V209" s="69"/>
      <c r="W209" s="69"/>
      <c r="X209" s="69"/>
      <c r="Y209" s="69"/>
      <c r="Z209" s="69"/>
      <c r="AA209" s="69"/>
      <c r="AB209" s="69"/>
      <c r="AC209" s="69"/>
      <c r="AD209" s="69"/>
      <c r="AE209" s="69"/>
      <c r="AF209" s="69"/>
      <c r="AG209" s="69"/>
      <c r="AH209" s="69"/>
      <c r="AI209" s="69"/>
      <c r="AJ209" s="69"/>
      <c r="AK209" s="69"/>
      <c r="AL209" s="69">
        <f t="shared" ref="AL209:AN209" si="600">AL210*10^6/AL190</f>
        <v>58967.185931348773</v>
      </c>
      <c r="AM209" s="69">
        <f t="shared" si="600"/>
        <v>55278.533293039189</v>
      </c>
      <c r="AN209" s="69">
        <f t="shared" si="600"/>
        <v>54522.838648156583</v>
      </c>
      <c r="AO209" s="69">
        <f>AO210*10^6/AO190</f>
        <v>55574.91161859189</v>
      </c>
      <c r="AP209" s="69">
        <f>AP210*10^6/AP190</f>
        <v>60773.364366540671</v>
      </c>
      <c r="AQ209" s="69">
        <f t="shared" ref="AQ209" si="601">AQ210*10^6/AQ190</f>
        <v>55497.249419261891</v>
      </c>
      <c r="AR209" s="69"/>
      <c r="AS209" s="69"/>
      <c r="AT209" s="69"/>
      <c r="AU209" s="69"/>
      <c r="AV209" s="69"/>
      <c r="AW209" s="663"/>
      <c r="AX209" s="69"/>
      <c r="AY209" s="57">
        <f>AP209/AO209</f>
        <v>1.0935395594261226</v>
      </c>
      <c r="AZ209" s="57"/>
      <c r="BA209" s="57"/>
      <c r="BB209" s="475"/>
      <c r="BC209" s="475"/>
      <c r="BD209" s="475"/>
      <c r="BE209" s="475"/>
      <c r="BF209" s="475"/>
      <c r="BG209" s="475"/>
    </row>
    <row r="210" spans="1:59" outlineLevel="1">
      <c r="A210" s="48"/>
      <c r="B210" s="739" t="s">
        <v>1976</v>
      </c>
      <c r="C210" s="41"/>
      <c r="D210" s="41"/>
      <c r="E210" s="41"/>
      <c r="F210" s="41"/>
      <c r="G210" s="183"/>
      <c r="H210" s="41"/>
      <c r="I210" s="41"/>
      <c r="J210" s="183"/>
      <c r="K210" s="52">
        <v>6390</v>
      </c>
      <c r="L210" s="38">
        <v>7140</v>
      </c>
      <c r="M210" s="38">
        <v>7950</v>
      </c>
      <c r="N210" s="38">
        <f>26404-M210-L210-K210</f>
        <v>4924</v>
      </c>
      <c r="O210" s="38">
        <v>6370</v>
      </c>
      <c r="P210" s="38">
        <v>7990</v>
      </c>
      <c r="Q210" s="38">
        <v>9500</v>
      </c>
      <c r="R210" s="38">
        <v>9501</v>
      </c>
      <c r="S210" s="38">
        <v>12100</v>
      </c>
      <c r="T210" s="38">
        <v>11530</v>
      </c>
      <c r="U210" s="38">
        <v>11320</v>
      </c>
      <c r="V210" s="38">
        <f>45520-SUM(S210:U210)</f>
        <v>10570</v>
      </c>
      <c r="W210" s="38">
        <f t="shared" ref="W210:AO210" si="602">W132</f>
        <v>16880</v>
      </c>
      <c r="X210" s="38">
        <f t="shared" si="602"/>
        <v>17330</v>
      </c>
      <c r="Y210" s="38">
        <f t="shared" si="602"/>
        <v>17100</v>
      </c>
      <c r="Z210" s="38">
        <f t="shared" si="602"/>
        <v>14770</v>
      </c>
      <c r="AA210" s="38">
        <f t="shared" si="602"/>
        <v>17100</v>
      </c>
      <c r="AB210" s="38">
        <f t="shared" si="602"/>
        <v>16650</v>
      </c>
      <c r="AC210" s="38">
        <f t="shared" si="602"/>
        <v>17480</v>
      </c>
      <c r="AD210" s="38">
        <f t="shared" si="602"/>
        <v>15900</v>
      </c>
      <c r="AE210" s="38">
        <f t="shared" si="602"/>
        <v>18760</v>
      </c>
      <c r="AF210" s="38">
        <f t="shared" si="602"/>
        <v>21250</v>
      </c>
      <c r="AG210" s="38">
        <f t="shared" si="602"/>
        <v>21230</v>
      </c>
      <c r="AH210" s="38">
        <f t="shared" si="602"/>
        <v>20760</v>
      </c>
      <c r="AI210" s="38">
        <f t="shared" si="602"/>
        <v>22510</v>
      </c>
      <c r="AJ210" s="38">
        <f t="shared" si="602"/>
        <v>27360</v>
      </c>
      <c r="AK210" s="38">
        <f t="shared" si="602"/>
        <v>26800</v>
      </c>
      <c r="AL210" s="38">
        <f t="shared" si="602"/>
        <v>20910</v>
      </c>
      <c r="AM210" s="38">
        <f t="shared" si="602"/>
        <v>26340</v>
      </c>
      <c r="AN210" s="38">
        <f t="shared" si="602"/>
        <v>28360</v>
      </c>
      <c r="AO210" s="38">
        <f t="shared" si="602"/>
        <v>22810</v>
      </c>
      <c r="AP210" s="38">
        <f t="shared" ref="AP210" si="603">AP132</f>
        <v>20210</v>
      </c>
      <c r="AQ210" s="38">
        <f>AQ132</f>
        <v>20570</v>
      </c>
      <c r="AR210" s="38">
        <f>AR132</f>
        <v>21090</v>
      </c>
      <c r="AS210" s="38">
        <f>AS132</f>
        <v>19350</v>
      </c>
      <c r="AT210" s="38">
        <f>AT132</f>
        <v>17790</v>
      </c>
      <c r="AU210" s="38">
        <f>AU132</f>
        <v>0</v>
      </c>
      <c r="AV210" s="63">
        <f>AP210*10^6/410437</f>
        <v>49240.200079427537</v>
      </c>
      <c r="AW210" s="671">
        <v>0</v>
      </c>
      <c r="AX210" s="38"/>
      <c r="AY210" s="38"/>
      <c r="AZ210" s="38"/>
      <c r="BA210" s="706"/>
      <c r="BB210" s="475"/>
      <c r="BC210" s="475"/>
      <c r="BD210" s="475"/>
      <c r="BE210" s="475"/>
      <c r="BF210" s="475"/>
      <c r="BG210" s="475"/>
    </row>
    <row r="211" spans="1:59" outlineLevel="1">
      <c r="A211" s="48"/>
      <c r="B211" s="739" t="s">
        <v>1977</v>
      </c>
      <c r="C211" s="41"/>
      <c r="D211" s="41"/>
      <c r="E211" s="41"/>
      <c r="F211" s="41"/>
      <c r="G211" s="183"/>
      <c r="H211" s="41"/>
      <c r="I211" s="41"/>
      <c r="J211" s="183"/>
      <c r="K211" s="313">
        <v>41</v>
      </c>
      <c r="L211" s="314">
        <v>41</v>
      </c>
      <c r="M211" s="314">
        <v>41</v>
      </c>
      <c r="N211" s="314">
        <v>41</v>
      </c>
      <c r="O211" s="314">
        <v>48</v>
      </c>
      <c r="P211" s="314">
        <v>48</v>
      </c>
      <c r="Q211" s="314">
        <v>48</v>
      </c>
      <c r="R211" s="315">
        <v>48</v>
      </c>
      <c r="S211" s="315">
        <v>46.7</v>
      </c>
      <c r="T211" s="315">
        <v>46.7</v>
      </c>
      <c r="U211" s="315">
        <v>46.7</v>
      </c>
      <c r="V211" s="315">
        <v>46.7</v>
      </c>
      <c r="W211" s="316">
        <v>46.47</v>
      </c>
      <c r="X211" s="316">
        <v>47.8</v>
      </c>
      <c r="Y211" s="316">
        <v>49.71</v>
      </c>
      <c r="Z211" s="316">
        <v>48.71</v>
      </c>
      <c r="AA211" s="316">
        <v>49.8</v>
      </c>
      <c r="AB211" s="316">
        <v>48.81</v>
      </c>
      <c r="AC211" s="373">
        <v>49.9</v>
      </c>
      <c r="AD211" s="373">
        <v>49.5</v>
      </c>
      <c r="AE211" s="50">
        <v>55.56</v>
      </c>
      <c r="AF211" s="50">
        <v>60.9</v>
      </c>
      <c r="AG211" s="56">
        <v>61</v>
      </c>
      <c r="AH211" s="50">
        <v>61.3</v>
      </c>
      <c r="AI211" s="50">
        <v>59.9</v>
      </c>
      <c r="AJ211" s="50">
        <v>61.5</v>
      </c>
      <c r="AK211" s="50">
        <v>62.8</v>
      </c>
      <c r="AL211" s="759">
        <v>62.8</v>
      </c>
      <c r="AM211" s="812">
        <v>63.9</v>
      </c>
      <c r="AN211" s="812">
        <v>65.2</v>
      </c>
      <c r="AO211" s="654">
        <v>66</v>
      </c>
      <c r="AP211" s="654">
        <v>67.5</v>
      </c>
      <c r="AQ211" s="654">
        <v>67.099999999999994</v>
      </c>
      <c r="AR211" s="654">
        <v>67.099999999999994</v>
      </c>
      <c r="AS211" s="654">
        <v>67.7</v>
      </c>
      <c r="AT211" s="654">
        <v>67.3</v>
      </c>
      <c r="AU211" s="654"/>
      <c r="AV211" s="63">
        <f>AP211/AP211</f>
        <v>1</v>
      </c>
      <c r="AW211" s="694"/>
      <c r="AX211" s="317"/>
      <c r="AY211" s="63">
        <f>67.4/66</f>
        <v>1.0212121212121212</v>
      </c>
      <c r="AZ211" s="38"/>
      <c r="BA211" s="475"/>
      <c r="BB211" s="475"/>
      <c r="BC211" s="475"/>
      <c r="BD211" s="475"/>
      <c r="BE211" s="475"/>
      <c r="BF211" s="475"/>
      <c r="BG211" s="475"/>
    </row>
    <row r="212" spans="1:59" outlineLevel="1">
      <c r="A212" s="182"/>
      <c r="B212" s="739" t="s">
        <v>1978</v>
      </c>
      <c r="C212" s="38"/>
      <c r="D212" s="38"/>
      <c r="E212" s="38"/>
      <c r="F212" s="38"/>
      <c r="G212" s="52"/>
      <c r="H212" s="38"/>
      <c r="I212" s="38"/>
      <c r="J212" s="52"/>
      <c r="K212" s="52">
        <f t="shared" ref="K212:Z212" si="604">+K210/K211</f>
        <v>155.85365853658536</v>
      </c>
      <c r="L212" s="52">
        <f t="shared" si="604"/>
        <v>174.14634146341464</v>
      </c>
      <c r="M212" s="52">
        <f t="shared" si="604"/>
        <v>193.90243902439025</v>
      </c>
      <c r="N212" s="52">
        <f t="shared" si="604"/>
        <v>120.09756097560975</v>
      </c>
      <c r="O212" s="52">
        <f t="shared" si="604"/>
        <v>132.70833333333334</v>
      </c>
      <c r="P212" s="52">
        <f t="shared" si="604"/>
        <v>166.45833333333334</v>
      </c>
      <c r="Q212" s="52">
        <f t="shared" si="604"/>
        <v>197.91666666666666</v>
      </c>
      <c r="R212" s="52">
        <f t="shared" si="604"/>
        <v>197.9375</v>
      </c>
      <c r="S212" s="52">
        <f t="shared" si="604"/>
        <v>259.10064239828694</v>
      </c>
      <c r="T212" s="52">
        <f t="shared" si="604"/>
        <v>246.89507494646679</v>
      </c>
      <c r="U212" s="52">
        <f t="shared" si="604"/>
        <v>242.39828693790147</v>
      </c>
      <c r="V212" s="52">
        <f t="shared" si="604"/>
        <v>226.33832976445396</v>
      </c>
      <c r="W212" s="52">
        <f t="shared" si="604"/>
        <v>363.24510436840973</v>
      </c>
      <c r="X212" s="52">
        <f t="shared" si="604"/>
        <v>362.55230125523013</v>
      </c>
      <c r="Y212" s="52">
        <f t="shared" si="604"/>
        <v>343.995171997586</v>
      </c>
      <c r="Z212" s="52">
        <f t="shared" si="604"/>
        <v>303.22315746253338</v>
      </c>
      <c r="AA212" s="52">
        <v>337</v>
      </c>
      <c r="AB212" s="52">
        <f t="shared" ref="AB212:AG212" si="605">+AB210/AB211</f>
        <v>341.11862323294406</v>
      </c>
      <c r="AC212" s="52">
        <f t="shared" si="605"/>
        <v>350.30060120240483</v>
      </c>
      <c r="AD212" s="52">
        <f t="shared" si="605"/>
        <v>321.21212121212119</v>
      </c>
      <c r="AE212" s="52">
        <f t="shared" si="605"/>
        <v>337.6529877609791</v>
      </c>
      <c r="AF212" s="52">
        <f t="shared" si="605"/>
        <v>348.9326765188834</v>
      </c>
      <c r="AG212" s="52">
        <f t="shared" si="605"/>
        <v>348.03278688524591</v>
      </c>
      <c r="AH212" s="52">
        <f t="shared" ref="AH212:AM212" si="606">+AH210/AH211</f>
        <v>338.66231647634584</v>
      </c>
      <c r="AI212" s="52">
        <f t="shared" si="606"/>
        <v>375.79298831385643</v>
      </c>
      <c r="AJ212" s="52">
        <f t="shared" si="606"/>
        <v>444.8780487804878</v>
      </c>
      <c r="AK212" s="52">
        <f t="shared" si="606"/>
        <v>426.75159235668792</v>
      </c>
      <c r="AL212" s="52">
        <f t="shared" si="606"/>
        <v>332.96178343949049</v>
      </c>
      <c r="AM212" s="52">
        <f t="shared" si="606"/>
        <v>412.20657276995308</v>
      </c>
      <c r="AN212" s="52">
        <v>413</v>
      </c>
      <c r="AO212" s="52">
        <v>333</v>
      </c>
      <c r="AP212" s="52">
        <f t="shared" ref="AP212:AQ212" si="607">+AP210/AP211</f>
        <v>299.40740740740739</v>
      </c>
      <c r="AQ212" s="52">
        <f t="shared" si="607"/>
        <v>306.55737704918033</v>
      </c>
      <c r="AR212" s="52">
        <f t="shared" ref="AR212:AS212" si="608">+AR210/AR211</f>
        <v>314.30700447093892</v>
      </c>
      <c r="AS212" s="52">
        <f t="shared" si="608"/>
        <v>285.81979320531758</v>
      </c>
      <c r="AT212" s="52">
        <f t="shared" ref="AT212" si="609">+AT210/AT211</f>
        <v>264.33878157503716</v>
      </c>
      <c r="AU212" s="52" t="e">
        <f t="shared" ref="AU212" si="610">+AU210/AU211</f>
        <v>#DIV/0!</v>
      </c>
      <c r="AV212" s="50">
        <v>65.900000000000006</v>
      </c>
      <c r="AW212" s="671" t="e">
        <v>#DIV/0!</v>
      </c>
      <c r="AX212" s="38"/>
      <c r="AY212" s="882" t="s">
        <v>2517</v>
      </c>
      <c r="AZ212" s="38"/>
      <c r="BA212" s="475"/>
      <c r="BB212" s="475"/>
      <c r="BC212" s="475"/>
      <c r="BD212" s="475"/>
      <c r="BE212" s="475"/>
      <c r="BF212" s="475"/>
      <c r="BG212" s="475"/>
    </row>
    <row r="213" spans="1:59" outlineLevel="1">
      <c r="A213" s="182"/>
      <c r="B213" s="739" t="s">
        <v>1979</v>
      </c>
      <c r="C213" s="38"/>
      <c r="D213" s="38"/>
      <c r="E213" s="38"/>
      <c r="F213" s="38"/>
      <c r="G213" s="52"/>
      <c r="H213" s="38"/>
      <c r="I213" s="38"/>
      <c r="J213" s="52"/>
      <c r="K213" s="56">
        <f t="shared" ref="K213:AE213" si="611">+K212*10^6/K141</f>
        <v>784.29957445304308</v>
      </c>
      <c r="L213" s="56">
        <f t="shared" si="611"/>
        <v>841.57126305231066</v>
      </c>
      <c r="M213" s="56">
        <f t="shared" si="611"/>
        <v>900.89549011717645</v>
      </c>
      <c r="N213" s="56">
        <f t="shared" si="611"/>
        <v>791.99652447991446</v>
      </c>
      <c r="O213" s="56">
        <f t="shared" si="611"/>
        <v>744.31887228095763</v>
      </c>
      <c r="P213" s="56">
        <f t="shared" si="611"/>
        <v>742.01116787171509</v>
      </c>
      <c r="Q213" s="56">
        <f t="shared" si="611"/>
        <v>722.58204272574369</v>
      </c>
      <c r="R213" s="56">
        <f t="shared" si="611"/>
        <v>722.655465621041</v>
      </c>
      <c r="S213" s="56">
        <f t="shared" si="611"/>
        <v>799.94270559120878</v>
      </c>
      <c r="T213" s="56">
        <f t="shared" si="611"/>
        <v>803.34971609356262</v>
      </c>
      <c r="U213" s="56">
        <f t="shared" si="611"/>
        <v>817.13531012898113</v>
      </c>
      <c r="V213" s="56">
        <f t="shared" si="611"/>
        <v>820.53316475115901</v>
      </c>
      <c r="W213" s="56">
        <f t="shared" si="611"/>
        <v>849.42989651994401</v>
      </c>
      <c r="X213" s="56">
        <f t="shared" si="611"/>
        <v>854.80603124302729</v>
      </c>
      <c r="Y213" s="56">
        <f t="shared" si="611"/>
        <v>903.08305329731274</v>
      </c>
      <c r="Z213" s="56">
        <f t="shared" si="611"/>
        <v>872.80062824910146</v>
      </c>
      <c r="AA213" s="56">
        <f t="shared" si="611"/>
        <v>810.78805230425007</v>
      </c>
      <c r="AB213" s="56">
        <f t="shared" si="611"/>
        <v>874.0244263370206</v>
      </c>
      <c r="AC213" s="56">
        <f t="shared" si="611"/>
        <v>931.10078943391102</v>
      </c>
      <c r="AD213" s="56">
        <f t="shared" si="611"/>
        <v>880.02115371603452</v>
      </c>
      <c r="AE213" s="557">
        <f t="shared" si="611"/>
        <v>931.29466537120197</v>
      </c>
      <c r="AF213" s="557">
        <f t="shared" ref="AF213:AO213" si="612">+AF212*10^6/AF141</f>
        <v>870.09120644062386</v>
      </c>
      <c r="AG213" s="557">
        <f t="shared" si="612"/>
        <v>823.73454314316461</v>
      </c>
      <c r="AH213" s="557">
        <f t="shared" si="612"/>
        <v>851.26111381661246</v>
      </c>
      <c r="AI213" s="557">
        <f t="shared" si="612"/>
        <v>850.27386278581071</v>
      </c>
      <c r="AJ213" s="557">
        <f t="shared" si="612"/>
        <v>857.02956653333365</v>
      </c>
      <c r="AK213" s="557">
        <f t="shared" si="612"/>
        <v>870.18639834239627</v>
      </c>
      <c r="AL213" s="557">
        <f t="shared" si="612"/>
        <v>938.96792884313345</v>
      </c>
      <c r="AM213" s="557">
        <f t="shared" si="612"/>
        <v>865.07876827917357</v>
      </c>
      <c r="AN213" s="557">
        <f t="shared" si="612"/>
        <v>794.00325675912097</v>
      </c>
      <c r="AO213" s="557">
        <f t="shared" si="612"/>
        <v>811.33036251604995</v>
      </c>
      <c r="AP213" s="557">
        <f t="shared" ref="AP213:AQ213" si="613">+AP212*10^6/AP141</f>
        <v>900.34613876356548</v>
      </c>
      <c r="AQ213" s="557">
        <f t="shared" si="613"/>
        <v>827.08270371478227</v>
      </c>
      <c r="AR213" s="557">
        <f t="shared" ref="AR213:AS213" si="614">+AR212*10^6/AR141</f>
        <v>831.46261800643606</v>
      </c>
      <c r="AS213" s="557">
        <f t="shared" si="614"/>
        <v>844.08236233762602</v>
      </c>
      <c r="AT213" s="557">
        <f t="shared" ref="AT213" si="615">+AT212*10^6/AT141</f>
        <v>815.73203469527061</v>
      </c>
      <c r="AU213" s="557" t="e">
        <f t="shared" ref="AU213" si="616">+AU212*10^6/AU141</f>
        <v>#DIV/0!</v>
      </c>
      <c r="AV213" s="63"/>
      <c r="AW213" s="695" t="e">
        <v>#DIV/0!</v>
      </c>
      <c r="AX213" s="56"/>
      <c r="AY213" s="38"/>
      <c r="AZ213" s="38"/>
      <c r="BA213" s="475"/>
      <c r="BB213" s="475"/>
      <c r="BC213" s="475"/>
      <c r="BD213" s="475"/>
      <c r="BE213" s="475"/>
      <c r="BF213" s="475"/>
      <c r="BG213" s="475"/>
    </row>
    <row r="214" spans="1:59" s="362" customFormat="1" outlineLevel="1">
      <c r="A214" s="42" t="s">
        <v>163</v>
      </c>
      <c r="B214" s="42" t="s">
        <v>516</v>
      </c>
      <c r="C214" s="485"/>
      <c r="D214" s="485"/>
      <c r="E214" s="485"/>
      <c r="F214" s="485"/>
      <c r="G214" s="49"/>
      <c r="H214" s="42"/>
      <c r="I214" s="49"/>
      <c r="J214" s="49"/>
      <c r="K214" s="49"/>
      <c r="L214" s="49"/>
      <c r="M214" s="49"/>
      <c r="N214" s="49"/>
      <c r="O214" s="49">
        <f t="shared" ref="O214:AE214" si="617">+(O213/K213-1)</f>
        <v>-5.0976315013261719E-2</v>
      </c>
      <c r="P214" s="49">
        <f t="shared" si="617"/>
        <v>-0.11830263169811572</v>
      </c>
      <c r="Q214" s="49">
        <f t="shared" si="617"/>
        <v>-0.19792911536080626</v>
      </c>
      <c r="R214" s="49">
        <f t="shared" si="617"/>
        <v>-8.7552226197467387E-2</v>
      </c>
      <c r="S214" s="49">
        <f t="shared" si="617"/>
        <v>7.4731187642458119E-2</v>
      </c>
      <c r="T214" s="49">
        <f t="shared" si="617"/>
        <v>8.2665262839348941E-2</v>
      </c>
      <c r="U214" s="49">
        <f t="shared" si="617"/>
        <v>0.13085471519131731</v>
      </c>
      <c r="V214" s="49">
        <f t="shared" si="617"/>
        <v>0.13544171986024223</v>
      </c>
      <c r="W214" s="49">
        <f t="shared" si="617"/>
        <v>6.1863419195954839E-2</v>
      </c>
      <c r="X214" s="49">
        <f t="shared" si="617"/>
        <v>6.4052198088375034E-2</v>
      </c>
      <c r="Y214" s="49">
        <f t="shared" si="617"/>
        <v>0.1051817760203817</v>
      </c>
      <c r="Z214" s="49">
        <f t="shared" si="617"/>
        <v>6.3699391740970723E-2</v>
      </c>
      <c r="AA214" s="49">
        <f t="shared" si="617"/>
        <v>-4.5491504801051796E-2</v>
      </c>
      <c r="AB214" s="49">
        <f t="shared" si="617"/>
        <v>2.2482755609534832E-2</v>
      </c>
      <c r="AC214" s="49">
        <f t="shared" si="617"/>
        <v>3.1024539807607665E-2</v>
      </c>
      <c r="AD214" s="49">
        <f t="shared" si="617"/>
        <v>8.2728234068965012E-3</v>
      </c>
      <c r="AE214" s="49">
        <f t="shared" si="617"/>
        <v>0.14862899462377799</v>
      </c>
      <c r="AF214" s="49">
        <f t="shared" ref="AF214:AP214" si="618">+(AF213/AB213-1)</f>
        <v>-4.5001258292981516E-3</v>
      </c>
      <c r="AG214" s="49">
        <f t="shared" si="618"/>
        <v>-0.11531108931399658</v>
      </c>
      <c r="AH214" s="49">
        <f t="shared" si="618"/>
        <v>-3.2681077924068158E-2</v>
      </c>
      <c r="AI214" s="49">
        <f t="shared" si="618"/>
        <v>-8.6998031448078161E-2</v>
      </c>
      <c r="AJ214" s="49">
        <f t="shared" si="618"/>
        <v>-1.5011805441320192E-2</v>
      </c>
      <c r="AK214" s="49">
        <f t="shared" si="618"/>
        <v>5.639177764960901E-2</v>
      </c>
      <c r="AL214" s="49">
        <f t="shared" si="618"/>
        <v>0.10303162402578114</v>
      </c>
      <c r="AM214" s="49">
        <f t="shared" si="618"/>
        <v>1.7411925899799563E-2</v>
      </c>
      <c r="AN214" s="49">
        <f t="shared" si="618"/>
        <v>-7.35404147480615E-2</v>
      </c>
      <c r="AO214" s="49">
        <f t="shared" si="618"/>
        <v>-6.7636124787126328E-2</v>
      </c>
      <c r="AP214" s="49">
        <f t="shared" si="618"/>
        <v>-4.1132171710222765E-2</v>
      </c>
      <c r="AQ214" s="49">
        <f t="shared" ref="AQ214:AU214" si="619">+(AQ213/AM213-1)</f>
        <v>-4.3922086586373643E-2</v>
      </c>
      <c r="AR214" s="49">
        <f t="shared" si="619"/>
        <v>4.7177843325495683E-2</v>
      </c>
      <c r="AS214" s="49">
        <f t="shared" si="619"/>
        <v>4.0368265918222956E-2</v>
      </c>
      <c r="AT214" s="49">
        <f t="shared" si="619"/>
        <v>-9.3979526790101464E-2</v>
      </c>
      <c r="AU214" s="49" t="e">
        <f t="shared" si="619"/>
        <v>#DIV/0!</v>
      </c>
      <c r="AV214" s="42"/>
      <c r="AW214" s="668" t="e">
        <v>#DIV/0!</v>
      </c>
      <c r="AX214" s="49"/>
      <c r="AY214" s="42"/>
      <c r="AZ214" s="42"/>
      <c r="BA214" s="496"/>
      <c r="BB214" s="496"/>
      <c r="BC214" s="496"/>
      <c r="BD214" s="496"/>
      <c r="BE214" s="496"/>
      <c r="BF214" s="496"/>
      <c r="BG214" s="496"/>
    </row>
    <row r="215" spans="1:59" s="362" customFormat="1" outlineLevel="1">
      <c r="A215" s="42" t="s">
        <v>163</v>
      </c>
      <c r="B215" s="42" t="s">
        <v>517</v>
      </c>
      <c r="C215" s="485"/>
      <c r="D215" s="485"/>
      <c r="E215" s="485"/>
      <c r="F215" s="485"/>
      <c r="G215" s="49"/>
      <c r="H215" s="42"/>
      <c r="I215" s="42"/>
      <c r="J215" s="42"/>
      <c r="K215" s="42"/>
      <c r="L215" s="42">
        <f t="shared" ref="L215:AE215" si="620">+(L213/K213-1)</f>
        <v>7.3022720481785042E-2</v>
      </c>
      <c r="M215" s="42">
        <f t="shared" si="620"/>
        <v>7.049222052770876E-2</v>
      </c>
      <c r="N215" s="42">
        <f t="shared" si="620"/>
        <v>-0.12087857785046507</v>
      </c>
      <c r="O215" s="42">
        <f t="shared" si="620"/>
        <v>-6.0199319978412325E-2</v>
      </c>
      <c r="P215" s="42">
        <f t="shared" si="620"/>
        <v>-3.1004244218215682E-3</v>
      </c>
      <c r="Q215" s="42">
        <f t="shared" si="620"/>
        <v>-2.6184410676323489E-2</v>
      </c>
      <c r="R215" s="42">
        <f t="shared" si="620"/>
        <v>1.0161184606860552E-4</v>
      </c>
      <c r="S215" s="42">
        <f t="shared" si="620"/>
        <v>0.10694894544767353</v>
      </c>
      <c r="T215" s="42">
        <f t="shared" si="620"/>
        <v>4.2590681539320663E-3</v>
      </c>
      <c r="U215" s="42">
        <f t="shared" si="620"/>
        <v>1.7160140545581459E-2</v>
      </c>
      <c r="V215" s="42">
        <f t="shared" si="620"/>
        <v>4.1582521034877473E-3</v>
      </c>
      <c r="W215" s="42">
        <f t="shared" si="620"/>
        <v>3.5217018653412202E-2</v>
      </c>
      <c r="X215" s="42">
        <f t="shared" si="620"/>
        <v>6.3291093768995665E-3</v>
      </c>
      <c r="Y215" s="42">
        <f t="shared" si="620"/>
        <v>5.6477165918077166E-2</v>
      </c>
      <c r="Z215" s="42">
        <f t="shared" si="620"/>
        <v>-3.3532270301878553E-2</v>
      </c>
      <c r="AA215" s="42">
        <f t="shared" si="620"/>
        <v>-7.1050104614673426E-2</v>
      </c>
      <c r="AB215" s="42">
        <f t="shared" si="620"/>
        <v>7.799371716572967E-2</v>
      </c>
      <c r="AC215" s="42">
        <f t="shared" si="620"/>
        <v>6.5302938198299243E-2</v>
      </c>
      <c r="AD215" s="42">
        <f t="shared" si="620"/>
        <v>-5.4859405445173981E-2</v>
      </c>
      <c r="AE215" s="42">
        <f t="shared" si="620"/>
        <v>5.8263953586407125E-2</v>
      </c>
      <c r="AF215" s="42">
        <f t="shared" ref="AF215:AP215" si="621">+(AF213/AE213-1)</f>
        <v>-6.5718683040220327E-2</v>
      </c>
      <c r="AG215" s="42">
        <f t="shared" si="621"/>
        <v>-5.3277935639753693E-2</v>
      </c>
      <c r="AH215" s="42">
        <f t="shared" si="621"/>
        <v>3.3416797805289722E-2</v>
      </c>
      <c r="AI215" s="42">
        <f t="shared" si="621"/>
        <v>-1.1597511207523947E-3</v>
      </c>
      <c r="AJ215" s="42">
        <f t="shared" si="621"/>
        <v>7.9453268449165559E-3</v>
      </c>
      <c r="AK215" s="42">
        <f t="shared" si="621"/>
        <v>1.535166617679451E-2</v>
      </c>
      <c r="AL215" s="42">
        <f t="shared" si="621"/>
        <v>7.9042295572256727E-2</v>
      </c>
      <c r="AM215" s="42">
        <f t="shared" si="621"/>
        <v>-7.8691889567512607E-2</v>
      </c>
      <c r="AN215" s="42">
        <f t="shared" si="621"/>
        <v>-8.2160739722507592E-2</v>
      </c>
      <c r="AO215" s="42">
        <f t="shared" si="621"/>
        <v>2.1822461821696892E-2</v>
      </c>
      <c r="AP215" s="42">
        <f t="shared" si="621"/>
        <v>0.10971582028739202</v>
      </c>
      <c r="AQ215" s="42">
        <f t="shared" ref="AQ215" si="622">+(AQ213/AP213-1)</f>
        <v>-8.1372520961099482E-2</v>
      </c>
      <c r="AR215" s="42">
        <v>0.03</v>
      </c>
      <c r="AS215" s="42"/>
      <c r="AT215" s="42"/>
      <c r="AU215" s="42"/>
      <c r="AV215" s="42"/>
      <c r="AW215" s="684"/>
      <c r="AX215" s="42"/>
      <c r="AY215" s="42"/>
      <c r="AZ215" s="42"/>
      <c r="BA215" s="496"/>
      <c r="BB215" s="496"/>
      <c r="BC215" s="496"/>
      <c r="BD215" s="496"/>
      <c r="BE215" s="496"/>
      <c r="BF215" s="496"/>
      <c r="BG215" s="496"/>
    </row>
    <row r="216" spans="1:59" s="362" customFormat="1" outlineLevel="1">
      <c r="A216" s="42"/>
      <c r="B216" s="42"/>
      <c r="C216" s="485"/>
      <c r="D216" s="485"/>
      <c r="E216" s="485"/>
      <c r="F216" s="485"/>
      <c r="G216" s="49"/>
      <c r="H216" s="42"/>
      <c r="I216" s="42"/>
      <c r="J216" s="42"/>
      <c r="K216" s="42"/>
      <c r="L216" s="42"/>
      <c r="M216" s="42"/>
      <c r="N216" s="42"/>
      <c r="O216" s="42"/>
      <c r="P216" s="42"/>
      <c r="Q216" s="42"/>
      <c r="R216" s="402"/>
      <c r="S216" s="402"/>
      <c r="T216" s="402"/>
      <c r="U216" s="402"/>
      <c r="V216" s="402"/>
      <c r="W216" s="402"/>
      <c r="X216" s="402"/>
      <c r="Y216" s="402"/>
      <c r="Z216" s="402"/>
      <c r="AA216" s="402"/>
      <c r="AB216" s="402"/>
      <c r="AC216" s="402"/>
      <c r="AD216" s="402"/>
      <c r="AE216" s="402"/>
      <c r="AF216" s="402"/>
      <c r="AG216" s="402"/>
      <c r="AH216" s="402"/>
      <c r="AI216" s="402"/>
      <c r="AJ216" s="402"/>
      <c r="AK216" s="402"/>
      <c r="AL216" s="402"/>
      <c r="AM216" s="402"/>
      <c r="AN216" s="402"/>
      <c r="AO216" s="402"/>
      <c r="AP216" s="402"/>
      <c r="AQ216" s="402"/>
      <c r="AR216" s="402"/>
      <c r="AS216" s="402"/>
      <c r="AT216" s="402"/>
      <c r="AU216" s="402"/>
      <c r="AV216" s="42"/>
      <c r="AW216" s="696"/>
      <c r="AX216" s="42"/>
      <c r="AY216" s="42"/>
      <c r="AZ216" s="42"/>
      <c r="BA216" s="496"/>
      <c r="BB216" s="496"/>
      <c r="BC216" s="496"/>
      <c r="BD216" s="496"/>
      <c r="BE216" s="496"/>
      <c r="BF216" s="496"/>
      <c r="BG216" s="496"/>
    </row>
    <row r="217" spans="1:59" ht="13.5" thickBot="1">
      <c r="A217" s="182"/>
      <c r="B217" s="184"/>
      <c r="C217" s="48"/>
      <c r="D217" s="48"/>
      <c r="E217" s="48"/>
      <c r="F217" s="48"/>
      <c r="G217" s="52"/>
      <c r="H217" s="38"/>
      <c r="I217" s="38"/>
      <c r="J217" s="52"/>
      <c r="K217" s="52"/>
      <c r="L217" s="38"/>
      <c r="M217" s="38"/>
      <c r="N217" s="38"/>
      <c r="O217" s="38"/>
      <c r="P217" s="38"/>
      <c r="Q217" s="38"/>
      <c r="R217" s="47"/>
      <c r="S217" s="47"/>
      <c r="T217" s="47"/>
      <c r="U217" s="47"/>
      <c r="V217" s="47"/>
      <c r="W217" s="47"/>
      <c r="X217" s="47"/>
      <c r="Y217" s="47"/>
      <c r="Z217" s="47"/>
      <c r="AA217" s="47"/>
      <c r="AB217" s="47"/>
      <c r="AC217" s="47"/>
      <c r="AD217" s="47"/>
      <c r="AE217" s="47"/>
      <c r="AF217" s="47"/>
      <c r="AG217" s="47"/>
      <c r="AH217" s="47"/>
      <c r="AI217" s="47"/>
      <c r="AJ217" s="722"/>
      <c r="AK217" s="722"/>
      <c r="AL217" s="722"/>
      <c r="AM217" s="722"/>
      <c r="AN217" s="722"/>
      <c r="AO217" s="47"/>
      <c r="AP217" s="47"/>
      <c r="AQ217" s="47"/>
      <c r="AR217" s="47"/>
      <c r="AS217" s="47"/>
      <c r="AT217" s="47"/>
      <c r="AU217" s="47"/>
      <c r="AV217" s="38"/>
      <c r="AW217" s="697"/>
      <c r="AX217" s="38"/>
      <c r="AY217" s="38"/>
      <c r="AZ217" s="38"/>
      <c r="BA217" s="475"/>
      <c r="BB217" s="475"/>
      <c r="BC217" s="475"/>
      <c r="BD217" s="475"/>
      <c r="BE217" s="475"/>
      <c r="BF217" s="475"/>
      <c r="BG217" s="475"/>
    </row>
    <row r="218" spans="1:59" ht="13.5" thickBot="1">
      <c r="A218" s="38"/>
      <c r="B218" s="39"/>
      <c r="C218" s="40" t="s">
        <v>477</v>
      </c>
      <c r="D218" s="40" t="s">
        <v>478</v>
      </c>
      <c r="E218" s="40" t="s">
        <v>479</v>
      </c>
      <c r="F218" s="40" t="s">
        <v>480</v>
      </c>
      <c r="G218" s="40" t="s">
        <v>481</v>
      </c>
      <c r="H218" s="40" t="s">
        <v>482</v>
      </c>
      <c r="I218" s="40" t="s">
        <v>483</v>
      </c>
      <c r="J218" s="40" t="s">
        <v>484</v>
      </c>
      <c r="K218" s="40" t="s">
        <v>563</v>
      </c>
      <c r="L218" s="40" t="s">
        <v>588</v>
      </c>
      <c r="M218" s="40" t="s">
        <v>596</v>
      </c>
      <c r="N218" s="40" t="s">
        <v>1744</v>
      </c>
      <c r="O218" s="40" t="s">
        <v>656</v>
      </c>
      <c r="P218" s="40" t="s">
        <v>599</v>
      </c>
      <c r="Q218" s="40" t="s">
        <v>202</v>
      </c>
      <c r="R218" s="40" t="s">
        <v>722</v>
      </c>
      <c r="S218" s="40" t="s">
        <v>827</v>
      </c>
      <c r="T218" s="40" t="s">
        <v>1745</v>
      </c>
      <c r="U218" s="40" t="s">
        <v>1746</v>
      </c>
      <c r="V218" s="40" t="s">
        <v>1747</v>
      </c>
      <c r="W218" s="40" t="s">
        <v>1748</v>
      </c>
      <c r="X218" s="40" t="s">
        <v>1749</v>
      </c>
      <c r="Y218" s="40" t="s">
        <v>1750</v>
      </c>
      <c r="Z218" s="40" t="s">
        <v>1751</v>
      </c>
      <c r="AA218" s="40" t="s">
        <v>1515</v>
      </c>
      <c r="AB218" s="40" t="s">
        <v>1029</v>
      </c>
      <c r="AC218" s="40" t="s">
        <v>110</v>
      </c>
      <c r="AD218" s="40" t="s">
        <v>1131</v>
      </c>
      <c r="AE218" s="40" t="s">
        <v>1305</v>
      </c>
      <c r="AF218" s="40" t="s">
        <v>1120</v>
      </c>
      <c r="AG218" s="40" t="s">
        <v>1724</v>
      </c>
      <c r="AH218" s="40" t="s">
        <v>1503</v>
      </c>
      <c r="AI218" s="40" t="s">
        <v>1643</v>
      </c>
      <c r="AJ218" s="40" t="s">
        <v>2372</v>
      </c>
      <c r="AK218" s="40" t="s">
        <v>2394</v>
      </c>
      <c r="AL218" s="40" t="s">
        <v>2404</v>
      </c>
      <c r="AM218" s="40" t="s">
        <v>2417</v>
      </c>
      <c r="AN218" s="40" t="s">
        <v>2464</v>
      </c>
      <c r="AO218" s="40" t="s">
        <v>2497</v>
      </c>
      <c r="AP218" s="40" t="s">
        <v>2504</v>
      </c>
      <c r="AQ218" s="40" t="s">
        <v>2531</v>
      </c>
      <c r="AR218" s="40" t="s">
        <v>2537</v>
      </c>
      <c r="AS218" s="40" t="s">
        <v>2564</v>
      </c>
      <c r="AT218" s="40" t="s">
        <v>2567</v>
      </c>
      <c r="AU218" s="40" t="s">
        <v>2567</v>
      </c>
      <c r="AV218" s="708"/>
      <c r="AW218" s="697" t="s">
        <v>2567</v>
      </c>
      <c r="AX218" s="38"/>
      <c r="AY218" s="38"/>
      <c r="AZ218" s="38"/>
      <c r="BA218" s="475"/>
      <c r="BB218" s="475"/>
      <c r="BC218" s="475"/>
      <c r="BD218" s="475"/>
      <c r="BE218" s="475"/>
      <c r="BF218" s="475"/>
      <c r="BG218" s="475"/>
    </row>
    <row r="219" spans="1:59">
      <c r="A219" s="13" t="s">
        <v>163</v>
      </c>
      <c r="B219" s="13" t="s">
        <v>2402</v>
      </c>
      <c r="C219" s="13"/>
      <c r="D219" s="13"/>
      <c r="E219" s="13"/>
      <c r="F219" s="13"/>
      <c r="G219" s="54"/>
      <c r="H219" s="13"/>
      <c r="I219" s="13"/>
      <c r="J219" s="54"/>
      <c r="K219" s="54"/>
      <c r="L219" s="13"/>
      <c r="M219" s="13"/>
      <c r="N219" s="13"/>
      <c r="O219" s="13"/>
      <c r="P219" s="13"/>
      <c r="Q219" s="13"/>
      <c r="R219" s="13"/>
      <c r="S219" s="13"/>
      <c r="T219" s="13"/>
      <c r="U219" s="13"/>
      <c r="V219" s="13"/>
      <c r="W219" s="13"/>
      <c r="X219" s="13"/>
      <c r="Y219" s="13"/>
      <c r="Z219" s="13"/>
      <c r="AA219" s="13"/>
      <c r="AB219" s="13"/>
      <c r="AC219" s="13"/>
      <c r="AD219" s="13"/>
      <c r="AE219" s="13"/>
      <c r="AF219" s="13"/>
      <c r="AG219" s="13"/>
      <c r="AH219" s="13"/>
      <c r="AI219" s="13"/>
      <c r="AJ219" s="13"/>
      <c r="AK219" s="319"/>
      <c r="AL219" s="319"/>
      <c r="AM219" s="319"/>
      <c r="AN219" s="319"/>
      <c r="AO219" s="319"/>
      <c r="AP219" s="319"/>
      <c r="AQ219" s="319"/>
      <c r="AR219" s="319"/>
      <c r="AS219" s="319"/>
      <c r="AT219" s="319"/>
      <c r="AU219" s="319"/>
      <c r="AV219" s="708"/>
      <c r="AW219" s="697"/>
      <c r="AX219" s="38"/>
      <c r="AY219" s="38"/>
      <c r="AZ219" s="38"/>
      <c r="BA219" s="475"/>
      <c r="BB219" s="475"/>
      <c r="BC219" s="475"/>
      <c r="BD219" s="475"/>
      <c r="BE219" s="475"/>
      <c r="BF219" s="475"/>
      <c r="BG219" s="475"/>
    </row>
    <row r="220" spans="1:59">
      <c r="A220" s="46"/>
      <c r="B220" s="46" t="s">
        <v>576</v>
      </c>
      <c r="C220" s="46"/>
      <c r="D220" s="46"/>
      <c r="E220" s="46"/>
      <c r="F220" s="46"/>
      <c r="G220" s="58"/>
      <c r="H220" s="46"/>
      <c r="I220" s="46"/>
      <c r="J220" s="58"/>
      <c r="K220" s="58"/>
      <c r="L220" s="46"/>
      <c r="M220" s="46"/>
      <c r="N220" s="46"/>
      <c r="O220" s="312" t="e">
        <f t="shared" ref="O220:V220" si="623">+(O207+O212)/O216*100</f>
        <v>#DIV/0!</v>
      </c>
      <c r="P220" s="312" t="e">
        <f t="shared" si="623"/>
        <v>#DIV/0!</v>
      </c>
      <c r="Q220" s="312" t="e">
        <f t="shared" si="623"/>
        <v>#DIV/0!</v>
      </c>
      <c r="R220" s="312" t="e">
        <f t="shared" si="623"/>
        <v>#DIV/0!</v>
      </c>
      <c r="S220" s="312" t="e">
        <f t="shared" si="623"/>
        <v>#DIV/0!</v>
      </c>
      <c r="T220" s="312" t="e">
        <f t="shared" si="623"/>
        <v>#DIV/0!</v>
      </c>
      <c r="U220" s="312" t="e">
        <f t="shared" si="623"/>
        <v>#DIV/0!</v>
      </c>
      <c r="V220" s="312" t="e">
        <f t="shared" si="623"/>
        <v>#DIV/0!</v>
      </c>
      <c r="W220" s="312">
        <f>W188/W$190*100</f>
        <v>79.528458176168328</v>
      </c>
      <c r="X220" s="312">
        <f t="shared" ref="X220:AM221" si="624">X188/X$190*100</f>
        <v>80.796635025723006</v>
      </c>
      <c r="Y220" s="312">
        <f t="shared" si="624"/>
        <v>79.897486900446552</v>
      </c>
      <c r="Z220" s="312">
        <f t="shared" si="624"/>
        <v>80.806185127830204</v>
      </c>
      <c r="AA220" s="312">
        <f t="shared" si="624"/>
        <v>87.606972296069969</v>
      </c>
      <c r="AB220" s="312">
        <f t="shared" si="624"/>
        <v>83.694735898125728</v>
      </c>
      <c r="AC220" s="312">
        <f t="shared" si="624"/>
        <v>79.462657686153392</v>
      </c>
      <c r="AD220" s="312">
        <f t="shared" si="624"/>
        <v>83.159682744072001</v>
      </c>
      <c r="AE220" s="312">
        <f t="shared" si="624"/>
        <v>79.571274509533524</v>
      </c>
      <c r="AF220" s="312">
        <f t="shared" si="624"/>
        <v>85.484377727352069</v>
      </c>
      <c r="AG220" s="312">
        <f t="shared" si="624"/>
        <v>85.321865251617723</v>
      </c>
      <c r="AH220" s="312">
        <f t="shared" si="624"/>
        <v>83.292864396384431</v>
      </c>
      <c r="AI220" s="312">
        <f t="shared" si="624"/>
        <v>86.888161333312226</v>
      </c>
      <c r="AJ220" s="312">
        <f t="shared" si="624"/>
        <v>84.282007270373512</v>
      </c>
      <c r="AK220" s="312">
        <f t="shared" si="624"/>
        <v>82.839193008356204</v>
      </c>
      <c r="AL220" s="312">
        <f t="shared" si="624"/>
        <v>82.777408038262408</v>
      </c>
      <c r="AM220" s="312">
        <f t="shared" si="624"/>
        <v>81.725135153285649</v>
      </c>
      <c r="AN220" s="312">
        <f t="shared" ref="AN220:AP221" si="625">AN188/AN$190*100</f>
        <v>83.392835514439128</v>
      </c>
      <c r="AO220" s="312">
        <f t="shared" si="625"/>
        <v>85.853370919288466</v>
      </c>
      <c r="AP220" s="312">
        <f t="shared" si="625"/>
        <v>85.322375483766194</v>
      </c>
      <c r="AQ220" s="312">
        <f t="shared" ref="AQ220:AR220" si="626">AQ188/AQ$190*100</f>
        <v>87.322507277774932</v>
      </c>
      <c r="AR220" s="312">
        <f t="shared" si="626"/>
        <v>84.088546282310048</v>
      </c>
      <c r="AS220" s="312">
        <f t="shared" ref="AS220" si="627">AS188/AS$190*100</f>
        <v>85.505114938455364</v>
      </c>
      <c r="AT220" s="312">
        <f t="shared" ref="AT220" si="628">AT188/AT$190*100</f>
        <v>88.713813566383067</v>
      </c>
      <c r="AU220" s="312">
        <f t="shared" ref="AU220" si="629">AU188/AU$190*100</f>
        <v>89.953355748945157</v>
      </c>
      <c r="AV220" s="708"/>
      <c r="AW220" s="697">
        <v>88.713813566383067</v>
      </c>
      <c r="AX220" s="38"/>
      <c r="AY220" s="38"/>
      <c r="AZ220" s="38"/>
      <c r="BA220" s="475"/>
      <c r="BB220" s="475"/>
      <c r="BC220" s="475"/>
      <c r="BD220" s="475"/>
      <c r="BE220" s="475"/>
      <c r="BF220" s="475"/>
      <c r="BG220" s="475"/>
    </row>
    <row r="221" spans="1:59">
      <c r="A221" s="46"/>
      <c r="B221" s="46" t="s">
        <v>1527</v>
      </c>
      <c r="C221" s="46"/>
      <c r="D221" s="46"/>
      <c r="E221" s="46"/>
      <c r="F221" s="46"/>
      <c r="G221" s="58"/>
      <c r="H221" s="46"/>
      <c r="I221" s="46"/>
      <c r="J221" s="58"/>
      <c r="K221" s="58"/>
      <c r="L221" s="46"/>
      <c r="M221" s="46"/>
      <c r="N221" s="46"/>
      <c r="O221" s="312" t="e">
        <f t="shared" ref="O221:V221" si="630">+(O208+O213)/O216*100</f>
        <v>#DIV/0!</v>
      </c>
      <c r="P221" s="312" t="e">
        <f t="shared" si="630"/>
        <v>#DIV/0!</v>
      </c>
      <c r="Q221" s="312" t="e">
        <f t="shared" si="630"/>
        <v>#DIV/0!</v>
      </c>
      <c r="R221" s="312" t="e">
        <f t="shared" si="630"/>
        <v>#DIV/0!</v>
      </c>
      <c r="S221" s="312" t="e">
        <f t="shared" si="630"/>
        <v>#DIV/0!</v>
      </c>
      <c r="T221" s="312" t="e">
        <f t="shared" si="630"/>
        <v>#DIV/0!</v>
      </c>
      <c r="U221" s="312" t="e">
        <f t="shared" si="630"/>
        <v>#DIV/0!</v>
      </c>
      <c r="V221" s="312" t="e">
        <f t="shared" si="630"/>
        <v>#DIV/0!</v>
      </c>
      <c r="W221" s="312">
        <f>W189/W$190*100</f>
        <v>20.471541823831675</v>
      </c>
      <c r="X221" s="312">
        <f t="shared" si="624"/>
        <v>19.203364974276997</v>
      </c>
      <c r="Y221" s="312">
        <f t="shared" si="624"/>
        <v>20.102513099553448</v>
      </c>
      <c r="Z221" s="312">
        <f t="shared" si="624"/>
        <v>19.193814872169803</v>
      </c>
      <c r="AA221" s="312">
        <f t="shared" si="624"/>
        <v>12.393027703930036</v>
      </c>
      <c r="AB221" s="312">
        <f t="shared" si="624"/>
        <v>16.305264101874268</v>
      </c>
      <c r="AC221" s="312">
        <f t="shared" si="624"/>
        <v>20.537342313846612</v>
      </c>
      <c r="AD221" s="312">
        <f t="shared" si="624"/>
        <v>16.840317255927999</v>
      </c>
      <c r="AE221" s="312">
        <f t="shared" si="624"/>
        <v>20.428725490466483</v>
      </c>
      <c r="AF221" s="312">
        <f t="shared" si="624"/>
        <v>14.515622272647931</v>
      </c>
      <c r="AG221" s="312">
        <f t="shared" si="624"/>
        <v>14.678134748382272</v>
      </c>
      <c r="AH221" s="312">
        <f t="shared" si="624"/>
        <v>16.707135603615562</v>
      </c>
      <c r="AI221" s="312">
        <f t="shared" si="624"/>
        <v>13.111838666687783</v>
      </c>
      <c r="AJ221" s="312">
        <f t="shared" si="624"/>
        <v>15.717992729626484</v>
      </c>
      <c r="AK221" s="312">
        <f t="shared" si="624"/>
        <v>17.160806991643796</v>
      </c>
      <c r="AL221" s="312">
        <f t="shared" si="624"/>
        <v>17.222591961737599</v>
      </c>
      <c r="AM221" s="312">
        <f t="shared" si="624"/>
        <v>18.274864846714348</v>
      </c>
      <c r="AN221" s="312">
        <f t="shared" ref="AN221:AO221" si="631">AN189/AN$190*100</f>
        <v>16.607164485560869</v>
      </c>
      <c r="AO221" s="312">
        <f t="shared" si="631"/>
        <v>14.146629080711534</v>
      </c>
      <c r="AP221" s="312">
        <f t="shared" si="625"/>
        <v>14.677624516233795</v>
      </c>
      <c r="AQ221" s="312">
        <f t="shared" ref="AQ221:AR221" si="632">AQ189/AQ$190*100</f>
        <v>12.67749272222507</v>
      </c>
      <c r="AR221" s="312">
        <f t="shared" si="632"/>
        <v>15.911453717689945</v>
      </c>
      <c r="AS221" s="312">
        <f t="shared" ref="AS221" si="633">AS189/AS$190*100</f>
        <v>14.494885061544641</v>
      </c>
      <c r="AT221" s="312">
        <f t="shared" ref="AT221" si="634">AT189/AT$190*100</f>
        <v>11.286186433616932</v>
      </c>
      <c r="AU221" s="312">
        <f t="shared" ref="AU221" si="635">AU189/AU$190*100</f>
        <v>10.046644251054852</v>
      </c>
      <c r="AV221" s="708"/>
      <c r="AW221" s="697">
        <v>11.286186433616932</v>
      </c>
      <c r="AX221" s="38"/>
      <c r="AY221" s="38"/>
      <c r="AZ221" s="38"/>
      <c r="BA221" s="475"/>
      <c r="BB221" s="475"/>
      <c r="BC221" s="475"/>
      <c r="BD221" s="475"/>
      <c r="BE221" s="475"/>
      <c r="BF221" s="475"/>
      <c r="BG221" s="475"/>
    </row>
    <row r="222" spans="1:59">
      <c r="A222" s="38"/>
      <c r="B222" s="38"/>
      <c r="C222" s="38"/>
      <c r="D222" s="38"/>
      <c r="E222" s="38"/>
      <c r="F222" s="38"/>
      <c r="G222" s="52"/>
      <c r="H222" s="38"/>
      <c r="I222" s="38"/>
      <c r="J222" s="52"/>
      <c r="K222" s="52"/>
      <c r="L222" s="38"/>
      <c r="M222" s="38"/>
      <c r="N222" s="38"/>
      <c r="O222" s="38"/>
      <c r="P222" s="38"/>
      <c r="Q222" s="38"/>
      <c r="R222" s="38"/>
      <c r="S222" s="38"/>
      <c r="T222" s="38"/>
      <c r="U222" s="38"/>
      <c r="V222" s="38"/>
      <c r="W222" s="38"/>
      <c r="X222" s="38"/>
      <c r="Y222" s="38"/>
      <c r="Z222" s="38"/>
      <c r="AA222" s="38"/>
      <c r="AB222" s="38"/>
      <c r="AC222" s="38"/>
      <c r="AD222" s="38"/>
      <c r="AE222" s="38"/>
      <c r="AF222" s="38"/>
      <c r="AG222" s="38"/>
      <c r="AH222" s="38"/>
      <c r="AI222" s="38"/>
      <c r="AJ222" s="38"/>
      <c r="AK222" s="38"/>
      <c r="AL222" s="38"/>
      <c r="AM222" s="38"/>
      <c r="AN222" s="38"/>
      <c r="AO222" s="38"/>
      <c r="AP222" s="38"/>
      <c r="AQ222" s="38"/>
      <c r="AR222" s="38"/>
      <c r="AS222" s="38"/>
      <c r="AT222" s="38"/>
      <c r="AU222" s="38"/>
      <c r="AV222" s="708"/>
      <c r="AW222" s="697"/>
      <c r="AX222" s="38"/>
      <c r="AY222" s="38"/>
      <c r="AZ222" s="38"/>
      <c r="BA222" s="475"/>
      <c r="BB222" s="475"/>
      <c r="BC222" s="475"/>
      <c r="BD222" s="475"/>
      <c r="BE222" s="475"/>
      <c r="BF222" s="475"/>
      <c r="BG222" s="475"/>
    </row>
    <row r="223" spans="1:59">
      <c r="A223" s="13" t="s">
        <v>163</v>
      </c>
      <c r="B223" s="13" t="s">
        <v>2403</v>
      </c>
      <c r="C223" s="13"/>
      <c r="D223" s="13"/>
      <c r="E223" s="13"/>
      <c r="F223" s="13"/>
      <c r="G223" s="54"/>
      <c r="H223" s="13"/>
      <c r="I223" s="13"/>
      <c r="J223" s="54"/>
      <c r="K223" s="54"/>
      <c r="L223" s="13"/>
      <c r="M223" s="13"/>
      <c r="N223" s="13"/>
      <c r="O223" s="13"/>
      <c r="P223" s="13"/>
      <c r="Q223" s="13"/>
      <c r="R223" s="13"/>
      <c r="S223" s="13"/>
      <c r="T223" s="13"/>
      <c r="U223" s="13"/>
      <c r="V223" s="13"/>
      <c r="W223" s="13"/>
      <c r="X223" s="13"/>
      <c r="Y223" s="13"/>
      <c r="Z223" s="13"/>
      <c r="AA223" s="13"/>
      <c r="AB223" s="13"/>
      <c r="AC223" s="13"/>
      <c r="AD223" s="13"/>
      <c r="AE223" s="13"/>
      <c r="AF223" s="13"/>
      <c r="AG223" s="13"/>
      <c r="AH223" s="13"/>
      <c r="AI223" s="13"/>
      <c r="AJ223" s="13"/>
      <c r="AK223" s="319"/>
      <c r="AL223" s="319"/>
      <c r="AM223" s="319"/>
      <c r="AN223" s="319"/>
      <c r="AO223" s="319"/>
      <c r="AP223" s="319"/>
      <c r="AQ223" s="319"/>
      <c r="AR223" s="319"/>
      <c r="AS223" s="319"/>
      <c r="AT223" s="319"/>
      <c r="AU223" s="319"/>
      <c r="AV223" s="708"/>
      <c r="AW223" s="697"/>
      <c r="AX223" s="38"/>
      <c r="AY223" s="38"/>
      <c r="AZ223" s="38"/>
      <c r="BA223" s="475"/>
      <c r="BB223" s="475"/>
      <c r="BC223" s="475"/>
      <c r="BD223" s="475"/>
      <c r="BE223" s="475"/>
      <c r="BF223" s="475"/>
      <c r="BG223" s="475"/>
    </row>
    <row r="224" spans="1:59">
      <c r="A224" s="46"/>
      <c r="B224" s="46" t="s">
        <v>576</v>
      </c>
      <c r="C224" s="46"/>
      <c r="D224" s="46"/>
      <c r="E224" s="46"/>
      <c r="F224" s="46"/>
      <c r="G224" s="58"/>
      <c r="H224" s="46"/>
      <c r="I224" s="46"/>
      <c r="J224" s="58"/>
      <c r="K224" s="58"/>
      <c r="L224" s="46"/>
      <c r="M224" s="46"/>
      <c r="N224" s="46"/>
      <c r="O224" s="312" t="e">
        <f t="shared" ref="O224:V224" si="636">+(O211+O216)/O220*100</f>
        <v>#DIV/0!</v>
      </c>
      <c r="P224" s="312" t="e">
        <f t="shared" si="636"/>
        <v>#DIV/0!</v>
      </c>
      <c r="Q224" s="312" t="e">
        <f t="shared" si="636"/>
        <v>#DIV/0!</v>
      </c>
      <c r="R224" s="312" t="e">
        <f t="shared" si="636"/>
        <v>#DIV/0!</v>
      </c>
      <c r="S224" s="312" t="e">
        <f t="shared" si="636"/>
        <v>#DIV/0!</v>
      </c>
      <c r="T224" s="312" t="e">
        <f t="shared" si="636"/>
        <v>#DIV/0!</v>
      </c>
      <c r="U224" s="312" t="e">
        <f t="shared" si="636"/>
        <v>#DIV/0!</v>
      </c>
      <c r="V224" s="312" t="e">
        <f t="shared" si="636"/>
        <v>#DIV/0!</v>
      </c>
      <c r="W224" s="312">
        <f>+W183/W$185*100</f>
        <v>93.647399579227212</v>
      </c>
      <c r="X224" s="312">
        <f t="shared" ref="X224:AM225" si="637">+X183/X$185*100</f>
        <v>92.526528239515386</v>
      </c>
      <c r="Y224" s="312">
        <f t="shared" si="637"/>
        <v>92.494418149623868</v>
      </c>
      <c r="Z224" s="312">
        <f t="shared" si="637"/>
        <v>92.051925172810201</v>
      </c>
      <c r="AA224" s="312">
        <f t="shared" si="637"/>
        <v>93.240578539059229</v>
      </c>
      <c r="AB224" s="312">
        <f t="shared" si="637"/>
        <v>91.342387502029837</v>
      </c>
      <c r="AC224" s="312">
        <f t="shared" si="637"/>
        <v>91.455932426660496</v>
      </c>
      <c r="AD224" s="312">
        <f t="shared" si="637"/>
        <v>90.250492514110078</v>
      </c>
      <c r="AE224" s="312">
        <f t="shared" si="637"/>
        <v>92.693996549442844</v>
      </c>
      <c r="AF224" s="312">
        <f t="shared" si="637"/>
        <v>90.393003747992154</v>
      </c>
      <c r="AG224" s="312">
        <f t="shared" si="637"/>
        <v>92.296177764083026</v>
      </c>
      <c r="AH224" s="312">
        <f t="shared" si="637"/>
        <v>91.816278957367473</v>
      </c>
      <c r="AI224" s="312">
        <f t="shared" si="637"/>
        <v>89.821451772581128</v>
      </c>
      <c r="AJ224" s="312">
        <f t="shared" si="637"/>
        <v>86.050412962800721</v>
      </c>
      <c r="AK224" s="312">
        <f t="shared" si="637"/>
        <v>88.816772109628289</v>
      </c>
      <c r="AL224" s="312">
        <f t="shared" si="637"/>
        <v>88.640042984126239</v>
      </c>
      <c r="AM224" s="312">
        <f t="shared" si="637"/>
        <v>90.547645717970752</v>
      </c>
      <c r="AN224" s="312">
        <f t="shared" ref="AN224:AP225" si="638">+AN183/AN$185*100</f>
        <v>87.488605584521864</v>
      </c>
      <c r="AO224" s="312">
        <f t="shared" si="638"/>
        <v>87.795461140241116</v>
      </c>
      <c r="AP224" s="312">
        <f t="shared" si="638"/>
        <v>86.826108859765455</v>
      </c>
      <c r="AQ224" s="312">
        <f t="shared" ref="AQ224:AR224" si="639">+AQ183/AQ$185*100</f>
        <v>87.949699078970127</v>
      </c>
      <c r="AR224" s="312">
        <f t="shared" si="639"/>
        <v>88.625200327864846</v>
      </c>
      <c r="AS224" s="312">
        <f t="shared" ref="AS224" si="640">+AS183/AS$185*100</f>
        <v>89.551857692255211</v>
      </c>
      <c r="AT224" s="312">
        <f t="shared" ref="AT224" si="641">+AT183/AT$185*100</f>
        <v>89.206300585017345</v>
      </c>
      <c r="AU224" s="312">
        <f t="shared" ref="AU224" si="642">+AU183/AU$185*100</f>
        <v>90.105457155682288</v>
      </c>
      <c r="AV224" s="708"/>
      <c r="AW224" s="697">
        <v>89.206300585017345</v>
      </c>
      <c r="AX224" s="38"/>
      <c r="AY224" s="38"/>
      <c r="AZ224" s="38"/>
      <c r="BA224" s="475"/>
      <c r="BB224" s="475"/>
      <c r="BC224" s="475"/>
      <c r="BD224" s="475"/>
      <c r="BE224" s="475"/>
      <c r="BF224" s="475"/>
      <c r="BG224" s="475"/>
    </row>
    <row r="225" spans="1:59">
      <c r="A225" s="46"/>
      <c r="B225" s="46" t="s">
        <v>1527</v>
      </c>
      <c r="C225" s="46"/>
      <c r="D225" s="46"/>
      <c r="E225" s="46"/>
      <c r="F225" s="46"/>
      <c r="G225" s="58"/>
      <c r="H225" s="46"/>
      <c r="I225" s="46"/>
      <c r="J225" s="58"/>
      <c r="K225" s="58"/>
      <c r="L225" s="46"/>
      <c r="M225" s="46"/>
      <c r="N225" s="46"/>
      <c r="O225" s="312" t="e">
        <f t="shared" ref="O225:V225" si="643">+(O212+O217)/O220*100</f>
        <v>#DIV/0!</v>
      </c>
      <c r="P225" s="312" t="e">
        <f t="shared" si="643"/>
        <v>#DIV/0!</v>
      </c>
      <c r="Q225" s="312" t="e">
        <f t="shared" si="643"/>
        <v>#DIV/0!</v>
      </c>
      <c r="R225" s="312" t="e">
        <f t="shared" si="643"/>
        <v>#DIV/0!</v>
      </c>
      <c r="S225" s="312" t="e">
        <f t="shared" si="643"/>
        <v>#DIV/0!</v>
      </c>
      <c r="T225" s="312" t="e">
        <f t="shared" si="643"/>
        <v>#DIV/0!</v>
      </c>
      <c r="U225" s="312" t="e">
        <f t="shared" si="643"/>
        <v>#DIV/0!</v>
      </c>
      <c r="V225" s="312" t="e">
        <f t="shared" si="643"/>
        <v>#DIV/0!</v>
      </c>
      <c r="W225" s="312">
        <f>+W184/W$185*100</f>
        <v>6.3526004207727871</v>
      </c>
      <c r="X225" s="312">
        <f t="shared" si="637"/>
        <v>7.4734717604846121</v>
      </c>
      <c r="Y225" s="312">
        <f t="shared" si="637"/>
        <v>7.5055818503761351</v>
      </c>
      <c r="Z225" s="312">
        <f t="shared" si="637"/>
        <v>7.9480748271897994</v>
      </c>
      <c r="AA225" s="312">
        <f t="shared" si="637"/>
        <v>6.759421460940775</v>
      </c>
      <c r="AB225" s="312">
        <f t="shared" si="637"/>
        <v>8.6576124979701721</v>
      </c>
      <c r="AC225" s="312">
        <f t="shared" si="637"/>
        <v>8.5440675733395075</v>
      </c>
      <c r="AD225" s="312">
        <f t="shared" si="637"/>
        <v>9.749507485889918</v>
      </c>
      <c r="AE225" s="312">
        <f t="shared" si="637"/>
        <v>7.3060034505571485</v>
      </c>
      <c r="AF225" s="312">
        <f t="shared" si="637"/>
        <v>9.6069962520078533</v>
      </c>
      <c r="AG225" s="312">
        <f t="shared" si="637"/>
        <v>7.7038222359169728</v>
      </c>
      <c r="AH225" s="312">
        <f t="shared" si="637"/>
        <v>8.1837210426325324</v>
      </c>
      <c r="AI225" s="312">
        <f t="shared" si="637"/>
        <v>10.178548227418874</v>
      </c>
      <c r="AJ225" s="312">
        <f t="shared" si="637"/>
        <v>13.949587037199271</v>
      </c>
      <c r="AK225" s="312">
        <f t="shared" si="637"/>
        <v>11.1832278903717</v>
      </c>
      <c r="AL225" s="312">
        <f t="shared" si="637"/>
        <v>11.359957015873757</v>
      </c>
      <c r="AM225" s="312">
        <f t="shared" si="637"/>
        <v>9.4523542820292494</v>
      </c>
      <c r="AN225" s="312">
        <f t="shared" ref="AN225:AO225" si="644">+AN184/AN$185*100</f>
        <v>12.511394415478136</v>
      </c>
      <c r="AO225" s="312">
        <f t="shared" si="644"/>
        <v>12.204538859758882</v>
      </c>
      <c r="AP225" s="312">
        <f t="shared" si="638"/>
        <v>13.17389114023455</v>
      </c>
      <c r="AQ225" s="312">
        <f t="shared" ref="AQ225:AR225" si="645">+AQ184/AQ$185*100</f>
        <v>12.050300921029862</v>
      </c>
      <c r="AR225" s="312">
        <f t="shared" si="645"/>
        <v>11.374799672135158</v>
      </c>
      <c r="AS225" s="312">
        <f t="shared" ref="AS225" si="646">+AS184/AS$185*100</f>
        <v>10.448142307744785</v>
      </c>
      <c r="AT225" s="312">
        <f t="shared" ref="AT225" si="647">+AT184/AT$185*100</f>
        <v>10.793699414982656</v>
      </c>
      <c r="AU225" s="312">
        <f t="shared" ref="AU225" si="648">+AU184/AU$185*100</f>
        <v>9.8945428443177121</v>
      </c>
      <c r="AV225" s="708"/>
      <c r="AW225" s="697">
        <v>10.793699414982656</v>
      </c>
      <c r="AX225" s="38"/>
      <c r="AY225" s="38"/>
      <c r="AZ225" s="38"/>
      <c r="BA225" s="475"/>
      <c r="BB225" s="475"/>
      <c r="BC225" s="475"/>
      <c r="BD225" s="475"/>
      <c r="BE225" s="475"/>
      <c r="BF225" s="475"/>
      <c r="BG225" s="475"/>
    </row>
    <row r="226" spans="1:59">
      <c r="A226" s="38"/>
      <c r="B226" s="38"/>
      <c r="C226" s="38"/>
      <c r="D226" s="38"/>
      <c r="E226" s="38"/>
      <c r="F226" s="38"/>
      <c r="G226" s="52"/>
      <c r="H226" s="38"/>
      <c r="I226" s="38"/>
      <c r="J226" s="52"/>
      <c r="K226" s="52"/>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c r="AL226" s="38"/>
      <c r="AM226" s="38"/>
      <c r="AN226" s="38"/>
      <c r="AO226" s="38"/>
      <c r="AP226" s="38"/>
      <c r="AQ226" s="38"/>
      <c r="AR226" s="38"/>
      <c r="AS226" s="38"/>
      <c r="AT226" s="38"/>
      <c r="AU226" s="38"/>
      <c r="AV226" s="708"/>
      <c r="AW226" s="697"/>
      <c r="AX226" s="38"/>
      <c r="AY226" s="38"/>
      <c r="AZ226" s="38"/>
      <c r="BA226" s="475"/>
      <c r="BB226" s="475"/>
      <c r="BC226" s="475"/>
      <c r="BD226" s="475"/>
      <c r="BE226" s="475"/>
      <c r="BF226" s="475"/>
      <c r="BG226" s="475"/>
    </row>
    <row r="227" spans="1:59">
      <c r="A227" s="13" t="s">
        <v>163</v>
      </c>
      <c r="B227" s="13" t="s">
        <v>2401</v>
      </c>
      <c r="C227" s="13"/>
      <c r="D227" s="13"/>
      <c r="E227" s="13"/>
      <c r="F227" s="13"/>
      <c r="G227" s="54"/>
      <c r="H227" s="13"/>
      <c r="I227" s="13"/>
      <c r="J227" s="54"/>
      <c r="K227" s="54"/>
      <c r="L227" s="13"/>
      <c r="M227" s="13"/>
      <c r="N227" s="13"/>
      <c r="O227" s="13"/>
      <c r="P227" s="13"/>
      <c r="Q227" s="13"/>
      <c r="R227" s="13"/>
      <c r="S227" s="13"/>
      <c r="T227" s="13"/>
      <c r="U227" s="13"/>
      <c r="V227" s="13"/>
      <c r="W227" s="13"/>
      <c r="X227" s="13"/>
      <c r="Y227" s="13"/>
      <c r="Z227" s="13"/>
      <c r="AA227" s="13"/>
      <c r="AB227" s="13"/>
      <c r="AC227" s="13"/>
      <c r="AD227" s="13"/>
      <c r="AE227" s="13"/>
      <c r="AF227" s="13"/>
      <c r="AG227" s="13"/>
      <c r="AH227" s="13"/>
      <c r="AI227" s="13"/>
      <c r="AJ227" s="13"/>
      <c r="AK227" s="13"/>
      <c r="AL227" s="13"/>
      <c r="AM227" s="13"/>
      <c r="AN227" s="13"/>
      <c r="AO227" s="13"/>
      <c r="AP227" s="13"/>
      <c r="AQ227" s="13"/>
      <c r="AR227" s="13"/>
      <c r="AS227" s="13"/>
      <c r="AT227" s="13"/>
      <c r="AU227" s="13"/>
      <c r="AV227" s="708"/>
      <c r="AW227" s="697"/>
      <c r="AX227" s="38"/>
      <c r="AY227" s="38"/>
      <c r="AZ227" s="38"/>
      <c r="BA227" s="475"/>
      <c r="BB227" s="475"/>
      <c r="BC227" s="475"/>
      <c r="BD227" s="475"/>
      <c r="BE227" s="475"/>
      <c r="BF227" s="475"/>
      <c r="BG227" s="475"/>
    </row>
    <row r="228" spans="1:59">
      <c r="A228" s="46"/>
      <c r="B228" s="714" t="s">
        <v>744</v>
      </c>
      <c r="C228" s="486"/>
      <c r="D228" s="486"/>
      <c r="E228" s="486"/>
      <c r="F228" s="46"/>
      <c r="G228" s="58"/>
      <c r="H228" s="46"/>
      <c r="I228" s="46"/>
      <c r="J228" s="58"/>
      <c r="K228" s="58"/>
      <c r="L228" s="46"/>
      <c r="M228" s="46"/>
      <c r="N228" s="46"/>
      <c r="O228" s="312">
        <f t="shared" ref="O228:V228" si="649">+O192/O$183*100</f>
        <v>164.93769579458257</v>
      </c>
      <c r="P228" s="312">
        <f t="shared" si="649"/>
        <v>165.40152644876542</v>
      </c>
      <c r="Q228" s="312">
        <f t="shared" si="649"/>
        <v>165.59349237235887</v>
      </c>
      <c r="R228" s="312">
        <f t="shared" si="649"/>
        <v>146.94555108366757</v>
      </c>
      <c r="S228" s="312">
        <f t="shared" si="649"/>
        <v>163.95239462440222</v>
      </c>
      <c r="T228" s="312">
        <f t="shared" si="649"/>
        <v>158.08314504824125</v>
      </c>
      <c r="U228" s="312">
        <f t="shared" si="649"/>
        <v>158.03805056043808</v>
      </c>
      <c r="V228" s="312">
        <f t="shared" si="649"/>
        <v>153.6234468638234</v>
      </c>
      <c r="W228" s="312">
        <f>W183/(W$183+W$188)*100</f>
        <v>64.709886035254129</v>
      </c>
      <c r="X228" s="312">
        <f t="shared" ref="X228:AM228" si="650">X183/(X$183+X$188)*100</f>
        <v>66.656118944233242</v>
      </c>
      <c r="Y228" s="312">
        <f t="shared" si="650"/>
        <v>67.860546350198121</v>
      </c>
      <c r="Z228" s="312">
        <f t="shared" si="650"/>
        <v>68.713870980324415</v>
      </c>
      <c r="AA228" s="312">
        <f t="shared" si="650"/>
        <v>62.942654507374648</v>
      </c>
      <c r="AB228" s="312">
        <f t="shared" si="650"/>
        <v>64.820726227862707</v>
      </c>
      <c r="AC228" s="312">
        <f t="shared" si="650"/>
        <v>69.688618783858175</v>
      </c>
      <c r="AD228" s="312">
        <f t="shared" si="650"/>
        <v>64.692026372481052</v>
      </c>
      <c r="AE228" s="312">
        <f t="shared" si="650"/>
        <v>66.459842516023343</v>
      </c>
      <c r="AF228" s="312">
        <f t="shared" si="650"/>
        <v>59.634753735473154</v>
      </c>
      <c r="AG228" s="312">
        <f t="shared" si="650"/>
        <v>59.389233173101296</v>
      </c>
      <c r="AH228" s="312">
        <f t="shared" si="650"/>
        <v>59.848223232774863</v>
      </c>
      <c r="AI228" s="312">
        <f t="shared" si="650"/>
        <v>56.105219361313495</v>
      </c>
      <c r="AJ228" s="312">
        <f t="shared" si="650"/>
        <v>51.342874905605605</v>
      </c>
      <c r="AK228" s="312">
        <f t="shared" si="650"/>
        <v>51.928401711505337</v>
      </c>
      <c r="AL228" s="312">
        <f t="shared" si="650"/>
        <v>56.382537680041722</v>
      </c>
      <c r="AM228" s="312">
        <f t="shared" si="650"/>
        <v>55.50714950841774</v>
      </c>
      <c r="AN228" s="312">
        <f t="shared" ref="AN228:AP228" si="651">AN183/(AN$183+AN$188)*100</f>
        <v>51.968946857314336</v>
      </c>
      <c r="AO228" s="312">
        <f t="shared" si="651"/>
        <v>57.411944148000792</v>
      </c>
      <c r="AP228" s="312">
        <f t="shared" si="651"/>
        <v>62.295689751399273</v>
      </c>
      <c r="AQ228" s="312">
        <f t="shared" ref="AQ228:AR228" si="652">AQ183/(AQ$183+AQ$188)*100</f>
        <v>62.905998578861713</v>
      </c>
      <c r="AR228" s="312">
        <f t="shared" si="652"/>
        <v>64.579447167082307</v>
      </c>
      <c r="AS228" s="312">
        <f t="shared" ref="AS228" si="653">AS183/(AS$183+AS$188)*100</f>
        <v>61.3419123292134</v>
      </c>
      <c r="AT228" s="312">
        <f t="shared" ref="AT228" si="654">AT183/(AT$183+AT$188)*100</f>
        <v>58.991294077033793</v>
      </c>
      <c r="AU228" s="312">
        <f t="shared" ref="AU228" si="655">AU183/(AU$183+AU$188)*100</f>
        <v>58.185602553870709</v>
      </c>
      <c r="AV228" s="708"/>
      <c r="AW228" s="697">
        <v>58.991294077033793</v>
      </c>
      <c r="AX228" s="38"/>
      <c r="AY228" s="38"/>
      <c r="AZ228" s="38"/>
      <c r="BA228" s="475"/>
      <c r="BB228" s="475"/>
      <c r="BC228" s="475"/>
      <c r="BD228" s="475"/>
      <c r="BE228" s="475"/>
      <c r="BF228" s="475"/>
      <c r="BG228" s="475"/>
    </row>
    <row r="229" spans="1:59">
      <c r="A229" s="46"/>
      <c r="B229" s="714" t="s">
        <v>587</v>
      </c>
      <c r="C229" s="486"/>
      <c r="D229" s="486"/>
      <c r="E229" s="486"/>
      <c r="F229" s="46"/>
      <c r="G229" s="58"/>
      <c r="H229" s="46"/>
      <c r="I229" s="46"/>
      <c r="J229" s="58"/>
      <c r="K229" s="58"/>
      <c r="L229" s="46"/>
      <c r="M229" s="46"/>
      <c r="N229" s="46"/>
      <c r="O229" s="312">
        <f t="shared" ref="O229:V229" si="656">+O200/O$183*100</f>
        <v>0</v>
      </c>
      <c r="P229" s="312">
        <f t="shared" si="656"/>
        <v>0</v>
      </c>
      <c r="Q229" s="312">
        <f t="shared" si="656"/>
        <v>0</v>
      </c>
      <c r="R229" s="312">
        <f t="shared" si="656"/>
        <v>0</v>
      </c>
      <c r="S229" s="312">
        <f t="shared" si="656"/>
        <v>0</v>
      </c>
      <c r="T229" s="312">
        <f t="shared" si="656"/>
        <v>0</v>
      </c>
      <c r="U229" s="312">
        <f t="shared" si="656"/>
        <v>0</v>
      </c>
      <c r="V229" s="312">
        <f t="shared" si="656"/>
        <v>0</v>
      </c>
      <c r="W229" s="312">
        <f>W188/(W$183+W$188)*100</f>
        <v>35.290113964745871</v>
      </c>
      <c r="X229" s="312">
        <f t="shared" ref="X229:AM229" si="657">X188/(X$183+X$188)*100</f>
        <v>33.343881055766758</v>
      </c>
      <c r="Y229" s="312">
        <f t="shared" si="657"/>
        <v>32.139453649801879</v>
      </c>
      <c r="Z229" s="312">
        <f t="shared" si="657"/>
        <v>31.286129019675585</v>
      </c>
      <c r="AA229" s="312">
        <f t="shared" si="657"/>
        <v>37.057345492625352</v>
      </c>
      <c r="AB229" s="312">
        <f t="shared" si="657"/>
        <v>35.179273772137286</v>
      </c>
      <c r="AC229" s="312">
        <f t="shared" si="657"/>
        <v>30.311381216141818</v>
      </c>
      <c r="AD229" s="312">
        <f t="shared" si="657"/>
        <v>35.307973627518955</v>
      </c>
      <c r="AE229" s="312">
        <f t="shared" si="657"/>
        <v>33.54015748397665</v>
      </c>
      <c r="AF229" s="312">
        <f t="shared" si="657"/>
        <v>40.365246264526839</v>
      </c>
      <c r="AG229" s="312">
        <f t="shared" si="657"/>
        <v>40.610766826898704</v>
      </c>
      <c r="AH229" s="312">
        <f t="shared" si="657"/>
        <v>40.151776767225137</v>
      </c>
      <c r="AI229" s="312">
        <f t="shared" si="657"/>
        <v>43.894780638686512</v>
      </c>
      <c r="AJ229" s="312">
        <f t="shared" si="657"/>
        <v>48.657125094394395</v>
      </c>
      <c r="AK229" s="312">
        <f t="shared" si="657"/>
        <v>48.07159828849467</v>
      </c>
      <c r="AL229" s="312">
        <f t="shared" si="657"/>
        <v>43.617462319958271</v>
      </c>
      <c r="AM229" s="312">
        <f t="shared" si="657"/>
        <v>44.49285049158226</v>
      </c>
      <c r="AN229" s="312">
        <f t="shared" ref="AN229:AP229" si="658">AN188/(AN$183+AN$188)*100</f>
        <v>48.031053142685671</v>
      </c>
      <c r="AO229" s="312">
        <f t="shared" si="658"/>
        <v>42.588055851999215</v>
      </c>
      <c r="AP229" s="312">
        <f t="shared" si="658"/>
        <v>37.704310248600727</v>
      </c>
      <c r="AQ229" s="312">
        <f t="shared" ref="AQ229:AR229" si="659">AQ188/(AQ$183+AQ$188)*100</f>
        <v>37.094001421138287</v>
      </c>
      <c r="AR229" s="312">
        <f t="shared" si="659"/>
        <v>35.420552832917693</v>
      </c>
      <c r="AS229" s="312">
        <f t="shared" ref="AS229" si="660">AS188/(AS$183+AS$188)*100</f>
        <v>38.658087670786593</v>
      </c>
      <c r="AT229" s="312">
        <f t="shared" ref="AT229" si="661">AT188/(AT$183+AT$188)*100</f>
        <v>41.008705922966207</v>
      </c>
      <c r="AU229" s="312">
        <f t="shared" ref="AU229" si="662">AU188/(AU$183+AU$188)*100</f>
        <v>41.814397446129291</v>
      </c>
      <c r="AV229" s="708"/>
      <c r="AW229" s="697">
        <v>41.008705922966207</v>
      </c>
      <c r="AX229" s="38"/>
      <c r="AY229" s="38"/>
      <c r="AZ229" s="38"/>
      <c r="BA229" s="475"/>
      <c r="BB229" s="475"/>
      <c r="BC229" s="475"/>
      <c r="BD229" s="475"/>
      <c r="BE229" s="475"/>
      <c r="BF229" s="475"/>
      <c r="BG229" s="475"/>
    </row>
    <row r="230" spans="1:59">
      <c r="A230" s="46"/>
      <c r="B230" s="46"/>
      <c r="C230" s="486"/>
      <c r="D230" s="486"/>
      <c r="E230" s="486"/>
      <c r="F230" s="46"/>
      <c r="G230" s="58"/>
      <c r="H230" s="46"/>
      <c r="I230" s="46"/>
      <c r="J230" s="58"/>
      <c r="K230" s="58"/>
      <c r="L230" s="46"/>
      <c r="M230" s="46"/>
      <c r="N230" s="46"/>
      <c r="O230" s="312">
        <f t="shared" ref="O230:V230" si="663">+O204/O$183*100</f>
        <v>0</v>
      </c>
      <c r="P230" s="312">
        <f t="shared" si="663"/>
        <v>0</v>
      </c>
      <c r="Q230" s="312">
        <f t="shared" si="663"/>
        <v>0</v>
      </c>
      <c r="R230" s="312">
        <f t="shared" si="663"/>
        <v>0</v>
      </c>
      <c r="S230" s="312">
        <f t="shared" si="663"/>
        <v>0</v>
      </c>
      <c r="T230" s="312">
        <f t="shared" si="663"/>
        <v>0</v>
      </c>
      <c r="U230" s="312">
        <f t="shared" si="663"/>
        <v>0</v>
      </c>
      <c r="V230" s="312">
        <f t="shared" si="663"/>
        <v>0</v>
      </c>
      <c r="W230" s="312"/>
      <c r="X230" s="312"/>
      <c r="Y230" s="312"/>
      <c r="Z230" s="312"/>
      <c r="AA230" s="312"/>
      <c r="AB230" s="312"/>
      <c r="AC230" s="312"/>
      <c r="AD230" s="312"/>
      <c r="AE230" s="312"/>
      <c r="AF230" s="312"/>
      <c r="AG230" s="312"/>
      <c r="AH230" s="312"/>
      <c r="AI230" s="312"/>
      <c r="AJ230" s="312"/>
      <c r="AK230" s="312"/>
      <c r="AL230" s="312"/>
      <c r="AM230" s="312"/>
      <c r="AN230" s="312"/>
      <c r="AO230" s="312"/>
      <c r="AP230" s="312"/>
      <c r="AQ230" s="312"/>
      <c r="AR230" s="312"/>
      <c r="AS230" s="312"/>
      <c r="AT230" s="312"/>
      <c r="AU230" s="312"/>
      <c r="AV230" s="708"/>
      <c r="AW230" s="697"/>
      <c r="AX230" s="38"/>
      <c r="AY230" s="38"/>
      <c r="AZ230" s="38"/>
      <c r="BA230" s="475"/>
      <c r="BB230" s="475"/>
      <c r="BC230" s="475"/>
      <c r="BD230" s="475"/>
      <c r="BE230" s="475"/>
      <c r="BF230" s="475"/>
      <c r="BG230" s="475"/>
    </row>
    <row r="231" spans="1:59">
      <c r="A231" s="13" t="s">
        <v>163</v>
      </c>
      <c r="B231" s="13" t="s">
        <v>1975</v>
      </c>
      <c r="C231" s="502"/>
      <c r="D231" s="502"/>
      <c r="E231" s="502"/>
      <c r="F231" s="503"/>
      <c r="G231" s="504"/>
      <c r="H231" s="503"/>
      <c r="I231" s="503"/>
      <c r="J231" s="504"/>
      <c r="K231" s="504"/>
      <c r="L231" s="503"/>
      <c r="M231" s="503"/>
      <c r="N231" s="503"/>
      <c r="O231" s="505"/>
      <c r="P231" s="505"/>
      <c r="Q231" s="505"/>
      <c r="R231" s="312"/>
      <c r="S231" s="312"/>
      <c r="T231" s="312"/>
      <c r="U231" s="312"/>
      <c r="V231" s="312"/>
      <c r="W231" s="312"/>
      <c r="X231" s="312"/>
      <c r="Y231" s="312"/>
      <c r="Z231" s="312"/>
      <c r="AA231" s="312"/>
      <c r="AB231" s="312"/>
      <c r="AC231" s="312"/>
      <c r="AD231" s="312"/>
      <c r="AE231" s="312"/>
      <c r="AF231" s="312"/>
      <c r="AG231" s="312"/>
      <c r="AH231" s="312"/>
      <c r="AI231" s="312"/>
      <c r="AJ231" s="312"/>
      <c r="AK231" s="312"/>
      <c r="AL231" s="312"/>
      <c r="AM231" s="312"/>
      <c r="AN231" s="312"/>
      <c r="AO231" s="312"/>
      <c r="AP231" s="312"/>
      <c r="AQ231" s="312"/>
      <c r="AR231" s="312"/>
      <c r="AS231" s="312"/>
      <c r="AT231" s="312"/>
      <c r="AU231" s="312"/>
      <c r="AV231" s="708"/>
      <c r="AW231" s="697"/>
      <c r="AX231" s="38"/>
      <c r="AY231" s="38"/>
      <c r="AZ231" s="38"/>
      <c r="BA231" s="475"/>
      <c r="BB231" s="475"/>
      <c r="BC231" s="475"/>
      <c r="BD231" s="475"/>
      <c r="BE231" s="475"/>
      <c r="BF231" s="475"/>
      <c r="BG231" s="475"/>
    </row>
    <row r="232" spans="1:59">
      <c r="A232" s="46"/>
      <c r="B232" s="46" t="s">
        <v>744</v>
      </c>
      <c r="C232" s="502"/>
      <c r="D232" s="502"/>
      <c r="E232" s="502"/>
      <c r="F232" s="503"/>
      <c r="G232" s="504"/>
      <c r="H232" s="503"/>
      <c r="I232" s="503"/>
      <c r="J232" s="504"/>
      <c r="K232" s="504"/>
      <c r="L232" s="503"/>
      <c r="M232" s="503"/>
      <c r="N232" s="503"/>
      <c r="O232" s="505"/>
      <c r="P232" s="505"/>
      <c r="Q232" s="505"/>
      <c r="R232" s="312"/>
      <c r="S232" s="312" t="e">
        <f>S208/S209*100</f>
        <v>#DIV/0!</v>
      </c>
      <c r="T232" s="312" t="e">
        <f>T208/T209*100</f>
        <v>#DIV/0!</v>
      </c>
      <c r="U232" s="312" t="e">
        <f>U208/U209*100</f>
        <v>#DIV/0!</v>
      </c>
      <c r="V232" s="312" t="e">
        <f>V208/V209*100</f>
        <v>#DIV/0!</v>
      </c>
      <c r="W232" s="312">
        <f>W184/(W$184+W$189)*100</f>
        <v>32.579143676212205</v>
      </c>
      <c r="X232" s="312">
        <f t="shared" ref="X232:AM232" si="664">X184/(X$184+X$189)*100</f>
        <v>40.453282643661353</v>
      </c>
      <c r="Y232" s="312">
        <f t="shared" si="664"/>
        <v>40.510676654337487</v>
      </c>
      <c r="Z232" s="312">
        <f t="shared" si="664"/>
        <v>44.394132706243383</v>
      </c>
      <c r="AA232" s="312">
        <f t="shared" si="664"/>
        <v>46.536513471997345</v>
      </c>
      <c r="AB232" s="312">
        <f t="shared" si="664"/>
        <v>47.269729210168705</v>
      </c>
      <c r="AC232" s="312">
        <f t="shared" si="664"/>
        <v>45.386561868276338</v>
      </c>
      <c r="AD232" s="312">
        <f t="shared" si="664"/>
        <v>49.428616090894877</v>
      </c>
      <c r="AE232" s="312">
        <f t="shared" si="664"/>
        <v>37.823612370303209</v>
      </c>
      <c r="AF232" s="312">
        <f t="shared" si="664"/>
        <v>48.04355587290253</v>
      </c>
      <c r="AG232" s="312">
        <f t="shared" si="664"/>
        <v>41.504824606910084</v>
      </c>
      <c r="AH232" s="312">
        <f t="shared" si="664"/>
        <v>39.843969192060889</v>
      </c>
      <c r="AI232" s="312">
        <f t="shared" si="664"/>
        <v>48.975099496354737</v>
      </c>
      <c r="AJ232" s="312">
        <f t="shared" si="664"/>
        <v>47.841512762978731</v>
      </c>
      <c r="AK232" s="312">
        <f t="shared" si="664"/>
        <v>39.634618695128246</v>
      </c>
      <c r="AL232" s="312">
        <f t="shared" si="664"/>
        <v>44.328167730173199</v>
      </c>
      <c r="AM232" s="312">
        <f t="shared" si="664"/>
        <v>36.804940708593989</v>
      </c>
      <c r="AN232" s="312">
        <f t="shared" ref="AN232:AP232" si="665">AN184/(AN$184+AN$189)*100</f>
        <v>43.72471481898905</v>
      </c>
      <c r="AO232" s="312">
        <f t="shared" si="665"/>
        <v>53.211600602754295</v>
      </c>
      <c r="AP232" s="312">
        <f t="shared" si="665"/>
        <v>59.304313025788112</v>
      </c>
      <c r="AQ232" s="312">
        <f t="shared" ref="AQ232:AR232" si="666">AQ184/(AQ$184+AQ$189)*100</f>
        <v>61.545260366796782</v>
      </c>
      <c r="AR232" s="312">
        <f t="shared" si="666"/>
        <v>55.290602166043513</v>
      </c>
      <c r="AS232" s="312">
        <f t="shared" ref="AS232" si="667">AS184/(AS$184+AS$189)*100</f>
        <v>52.200927116201157</v>
      </c>
      <c r="AT232" s="312">
        <f t="shared" ref="AT232" si="668">AT184/(AT$184+AT$189)*100</f>
        <v>57.772774506408034</v>
      </c>
      <c r="AU232" s="312">
        <f t="shared" ref="AU232" si="669">AU184/(AU$184+AU$189)*100</f>
        <v>57.772774506408034</v>
      </c>
      <c r="AV232" s="708"/>
      <c r="AW232" s="697">
        <v>57.772774506408034</v>
      </c>
      <c r="AX232" s="38"/>
      <c r="AY232" s="38"/>
      <c r="AZ232" s="38"/>
      <c r="BA232" s="475"/>
      <c r="BB232" s="475"/>
      <c r="BC232" s="475"/>
      <c r="BD232" s="475"/>
      <c r="BE232" s="475"/>
      <c r="BF232" s="475"/>
      <c r="BG232" s="475"/>
    </row>
    <row r="233" spans="1:59">
      <c r="A233" s="46"/>
      <c r="B233" s="46" t="s">
        <v>587</v>
      </c>
      <c r="C233" s="502"/>
      <c r="D233" s="502"/>
      <c r="E233" s="502"/>
      <c r="F233" s="503"/>
      <c r="G233" s="504"/>
      <c r="H233" s="503"/>
      <c r="I233" s="503"/>
      <c r="J233" s="504"/>
      <c r="K233" s="504"/>
      <c r="L233" s="503"/>
      <c r="M233" s="503"/>
      <c r="N233" s="503"/>
      <c r="O233" s="505"/>
      <c r="P233" s="505"/>
      <c r="Q233" s="505"/>
      <c r="R233" s="312"/>
      <c r="S233" s="312">
        <f>S213/S214*100</f>
        <v>1070426.8603604068</v>
      </c>
      <c r="T233" s="312">
        <f>T213/T214*100</f>
        <v>971810.51447787264</v>
      </c>
      <c r="U233" s="312">
        <f>U213/U214*100</f>
        <v>624459.96610384365</v>
      </c>
      <c r="V233" s="312">
        <f>V213/V214*100</f>
        <v>605820.10151513119</v>
      </c>
      <c r="W233" s="312">
        <f>W189/(W$184+W$189)*100</f>
        <v>67.420856323787802</v>
      </c>
      <c r="X233" s="312">
        <f t="shared" ref="X233:AM233" si="670">X189/(X$184+X$189)*100</f>
        <v>59.54671735633864</v>
      </c>
      <c r="Y233" s="312">
        <f t="shared" si="670"/>
        <v>59.489323345662513</v>
      </c>
      <c r="Z233" s="312">
        <f t="shared" si="670"/>
        <v>55.605867293756617</v>
      </c>
      <c r="AA233" s="312">
        <f t="shared" si="670"/>
        <v>53.463486528002655</v>
      </c>
      <c r="AB233" s="312">
        <f t="shared" si="670"/>
        <v>52.730270789831287</v>
      </c>
      <c r="AC233" s="312">
        <f t="shared" si="670"/>
        <v>54.613438131723655</v>
      </c>
      <c r="AD233" s="312">
        <f t="shared" si="670"/>
        <v>50.571383909105116</v>
      </c>
      <c r="AE233" s="312">
        <f t="shared" si="670"/>
        <v>62.176387629696784</v>
      </c>
      <c r="AF233" s="312">
        <f t="shared" si="670"/>
        <v>51.95644412709747</v>
      </c>
      <c r="AG233" s="312">
        <f t="shared" si="670"/>
        <v>58.495175393089916</v>
      </c>
      <c r="AH233" s="312">
        <f t="shared" si="670"/>
        <v>60.156030807939111</v>
      </c>
      <c r="AI233" s="312">
        <f t="shared" si="670"/>
        <v>51.024900503645263</v>
      </c>
      <c r="AJ233" s="312">
        <f t="shared" si="670"/>
        <v>52.158487237021269</v>
      </c>
      <c r="AK233" s="312">
        <f t="shared" si="670"/>
        <v>60.365381304871747</v>
      </c>
      <c r="AL233" s="312">
        <f t="shared" si="670"/>
        <v>55.671832269826801</v>
      </c>
      <c r="AM233" s="312">
        <f t="shared" si="670"/>
        <v>63.195059291406011</v>
      </c>
      <c r="AN233" s="312">
        <f t="shared" ref="AN233:AP233" si="671">AN189/(AN$184+AN$189)*100</f>
        <v>56.27528518101095</v>
      </c>
      <c r="AO233" s="312">
        <f t="shared" si="671"/>
        <v>46.788399397245698</v>
      </c>
      <c r="AP233" s="312">
        <f t="shared" si="671"/>
        <v>40.695686974211895</v>
      </c>
      <c r="AQ233" s="312">
        <f t="shared" ref="AQ233:AR233" si="672">AQ189/(AQ$184+AQ$189)*100</f>
        <v>38.454739633203211</v>
      </c>
      <c r="AR233" s="312">
        <f t="shared" si="672"/>
        <v>44.709397833956487</v>
      </c>
      <c r="AS233" s="312">
        <f t="shared" ref="AS233" si="673">AS189/(AS$184+AS$189)*100</f>
        <v>47.799072883798836</v>
      </c>
      <c r="AT233" s="312">
        <f t="shared" ref="AT233" si="674">AT189/(AT$184+AT$189)*100</f>
        <v>42.227225493591966</v>
      </c>
      <c r="AU233" s="312">
        <f t="shared" ref="AU233" si="675">AU189/(AU$184+AU$189)*100</f>
        <v>42.227225493591966</v>
      </c>
      <c r="AV233" s="708"/>
      <c r="AW233" s="697">
        <v>42.227225493591966</v>
      </c>
      <c r="AX233" s="38"/>
      <c r="AY233" s="38"/>
      <c r="AZ233" s="38"/>
      <c r="BA233" s="475"/>
      <c r="BB233" s="475"/>
      <c r="BC233" s="475"/>
      <c r="BD233" s="475"/>
      <c r="BE233" s="475"/>
      <c r="BF233" s="475"/>
      <c r="BG233" s="475"/>
    </row>
    <row r="234" spans="1:59">
      <c r="A234" s="46"/>
      <c r="B234" s="714"/>
      <c r="C234" s="502"/>
      <c r="D234" s="502"/>
      <c r="E234" s="502"/>
      <c r="F234" s="503"/>
      <c r="G234" s="504"/>
      <c r="H234" s="503"/>
      <c r="I234" s="503"/>
      <c r="J234" s="504"/>
      <c r="K234" s="504"/>
      <c r="L234" s="503"/>
      <c r="M234" s="503"/>
      <c r="N234" s="503"/>
      <c r="O234" s="505"/>
      <c r="P234" s="505"/>
      <c r="Q234" s="505"/>
      <c r="R234" s="312"/>
      <c r="S234" s="312"/>
      <c r="T234" s="312"/>
      <c r="U234" s="312"/>
      <c r="V234" s="312"/>
      <c r="W234" s="312"/>
      <c r="X234" s="312"/>
      <c r="Y234" s="312"/>
      <c r="Z234" s="312"/>
      <c r="AA234" s="312"/>
      <c r="AB234" s="312"/>
      <c r="AC234" s="312"/>
      <c r="AD234" s="312"/>
      <c r="AE234" s="312"/>
      <c r="AF234" s="312"/>
      <c r="AG234" s="312"/>
      <c r="AH234" s="312"/>
      <c r="AI234" s="312"/>
      <c r="AJ234" s="312"/>
      <c r="AK234" s="312"/>
      <c r="AL234" s="312"/>
      <c r="AM234" s="312"/>
      <c r="AN234" s="312"/>
      <c r="AO234" s="312"/>
      <c r="AP234" s="312"/>
      <c r="AQ234" s="312"/>
      <c r="AR234" s="312"/>
      <c r="AS234" s="312"/>
      <c r="AT234" s="312"/>
      <c r="AU234" s="312"/>
      <c r="AV234" s="708"/>
      <c r="AW234" s="697"/>
      <c r="AX234" s="38"/>
      <c r="AY234" s="38"/>
      <c r="AZ234" s="38"/>
      <c r="BA234" s="475"/>
      <c r="BB234" s="475"/>
      <c r="BC234" s="475"/>
      <c r="BD234" s="475"/>
      <c r="BE234" s="475"/>
      <c r="BF234" s="475"/>
      <c r="BG234" s="475"/>
    </row>
    <row r="235" spans="1:59" ht="15">
      <c r="A235" s="182"/>
      <c r="B235" s="721"/>
      <c r="C235" s="523"/>
      <c r="D235" s="523"/>
      <c r="E235" s="523"/>
      <c r="F235" s="523"/>
      <c r="G235" s="501"/>
      <c r="H235" s="47"/>
      <c r="I235" s="47"/>
      <c r="J235" s="501"/>
      <c r="K235" s="501"/>
      <c r="L235" s="47"/>
      <c r="M235" s="47"/>
      <c r="N235" s="47"/>
      <c r="O235" s="47"/>
      <c r="P235" s="47"/>
      <c r="Q235" s="47"/>
      <c r="R235" s="47"/>
      <c r="S235" s="47"/>
      <c r="T235" s="47"/>
      <c r="U235" s="47"/>
      <c r="V235" s="47"/>
      <c r="W235" s="47"/>
      <c r="X235" s="47"/>
      <c r="Y235" s="47"/>
      <c r="Z235" s="47"/>
      <c r="AA235" s="47"/>
      <c r="AB235" s="47"/>
      <c r="AC235" s="47"/>
      <c r="AD235" s="47"/>
      <c r="AE235" s="47"/>
      <c r="AF235" s="47"/>
      <c r="AG235" s="707"/>
      <c r="AH235" s="709"/>
      <c r="AI235" s="710"/>
      <c r="AJ235" s="710"/>
      <c r="AK235" s="710"/>
      <c r="AL235" s="711"/>
      <c r="AM235" s="711"/>
      <c r="AN235" s="711"/>
      <c r="AO235" s="711"/>
      <c r="AP235" s="711"/>
      <c r="AQ235" s="711"/>
      <c r="AR235" s="711"/>
      <c r="AS235" s="711"/>
      <c r="AT235" s="711"/>
      <c r="AU235" s="711"/>
      <c r="AV235" s="708"/>
      <c r="AW235" s="697"/>
      <c r="AX235" s="38"/>
      <c r="AY235" s="38"/>
      <c r="AZ235" s="38"/>
      <c r="BA235" s="475"/>
      <c r="BB235" s="475"/>
      <c r="BC235" s="475"/>
      <c r="BD235" s="475"/>
      <c r="BE235" s="475"/>
      <c r="BF235" s="475"/>
      <c r="BG235" s="475"/>
    </row>
    <row r="236" spans="1:59">
      <c r="A236" s="182"/>
      <c r="B236" s="721"/>
      <c r="C236" s="523"/>
      <c r="D236" s="523"/>
      <c r="E236" s="523"/>
      <c r="F236" s="523"/>
      <c r="G236" s="501"/>
      <c r="H236" s="47"/>
      <c r="I236" s="47"/>
      <c r="J236" s="501"/>
      <c r="K236" s="501"/>
      <c r="L236" s="47"/>
      <c r="M236" s="47"/>
      <c r="N236" s="47"/>
      <c r="O236" s="47"/>
      <c r="P236" s="47"/>
      <c r="Q236" s="47"/>
      <c r="R236" s="47"/>
      <c r="S236" s="47"/>
      <c r="T236" s="47"/>
      <c r="U236" s="47"/>
      <c r="V236" s="47"/>
      <c r="W236" s="711">
        <f t="shared" ref="W236:AN236" si="676">+W224%*50000+W225%*140000</f>
        <v>55717.340378695502</v>
      </c>
      <c r="X236" s="711">
        <f t="shared" si="676"/>
        <v>56726.124584436147</v>
      </c>
      <c r="Y236" s="711">
        <f t="shared" si="676"/>
        <v>56755.023665338522</v>
      </c>
      <c r="Z236" s="711">
        <f t="shared" si="676"/>
        <v>57153.26734447082</v>
      </c>
      <c r="AA236" s="711">
        <f t="shared" si="676"/>
        <v>56083.479314846692</v>
      </c>
      <c r="AB236" s="711">
        <f t="shared" si="676"/>
        <v>57791.85124817316</v>
      </c>
      <c r="AC236" s="711">
        <f t="shared" si="676"/>
        <v>57689.660816005562</v>
      </c>
      <c r="AD236" s="711">
        <f t="shared" si="676"/>
        <v>58774.556737300925</v>
      </c>
      <c r="AE236" s="711">
        <f t="shared" si="676"/>
        <v>56575.403105501435</v>
      </c>
      <c r="AF236" s="711">
        <f t="shared" si="676"/>
        <v>58646.296626807067</v>
      </c>
      <c r="AG236" s="711">
        <f t="shared" si="676"/>
        <v>56933.440012325271</v>
      </c>
      <c r="AH236" s="711">
        <f t="shared" si="676"/>
        <v>57365.348938369279</v>
      </c>
      <c r="AI236" s="711">
        <f t="shared" si="676"/>
        <v>59160.693404676989</v>
      </c>
      <c r="AJ236" s="711">
        <f t="shared" si="676"/>
        <v>62554.628333479341</v>
      </c>
      <c r="AK236" s="711">
        <f t="shared" si="676"/>
        <v>60064.905101334516</v>
      </c>
      <c r="AL236" s="711">
        <f t="shared" si="676"/>
        <v>60223.961314286382</v>
      </c>
      <c r="AM236" s="711">
        <f t="shared" si="676"/>
        <v>58507.118853826323</v>
      </c>
      <c r="AN236" s="711">
        <f t="shared" si="676"/>
        <v>61260.254973930321</v>
      </c>
      <c r="AO236" s="711">
        <f t="shared" ref="AO236:AP236" si="677">+AO224%*50000+AO225%*140000</f>
        <v>60984.084973782985</v>
      </c>
      <c r="AP236" s="711">
        <f t="shared" si="677"/>
        <v>61856.502026211092</v>
      </c>
      <c r="AQ236" s="711">
        <f t="shared" ref="AQ236:AR236" si="678">+AQ224%*50000+AQ225%*140000</f>
        <v>60845.270828926863</v>
      </c>
      <c r="AR236" s="711">
        <f t="shared" si="678"/>
        <v>60237.319704921647</v>
      </c>
      <c r="AS236" s="711">
        <f t="shared" ref="AS236" si="679">+AS224%*50000+AS225%*140000</f>
        <v>59403.328076970305</v>
      </c>
      <c r="AT236" s="711">
        <f t="shared" ref="AT236" si="680">+AT224%*50000+AT225%*140000</f>
        <v>59714.329473484395</v>
      </c>
      <c r="AU236" s="711">
        <f t="shared" ref="AU236" si="681">+AU224%*50000+AU225%*140000</f>
        <v>58905.088559885946</v>
      </c>
      <c r="AV236" s="708"/>
      <c r="AW236" s="697">
        <v>59714.329473484395</v>
      </c>
      <c r="AX236" s="38"/>
      <c r="AY236" s="38"/>
      <c r="AZ236" s="38"/>
      <c r="BA236" s="475"/>
      <c r="BB236" s="475"/>
      <c r="BC236" s="475"/>
      <c r="BD236" s="475"/>
      <c r="BE236" s="475"/>
      <c r="BF236" s="475"/>
      <c r="BG236" s="475"/>
    </row>
    <row r="237" spans="1:59">
      <c r="A237" s="182"/>
      <c r="B237" s="721"/>
      <c r="C237" s="523"/>
      <c r="D237" s="523"/>
      <c r="E237" s="523"/>
      <c r="F237" s="523"/>
      <c r="G237" s="501"/>
      <c r="H237" s="47"/>
      <c r="I237" s="47"/>
      <c r="J237" s="501"/>
      <c r="K237" s="501"/>
      <c r="L237" s="47"/>
      <c r="M237" s="47"/>
      <c r="N237" s="47"/>
      <c r="O237" s="47"/>
      <c r="P237" s="47"/>
      <c r="Q237" s="47"/>
      <c r="R237" s="47"/>
      <c r="S237" s="47"/>
      <c r="T237" s="47"/>
      <c r="U237" s="47"/>
      <c r="V237" s="47"/>
      <c r="W237" s="47"/>
      <c r="X237" s="817">
        <f t="shared" ref="X237:AP237" si="682">+X236/W236-1</f>
        <v>1.8105390510103625E-2</v>
      </c>
      <c r="Y237" s="817">
        <f t="shared" si="682"/>
        <v>5.0944923726214952E-4</v>
      </c>
      <c r="Z237" s="817">
        <f t="shared" si="682"/>
        <v>7.0168886102590644E-3</v>
      </c>
      <c r="AA237" s="817">
        <f t="shared" si="682"/>
        <v>-1.8717880522496899E-2</v>
      </c>
      <c r="AB237" s="817">
        <f t="shared" si="682"/>
        <v>3.0461233043974412E-2</v>
      </c>
      <c r="AC237" s="817">
        <f t="shared" si="682"/>
        <v>-1.7682498476950803E-3</v>
      </c>
      <c r="AD237" s="817">
        <f t="shared" si="682"/>
        <v>1.8805725427221809E-2</v>
      </c>
      <c r="AE237" s="817">
        <f t="shared" si="682"/>
        <v>-3.7416762522409774E-2</v>
      </c>
      <c r="AF237" s="817">
        <f t="shared" si="682"/>
        <v>3.6604131966039066E-2</v>
      </c>
      <c r="AG237" s="817">
        <f t="shared" si="682"/>
        <v>-2.9206560567353046E-2</v>
      </c>
      <c r="AH237" s="817">
        <f t="shared" si="682"/>
        <v>7.5862081397244374E-3</v>
      </c>
      <c r="AI237" s="817">
        <f t="shared" si="682"/>
        <v>3.1296671240273355E-2</v>
      </c>
      <c r="AJ237" s="817">
        <f t="shared" si="682"/>
        <v>5.7368072168911377E-2</v>
      </c>
      <c r="AK237" s="817">
        <f t="shared" si="682"/>
        <v>-3.9800783706556264E-2</v>
      </c>
      <c r="AL237" s="817">
        <f t="shared" si="682"/>
        <v>2.6480723258202055E-3</v>
      </c>
      <c r="AM237" s="817">
        <f t="shared" si="682"/>
        <v>-2.8507630899609837E-2</v>
      </c>
      <c r="AN237" s="817">
        <f t="shared" si="682"/>
        <v>4.7056429611282091E-2</v>
      </c>
      <c r="AO237" s="817">
        <f t="shared" si="682"/>
        <v>-4.5081431715369158E-3</v>
      </c>
      <c r="AP237" s="817">
        <f t="shared" si="682"/>
        <v>1.4305651266279806E-2</v>
      </c>
      <c r="AQ237" s="817">
        <f t="shared" ref="AQ237:AU237" si="683">+AQ236/AP236-1</f>
        <v>-1.6348017818009319E-2</v>
      </c>
      <c r="AR237" s="817">
        <f t="shared" si="683"/>
        <v>-9.9917563965576939E-3</v>
      </c>
      <c r="AS237" s="817">
        <f t="shared" si="683"/>
        <v>-1.3845098554131074E-2</v>
      </c>
      <c r="AT237" s="817">
        <f t="shared" si="683"/>
        <v>5.2354204146798367E-3</v>
      </c>
      <c r="AU237" s="817">
        <f t="shared" si="683"/>
        <v>-1.3551871397262993E-2</v>
      </c>
      <c r="AV237" s="708"/>
      <c r="AW237" s="697">
        <v>5.2354204146798367E-3</v>
      </c>
      <c r="AX237" s="38"/>
      <c r="AY237" s="38"/>
      <c r="AZ237" s="38"/>
      <c r="BA237" s="475"/>
      <c r="BB237" s="475"/>
      <c r="BC237" s="475"/>
      <c r="BD237" s="475"/>
      <c r="BE237" s="475"/>
      <c r="BF237" s="475"/>
      <c r="BG237" s="475"/>
    </row>
    <row r="238" spans="1:59" ht="15">
      <c r="A238" s="182"/>
      <c r="B238" s="721"/>
      <c r="C238" s="523"/>
      <c r="D238" s="523"/>
      <c r="E238" s="523"/>
      <c r="F238" s="523"/>
      <c r="G238" s="501"/>
      <c r="H238" s="47"/>
      <c r="I238" s="47"/>
      <c r="J238" s="501"/>
      <c r="K238" s="501"/>
      <c r="L238" s="47"/>
      <c r="M238" s="47"/>
      <c r="N238" s="47"/>
      <c r="O238" s="47"/>
      <c r="P238" s="47"/>
      <c r="Q238" s="47"/>
      <c r="R238" s="47"/>
      <c r="S238" s="47"/>
      <c r="T238" s="47"/>
      <c r="U238" s="47"/>
      <c r="V238" s="47"/>
      <c r="W238" s="47"/>
      <c r="X238" s="47"/>
      <c r="Y238" s="47"/>
      <c r="Z238" s="47"/>
      <c r="AA238" s="47"/>
      <c r="AB238" s="47"/>
      <c r="AC238" s="47"/>
      <c r="AD238" s="47"/>
      <c r="AE238" s="47"/>
      <c r="AF238" s="47"/>
      <c r="AG238" s="707"/>
      <c r="AH238" s="709"/>
      <c r="AI238" s="710"/>
      <c r="AJ238" s="710"/>
      <c r="AK238" s="710"/>
      <c r="AL238" s="711"/>
      <c r="AM238" s="711"/>
      <c r="AN238" s="711"/>
      <c r="AO238" s="711"/>
      <c r="AP238" s="711"/>
      <c r="AQ238" s="711"/>
      <c r="AR238" s="711"/>
      <c r="AS238" s="711"/>
      <c r="AT238" s="711"/>
      <c r="AU238" s="711"/>
      <c r="AV238" s="708"/>
      <c r="AW238" s="697"/>
      <c r="AX238" s="38"/>
      <c r="AY238" s="38"/>
      <c r="AZ238" s="38"/>
      <c r="BA238" s="475"/>
      <c r="BB238" s="475"/>
      <c r="BC238" s="475"/>
      <c r="BD238" s="475"/>
      <c r="BE238" s="475"/>
      <c r="BF238" s="475"/>
      <c r="BG238" s="475"/>
    </row>
    <row r="239" spans="1:59">
      <c r="A239" s="182"/>
      <c r="B239" s="721"/>
      <c r="C239" s="523"/>
      <c r="D239" s="523"/>
      <c r="E239" s="523"/>
      <c r="F239" s="523"/>
      <c r="G239" s="501"/>
      <c r="H239" s="47"/>
      <c r="I239" s="47"/>
      <c r="J239" s="501"/>
      <c r="K239" s="501"/>
      <c r="L239" s="47"/>
      <c r="M239" s="47"/>
      <c r="N239" s="47"/>
      <c r="O239" s="47"/>
      <c r="P239" s="47"/>
      <c r="Q239" s="47"/>
      <c r="R239" s="47"/>
      <c r="S239" s="47"/>
      <c r="T239" s="47"/>
      <c r="U239" s="47"/>
      <c r="V239" s="47"/>
      <c r="W239" s="47"/>
      <c r="X239" s="818">
        <f t="shared" ref="X239:AC239" si="684">+X158</f>
        <v>4.6032741963960344E-2</v>
      </c>
      <c r="Y239" s="818">
        <f t="shared" si="684"/>
        <v>6.4591263955169342E-3</v>
      </c>
      <c r="Z239" s="818">
        <f t="shared" si="684"/>
        <v>6.6250752273708802E-3</v>
      </c>
      <c r="AA239" s="818">
        <f t="shared" si="684"/>
        <v>-1.8263552526548432E-3</v>
      </c>
      <c r="AB239" s="818">
        <f t="shared" si="684"/>
        <v>5.6429032027042192E-2</v>
      </c>
      <c r="AC239" s="818">
        <f t="shared" si="684"/>
        <v>-9.9897668997768196E-3</v>
      </c>
      <c r="AD239" s="818">
        <f t="shared" ref="AD239:AN239" si="685">+AD158</f>
        <v>4.8889010265254607E-2</v>
      </c>
      <c r="AE239" s="818">
        <f t="shared" si="685"/>
        <v>-4.2675271031831552E-2</v>
      </c>
      <c r="AF239" s="818">
        <f t="shared" si="685"/>
        <v>0.10209294178489214</v>
      </c>
      <c r="AG239" s="818">
        <f t="shared" si="685"/>
        <v>-3.0656834633527308E-2</v>
      </c>
      <c r="AH239" s="818">
        <f t="shared" si="685"/>
        <v>5.0340229911192136E-3</v>
      </c>
      <c r="AI239" s="818">
        <f t="shared" si="685"/>
        <v>3.3053341180685925E-2</v>
      </c>
      <c r="AJ239" s="818">
        <f t="shared" si="685"/>
        <v>9.2265308965432391E-2</v>
      </c>
      <c r="AK239" s="818">
        <f t="shared" si="685"/>
        <v>-2.3398294858890667E-3</v>
      </c>
      <c r="AL239" s="818">
        <f t="shared" si="685"/>
        <v>2.9376593457888678E-2</v>
      </c>
      <c r="AM239" s="818">
        <f t="shared" si="685"/>
        <v>-0.10005292674257282</v>
      </c>
      <c r="AN239" s="818">
        <f t="shared" si="685"/>
        <v>9.4664147022001988E-2</v>
      </c>
      <c r="AO239" s="818">
        <f t="shared" ref="AO239:AP239" si="686">+AO158</f>
        <v>3.6295227223155369E-3</v>
      </c>
      <c r="AP239" s="818">
        <f t="shared" si="686"/>
        <v>2.2948164330372833E-2</v>
      </c>
      <c r="AQ239" s="818">
        <f t="shared" ref="AQ239:AR239" si="687">+AQ158</f>
        <v>-3.9622099663714994E-2</v>
      </c>
      <c r="AR239" s="818">
        <f t="shared" si="687"/>
        <v>2.1871705187964885E-2</v>
      </c>
      <c r="AS239" s="818">
        <f t="shared" ref="AS239" si="688">+AS158</f>
        <v>9.1928898075506194E-3</v>
      </c>
      <c r="AT239" s="818">
        <f t="shared" ref="AT239" si="689">+AT158</f>
        <v>0.10138871621155054</v>
      </c>
      <c r="AU239" s="818">
        <f t="shared" ref="AU239" si="690">+AU158</f>
        <v>0.61372166472005496</v>
      </c>
      <c r="AV239" s="708"/>
      <c r="AW239" s="697">
        <v>0.66893946326039888</v>
      </c>
      <c r="AX239" s="38"/>
      <c r="AY239" s="38"/>
      <c r="AZ239" s="38"/>
      <c r="BA239" s="475"/>
      <c r="BB239" s="475"/>
      <c r="BC239" s="475"/>
      <c r="BD239" s="475"/>
      <c r="BE239" s="475"/>
      <c r="BF239" s="475"/>
      <c r="BG239" s="475"/>
    </row>
    <row r="240" spans="1:59" ht="15">
      <c r="A240" s="182"/>
      <c r="B240" s="721"/>
      <c r="C240" s="523"/>
      <c r="D240" s="523"/>
      <c r="E240" s="523"/>
      <c r="F240" s="523"/>
      <c r="G240" s="501"/>
      <c r="H240" s="47"/>
      <c r="I240" s="47"/>
      <c r="J240" s="501"/>
      <c r="K240" s="501"/>
      <c r="L240" s="47"/>
      <c r="M240" s="47"/>
      <c r="N240" s="47"/>
      <c r="O240" s="47"/>
      <c r="P240" s="47"/>
      <c r="Q240" s="47"/>
      <c r="R240" s="47"/>
      <c r="S240" s="47"/>
      <c r="T240" s="47"/>
      <c r="U240" s="47"/>
      <c r="V240" s="47"/>
      <c r="W240" s="47"/>
      <c r="X240" s="47"/>
      <c r="Y240" s="47"/>
      <c r="Z240" s="47"/>
      <c r="AA240" s="47"/>
      <c r="AB240" s="47"/>
      <c r="AC240" s="47"/>
      <c r="AD240" s="47"/>
      <c r="AE240" s="47"/>
      <c r="AF240" s="47"/>
      <c r="AG240" s="707"/>
      <c r="AH240" s="709"/>
      <c r="AI240" s="710"/>
      <c r="AJ240" s="710"/>
      <c r="AK240" s="710"/>
      <c r="AL240" s="711"/>
      <c r="AM240" s="711"/>
      <c r="AN240" s="817"/>
      <c r="AO240" s="711"/>
      <c r="AP240" s="711"/>
      <c r="AQ240" s="711"/>
      <c r="AR240" s="711"/>
      <c r="AS240" s="711"/>
      <c r="AT240" s="711"/>
      <c r="AU240" s="711"/>
      <c r="AV240" s="708"/>
      <c r="AW240" s="697"/>
      <c r="AX240" s="38"/>
      <c r="AY240" s="38"/>
      <c r="AZ240" s="38"/>
      <c r="BA240" s="475"/>
      <c r="BB240" s="475"/>
      <c r="BC240" s="475"/>
      <c r="BD240" s="475"/>
      <c r="BE240" s="475"/>
      <c r="BF240" s="475"/>
      <c r="BG240" s="475"/>
    </row>
    <row r="241" spans="1:59" ht="15">
      <c r="A241" s="182"/>
      <c r="B241" s="721" t="s">
        <v>2475</v>
      </c>
      <c r="C241" s="523"/>
      <c r="D241" s="523"/>
      <c r="E241" s="523"/>
      <c r="F241" s="523"/>
      <c r="G241" s="501"/>
      <c r="H241" s="47"/>
      <c r="I241" s="47"/>
      <c r="J241" s="501"/>
      <c r="K241" s="501"/>
      <c r="L241" s="47"/>
      <c r="M241" s="47"/>
      <c r="N241" s="47"/>
      <c r="O241" s="47"/>
      <c r="P241" s="47"/>
      <c r="Q241" s="47"/>
      <c r="R241" s="47"/>
      <c r="S241" s="47"/>
      <c r="T241" s="47"/>
      <c r="U241" s="47"/>
      <c r="V241" s="47"/>
      <c r="W241" s="47"/>
      <c r="X241" s="47"/>
      <c r="Y241" s="47"/>
      <c r="Z241" s="47"/>
      <c r="AA241" s="47"/>
      <c r="AB241" s="47"/>
      <c r="AC241" s="47"/>
      <c r="AD241" s="47"/>
      <c r="AE241" s="47"/>
      <c r="AF241" s="47"/>
      <c r="AG241" s="707"/>
      <c r="AH241" s="709"/>
      <c r="AI241" s="711">
        <f>+AI243+AI245</f>
        <v>5070</v>
      </c>
      <c r="AJ241" s="711">
        <f>+AJ243+AJ245</f>
        <v>5690</v>
      </c>
      <c r="AK241" s="711">
        <f>AO241/1.12</f>
        <v>5982.1428571428569</v>
      </c>
      <c r="AL241" s="711">
        <f>+AL243+AL245</f>
        <v>5770</v>
      </c>
      <c r="AM241" s="711">
        <f>+AM243+AM245</f>
        <v>5660</v>
      </c>
      <c r="AN241" s="711">
        <f>+AN243+AN245</f>
        <v>6210</v>
      </c>
      <c r="AO241" s="711">
        <v>6700</v>
      </c>
      <c r="AP241" s="711">
        <f>25420-SUM(AM241:AO241)</f>
        <v>6850</v>
      </c>
      <c r="AQ241" s="711">
        <f t="shared" ref="AQ241" si="691">25420-SUM(AN241:AP241)</f>
        <v>5660</v>
      </c>
      <c r="AR241" s="711"/>
      <c r="AS241" s="711"/>
      <c r="AT241" s="711"/>
      <c r="AU241" s="711"/>
      <c r="AV241" s="708"/>
      <c r="AW241" s="697"/>
      <c r="AX241" s="38"/>
      <c r="AY241" s="38"/>
      <c r="AZ241" s="38"/>
      <c r="BA241" s="475"/>
      <c r="BB241" s="475"/>
      <c r="BC241" s="475"/>
      <c r="BD241" s="475"/>
      <c r="BE241" s="475"/>
      <c r="BF241" s="475"/>
      <c r="BG241" s="475"/>
    </row>
    <row r="242" spans="1:59" ht="15">
      <c r="A242" s="182"/>
      <c r="B242" s="825" t="s">
        <v>1986</v>
      </c>
      <c r="C242" s="523"/>
      <c r="D242" s="523"/>
      <c r="E242" s="523"/>
      <c r="F242" s="523"/>
      <c r="G242" s="501"/>
      <c r="H242" s="47"/>
      <c r="I242" s="47"/>
      <c r="J242" s="501"/>
      <c r="K242" s="501"/>
      <c r="L242" s="47"/>
      <c r="M242" s="47"/>
      <c r="N242" s="47"/>
      <c r="O242" s="47"/>
      <c r="P242" s="47"/>
      <c r="Q242" s="47"/>
      <c r="R242" s="47"/>
      <c r="S242" s="47"/>
      <c r="T242" s="47"/>
      <c r="U242" s="47"/>
      <c r="V242" s="47"/>
      <c r="W242" s="47"/>
      <c r="X242" s="47"/>
      <c r="Y242" s="47"/>
      <c r="Z242" s="47"/>
      <c r="AA242" s="47"/>
      <c r="AB242" s="47"/>
      <c r="AC242" s="47"/>
      <c r="AD242" s="47"/>
      <c r="AE242" s="47"/>
      <c r="AF242" s="47"/>
      <c r="AG242" s="707"/>
      <c r="AH242" s="709"/>
      <c r="AI242" s="711"/>
      <c r="AJ242" s="711"/>
      <c r="AK242" s="711"/>
      <c r="AL242" s="711"/>
      <c r="AM242" s="817">
        <f>+AM241/AI241-1</f>
        <v>0.11637080867850091</v>
      </c>
      <c r="AN242" s="817">
        <f>+AN241/AJ241-1</f>
        <v>9.1388400702987704E-2</v>
      </c>
      <c r="AO242" s="817">
        <f>+AO241/AK241-1</f>
        <v>0.12000000000000011</v>
      </c>
      <c r="AP242" s="817">
        <f>+AP241/AL241-1</f>
        <v>0.1871750433275563</v>
      </c>
      <c r="AQ242" s="817">
        <f t="shared" ref="AQ242:AU242" si="692">+AQ241/AM241-1</f>
        <v>0</v>
      </c>
      <c r="AR242" s="817">
        <f t="shared" si="692"/>
        <v>-1</v>
      </c>
      <c r="AS242" s="817">
        <f t="shared" si="692"/>
        <v>-1</v>
      </c>
      <c r="AT242" s="817">
        <f t="shared" si="692"/>
        <v>-1</v>
      </c>
      <c r="AU242" s="817">
        <f t="shared" si="692"/>
        <v>-1</v>
      </c>
      <c r="AV242" s="708"/>
      <c r="AW242" s="697">
        <v>-1</v>
      </c>
      <c r="AX242" s="38"/>
      <c r="AY242" s="38"/>
      <c r="AZ242" s="38"/>
      <c r="BA242" s="475"/>
      <c r="BB242" s="475"/>
      <c r="BC242" s="475"/>
      <c r="BD242" s="475"/>
      <c r="BE242" s="475"/>
      <c r="BF242" s="475"/>
      <c r="BG242" s="475"/>
    </row>
    <row r="243" spans="1:59" ht="15">
      <c r="A243" s="182"/>
      <c r="B243" s="826" t="s">
        <v>2473</v>
      </c>
      <c r="C243" s="523"/>
      <c r="D243" s="523"/>
      <c r="E243" s="523"/>
      <c r="F243" s="523"/>
      <c r="G243" s="501"/>
      <c r="H243" s="47"/>
      <c r="I243" s="47"/>
      <c r="J243" s="501"/>
      <c r="K243" s="501"/>
      <c r="L243" s="47"/>
      <c r="M243" s="47"/>
      <c r="N243" s="47"/>
      <c r="O243" s="47"/>
      <c r="P243" s="47"/>
      <c r="Q243" s="47"/>
      <c r="R243" s="47"/>
      <c r="S243" s="47"/>
      <c r="T243" s="47"/>
      <c r="U243" s="47"/>
      <c r="V243" s="47"/>
      <c r="W243" s="47"/>
      <c r="X243" s="47"/>
      <c r="Y243" s="47"/>
      <c r="Z243" s="47"/>
      <c r="AA243" s="47"/>
      <c r="AB243" s="47"/>
      <c r="AC243" s="47"/>
      <c r="AD243" s="47"/>
      <c r="AE243" s="47"/>
      <c r="AF243" s="47"/>
      <c r="AG243" s="707"/>
      <c r="AH243" s="709"/>
      <c r="AI243" s="711">
        <v>3810</v>
      </c>
      <c r="AJ243" s="713">
        <f>5690-AJ245</f>
        <v>4190</v>
      </c>
      <c r="AK243" s="711"/>
      <c r="AL243" s="711">
        <v>4220</v>
      </c>
      <c r="AM243" s="711">
        <v>4020</v>
      </c>
      <c r="AN243" s="711">
        <f>6210-AN245</f>
        <v>4670</v>
      </c>
      <c r="AO243" s="711"/>
      <c r="AP243" s="711"/>
      <c r="AQ243" s="711"/>
      <c r="AR243" s="711"/>
      <c r="AS243" s="711"/>
      <c r="AT243" s="711"/>
      <c r="AU243" s="711"/>
      <c r="AV243" s="708"/>
      <c r="AW243" s="697"/>
      <c r="AX243" s="38"/>
      <c r="AY243" s="38"/>
      <c r="AZ243" s="38"/>
      <c r="BA243" s="475"/>
      <c r="BB243" s="475"/>
      <c r="BC243" s="475"/>
      <c r="BD243" s="475"/>
      <c r="BE243" s="475"/>
      <c r="BF243" s="475"/>
      <c r="BG243" s="475"/>
    </row>
    <row r="244" spans="1:59" ht="15">
      <c r="A244" s="182"/>
      <c r="B244" s="825" t="s">
        <v>1986</v>
      </c>
      <c r="C244" s="523"/>
      <c r="D244" s="523"/>
      <c r="E244" s="523"/>
      <c r="F244" s="523"/>
      <c r="G244" s="501"/>
      <c r="H244" s="47"/>
      <c r="I244" s="47"/>
      <c r="J244" s="501"/>
      <c r="K244" s="501"/>
      <c r="L244" s="47"/>
      <c r="M244" s="47"/>
      <c r="N244" s="47"/>
      <c r="O244" s="47"/>
      <c r="P244" s="47"/>
      <c r="Q244" s="47"/>
      <c r="R244" s="47"/>
      <c r="S244" s="47"/>
      <c r="T244" s="47"/>
      <c r="U244" s="47"/>
      <c r="V244" s="47"/>
      <c r="W244" s="47"/>
      <c r="X244" s="47"/>
      <c r="Y244" s="47"/>
      <c r="Z244" s="47"/>
      <c r="AA244" s="47"/>
      <c r="AB244" s="47"/>
      <c r="AC244" s="47"/>
      <c r="AD244" s="47"/>
      <c r="AE244" s="47"/>
      <c r="AF244" s="47"/>
      <c r="AG244" s="707"/>
      <c r="AH244" s="709"/>
      <c r="AI244" s="711"/>
      <c r="AJ244" s="713"/>
      <c r="AK244" s="711"/>
      <c r="AL244" s="711"/>
      <c r="AM244" s="817">
        <f>+AM243/AI243-1</f>
        <v>5.5118110236220375E-2</v>
      </c>
      <c r="AN244" s="817">
        <f>+AN243/AJ243-1</f>
        <v>0.11455847255369922</v>
      </c>
      <c r="AO244" s="711"/>
      <c r="AP244" s="711"/>
      <c r="AQ244" s="711"/>
      <c r="AR244" s="711"/>
      <c r="AS244" s="711"/>
      <c r="AT244" s="711"/>
      <c r="AU244" s="711"/>
      <c r="AV244" s="708"/>
      <c r="AW244" s="697"/>
      <c r="AX244" s="38"/>
      <c r="AY244" s="38"/>
      <c r="AZ244" s="38"/>
      <c r="BA244" s="475"/>
      <c r="BB244" s="475"/>
      <c r="BC244" s="475"/>
      <c r="BD244" s="475"/>
      <c r="BE244" s="475"/>
      <c r="BF244" s="475"/>
      <c r="BG244" s="475"/>
    </row>
    <row r="245" spans="1:59" ht="15">
      <c r="A245" s="182"/>
      <c r="B245" s="826" t="s">
        <v>2474</v>
      </c>
      <c r="C245" s="523"/>
      <c r="D245" s="523"/>
      <c r="E245" s="523"/>
      <c r="F245" s="523"/>
      <c r="G245" s="501"/>
      <c r="H245" s="47"/>
      <c r="I245" s="47"/>
      <c r="J245" s="501"/>
      <c r="K245" s="501"/>
      <c r="L245" s="47"/>
      <c r="M245" s="47"/>
      <c r="N245" s="47"/>
      <c r="O245" s="47"/>
      <c r="P245" s="47"/>
      <c r="Q245" s="47"/>
      <c r="R245" s="47"/>
      <c r="S245" s="47"/>
      <c r="T245" s="47"/>
      <c r="U245" s="47"/>
      <c r="V245" s="47"/>
      <c r="W245" s="47"/>
      <c r="X245" s="47"/>
      <c r="Y245" s="47"/>
      <c r="Z245" s="47"/>
      <c r="AA245" s="47"/>
      <c r="AB245" s="47"/>
      <c r="AC245" s="47"/>
      <c r="AD245" s="47"/>
      <c r="AE245" s="47"/>
      <c r="AF245" s="47"/>
      <c r="AG245" s="707"/>
      <c r="AH245" s="709"/>
      <c r="AI245" s="711">
        <v>1260</v>
      </c>
      <c r="AJ245" s="711">
        <v>1500</v>
      </c>
      <c r="AK245" s="711"/>
      <c r="AL245" s="711">
        <v>1550</v>
      </c>
      <c r="AM245" s="711">
        <v>1640</v>
      </c>
      <c r="AN245" s="711">
        <v>1540</v>
      </c>
      <c r="AO245" s="711"/>
      <c r="AP245" s="711"/>
      <c r="AQ245" s="711"/>
      <c r="AR245" s="711"/>
      <c r="AS245" s="711"/>
      <c r="AT245" s="711"/>
      <c r="AU245" s="711"/>
      <c r="AV245" s="708"/>
      <c r="AW245" s="697"/>
      <c r="AX245" s="38"/>
      <c r="AY245" s="38"/>
      <c r="AZ245" s="38"/>
      <c r="BA245" s="475"/>
      <c r="BB245" s="475"/>
      <c r="BC245" s="475"/>
      <c r="BD245" s="475"/>
      <c r="BE245" s="475"/>
      <c r="BF245" s="475"/>
      <c r="BG245" s="475"/>
    </row>
    <row r="246" spans="1:59" ht="15">
      <c r="A246" s="182"/>
      <c r="B246" s="825" t="s">
        <v>1986</v>
      </c>
      <c r="C246" s="523"/>
      <c r="D246" s="523"/>
      <c r="E246" s="523"/>
      <c r="F246" s="523"/>
      <c r="G246" s="501"/>
      <c r="H246" s="47"/>
      <c r="I246" s="47"/>
      <c r="J246" s="501"/>
      <c r="K246" s="501"/>
      <c r="L246" s="47"/>
      <c r="M246" s="47"/>
      <c r="N246" s="47"/>
      <c r="O246" s="47"/>
      <c r="P246" s="47"/>
      <c r="Q246" s="47"/>
      <c r="R246" s="47"/>
      <c r="S246" s="47"/>
      <c r="T246" s="47"/>
      <c r="U246" s="47"/>
      <c r="V246" s="47"/>
      <c r="W246" s="47"/>
      <c r="X246" s="47"/>
      <c r="Y246" s="47"/>
      <c r="Z246" s="47"/>
      <c r="AA246" s="47"/>
      <c r="AB246" s="47"/>
      <c r="AC246" s="47"/>
      <c r="AD246" s="47"/>
      <c r="AE246" s="47"/>
      <c r="AF246" s="47"/>
      <c r="AG246" s="707"/>
      <c r="AH246" s="709"/>
      <c r="AI246" s="711"/>
      <c r="AJ246" s="711"/>
      <c r="AK246" s="711"/>
      <c r="AL246" s="711"/>
      <c r="AM246" s="817">
        <f>+AM245/AI245-1</f>
        <v>0.30158730158730163</v>
      </c>
      <c r="AN246" s="817">
        <f>+AN245/AJ245-1</f>
        <v>2.6666666666666616E-2</v>
      </c>
      <c r="AO246" s="711"/>
      <c r="AP246" s="711"/>
      <c r="AQ246" s="711"/>
      <c r="AR246" s="711"/>
      <c r="AS246" s="711"/>
      <c r="AT246" s="711"/>
      <c r="AU246" s="711"/>
      <c r="AV246" s="708"/>
      <c r="AW246" s="697"/>
      <c r="AX246" s="38"/>
      <c r="AY246" s="38"/>
      <c r="AZ246" s="38"/>
      <c r="BA246" s="475"/>
      <c r="BB246" s="475"/>
      <c r="BC246" s="475"/>
      <c r="BD246" s="475"/>
      <c r="BE246" s="475"/>
      <c r="BF246" s="475"/>
      <c r="BG246" s="475"/>
    </row>
    <row r="247" spans="1:59" ht="15">
      <c r="A247" s="182"/>
      <c r="B247" s="824"/>
      <c r="C247" s="523"/>
      <c r="D247" s="523"/>
      <c r="E247" s="523"/>
      <c r="F247" s="523"/>
      <c r="G247" s="501"/>
      <c r="H247" s="47"/>
      <c r="I247" s="47"/>
      <c r="J247" s="501"/>
      <c r="K247" s="501"/>
      <c r="L247" s="47"/>
      <c r="M247" s="47"/>
      <c r="N247" s="47"/>
      <c r="O247" s="47"/>
      <c r="P247" s="47"/>
      <c r="Q247" s="47"/>
      <c r="R247" s="47"/>
      <c r="S247" s="47"/>
      <c r="T247" s="47"/>
      <c r="U247" s="47"/>
      <c r="V247" s="47"/>
      <c r="W247" s="47"/>
      <c r="X247" s="47"/>
      <c r="Y247" s="47"/>
      <c r="Z247" s="47"/>
      <c r="AA247" s="47"/>
      <c r="AB247" s="47"/>
      <c r="AC247" s="47"/>
      <c r="AD247" s="47"/>
      <c r="AE247" s="47"/>
      <c r="AF247" s="47"/>
      <c r="AG247" s="707"/>
      <c r="AH247" s="709"/>
      <c r="AI247" s="866">
        <f>+AI241/(AI11-AI12)</f>
        <v>9.8765528298174504E-2</v>
      </c>
      <c r="AJ247" s="866">
        <f>+AJ241/(AJ11-AJ12)</f>
        <v>9.7651389687395423E-2</v>
      </c>
      <c r="AK247" s="711"/>
      <c r="AL247" s="866">
        <f>+AL241/(AL11-AL12)</f>
        <v>0.12479183338019335</v>
      </c>
      <c r="AM247" s="866">
        <f>+AM241/(AM11-AM12)</f>
        <v>0.1030805795095477</v>
      </c>
      <c r="AN247" s="866">
        <f>+AN241/(AN11-AN12)</f>
        <v>0.10414587802018853</v>
      </c>
      <c r="AO247" s="711"/>
      <c r="AP247" s="711"/>
      <c r="AQ247" s="711"/>
      <c r="AR247" s="711"/>
      <c r="AS247" s="711"/>
      <c r="AT247" s="711"/>
      <c r="AU247" s="711"/>
      <c r="AV247" s="708"/>
      <c r="AW247" s="697"/>
      <c r="AX247" s="38"/>
      <c r="AY247" s="38"/>
      <c r="AZ247" s="38"/>
      <c r="BA247" s="475"/>
      <c r="BB247" s="475"/>
      <c r="BC247" s="475"/>
      <c r="BD247" s="475"/>
      <c r="BE247" s="475"/>
      <c r="BF247" s="475"/>
      <c r="BG247" s="475"/>
    </row>
    <row r="248" spans="1:59" ht="15">
      <c r="A248" s="182"/>
      <c r="B248" s="824"/>
      <c r="C248" s="523"/>
      <c r="D248" s="523"/>
      <c r="E248" s="523"/>
      <c r="F248" s="523"/>
      <c r="G248" s="501"/>
      <c r="H248" s="47"/>
      <c r="I248" s="47"/>
      <c r="J248" s="501"/>
      <c r="K248" s="501"/>
      <c r="L248" s="47"/>
      <c r="M248" s="47"/>
      <c r="N248" s="47"/>
      <c r="O248" s="47"/>
      <c r="P248" s="47"/>
      <c r="Q248" s="47"/>
      <c r="R248" s="47"/>
      <c r="S248" s="47"/>
      <c r="T248" s="47"/>
      <c r="U248" s="47"/>
      <c r="V248" s="47"/>
      <c r="W248" s="47"/>
      <c r="X248" s="47"/>
      <c r="Y248" s="47"/>
      <c r="Z248" s="47"/>
      <c r="AA248" s="47"/>
      <c r="AB248" s="47"/>
      <c r="AC248" s="47"/>
      <c r="AD248" s="47"/>
      <c r="AE248" s="47"/>
      <c r="AF248" s="47"/>
      <c r="AG248" s="707"/>
      <c r="AH248" s="709"/>
      <c r="AI248" s="711"/>
      <c r="AJ248" s="711"/>
      <c r="AK248" s="711"/>
      <c r="AL248" s="711"/>
      <c r="AM248" s="711"/>
      <c r="AN248" s="711"/>
      <c r="AO248" s="711"/>
      <c r="AP248" s="711"/>
      <c r="AQ248" s="711"/>
      <c r="AR248" s="711"/>
      <c r="AS248" s="711"/>
      <c r="AT248" s="711"/>
      <c r="AU248" s="711"/>
      <c r="AV248" s="708"/>
      <c r="AW248" s="697"/>
      <c r="AX248" s="38"/>
      <c r="AY248" s="38"/>
      <c r="AZ248" s="38"/>
      <c r="BA248" s="475"/>
      <c r="BB248" s="475"/>
      <c r="BC248" s="475"/>
      <c r="BD248" s="475"/>
      <c r="BE248" s="475"/>
      <c r="BF248" s="475"/>
      <c r="BG248" s="475"/>
    </row>
    <row r="249" spans="1:59" ht="15">
      <c r="A249" s="182"/>
      <c r="B249" s="721"/>
      <c r="C249" s="523"/>
      <c r="D249" s="523"/>
      <c r="E249" s="523"/>
      <c r="F249" s="523"/>
      <c r="G249" s="501"/>
      <c r="H249" s="47"/>
      <c r="I249" s="47"/>
      <c r="J249" s="501"/>
      <c r="K249" s="501"/>
      <c r="L249" s="47"/>
      <c r="M249" s="47"/>
      <c r="N249" s="47"/>
      <c r="O249" s="47"/>
      <c r="P249" s="47"/>
      <c r="Q249" s="47"/>
      <c r="R249" s="47"/>
      <c r="S249" s="47"/>
      <c r="T249" s="47"/>
      <c r="U249" s="47"/>
      <c r="V249" s="47"/>
      <c r="W249" s="47"/>
      <c r="X249" s="47"/>
      <c r="Y249" s="47"/>
      <c r="Z249" s="47"/>
      <c r="AA249" s="47"/>
      <c r="AB249" s="47"/>
      <c r="AC249" s="47"/>
      <c r="AD249" s="47"/>
      <c r="AE249" s="47"/>
      <c r="AF249" s="47"/>
      <c r="AG249" s="707"/>
      <c r="AH249" s="709"/>
      <c r="AI249" s="710"/>
      <c r="AJ249" s="710"/>
      <c r="AK249" s="710"/>
      <c r="AL249" s="711"/>
      <c r="AM249" s="711"/>
      <c r="AN249" s="711"/>
      <c r="AO249" s="711"/>
      <c r="AP249" s="711"/>
      <c r="AQ249" s="711"/>
      <c r="AR249" s="711"/>
      <c r="AS249" s="711"/>
      <c r="AT249" s="711"/>
      <c r="AU249" s="711"/>
      <c r="AV249" s="708"/>
      <c r="AW249" s="697"/>
      <c r="AX249" s="38"/>
      <c r="AY249" s="38"/>
      <c r="AZ249" s="38"/>
      <c r="BA249" s="475"/>
      <c r="BB249" s="475"/>
      <c r="BC249" s="475"/>
      <c r="BD249" s="475"/>
      <c r="BE249" s="475"/>
      <c r="BF249" s="475"/>
      <c r="BG249" s="475"/>
    </row>
    <row r="250" spans="1:59" s="741" customFormat="1">
      <c r="A250" s="182"/>
      <c r="B250" s="524" t="s">
        <v>2059</v>
      </c>
      <c r="C250" s="760"/>
      <c r="D250" s="760"/>
      <c r="E250" s="760"/>
      <c r="F250" s="760"/>
      <c r="G250" s="760"/>
      <c r="H250" s="760"/>
      <c r="I250" s="760"/>
      <c r="J250" s="760"/>
      <c r="K250" s="760"/>
      <c r="L250" s="760"/>
      <c r="M250" s="760"/>
      <c r="N250" s="760"/>
      <c r="O250" s="760"/>
      <c r="P250" s="760"/>
      <c r="Q250" s="760"/>
      <c r="R250" s="760"/>
      <c r="S250" s="760"/>
      <c r="T250" s="760"/>
      <c r="U250" s="760"/>
      <c r="V250" s="760"/>
      <c r="W250" s="760"/>
      <c r="X250" s="760"/>
      <c r="Y250" s="760"/>
      <c r="Z250" s="760"/>
      <c r="AA250" s="760"/>
      <c r="AB250" s="760"/>
      <c r="AC250" s="760"/>
      <c r="AD250" s="760"/>
      <c r="AE250" s="760"/>
      <c r="AF250" s="760"/>
      <c r="AG250" s="761"/>
      <c r="AH250" s="713"/>
      <c r="AI250" s="712"/>
      <c r="AJ250" s="712"/>
      <c r="AK250" s="712"/>
      <c r="AL250" s="712"/>
      <c r="AM250" s="712"/>
      <c r="AN250" s="712"/>
      <c r="AO250" s="712"/>
      <c r="AP250" s="712"/>
      <c r="AQ250" s="712"/>
      <c r="AR250" s="712"/>
      <c r="AS250" s="712"/>
      <c r="AT250" s="712"/>
      <c r="AU250" s="712"/>
      <c r="AV250" s="762"/>
      <c r="AW250" s="763"/>
      <c r="AX250" s="739"/>
      <c r="AY250" s="739"/>
      <c r="AZ250" s="739"/>
    </row>
    <row r="251" spans="1:59" s="741" customFormat="1">
      <c r="A251" s="182"/>
      <c r="B251" s="524" t="s">
        <v>2060</v>
      </c>
      <c r="C251" s="760"/>
      <c r="D251" s="760"/>
      <c r="E251" s="760"/>
      <c r="F251" s="760"/>
      <c r="G251" s="760"/>
      <c r="H251" s="760"/>
      <c r="I251" s="760"/>
      <c r="J251" s="760"/>
      <c r="K251" s="760"/>
      <c r="L251" s="760"/>
      <c r="M251" s="760"/>
      <c r="N251" s="760"/>
      <c r="O251" s="760"/>
      <c r="P251" s="760"/>
      <c r="Q251" s="760"/>
      <c r="R251" s="760"/>
      <c r="S251" s="760"/>
      <c r="T251" s="760"/>
      <c r="U251" s="760"/>
      <c r="V251" s="760"/>
      <c r="W251" s="760"/>
      <c r="X251" s="760">
        <v>10</v>
      </c>
      <c r="Y251" s="760"/>
      <c r="Z251" s="760"/>
      <c r="AA251" s="760"/>
      <c r="AB251" s="760"/>
      <c r="AC251" s="760"/>
      <c r="AD251" s="760"/>
      <c r="AE251" s="760"/>
      <c r="AF251" s="760"/>
      <c r="AG251" s="761"/>
      <c r="AH251" s="713"/>
      <c r="AI251" s="713"/>
      <c r="AJ251" s="713"/>
      <c r="AK251" s="713"/>
      <c r="AL251" s="713"/>
      <c r="AM251" s="713"/>
      <c r="AN251" s="713"/>
      <c r="AO251" s="713"/>
      <c r="AP251" s="713"/>
      <c r="AQ251" s="713"/>
      <c r="AR251" s="713"/>
      <c r="AS251" s="713"/>
      <c r="AT251" s="713"/>
      <c r="AU251" s="713"/>
      <c r="AV251" s="764"/>
      <c r="AW251" s="763"/>
      <c r="AX251" s="739"/>
      <c r="AY251" s="739"/>
      <c r="AZ251" s="739"/>
    </row>
    <row r="252" spans="1:59" s="741" customFormat="1">
      <c r="A252" s="182"/>
      <c r="B252" s="525" t="s">
        <v>2061</v>
      </c>
      <c r="C252" s="760"/>
      <c r="D252" s="760"/>
      <c r="E252" s="760"/>
      <c r="F252" s="760"/>
      <c r="G252" s="760"/>
      <c r="H252" s="760"/>
      <c r="I252" s="760"/>
      <c r="J252" s="760"/>
      <c r="K252" s="760"/>
      <c r="L252" s="760"/>
      <c r="M252" s="760"/>
      <c r="N252" s="760"/>
      <c r="O252" s="760"/>
      <c r="P252" s="760"/>
      <c r="Q252" s="760"/>
      <c r="R252" s="760"/>
      <c r="S252" s="760"/>
      <c r="T252" s="760"/>
      <c r="U252" s="760"/>
      <c r="V252" s="760"/>
      <c r="W252" s="760"/>
      <c r="X252" s="536">
        <v>2893.7</v>
      </c>
      <c r="Y252" s="526"/>
      <c r="Z252" s="536">
        <v>2893.7</v>
      </c>
      <c r="AA252" s="760"/>
      <c r="AB252" s="536">
        <v>2893.7</v>
      </c>
      <c r="AC252" s="525"/>
      <c r="AD252" s="536">
        <v>2893.7</v>
      </c>
      <c r="AE252" s="760"/>
      <c r="AF252" s="525">
        <v>2893.7</v>
      </c>
      <c r="AG252" s="525"/>
      <c r="AH252" s="713">
        <v>2893.7</v>
      </c>
      <c r="AI252" s="713"/>
      <c r="AJ252" s="713">
        <v>2893.7</v>
      </c>
      <c r="AK252" s="713"/>
      <c r="AL252" s="713"/>
      <c r="AM252" s="713"/>
      <c r="AN252" s="713"/>
      <c r="AO252" s="713"/>
      <c r="AP252" s="713"/>
      <c r="AQ252" s="713"/>
      <c r="AR252" s="713"/>
      <c r="AS252" s="713"/>
      <c r="AT252" s="713"/>
      <c r="AU252" s="713"/>
      <c r="AV252" s="764"/>
      <c r="AW252" s="763"/>
      <c r="AX252" s="739"/>
      <c r="AY252" s="739"/>
      <c r="AZ252" s="739"/>
    </row>
    <row r="253" spans="1:59" s="741" customFormat="1">
      <c r="A253" s="182"/>
      <c r="B253" s="525" t="s">
        <v>2062</v>
      </c>
      <c r="C253" s="760"/>
      <c r="D253" s="760"/>
      <c r="E253" s="760"/>
      <c r="F253" s="760"/>
      <c r="G253" s="760"/>
      <c r="H253" s="760"/>
      <c r="I253" s="760"/>
      <c r="J253" s="760"/>
      <c r="K253" s="760"/>
      <c r="L253" s="760"/>
      <c r="M253" s="760"/>
      <c r="N253" s="760"/>
      <c r="O253" s="760"/>
      <c r="P253" s="760"/>
      <c r="Q253" s="760"/>
      <c r="R253" s="760"/>
      <c r="S253" s="760"/>
      <c r="T253" s="760"/>
      <c r="U253" s="760"/>
      <c r="V253" s="760"/>
      <c r="W253" s="760"/>
      <c r="X253" s="536">
        <v>58137.599999999999</v>
      </c>
      <c r="Y253" s="526"/>
      <c r="Z253" s="536">
        <v>57517</v>
      </c>
      <c r="AA253" s="760"/>
      <c r="AB253" s="536">
        <v>73489.899999999994</v>
      </c>
      <c r="AC253" s="525"/>
      <c r="AD253" s="536">
        <v>76125.8</v>
      </c>
      <c r="AE253" s="760"/>
      <c r="AF253" s="525">
        <v>90877</v>
      </c>
      <c r="AG253" s="525"/>
      <c r="AH253" s="713">
        <v>93186.5</v>
      </c>
      <c r="AI253" s="713"/>
      <c r="AJ253" s="713">
        <v>106874.9</v>
      </c>
      <c r="AK253" s="713"/>
      <c r="AL253" s="713"/>
      <c r="AM253" s="713"/>
      <c r="AN253" s="713"/>
      <c r="AO253" s="713"/>
      <c r="AP253" s="713"/>
      <c r="AQ253" s="713"/>
      <c r="AR253" s="713"/>
      <c r="AS253" s="713"/>
      <c r="AT253" s="713"/>
      <c r="AU253" s="713"/>
      <c r="AV253" s="762"/>
      <c r="AW253" s="763"/>
      <c r="AX253" s="739"/>
      <c r="AY253" s="739"/>
      <c r="AZ253" s="739"/>
    </row>
    <row r="254" spans="1:59" s="741" customFormat="1">
      <c r="A254" s="182"/>
      <c r="B254" s="527" t="s">
        <v>2063</v>
      </c>
      <c r="C254" s="760"/>
      <c r="D254" s="760"/>
      <c r="E254" s="760"/>
      <c r="F254" s="760"/>
      <c r="G254" s="760"/>
      <c r="H254" s="760"/>
      <c r="I254" s="760"/>
      <c r="J254" s="760"/>
      <c r="K254" s="760"/>
      <c r="L254" s="760"/>
      <c r="M254" s="760"/>
      <c r="N254" s="760"/>
      <c r="O254" s="760"/>
      <c r="P254" s="760"/>
      <c r="Q254" s="760"/>
      <c r="R254" s="760"/>
      <c r="S254" s="760"/>
      <c r="T254" s="760"/>
      <c r="U254" s="760"/>
      <c r="V254" s="760"/>
      <c r="W254" s="760"/>
      <c r="X254" s="527">
        <f>+X253+X252</f>
        <v>61031.299999999996</v>
      </c>
      <c r="Y254" s="526"/>
      <c r="Z254" s="527">
        <f>+Z253+Z252</f>
        <v>60410.7</v>
      </c>
      <c r="AA254" s="760"/>
      <c r="AB254" s="527">
        <f>+AB253+AB252</f>
        <v>76383.599999999991</v>
      </c>
      <c r="AC254" s="525"/>
      <c r="AD254" s="527">
        <f>+AD253+AD252</f>
        <v>79019.5</v>
      </c>
      <c r="AE254" s="760"/>
      <c r="AF254" s="527">
        <f>+AF253+AF252</f>
        <v>93770.7</v>
      </c>
      <c r="AG254" s="527"/>
      <c r="AH254" s="527">
        <f>+AH253+AH252</f>
        <v>96080.2</v>
      </c>
      <c r="AI254" s="713"/>
      <c r="AJ254" s="527">
        <f>+AJ253+AJ252</f>
        <v>109768.59999999999</v>
      </c>
      <c r="AK254" s="713"/>
      <c r="AL254" s="713"/>
      <c r="AM254" s="713"/>
      <c r="AN254" s="713"/>
      <c r="AO254" s="713"/>
      <c r="AP254" s="713"/>
      <c r="AQ254" s="713"/>
      <c r="AR254" s="713"/>
      <c r="AS254" s="713"/>
      <c r="AT254" s="713"/>
      <c r="AU254" s="713"/>
      <c r="AV254" s="762"/>
      <c r="AW254" s="763"/>
      <c r="AX254" s="739"/>
      <c r="AY254" s="739"/>
      <c r="AZ254" s="739"/>
    </row>
    <row r="255" spans="1:59" s="741" customFormat="1">
      <c r="A255" s="182"/>
      <c r="B255" s="525"/>
      <c r="C255" s="760"/>
      <c r="D255" s="760"/>
      <c r="E255" s="760"/>
      <c r="F255" s="760"/>
      <c r="G255" s="760"/>
      <c r="H255" s="760"/>
      <c r="I255" s="760"/>
      <c r="J255" s="760"/>
      <c r="K255" s="760"/>
      <c r="L255" s="760"/>
      <c r="M255" s="760"/>
      <c r="N255" s="760"/>
      <c r="O255" s="760"/>
      <c r="P255" s="760"/>
      <c r="Q255" s="760"/>
      <c r="R255" s="760"/>
      <c r="S255" s="760"/>
      <c r="T255" s="760"/>
      <c r="U255" s="760"/>
      <c r="V255" s="760"/>
      <c r="W255" s="760"/>
      <c r="X255" s="526"/>
      <c r="Y255" s="526"/>
      <c r="Z255" s="526"/>
      <c r="AA255" s="760"/>
      <c r="AB255" s="526"/>
      <c r="AC255" s="525"/>
      <c r="AD255" s="526"/>
      <c r="AE255" s="760"/>
      <c r="AF255" s="526"/>
      <c r="AG255" s="526"/>
      <c r="AH255" s="713"/>
      <c r="AI255" s="713"/>
      <c r="AJ255" s="713"/>
      <c r="AK255" s="713"/>
      <c r="AL255" s="713"/>
      <c r="AM255" s="713"/>
      <c r="AN255" s="713"/>
      <c r="AO255" s="713"/>
      <c r="AP255" s="713"/>
      <c r="AQ255" s="713"/>
      <c r="AR255" s="713"/>
      <c r="AS255" s="713"/>
      <c r="AT255" s="713"/>
      <c r="AU255" s="713"/>
      <c r="AV255" s="762"/>
      <c r="AW255" s="763"/>
      <c r="AX255" s="739"/>
      <c r="AY255" s="739"/>
      <c r="AZ255" s="739"/>
    </row>
    <row r="256" spans="1:59" s="741" customFormat="1">
      <c r="A256" s="182"/>
      <c r="B256" s="524" t="s">
        <v>1819</v>
      </c>
      <c r="C256" s="760"/>
      <c r="D256" s="760"/>
      <c r="E256" s="760"/>
      <c r="F256" s="760"/>
      <c r="G256" s="760"/>
      <c r="H256" s="760"/>
      <c r="I256" s="760"/>
      <c r="J256" s="760"/>
      <c r="K256" s="760"/>
      <c r="L256" s="760"/>
      <c r="M256" s="760"/>
      <c r="N256" s="760"/>
      <c r="O256" s="760"/>
      <c r="P256" s="760"/>
      <c r="Q256" s="760"/>
      <c r="R256" s="760"/>
      <c r="S256" s="760"/>
      <c r="T256" s="760"/>
      <c r="U256" s="760"/>
      <c r="V256" s="760"/>
      <c r="W256" s="760"/>
      <c r="X256" s="526"/>
      <c r="Y256" s="526"/>
      <c r="Z256" s="526"/>
      <c r="AA256" s="760"/>
      <c r="AB256" s="526"/>
      <c r="AC256" s="525"/>
      <c r="AD256" s="526"/>
      <c r="AE256" s="760"/>
      <c r="AF256" s="526"/>
      <c r="AG256" s="526"/>
      <c r="AH256" s="713"/>
      <c r="AI256" s="765"/>
      <c r="AJ256" s="765"/>
      <c r="AK256" s="765"/>
      <c r="AL256" s="765"/>
      <c r="AM256" s="765"/>
      <c r="AN256" s="765"/>
      <c r="AO256" s="765"/>
      <c r="AP256" s="765"/>
      <c r="AQ256" s="765"/>
      <c r="AR256" s="765"/>
      <c r="AS256" s="765"/>
      <c r="AT256" s="765"/>
      <c r="AU256" s="765"/>
      <c r="AV256" s="762"/>
      <c r="AW256" s="763"/>
      <c r="AX256" s="739"/>
      <c r="AY256" s="739"/>
      <c r="AZ256" s="739"/>
    </row>
    <row r="257" spans="1:52" s="741" customFormat="1">
      <c r="A257" s="182"/>
      <c r="B257" s="525"/>
      <c r="C257" s="760"/>
      <c r="D257" s="760"/>
      <c r="E257" s="760"/>
      <c r="F257" s="760"/>
      <c r="G257" s="760"/>
      <c r="H257" s="760"/>
      <c r="I257" s="760"/>
      <c r="J257" s="760"/>
      <c r="K257" s="760"/>
      <c r="L257" s="760"/>
      <c r="M257" s="760"/>
      <c r="N257" s="760"/>
      <c r="O257" s="760"/>
      <c r="P257" s="760"/>
      <c r="Q257" s="760"/>
      <c r="R257" s="760"/>
      <c r="S257" s="760"/>
      <c r="T257" s="760"/>
      <c r="U257" s="760"/>
      <c r="V257" s="760"/>
      <c r="W257" s="760"/>
      <c r="X257" s="526"/>
      <c r="Y257" s="526"/>
      <c r="Z257" s="526"/>
      <c r="AA257" s="760"/>
      <c r="AB257" s="526"/>
      <c r="AC257" s="525"/>
      <c r="AD257" s="526"/>
      <c r="AE257" s="760"/>
      <c r="AF257" s="526"/>
      <c r="AG257" s="526"/>
      <c r="AH257" s="713"/>
      <c r="AI257" s="765"/>
      <c r="AJ257" s="765"/>
      <c r="AK257" s="765"/>
      <c r="AL257" s="765"/>
      <c r="AM257" s="765"/>
      <c r="AN257" s="765"/>
      <c r="AO257" s="765"/>
      <c r="AP257" s="765"/>
      <c r="AQ257" s="765"/>
      <c r="AR257" s="765"/>
      <c r="AS257" s="765"/>
      <c r="AT257" s="765"/>
      <c r="AU257" s="765"/>
      <c r="AV257" s="762"/>
      <c r="AW257" s="763"/>
      <c r="AX257" s="739"/>
      <c r="AY257" s="739"/>
      <c r="AZ257" s="739"/>
    </row>
    <row r="258" spans="1:52" s="741" customFormat="1">
      <c r="A258" s="182"/>
      <c r="B258" s="524" t="s">
        <v>2064</v>
      </c>
      <c r="C258" s="760"/>
      <c r="D258" s="760"/>
      <c r="E258" s="760"/>
      <c r="F258" s="760"/>
      <c r="G258" s="760"/>
      <c r="H258" s="760"/>
      <c r="I258" s="760"/>
      <c r="J258" s="760"/>
      <c r="K258" s="760"/>
      <c r="L258" s="760"/>
      <c r="M258" s="760"/>
      <c r="N258" s="760"/>
      <c r="O258" s="760"/>
      <c r="P258" s="760"/>
      <c r="Q258" s="760"/>
      <c r="R258" s="760"/>
      <c r="S258" s="760"/>
      <c r="T258" s="760"/>
      <c r="U258" s="760"/>
      <c r="V258" s="760"/>
      <c r="W258" s="760"/>
      <c r="X258" s="526"/>
      <c r="Y258" s="526"/>
      <c r="Z258" s="526"/>
      <c r="AA258" s="760"/>
      <c r="AB258" s="526"/>
      <c r="AC258" s="525"/>
      <c r="AD258" s="526"/>
      <c r="AE258" s="760"/>
      <c r="AF258" s="526"/>
      <c r="AG258" s="526"/>
      <c r="AH258" s="713"/>
      <c r="AI258" s="765"/>
      <c r="AJ258" s="765"/>
      <c r="AK258" s="765"/>
      <c r="AL258" s="765"/>
      <c r="AM258" s="765"/>
      <c r="AN258" s="765"/>
      <c r="AO258" s="765"/>
      <c r="AP258" s="765"/>
      <c r="AQ258" s="765"/>
      <c r="AR258" s="765"/>
      <c r="AS258" s="765"/>
      <c r="AT258" s="765"/>
      <c r="AU258" s="765"/>
      <c r="AV258" s="762"/>
      <c r="AW258" s="763"/>
      <c r="AX258" s="739"/>
      <c r="AY258" s="739"/>
      <c r="AZ258" s="739"/>
    </row>
    <row r="259" spans="1:52" s="741" customFormat="1">
      <c r="A259" s="182"/>
      <c r="B259" s="525" t="s">
        <v>2065</v>
      </c>
      <c r="C259" s="760"/>
      <c r="D259" s="760"/>
      <c r="E259" s="760"/>
      <c r="F259" s="760"/>
      <c r="G259" s="760"/>
      <c r="H259" s="760"/>
      <c r="I259" s="760"/>
      <c r="J259" s="760"/>
      <c r="K259" s="760"/>
      <c r="L259" s="760"/>
      <c r="M259" s="760"/>
      <c r="N259" s="760"/>
      <c r="O259" s="760"/>
      <c r="P259" s="760"/>
      <c r="Q259" s="760"/>
      <c r="R259" s="760"/>
      <c r="S259" s="760"/>
      <c r="T259" s="760"/>
      <c r="U259" s="760"/>
      <c r="V259" s="760"/>
      <c r="W259" s="760"/>
      <c r="X259" s="536">
        <v>1513.8</v>
      </c>
      <c r="Y259" s="526"/>
      <c r="Z259" s="536">
        <v>974.8</v>
      </c>
      <c r="AA259" s="760"/>
      <c r="AB259" s="536">
        <f>(111.58-0.01)*10</f>
        <v>1115.6999999999998</v>
      </c>
      <c r="AC259" s="525"/>
      <c r="AD259" s="536">
        <v>712.7</v>
      </c>
      <c r="AE259" s="760"/>
      <c r="AF259" s="525">
        <v>1017.9</v>
      </c>
      <c r="AG259" s="525"/>
      <c r="AH259" s="713">
        <v>577.4</v>
      </c>
      <c r="AI259" s="765"/>
      <c r="AJ259" s="765">
        <v>928.4</v>
      </c>
      <c r="AK259" s="765"/>
      <c r="AL259" s="765"/>
      <c r="AM259" s="765"/>
      <c r="AN259" s="765"/>
      <c r="AO259" s="765"/>
      <c r="AP259" s="765"/>
      <c r="AQ259" s="765"/>
      <c r="AR259" s="765"/>
      <c r="AS259" s="765"/>
      <c r="AT259" s="765"/>
      <c r="AU259" s="765"/>
      <c r="AV259" s="762"/>
      <c r="AW259" s="763"/>
      <c r="AX259" s="739"/>
      <c r="AY259" s="739"/>
      <c r="AZ259" s="739"/>
    </row>
    <row r="260" spans="1:52" s="741" customFormat="1">
      <c r="A260" s="182"/>
      <c r="B260" s="525" t="s">
        <v>2066</v>
      </c>
      <c r="C260" s="760"/>
      <c r="D260" s="760"/>
      <c r="E260" s="760"/>
      <c r="F260" s="760"/>
      <c r="G260" s="760"/>
      <c r="H260" s="760"/>
      <c r="I260" s="760"/>
      <c r="J260" s="760"/>
      <c r="K260" s="760"/>
      <c r="L260" s="760"/>
      <c r="M260" s="760"/>
      <c r="N260" s="760"/>
      <c r="O260" s="760"/>
      <c r="P260" s="760"/>
      <c r="Q260" s="760"/>
      <c r="R260" s="760"/>
      <c r="S260" s="760"/>
      <c r="T260" s="760"/>
      <c r="U260" s="760"/>
      <c r="V260" s="760"/>
      <c r="W260" s="760"/>
      <c r="X260" s="536">
        <v>241</v>
      </c>
      <c r="Y260" s="526"/>
      <c r="Z260" s="536">
        <v>484.4</v>
      </c>
      <c r="AA260" s="760"/>
      <c r="AB260" s="536">
        <f>(58-0.01)*10</f>
        <v>579.9</v>
      </c>
      <c r="AC260" s="525"/>
      <c r="AD260" s="536">
        <v>1151</v>
      </c>
      <c r="AE260" s="760"/>
      <c r="AF260" s="525">
        <v>1119</v>
      </c>
      <c r="AG260" s="525"/>
      <c r="AH260" s="713">
        <v>1431.8</v>
      </c>
      <c r="AI260" s="765"/>
      <c r="AJ260" s="765">
        <v>1108.2</v>
      </c>
      <c r="AK260" s="765"/>
      <c r="AL260" s="765"/>
      <c r="AM260" s="765"/>
      <c r="AN260" s="765"/>
      <c r="AO260" s="765"/>
      <c r="AP260" s="765"/>
      <c r="AQ260" s="765"/>
      <c r="AR260" s="765"/>
      <c r="AS260" s="765"/>
      <c r="AT260" s="765"/>
      <c r="AU260" s="765"/>
      <c r="AV260" s="762"/>
      <c r="AW260" s="763"/>
      <c r="AX260" s="739"/>
      <c r="AY260" s="739"/>
      <c r="AZ260" s="739"/>
    </row>
    <row r="261" spans="1:52" s="741" customFormat="1">
      <c r="A261" s="182"/>
      <c r="B261" s="525" t="s">
        <v>2067</v>
      </c>
      <c r="C261" s="760"/>
      <c r="D261" s="760"/>
      <c r="E261" s="760"/>
      <c r="F261" s="760"/>
      <c r="G261" s="760"/>
      <c r="H261" s="760"/>
      <c r="I261" s="760"/>
      <c r="J261" s="760"/>
      <c r="K261" s="760"/>
      <c r="L261" s="760"/>
      <c r="M261" s="760"/>
      <c r="N261" s="760"/>
      <c r="O261" s="760"/>
      <c r="P261" s="760"/>
      <c r="Q261" s="760"/>
      <c r="R261" s="760"/>
      <c r="S261" s="760"/>
      <c r="T261" s="760"/>
      <c r="U261" s="760"/>
      <c r="V261" s="760"/>
      <c r="W261" s="760"/>
      <c r="X261" s="536">
        <v>1734.4</v>
      </c>
      <c r="Y261" s="526"/>
      <c r="Z261" s="536">
        <v>1570.7</v>
      </c>
      <c r="AA261" s="760"/>
      <c r="AB261" s="536">
        <v>1368.2</v>
      </c>
      <c r="AC261" s="525"/>
      <c r="AD261" s="536">
        <v>1220.5999999999999</v>
      </c>
      <c r="AE261" s="760"/>
      <c r="AF261" s="525">
        <v>1024</v>
      </c>
      <c r="AG261" s="525"/>
      <c r="AH261" s="713">
        <v>874.3</v>
      </c>
      <c r="AI261" s="713"/>
      <c r="AJ261" s="713">
        <v>722.9</v>
      </c>
      <c r="AK261" s="713"/>
      <c r="AL261" s="713"/>
      <c r="AM261" s="713"/>
      <c r="AN261" s="713"/>
      <c r="AO261" s="713"/>
      <c r="AP261" s="713"/>
      <c r="AQ261" s="713"/>
      <c r="AR261" s="713"/>
      <c r="AS261" s="713"/>
      <c r="AT261" s="713"/>
      <c r="AU261" s="713"/>
      <c r="AV261" s="762"/>
      <c r="AW261" s="763"/>
      <c r="AX261" s="739"/>
      <c r="AY261" s="739"/>
      <c r="AZ261" s="739"/>
    </row>
    <row r="262" spans="1:52" s="741" customFormat="1">
      <c r="A262" s="182"/>
      <c r="B262" s="525" t="s">
        <v>2068</v>
      </c>
      <c r="C262" s="760"/>
      <c r="D262" s="760"/>
      <c r="E262" s="760"/>
      <c r="F262" s="760"/>
      <c r="G262" s="760"/>
      <c r="H262" s="760"/>
      <c r="I262" s="760"/>
      <c r="J262" s="760"/>
      <c r="K262" s="760"/>
      <c r="L262" s="760"/>
      <c r="M262" s="760"/>
      <c r="N262" s="760"/>
      <c r="O262" s="760"/>
      <c r="P262" s="760"/>
      <c r="Q262" s="760"/>
      <c r="R262" s="760"/>
      <c r="S262" s="760"/>
      <c r="T262" s="760"/>
      <c r="U262" s="760"/>
      <c r="V262" s="760"/>
      <c r="W262" s="760"/>
      <c r="X262" s="536">
        <v>1455.3</v>
      </c>
      <c r="Y262" s="526"/>
      <c r="Z262" s="536">
        <v>1118.5</v>
      </c>
      <c r="AA262" s="760"/>
      <c r="AB262" s="536">
        <v>1298.5</v>
      </c>
      <c r="AC262" s="525"/>
      <c r="AD262" s="536">
        <v>1346</v>
      </c>
      <c r="AE262" s="760"/>
      <c r="AF262" s="525">
        <v>1556</v>
      </c>
      <c r="AG262" s="525"/>
      <c r="AH262" s="713">
        <v>1209.9000000000001</v>
      </c>
      <c r="AI262" s="713"/>
      <c r="AJ262" s="713">
        <v>1434.9</v>
      </c>
      <c r="AK262" s="713"/>
      <c r="AL262" s="713"/>
      <c r="AM262" s="713"/>
      <c r="AN262" s="713"/>
      <c r="AO262" s="713"/>
      <c r="AP262" s="713"/>
      <c r="AQ262" s="713"/>
      <c r="AR262" s="713"/>
      <c r="AS262" s="713"/>
      <c r="AT262" s="713"/>
      <c r="AU262" s="713"/>
      <c r="AV262" s="762"/>
      <c r="AW262" s="763"/>
      <c r="AX262" s="739"/>
      <c r="AY262" s="739"/>
      <c r="AZ262" s="739"/>
    </row>
    <row r="263" spans="1:52" s="741" customFormat="1">
      <c r="A263" s="182"/>
      <c r="B263" s="527" t="s">
        <v>2069</v>
      </c>
      <c r="C263" s="760"/>
      <c r="D263" s="760"/>
      <c r="E263" s="760"/>
      <c r="F263" s="760"/>
      <c r="G263" s="760"/>
      <c r="H263" s="760"/>
      <c r="I263" s="760"/>
      <c r="J263" s="760"/>
      <c r="K263" s="760"/>
      <c r="L263" s="760"/>
      <c r="M263" s="760"/>
      <c r="N263" s="760"/>
      <c r="O263" s="760"/>
      <c r="P263" s="760"/>
      <c r="Q263" s="760"/>
      <c r="R263" s="760"/>
      <c r="S263" s="760"/>
      <c r="T263" s="760"/>
      <c r="U263" s="760"/>
      <c r="V263" s="760"/>
      <c r="W263" s="760"/>
      <c r="X263" s="527">
        <f>SUM(X259:X262)</f>
        <v>4944.5</v>
      </c>
      <c r="Y263" s="526"/>
      <c r="Z263" s="527">
        <f>SUM(Z259:Z262)</f>
        <v>4148.3999999999996</v>
      </c>
      <c r="AA263" s="760"/>
      <c r="AB263" s="527">
        <f>SUM(AB259:AB262)</f>
        <v>4362.3</v>
      </c>
      <c r="AC263" s="525"/>
      <c r="AD263" s="527">
        <f>SUM(AD259:AD262)</f>
        <v>4430.3</v>
      </c>
      <c r="AE263" s="760"/>
      <c r="AF263" s="527">
        <f>SUM(AF259:AF262)</f>
        <v>4716.8999999999996</v>
      </c>
      <c r="AG263" s="527"/>
      <c r="AH263" s="527">
        <f>SUM(AH259:AH262)</f>
        <v>4093.4</v>
      </c>
      <c r="AI263" s="713"/>
      <c r="AJ263" s="527">
        <f>SUM(AJ259:AJ262)</f>
        <v>4194.3999999999996</v>
      </c>
      <c r="AK263" s="713"/>
      <c r="AL263" s="713"/>
      <c r="AM263" s="713"/>
      <c r="AN263" s="713"/>
      <c r="AO263" s="713"/>
      <c r="AP263" s="713"/>
      <c r="AQ263" s="713"/>
      <c r="AR263" s="713"/>
      <c r="AS263" s="713"/>
      <c r="AT263" s="713"/>
      <c r="AU263" s="713"/>
      <c r="AV263" s="762"/>
      <c r="AW263" s="763"/>
      <c r="AX263" s="739"/>
      <c r="AY263" s="739"/>
      <c r="AZ263" s="739"/>
    </row>
    <row r="264" spans="1:52" s="741" customFormat="1">
      <c r="A264" s="182"/>
      <c r="B264" s="525"/>
      <c r="C264" s="760"/>
      <c r="D264" s="760"/>
      <c r="E264" s="760"/>
      <c r="F264" s="760"/>
      <c r="G264" s="760"/>
      <c r="H264" s="760"/>
      <c r="I264" s="760"/>
      <c r="J264" s="760"/>
      <c r="K264" s="760"/>
      <c r="L264" s="760"/>
      <c r="M264" s="760"/>
      <c r="N264" s="760"/>
      <c r="O264" s="760"/>
      <c r="P264" s="760"/>
      <c r="Q264" s="760"/>
      <c r="R264" s="760"/>
      <c r="S264" s="760"/>
      <c r="T264" s="760"/>
      <c r="U264" s="760"/>
      <c r="V264" s="760"/>
      <c r="W264" s="760"/>
      <c r="X264" s="526"/>
      <c r="Y264" s="526"/>
      <c r="Z264" s="526"/>
      <c r="AA264" s="760"/>
      <c r="AB264" s="526"/>
      <c r="AC264" s="525"/>
      <c r="AD264" s="526"/>
      <c r="AE264" s="760"/>
      <c r="AF264" s="526"/>
      <c r="AG264" s="526"/>
      <c r="AH264" s="766"/>
      <c r="AI264" s="766"/>
      <c r="AJ264" s="766"/>
      <c r="AK264" s="766"/>
      <c r="AL264" s="766"/>
      <c r="AM264" s="766"/>
      <c r="AN264" s="766"/>
      <c r="AO264" s="766"/>
      <c r="AP264" s="766"/>
      <c r="AQ264" s="766"/>
      <c r="AR264" s="766"/>
      <c r="AS264" s="766"/>
      <c r="AT264" s="766"/>
      <c r="AU264" s="766"/>
      <c r="AV264" s="739"/>
      <c r="AW264" s="763"/>
      <c r="AX264" s="739"/>
      <c r="AY264" s="739"/>
      <c r="AZ264" s="739"/>
    </row>
    <row r="265" spans="1:52" s="741" customFormat="1">
      <c r="A265" s="182"/>
      <c r="B265" s="524" t="s">
        <v>69</v>
      </c>
      <c r="C265" s="760"/>
      <c r="D265" s="760"/>
      <c r="E265" s="760"/>
      <c r="F265" s="760"/>
      <c r="G265" s="760"/>
      <c r="H265" s="760"/>
      <c r="I265" s="760"/>
      <c r="J265" s="760"/>
      <c r="K265" s="760"/>
      <c r="L265" s="760"/>
      <c r="M265" s="760"/>
      <c r="N265" s="760"/>
      <c r="O265" s="760"/>
      <c r="P265" s="760"/>
      <c r="Q265" s="760"/>
      <c r="R265" s="760"/>
      <c r="S265" s="760"/>
      <c r="T265" s="760"/>
      <c r="U265" s="760"/>
      <c r="V265" s="760"/>
      <c r="W265" s="760"/>
      <c r="X265" s="526"/>
      <c r="Y265" s="526"/>
      <c r="Z265" s="526"/>
      <c r="AA265" s="760"/>
      <c r="AB265" s="526"/>
      <c r="AC265" s="525"/>
      <c r="AD265" s="526"/>
      <c r="AE265" s="760"/>
      <c r="AF265" s="526"/>
      <c r="AG265" s="526"/>
      <c r="AH265" s="760"/>
      <c r="AI265" s="760"/>
      <c r="AJ265" s="760"/>
      <c r="AK265" s="760"/>
      <c r="AL265" s="760"/>
      <c r="AM265" s="760"/>
      <c r="AN265" s="760"/>
      <c r="AO265" s="760"/>
      <c r="AP265" s="760"/>
      <c r="AQ265" s="760"/>
      <c r="AR265" s="760"/>
      <c r="AS265" s="760"/>
      <c r="AT265" s="760"/>
      <c r="AU265" s="760"/>
      <c r="AV265" s="739"/>
      <c r="AW265" s="763"/>
      <c r="AX265" s="739"/>
      <c r="AY265" s="739"/>
      <c r="AZ265" s="739"/>
    </row>
    <row r="266" spans="1:52" s="741" customFormat="1">
      <c r="A266" s="182"/>
      <c r="B266" s="525" t="s">
        <v>2070</v>
      </c>
      <c r="C266" s="760"/>
      <c r="D266" s="760"/>
      <c r="E266" s="760"/>
      <c r="F266" s="760"/>
      <c r="G266" s="760"/>
      <c r="H266" s="760"/>
      <c r="I266" s="760"/>
      <c r="J266" s="760"/>
      <c r="K266" s="760"/>
      <c r="L266" s="760"/>
      <c r="M266" s="760"/>
      <c r="N266" s="760"/>
      <c r="O266" s="760"/>
      <c r="P266" s="760"/>
      <c r="Q266" s="760"/>
      <c r="R266" s="760"/>
      <c r="S266" s="760"/>
      <c r="T266" s="760"/>
      <c r="U266" s="760"/>
      <c r="V266" s="760"/>
      <c r="W266" s="760"/>
      <c r="X266" s="536">
        <v>4.8</v>
      </c>
      <c r="Y266" s="526"/>
      <c r="Z266" s="536">
        <v>0</v>
      </c>
      <c r="AA266" s="760"/>
      <c r="AB266" s="536">
        <v>15</v>
      </c>
      <c r="AC266" s="525"/>
      <c r="AD266" s="536">
        <v>0</v>
      </c>
      <c r="AE266" s="760"/>
      <c r="AF266" s="525">
        <v>0</v>
      </c>
      <c r="AG266" s="525"/>
      <c r="AH266" s="525">
        <v>0</v>
      </c>
      <c r="AI266" s="760"/>
      <c r="AJ266" s="525">
        <v>161</v>
      </c>
      <c r="AK266" s="760"/>
      <c r="AL266" s="760"/>
      <c r="AM266" s="760"/>
      <c r="AN266" s="760"/>
      <c r="AO266" s="760"/>
      <c r="AP266" s="760"/>
      <c r="AQ266" s="760"/>
      <c r="AR266" s="760"/>
      <c r="AS266" s="760"/>
      <c r="AT266" s="760"/>
      <c r="AU266" s="760"/>
      <c r="AV266" s="739"/>
      <c r="AW266" s="763"/>
      <c r="AX266" s="739"/>
      <c r="AY266" s="739"/>
      <c r="AZ266" s="739"/>
    </row>
    <row r="267" spans="1:52" s="741" customFormat="1">
      <c r="A267" s="182"/>
      <c r="B267" s="525" t="s">
        <v>2071</v>
      </c>
      <c r="C267" s="760"/>
      <c r="D267" s="760"/>
      <c r="E267" s="760"/>
      <c r="F267" s="760"/>
      <c r="G267" s="760"/>
      <c r="H267" s="760"/>
      <c r="I267" s="760"/>
      <c r="J267" s="760"/>
      <c r="K267" s="760"/>
      <c r="L267" s="760"/>
      <c r="M267" s="760"/>
      <c r="N267" s="760"/>
      <c r="O267" s="760"/>
      <c r="P267" s="760"/>
      <c r="Q267" s="760"/>
      <c r="R267" s="760"/>
      <c r="S267" s="760"/>
      <c r="T267" s="760"/>
      <c r="U267" s="760"/>
      <c r="V267" s="760"/>
      <c r="W267" s="760"/>
      <c r="X267" s="536">
        <v>23074.6</v>
      </c>
      <c r="Y267" s="526"/>
      <c r="Z267" s="536">
        <f>(2003.08-45.29)*10</f>
        <v>19577.900000000001</v>
      </c>
      <c r="AA267" s="760"/>
      <c r="AB267" s="536">
        <v>23101.5</v>
      </c>
      <c r="AC267" s="525"/>
      <c r="AD267" s="536">
        <v>19796</v>
      </c>
      <c r="AE267" s="760"/>
      <c r="AF267" s="525">
        <v>22788</v>
      </c>
      <c r="AG267" s="525"/>
      <c r="AH267" s="760">
        <v>21114</v>
      </c>
      <c r="AI267" s="760"/>
      <c r="AJ267" s="760">
        <v>24154.6</v>
      </c>
      <c r="AK267" s="760"/>
      <c r="AL267" s="760"/>
      <c r="AM267" s="760"/>
      <c r="AN267" s="760"/>
      <c r="AO267" s="760"/>
      <c r="AP267" s="760"/>
      <c r="AQ267" s="760"/>
      <c r="AR267" s="760"/>
      <c r="AS267" s="760"/>
      <c r="AT267" s="760"/>
      <c r="AU267" s="760"/>
      <c r="AV267" s="739"/>
      <c r="AW267" s="763"/>
      <c r="AX267" s="739"/>
      <c r="AY267" s="739"/>
      <c r="AZ267" s="739"/>
    </row>
    <row r="268" spans="1:52" s="741" customFormat="1">
      <c r="A268" s="182"/>
      <c r="B268" s="525" t="s">
        <v>2072</v>
      </c>
      <c r="C268" s="760"/>
      <c r="D268" s="760"/>
      <c r="E268" s="760"/>
      <c r="F268" s="760"/>
      <c r="G268" s="760"/>
      <c r="H268" s="760"/>
      <c r="I268" s="760"/>
      <c r="J268" s="760"/>
      <c r="K268" s="760"/>
      <c r="L268" s="760"/>
      <c r="M268" s="760"/>
      <c r="N268" s="760"/>
      <c r="O268" s="760"/>
      <c r="P268" s="760"/>
      <c r="Q268" s="760"/>
      <c r="R268" s="760"/>
      <c r="S268" s="760"/>
      <c r="T268" s="760"/>
      <c r="U268" s="760"/>
      <c r="V268" s="760"/>
      <c r="W268" s="760"/>
      <c r="X268" s="536">
        <f>(430.71-0.01)*10</f>
        <v>4307</v>
      </c>
      <c r="Y268" s="526"/>
      <c r="Z268" s="536">
        <f>(559.04+45.29)*10</f>
        <v>6043.2999999999993</v>
      </c>
      <c r="AA268" s="760"/>
      <c r="AB268" s="536">
        <v>6049.9</v>
      </c>
      <c r="AC268" s="525"/>
      <c r="AD268" s="536">
        <v>5461</v>
      </c>
      <c r="AE268" s="760"/>
      <c r="AF268" s="525">
        <v>5039</v>
      </c>
      <c r="AG268" s="525"/>
      <c r="AH268" s="760">
        <v>7661.4</v>
      </c>
      <c r="AI268" s="760"/>
      <c r="AJ268" s="760">
        <v>11295.9</v>
      </c>
      <c r="AK268" s="760"/>
      <c r="AL268" s="760"/>
      <c r="AM268" s="760"/>
      <c r="AN268" s="760"/>
      <c r="AO268" s="760"/>
      <c r="AP268" s="760"/>
      <c r="AQ268" s="760"/>
      <c r="AR268" s="760"/>
      <c r="AS268" s="760"/>
      <c r="AT268" s="760"/>
      <c r="AU268" s="760"/>
      <c r="AV268" s="739"/>
      <c r="AW268" s="763"/>
      <c r="AX268" s="739"/>
      <c r="AY268" s="739"/>
      <c r="AZ268" s="739"/>
    </row>
    <row r="269" spans="1:52" s="741" customFormat="1">
      <c r="A269" s="182"/>
      <c r="B269" s="525" t="s">
        <v>2073</v>
      </c>
      <c r="C269" s="760"/>
      <c r="D269" s="760"/>
      <c r="E269" s="760"/>
      <c r="F269" s="760"/>
      <c r="G269" s="760"/>
      <c r="H269" s="760"/>
      <c r="I269" s="760"/>
      <c r="J269" s="760"/>
      <c r="K269" s="760"/>
      <c r="L269" s="760"/>
      <c r="M269" s="760"/>
      <c r="N269" s="760"/>
      <c r="O269" s="760"/>
      <c r="P269" s="760"/>
      <c r="Q269" s="760"/>
      <c r="R269" s="760"/>
      <c r="S269" s="760"/>
      <c r="T269" s="760"/>
      <c r="U269" s="760"/>
      <c r="V269" s="760"/>
      <c r="W269" s="760"/>
      <c r="X269" s="536">
        <v>5252.4</v>
      </c>
      <c r="Y269" s="526"/>
      <c r="Z269" s="536">
        <v>20630.400000000001</v>
      </c>
      <c r="AA269" s="760"/>
      <c r="AB269" s="536">
        <v>4765.6000000000004</v>
      </c>
      <c r="AC269" s="525"/>
      <c r="AD269" s="536">
        <v>16078.6</v>
      </c>
      <c r="AE269" s="760"/>
      <c r="AF269" s="525">
        <v>4848.5</v>
      </c>
      <c r="AG269" s="525"/>
      <c r="AH269" s="760">
        <v>18527</v>
      </c>
      <c r="AI269" s="760"/>
      <c r="AJ269" s="760">
        <v>2472.4</v>
      </c>
      <c r="AK269" s="760"/>
      <c r="AL269" s="760"/>
      <c r="AM269" s="760"/>
      <c r="AN269" s="760"/>
      <c r="AO269" s="760"/>
      <c r="AP269" s="760"/>
      <c r="AQ269" s="760"/>
      <c r="AR269" s="760"/>
      <c r="AS269" s="760"/>
      <c r="AT269" s="760"/>
      <c r="AU269" s="760"/>
      <c r="AV269" s="739"/>
      <c r="AW269" s="763"/>
      <c r="AX269" s="739"/>
      <c r="AY269" s="739"/>
      <c r="AZ269" s="739"/>
    </row>
    <row r="270" spans="1:52" s="741" customFormat="1">
      <c r="A270" s="182"/>
      <c r="B270" s="527" t="s">
        <v>2074</v>
      </c>
      <c r="C270" s="760"/>
      <c r="D270" s="760"/>
      <c r="E270" s="760"/>
      <c r="F270" s="760"/>
      <c r="G270" s="760"/>
      <c r="H270" s="760"/>
      <c r="I270" s="760"/>
      <c r="J270" s="760"/>
      <c r="K270" s="760"/>
      <c r="L270" s="760"/>
      <c r="M270" s="760"/>
      <c r="N270" s="760"/>
      <c r="O270" s="760"/>
      <c r="P270" s="760"/>
      <c r="Q270" s="760"/>
      <c r="R270" s="760"/>
      <c r="S270" s="760"/>
      <c r="T270" s="760"/>
      <c r="U270" s="760"/>
      <c r="V270" s="760"/>
      <c r="W270" s="760"/>
      <c r="X270" s="527">
        <f>SUM(X266:X269)</f>
        <v>32638.799999999996</v>
      </c>
      <c r="Y270" s="526"/>
      <c r="Z270" s="527">
        <f>SUM(Z266:Z269)</f>
        <v>46251.600000000006</v>
      </c>
      <c r="AA270" s="760"/>
      <c r="AB270" s="527">
        <f>SUM(AB266:AB269)</f>
        <v>33932</v>
      </c>
      <c r="AC270" s="525"/>
      <c r="AD270" s="527">
        <f>SUM(AD266:AD269)</f>
        <v>41335.599999999999</v>
      </c>
      <c r="AE270" s="760"/>
      <c r="AF270" s="527">
        <f>SUM(AF266:AF269)</f>
        <v>32675.5</v>
      </c>
      <c r="AG270" s="527"/>
      <c r="AH270" s="527">
        <f>SUM(AH266:AH269)</f>
        <v>47302.400000000001</v>
      </c>
      <c r="AI270" s="760"/>
      <c r="AJ270" s="527">
        <f>SUM(AJ266:AJ269)</f>
        <v>38083.9</v>
      </c>
      <c r="AK270" s="760"/>
      <c r="AL270" s="760"/>
      <c r="AM270" s="760"/>
      <c r="AN270" s="760"/>
      <c r="AO270" s="760"/>
      <c r="AP270" s="760"/>
      <c r="AQ270" s="760"/>
      <c r="AR270" s="760"/>
      <c r="AS270" s="760"/>
      <c r="AT270" s="760"/>
      <c r="AU270" s="760"/>
      <c r="AV270" s="739"/>
      <c r="AW270" s="763"/>
      <c r="AX270" s="739"/>
      <c r="AY270" s="739"/>
      <c r="AZ270" s="739"/>
    </row>
    <row r="271" spans="1:52" s="741" customFormat="1">
      <c r="A271" s="182"/>
      <c r="B271" s="527" t="s">
        <v>2075</v>
      </c>
      <c r="C271" s="760"/>
      <c r="D271" s="760"/>
      <c r="E271" s="760"/>
      <c r="F271" s="760"/>
      <c r="G271" s="760"/>
      <c r="H271" s="760"/>
      <c r="I271" s="760"/>
      <c r="J271" s="760"/>
      <c r="K271" s="760"/>
      <c r="L271" s="760"/>
      <c r="M271" s="760"/>
      <c r="N271" s="760"/>
      <c r="O271" s="760"/>
      <c r="P271" s="760"/>
      <c r="Q271" s="760"/>
      <c r="R271" s="760"/>
      <c r="S271" s="760"/>
      <c r="T271" s="760"/>
      <c r="U271" s="760"/>
      <c r="V271" s="760"/>
      <c r="W271" s="760"/>
      <c r="X271" s="528">
        <f>+X254+X263+X270</f>
        <v>98614.599999999977</v>
      </c>
      <c r="Y271" s="526"/>
      <c r="Z271" s="528">
        <f>+Z254+Z263+Z270</f>
        <v>110810.70000000001</v>
      </c>
      <c r="AA271" s="760"/>
      <c r="AB271" s="528">
        <f>+AB254+AB263+AB270</f>
        <v>114677.9</v>
      </c>
      <c r="AC271" s="525"/>
      <c r="AD271" s="528">
        <f>+AD254+AD263+AD270</f>
        <v>124785.4</v>
      </c>
      <c r="AE271" s="760"/>
      <c r="AF271" s="528">
        <f>+AF254+AF263+AF270</f>
        <v>131163.09999999998</v>
      </c>
      <c r="AG271" s="528"/>
      <c r="AH271" s="528">
        <f>+AH254+AH263+AH270</f>
        <v>147476</v>
      </c>
      <c r="AI271" s="760"/>
      <c r="AJ271" s="528">
        <f>+AJ254+AJ263+AJ270</f>
        <v>152046.9</v>
      </c>
      <c r="AK271" s="760"/>
      <c r="AL271" s="760"/>
      <c r="AM271" s="760"/>
      <c r="AN271" s="760"/>
      <c r="AO271" s="760"/>
      <c r="AP271" s="760"/>
      <c r="AQ271" s="760"/>
      <c r="AR271" s="760"/>
      <c r="AS271" s="760"/>
      <c r="AT271" s="760"/>
      <c r="AU271" s="760"/>
      <c r="AV271" s="739"/>
      <c r="AW271" s="763"/>
      <c r="AX271" s="739"/>
      <c r="AY271" s="739"/>
      <c r="AZ271" s="739"/>
    </row>
    <row r="272" spans="1:52" s="741" customFormat="1">
      <c r="A272" s="182"/>
      <c r="B272" s="524" t="s">
        <v>166</v>
      </c>
      <c r="C272" s="760"/>
      <c r="D272" s="760"/>
      <c r="E272" s="760"/>
      <c r="F272" s="760"/>
      <c r="G272" s="760"/>
      <c r="H272" s="760"/>
      <c r="I272" s="760"/>
      <c r="J272" s="760"/>
      <c r="K272" s="760"/>
      <c r="L272" s="760"/>
      <c r="M272" s="760"/>
      <c r="N272" s="760"/>
      <c r="O272" s="760"/>
      <c r="P272" s="760"/>
      <c r="Q272" s="760"/>
      <c r="R272" s="760"/>
      <c r="S272" s="760"/>
      <c r="T272" s="760"/>
      <c r="U272" s="760"/>
      <c r="V272" s="760"/>
      <c r="W272" s="760"/>
      <c r="X272" s="526"/>
      <c r="Y272" s="526"/>
      <c r="Z272" s="526"/>
      <c r="AA272" s="760"/>
      <c r="AB272" s="526"/>
      <c r="AC272" s="525"/>
      <c r="AD272" s="526"/>
      <c r="AE272" s="760"/>
      <c r="AF272" s="526"/>
      <c r="AG272" s="526"/>
      <c r="AH272" s="760"/>
      <c r="AI272" s="760"/>
      <c r="AJ272" s="760"/>
      <c r="AK272" s="760"/>
      <c r="AL272" s="760"/>
      <c r="AM272" s="760"/>
      <c r="AN272" s="760"/>
      <c r="AO272" s="760"/>
      <c r="AP272" s="760"/>
      <c r="AQ272" s="760"/>
      <c r="AR272" s="760"/>
      <c r="AS272" s="760"/>
      <c r="AT272" s="760"/>
      <c r="AU272" s="760"/>
      <c r="AV272" s="739"/>
      <c r="AW272" s="763"/>
      <c r="AX272" s="739"/>
      <c r="AY272" s="739"/>
      <c r="AZ272" s="739"/>
    </row>
    <row r="273" spans="1:52" s="741" customFormat="1">
      <c r="A273" s="182"/>
      <c r="B273" s="525"/>
      <c r="C273" s="760"/>
      <c r="D273" s="760"/>
      <c r="E273" s="760"/>
      <c r="F273" s="760"/>
      <c r="G273" s="760"/>
      <c r="H273" s="760"/>
      <c r="I273" s="760"/>
      <c r="J273" s="760"/>
      <c r="K273" s="760"/>
      <c r="L273" s="760"/>
      <c r="M273" s="760"/>
      <c r="N273" s="760"/>
      <c r="O273" s="760"/>
      <c r="P273" s="760"/>
      <c r="Q273" s="760"/>
      <c r="R273" s="760"/>
      <c r="S273" s="760"/>
      <c r="T273" s="760"/>
      <c r="U273" s="760"/>
      <c r="V273" s="760"/>
      <c r="W273" s="760"/>
      <c r="X273" s="526"/>
      <c r="Y273" s="526"/>
      <c r="Z273" s="526"/>
      <c r="AA273" s="760"/>
      <c r="AB273" s="526"/>
      <c r="AC273" s="525"/>
      <c r="AD273" s="526"/>
      <c r="AE273" s="760"/>
      <c r="AF273" s="526"/>
      <c r="AG273" s="526"/>
      <c r="AH273" s="760"/>
      <c r="AI273" s="760"/>
      <c r="AJ273" s="760"/>
      <c r="AK273" s="760"/>
      <c r="AL273" s="760"/>
      <c r="AM273" s="760"/>
      <c r="AN273" s="760"/>
      <c r="AO273" s="760"/>
      <c r="AP273" s="760"/>
      <c r="AQ273" s="760"/>
      <c r="AR273" s="760"/>
      <c r="AS273" s="760"/>
      <c r="AT273" s="760"/>
      <c r="AU273" s="760"/>
      <c r="AV273" s="739"/>
      <c r="AW273" s="763"/>
      <c r="AX273" s="739"/>
      <c r="AY273" s="739"/>
      <c r="AZ273" s="739"/>
    </row>
    <row r="274" spans="1:52" s="741" customFormat="1">
      <c r="A274" s="182"/>
      <c r="B274" s="524" t="s">
        <v>2076</v>
      </c>
      <c r="C274" s="760"/>
      <c r="D274" s="760"/>
      <c r="E274" s="760"/>
      <c r="F274" s="760"/>
      <c r="G274" s="760"/>
      <c r="H274" s="760"/>
      <c r="I274" s="760"/>
      <c r="J274" s="760"/>
      <c r="K274" s="760"/>
      <c r="L274" s="760"/>
      <c r="M274" s="760"/>
      <c r="N274" s="760"/>
      <c r="O274" s="760"/>
      <c r="P274" s="760"/>
      <c r="Q274" s="760"/>
      <c r="R274" s="760"/>
      <c r="S274" s="760"/>
      <c r="T274" s="760"/>
      <c r="U274" s="760"/>
      <c r="V274" s="760"/>
      <c r="W274" s="760"/>
      <c r="X274" s="526"/>
      <c r="Y274" s="526"/>
      <c r="Z274" s="526"/>
      <c r="AA274" s="760"/>
      <c r="AB274" s="526"/>
      <c r="AC274" s="525"/>
      <c r="AD274" s="526"/>
      <c r="AE274" s="760"/>
      <c r="AF274" s="526"/>
      <c r="AG274" s="526"/>
      <c r="AH274" s="760"/>
      <c r="AI274" s="760"/>
      <c r="AJ274" s="760"/>
      <c r="AK274" s="760"/>
      <c r="AL274" s="760"/>
      <c r="AM274" s="760"/>
      <c r="AN274" s="760"/>
      <c r="AO274" s="760"/>
      <c r="AP274" s="760"/>
      <c r="AQ274" s="760"/>
      <c r="AR274" s="760"/>
      <c r="AS274" s="760"/>
      <c r="AT274" s="760"/>
      <c r="AU274" s="760"/>
      <c r="AV274" s="739"/>
      <c r="AW274" s="763"/>
      <c r="AX274" s="739"/>
      <c r="AY274" s="739"/>
      <c r="AZ274" s="739"/>
    </row>
    <row r="275" spans="1:52" s="741" customFormat="1">
      <c r="A275" s="182"/>
      <c r="B275" s="525" t="s">
        <v>2077</v>
      </c>
      <c r="C275" s="760"/>
      <c r="D275" s="760"/>
      <c r="E275" s="760"/>
      <c r="F275" s="760"/>
      <c r="G275" s="760"/>
      <c r="H275" s="760"/>
      <c r="I275" s="760"/>
      <c r="J275" s="760"/>
      <c r="K275" s="760"/>
      <c r="L275" s="760"/>
      <c r="M275" s="760"/>
      <c r="N275" s="760"/>
      <c r="O275" s="760"/>
      <c r="P275" s="760"/>
      <c r="Q275" s="760"/>
      <c r="R275" s="760"/>
      <c r="S275" s="760"/>
      <c r="T275" s="760"/>
      <c r="U275" s="760"/>
      <c r="V275" s="760"/>
      <c r="W275" s="760"/>
      <c r="X275" s="536">
        <f>(1424.35+10.85+80.33)*10</f>
        <v>15155.299999999997</v>
      </c>
      <c r="Y275" s="526"/>
      <c r="Z275" s="536">
        <v>15233.8</v>
      </c>
      <c r="AA275" s="760"/>
      <c r="AB275" s="536">
        <f>(1707.65+44.63+117.76)*10</f>
        <v>18700.400000000001</v>
      </c>
      <c r="AC275" s="525"/>
      <c r="AD275" s="536">
        <v>20979.8</v>
      </c>
      <c r="AE275" s="760"/>
      <c r="AF275" s="525">
        <v>21023</v>
      </c>
      <c r="AG275" s="525"/>
      <c r="AH275" s="760">
        <v>21501</v>
      </c>
      <c r="AI275" s="760"/>
      <c r="AJ275" s="760">
        <v>20743.8</v>
      </c>
      <c r="AK275" s="760"/>
      <c r="AL275" s="760"/>
      <c r="AM275" s="760"/>
      <c r="AN275" s="760"/>
      <c r="AO275" s="760"/>
      <c r="AP275" s="760"/>
      <c r="AQ275" s="760"/>
      <c r="AR275" s="760"/>
      <c r="AS275" s="760"/>
      <c r="AT275" s="760"/>
      <c r="AU275" s="760"/>
      <c r="AV275" s="739"/>
      <c r="AW275" s="763"/>
      <c r="AX275" s="739"/>
      <c r="AY275" s="739"/>
      <c r="AZ275" s="739"/>
    </row>
    <row r="276" spans="1:52" s="741" customFormat="1">
      <c r="A276" s="182"/>
      <c r="B276" s="525" t="s">
        <v>2078</v>
      </c>
      <c r="C276" s="760"/>
      <c r="D276" s="760"/>
      <c r="E276" s="760"/>
      <c r="F276" s="760"/>
      <c r="G276" s="760"/>
      <c r="H276" s="760"/>
      <c r="I276" s="760"/>
      <c r="J276" s="760"/>
      <c r="K276" s="760"/>
      <c r="L276" s="760"/>
      <c r="M276" s="760"/>
      <c r="N276" s="760"/>
      <c r="O276" s="760"/>
      <c r="P276" s="760"/>
      <c r="Q276" s="760"/>
      <c r="R276" s="760"/>
      <c r="S276" s="760"/>
      <c r="T276" s="760"/>
      <c r="U276" s="760"/>
      <c r="V276" s="760"/>
      <c r="W276" s="760"/>
      <c r="X276" s="526"/>
      <c r="Y276" s="526"/>
      <c r="Z276" s="526"/>
      <c r="AA276" s="760"/>
      <c r="AB276" s="526"/>
      <c r="AC276" s="525"/>
      <c r="AD276" s="526"/>
      <c r="AE276" s="760"/>
      <c r="AF276" s="526"/>
      <c r="AG276" s="526"/>
      <c r="AH276" s="760"/>
      <c r="AI276" s="760"/>
      <c r="AJ276" s="760"/>
      <c r="AK276" s="760"/>
      <c r="AL276" s="760"/>
      <c r="AM276" s="760"/>
      <c r="AN276" s="760"/>
      <c r="AO276" s="760"/>
      <c r="AP276" s="760"/>
      <c r="AQ276" s="760"/>
      <c r="AR276" s="760"/>
      <c r="AS276" s="760"/>
      <c r="AT276" s="760"/>
      <c r="AU276" s="760"/>
      <c r="AV276" s="739"/>
      <c r="AW276" s="763"/>
      <c r="AX276" s="739"/>
      <c r="AY276" s="739"/>
      <c r="AZ276" s="739"/>
    </row>
    <row r="277" spans="1:52" s="741" customFormat="1">
      <c r="A277" s="182"/>
      <c r="B277" s="525" t="s">
        <v>2079</v>
      </c>
      <c r="C277" s="760"/>
      <c r="D277" s="760"/>
      <c r="E277" s="760"/>
      <c r="F277" s="760"/>
      <c r="G277" s="760"/>
      <c r="H277" s="760"/>
      <c r="I277" s="760"/>
      <c r="J277" s="760"/>
      <c r="K277" s="760"/>
      <c r="L277" s="760"/>
      <c r="M277" s="760"/>
      <c r="N277" s="760"/>
      <c r="O277" s="760"/>
      <c r="P277" s="760"/>
      <c r="Q277" s="760"/>
      <c r="R277" s="760"/>
      <c r="S277" s="760"/>
      <c r="T277" s="760"/>
      <c r="U277" s="760"/>
      <c r="V277" s="760"/>
      <c r="W277" s="760"/>
      <c r="X277" s="536">
        <v>40469.199999999997</v>
      </c>
      <c r="Y277" s="526"/>
      <c r="Z277" s="536">
        <v>37862.1</v>
      </c>
      <c r="AA277" s="760"/>
      <c r="AB277" s="536">
        <v>38047.699999999997</v>
      </c>
      <c r="AC277" s="525"/>
      <c r="AD277" s="536">
        <v>37191.5</v>
      </c>
      <c r="AE277" s="760"/>
      <c r="AF277" s="525">
        <v>27973.7</v>
      </c>
      <c r="AG277" s="525"/>
      <c r="AH277" s="760">
        <v>62599.3</v>
      </c>
      <c r="AI277" s="760"/>
      <c r="AJ277" s="760">
        <v>23133.9</v>
      </c>
      <c r="AK277" s="760"/>
      <c r="AL277" s="760"/>
      <c r="AM277" s="760"/>
      <c r="AN277" s="760"/>
      <c r="AO277" s="760"/>
      <c r="AP277" s="760"/>
      <c r="AQ277" s="760"/>
      <c r="AR277" s="760"/>
      <c r="AS277" s="760"/>
      <c r="AT277" s="760"/>
      <c r="AU277" s="760"/>
      <c r="AV277" s="739"/>
      <c r="AW277" s="763"/>
      <c r="AX277" s="739"/>
      <c r="AY277" s="739"/>
      <c r="AZ277" s="739"/>
    </row>
    <row r="278" spans="1:52" s="741" customFormat="1">
      <c r="A278" s="182"/>
      <c r="B278" s="525" t="s">
        <v>2080</v>
      </c>
      <c r="C278" s="760"/>
      <c r="D278" s="760"/>
      <c r="E278" s="760"/>
      <c r="F278" s="760"/>
      <c r="G278" s="760"/>
      <c r="H278" s="760"/>
      <c r="I278" s="760"/>
      <c r="J278" s="760"/>
      <c r="K278" s="760"/>
      <c r="L278" s="760"/>
      <c r="M278" s="760"/>
      <c r="N278" s="760"/>
      <c r="O278" s="760"/>
      <c r="P278" s="760"/>
      <c r="Q278" s="760"/>
      <c r="R278" s="760"/>
      <c r="S278" s="760"/>
      <c r="T278" s="760"/>
      <c r="U278" s="760"/>
      <c r="V278" s="760"/>
      <c r="W278" s="760"/>
      <c r="X278" s="525"/>
      <c r="Y278" s="526"/>
      <c r="Z278" s="536">
        <v>0</v>
      </c>
      <c r="AA278" s="760"/>
      <c r="AB278" s="525"/>
      <c r="AC278" s="525"/>
      <c r="AD278" s="525"/>
      <c r="AE278" s="760"/>
      <c r="AF278" s="525"/>
      <c r="AG278" s="525"/>
      <c r="AH278" s="760"/>
      <c r="AI278" s="760"/>
      <c r="AJ278" s="760"/>
      <c r="AK278" s="760"/>
      <c r="AL278" s="760"/>
      <c r="AM278" s="760"/>
      <c r="AN278" s="760"/>
      <c r="AO278" s="760"/>
      <c r="AP278" s="760"/>
      <c r="AQ278" s="760"/>
      <c r="AR278" s="760"/>
      <c r="AS278" s="760"/>
      <c r="AT278" s="760"/>
      <c r="AU278" s="760"/>
      <c r="AV278" s="739"/>
      <c r="AW278" s="763"/>
      <c r="AX278" s="739"/>
      <c r="AY278" s="739"/>
      <c r="AZ278" s="739"/>
    </row>
    <row r="279" spans="1:52" s="741" customFormat="1">
      <c r="A279" s="182"/>
      <c r="B279" s="525" t="s">
        <v>2081</v>
      </c>
      <c r="C279" s="760"/>
      <c r="D279" s="760"/>
      <c r="E279" s="760"/>
      <c r="F279" s="760"/>
      <c r="G279" s="760"/>
      <c r="H279" s="760"/>
      <c r="I279" s="760"/>
      <c r="J279" s="760"/>
      <c r="K279" s="760"/>
      <c r="L279" s="760"/>
      <c r="M279" s="760"/>
      <c r="N279" s="760"/>
      <c r="O279" s="760"/>
      <c r="P279" s="760"/>
      <c r="Q279" s="760"/>
      <c r="R279" s="760"/>
      <c r="S279" s="760"/>
      <c r="T279" s="760"/>
      <c r="U279" s="760"/>
      <c r="V279" s="760"/>
      <c r="W279" s="760"/>
      <c r="X279" s="536">
        <v>2793</v>
      </c>
      <c r="Y279" s="526"/>
      <c r="Z279" s="536">
        <v>5799</v>
      </c>
      <c r="AA279" s="760"/>
      <c r="AB279" s="536">
        <v>5084.7</v>
      </c>
      <c r="AC279" s="525"/>
      <c r="AD279" s="536">
        <v>4623.8999999999996</v>
      </c>
      <c r="AE279" s="760"/>
      <c r="AF279" s="525">
        <v>5135</v>
      </c>
      <c r="AG279" s="525"/>
      <c r="AH279" s="760">
        <v>7199.2</v>
      </c>
      <c r="AI279" s="760"/>
      <c r="AJ279" s="760">
        <v>8038.2</v>
      </c>
      <c r="AK279" s="760"/>
      <c r="AL279" s="760"/>
      <c r="AM279" s="760"/>
      <c r="AN279" s="760"/>
      <c r="AO279" s="760"/>
      <c r="AP279" s="760"/>
      <c r="AQ279" s="760"/>
      <c r="AR279" s="760"/>
      <c r="AS279" s="760"/>
      <c r="AT279" s="760"/>
      <c r="AU279" s="760"/>
      <c r="AV279" s="739"/>
      <c r="AW279" s="763"/>
      <c r="AX279" s="739"/>
      <c r="AY279" s="739"/>
      <c r="AZ279" s="739"/>
    </row>
    <row r="280" spans="1:52" s="741" customFormat="1">
      <c r="A280" s="182"/>
      <c r="B280" s="525" t="s">
        <v>2082</v>
      </c>
      <c r="C280" s="760"/>
      <c r="D280" s="760"/>
      <c r="E280" s="760"/>
      <c r="F280" s="760"/>
      <c r="G280" s="760"/>
      <c r="H280" s="760"/>
      <c r="I280" s="760"/>
      <c r="J280" s="760"/>
      <c r="K280" s="760"/>
      <c r="L280" s="760"/>
      <c r="M280" s="760"/>
      <c r="N280" s="760"/>
      <c r="O280" s="760"/>
      <c r="P280" s="760"/>
      <c r="Q280" s="760"/>
      <c r="R280" s="760"/>
      <c r="S280" s="760"/>
      <c r="T280" s="760"/>
      <c r="U280" s="760"/>
      <c r="V280" s="760"/>
      <c r="W280" s="760"/>
      <c r="X280" s="536">
        <v>4018.2</v>
      </c>
      <c r="Y280" s="526"/>
      <c r="Z280" s="536">
        <v>14.3</v>
      </c>
      <c r="AA280" s="760"/>
      <c r="AB280" s="536">
        <f>(1.43+0.5)*10</f>
        <v>19.3</v>
      </c>
      <c r="AC280" s="525"/>
      <c r="AD280" s="536">
        <v>10.199999999999999</v>
      </c>
      <c r="AE280" s="760"/>
      <c r="AF280" s="525">
        <v>10.199999999999999</v>
      </c>
      <c r="AG280" s="525"/>
      <c r="AH280" s="760">
        <v>10.199999999999999</v>
      </c>
      <c r="AI280" s="760"/>
      <c r="AJ280" s="760">
        <v>10.4</v>
      </c>
      <c r="AK280" s="760"/>
      <c r="AL280" s="760"/>
      <c r="AM280" s="760"/>
      <c r="AN280" s="760"/>
      <c r="AO280" s="760"/>
      <c r="AP280" s="760"/>
      <c r="AQ280" s="760"/>
      <c r="AR280" s="760"/>
      <c r="AS280" s="760"/>
      <c r="AT280" s="760"/>
      <c r="AU280" s="760"/>
      <c r="AV280" s="739"/>
      <c r="AW280" s="763"/>
      <c r="AX280" s="739"/>
      <c r="AY280" s="739"/>
      <c r="AZ280" s="739"/>
    </row>
    <row r="281" spans="1:52" s="741" customFormat="1">
      <c r="A281" s="182"/>
      <c r="B281" s="527" t="s">
        <v>2083</v>
      </c>
      <c r="C281" s="760"/>
      <c r="D281" s="760"/>
      <c r="E281" s="760"/>
      <c r="F281" s="760"/>
      <c r="G281" s="760"/>
      <c r="H281" s="760"/>
      <c r="I281" s="760"/>
      <c r="J281" s="760"/>
      <c r="K281" s="760"/>
      <c r="L281" s="760"/>
      <c r="M281" s="760"/>
      <c r="N281" s="760"/>
      <c r="O281" s="760"/>
      <c r="P281" s="760"/>
      <c r="Q281" s="760"/>
      <c r="R281" s="760"/>
      <c r="S281" s="760"/>
      <c r="T281" s="760"/>
      <c r="U281" s="760"/>
      <c r="V281" s="760"/>
      <c r="W281" s="760"/>
      <c r="X281" s="527">
        <f>SUM(X275:X280)</f>
        <v>62435.69999999999</v>
      </c>
      <c r="Y281" s="526"/>
      <c r="Z281" s="527">
        <f>SUM(Z275:Z280)</f>
        <v>58909.2</v>
      </c>
      <c r="AA281" s="760"/>
      <c r="AB281" s="527">
        <f>SUM(AB275:AB280)</f>
        <v>61852.1</v>
      </c>
      <c r="AC281" s="525"/>
      <c r="AD281" s="527">
        <f>SUM(AD275:AD280)</f>
        <v>62805.4</v>
      </c>
      <c r="AE281" s="760"/>
      <c r="AF281" s="527">
        <f>SUM(AF275:AF280)</f>
        <v>54141.899999999994</v>
      </c>
      <c r="AG281" s="527"/>
      <c r="AH281" s="527">
        <f>SUM(AH275:AH280)</f>
        <v>91309.7</v>
      </c>
      <c r="AI281" s="760"/>
      <c r="AJ281" s="527">
        <f>SUM(AJ275:AJ280)</f>
        <v>51926.299999999996</v>
      </c>
      <c r="AK281" s="760"/>
      <c r="AL281" s="760"/>
      <c r="AM281" s="760"/>
      <c r="AN281" s="760"/>
      <c r="AO281" s="760"/>
      <c r="AP281" s="760"/>
      <c r="AQ281" s="760"/>
      <c r="AR281" s="760"/>
      <c r="AS281" s="760"/>
      <c r="AT281" s="760"/>
      <c r="AU281" s="760"/>
      <c r="AV281" s="739"/>
      <c r="AW281" s="763"/>
      <c r="AX281" s="739"/>
      <c r="AY281" s="739"/>
      <c r="AZ281" s="739"/>
    </row>
    <row r="282" spans="1:52" s="741" customFormat="1">
      <c r="A282" s="182"/>
      <c r="B282" s="525"/>
      <c r="C282" s="760"/>
      <c r="D282" s="760"/>
      <c r="E282" s="760"/>
      <c r="F282" s="760"/>
      <c r="G282" s="760"/>
      <c r="H282" s="760"/>
      <c r="I282" s="760"/>
      <c r="J282" s="760"/>
      <c r="K282" s="760"/>
      <c r="L282" s="760"/>
      <c r="M282" s="760"/>
      <c r="N282" s="760"/>
      <c r="O282" s="760"/>
      <c r="P282" s="760"/>
      <c r="Q282" s="760"/>
      <c r="R282" s="760"/>
      <c r="S282" s="760"/>
      <c r="T282" s="760"/>
      <c r="U282" s="760"/>
      <c r="V282" s="760"/>
      <c r="W282" s="760"/>
      <c r="X282" s="526"/>
      <c r="Y282" s="526"/>
      <c r="Z282" s="526"/>
      <c r="AA282" s="760"/>
      <c r="AB282" s="526"/>
      <c r="AC282" s="525"/>
      <c r="AD282" s="526"/>
      <c r="AE282" s="760"/>
      <c r="AF282" s="526"/>
      <c r="AG282" s="526"/>
      <c r="AH282" s="760"/>
      <c r="AI282" s="760"/>
      <c r="AJ282" s="760"/>
      <c r="AK282" s="760"/>
      <c r="AL282" s="760"/>
      <c r="AM282" s="760"/>
      <c r="AN282" s="760"/>
      <c r="AO282" s="760"/>
      <c r="AP282" s="760"/>
      <c r="AQ282" s="760"/>
      <c r="AR282" s="760"/>
      <c r="AS282" s="760"/>
      <c r="AT282" s="760"/>
      <c r="AU282" s="760"/>
      <c r="AV282" s="739"/>
      <c r="AW282" s="763"/>
      <c r="AX282" s="739"/>
      <c r="AY282" s="739"/>
      <c r="AZ282" s="739"/>
    </row>
    <row r="283" spans="1:52" s="741" customFormat="1">
      <c r="A283" s="182"/>
      <c r="B283" s="524" t="s">
        <v>699</v>
      </c>
      <c r="C283" s="760"/>
      <c r="D283" s="760"/>
      <c r="E283" s="760"/>
      <c r="F283" s="760"/>
      <c r="G283" s="760"/>
      <c r="H283" s="760"/>
      <c r="I283" s="760"/>
      <c r="J283" s="760"/>
      <c r="K283" s="760"/>
      <c r="L283" s="760"/>
      <c r="M283" s="760"/>
      <c r="N283" s="760"/>
      <c r="O283" s="760"/>
      <c r="P283" s="760"/>
      <c r="Q283" s="760"/>
      <c r="R283" s="760"/>
      <c r="S283" s="760"/>
      <c r="T283" s="760"/>
      <c r="U283" s="760"/>
      <c r="V283" s="760"/>
      <c r="W283" s="760"/>
      <c r="X283" s="526"/>
      <c r="Y283" s="526"/>
      <c r="Z283" s="526"/>
      <c r="AA283" s="760"/>
      <c r="AB283" s="526"/>
      <c r="AC283" s="525"/>
      <c r="AD283" s="526"/>
      <c r="AE283" s="760"/>
      <c r="AF283" s="526"/>
      <c r="AG283" s="526"/>
      <c r="AH283" s="760"/>
      <c r="AI283" s="760"/>
      <c r="AJ283" s="760"/>
      <c r="AK283" s="760"/>
      <c r="AL283" s="760"/>
      <c r="AM283" s="760"/>
      <c r="AN283" s="760"/>
      <c r="AO283" s="760"/>
      <c r="AP283" s="760"/>
      <c r="AQ283" s="760"/>
      <c r="AR283" s="760"/>
      <c r="AS283" s="760"/>
      <c r="AT283" s="760"/>
      <c r="AU283" s="760"/>
      <c r="AV283" s="739"/>
      <c r="AW283" s="763"/>
      <c r="AX283" s="739"/>
      <c r="AY283" s="739"/>
      <c r="AZ283" s="739"/>
    </row>
    <row r="284" spans="1:52" s="741" customFormat="1">
      <c r="A284" s="182"/>
      <c r="B284" s="525" t="s">
        <v>2084</v>
      </c>
      <c r="C284" s="760"/>
      <c r="D284" s="760"/>
      <c r="E284" s="760"/>
      <c r="F284" s="760"/>
      <c r="G284" s="760"/>
      <c r="H284" s="760"/>
      <c r="I284" s="760"/>
      <c r="J284" s="760"/>
      <c r="K284" s="760"/>
      <c r="L284" s="760"/>
      <c r="M284" s="760"/>
      <c r="N284" s="760"/>
      <c r="O284" s="760"/>
      <c r="P284" s="760"/>
      <c r="Q284" s="760"/>
      <c r="R284" s="760"/>
      <c r="S284" s="760"/>
      <c r="T284" s="760"/>
      <c r="U284" s="760"/>
      <c r="V284" s="760"/>
      <c r="W284" s="760"/>
      <c r="X284" s="536">
        <v>5619.7</v>
      </c>
      <c r="Y284" s="526"/>
      <c r="Z284" s="536">
        <v>10966</v>
      </c>
      <c r="AA284" s="760"/>
      <c r="AB284" s="536">
        <v>13706.2</v>
      </c>
      <c r="AC284" s="525"/>
      <c r="AD284" s="536">
        <v>27113.3</v>
      </c>
      <c r="AE284" s="760"/>
      <c r="AF284" s="525">
        <v>48560.5</v>
      </c>
      <c r="AG284" s="525"/>
      <c r="AH284" s="760">
        <v>22897</v>
      </c>
      <c r="AI284" s="760"/>
      <c r="AJ284" s="760">
        <v>71048.800000000003</v>
      </c>
      <c r="AK284" s="760"/>
      <c r="AL284" s="760"/>
      <c r="AM284" s="760"/>
      <c r="AN284" s="760"/>
      <c r="AO284" s="760"/>
      <c r="AP284" s="760"/>
      <c r="AQ284" s="760"/>
      <c r="AR284" s="760"/>
      <c r="AS284" s="760"/>
      <c r="AT284" s="760"/>
      <c r="AU284" s="760"/>
      <c r="AV284" s="739"/>
      <c r="AW284" s="763"/>
      <c r="AX284" s="739"/>
      <c r="AY284" s="739"/>
      <c r="AZ284" s="739"/>
    </row>
    <row r="285" spans="1:52" s="741" customFormat="1">
      <c r="A285" s="182"/>
      <c r="B285" s="525" t="s">
        <v>2085</v>
      </c>
      <c r="C285" s="760"/>
      <c r="D285" s="760"/>
      <c r="E285" s="760"/>
      <c r="F285" s="760"/>
      <c r="G285" s="760"/>
      <c r="H285" s="760"/>
      <c r="I285" s="760"/>
      <c r="J285" s="760"/>
      <c r="K285" s="760"/>
      <c r="L285" s="760"/>
      <c r="M285" s="760"/>
      <c r="N285" s="760"/>
      <c r="O285" s="760"/>
      <c r="P285" s="760"/>
      <c r="Q285" s="760"/>
      <c r="R285" s="760"/>
      <c r="S285" s="760"/>
      <c r="T285" s="760"/>
      <c r="U285" s="760"/>
      <c r="V285" s="760"/>
      <c r="W285" s="760"/>
      <c r="X285" s="536">
        <v>4855.6000000000004</v>
      </c>
      <c r="Y285" s="526"/>
      <c r="Z285" s="536">
        <v>6785.3</v>
      </c>
      <c r="AA285" s="760"/>
      <c r="AB285" s="536">
        <v>6305.1</v>
      </c>
      <c r="AC285" s="525"/>
      <c r="AD285" s="536">
        <v>6362.8</v>
      </c>
      <c r="AE285" s="760"/>
      <c r="AF285" s="525">
        <v>5617.7</v>
      </c>
      <c r="AG285" s="525"/>
      <c r="AH285" s="760">
        <v>6397.2</v>
      </c>
      <c r="AI285" s="760"/>
      <c r="AJ285" s="760">
        <v>6016.7</v>
      </c>
      <c r="AK285" s="760"/>
      <c r="AL285" s="760"/>
      <c r="AM285" s="760"/>
      <c r="AN285" s="760"/>
      <c r="AO285" s="760"/>
      <c r="AP285" s="760"/>
      <c r="AQ285" s="760"/>
      <c r="AR285" s="760"/>
      <c r="AS285" s="760"/>
      <c r="AT285" s="760"/>
      <c r="AU285" s="760"/>
      <c r="AV285" s="739"/>
      <c r="AW285" s="763"/>
      <c r="AX285" s="739"/>
      <c r="AY285" s="739"/>
      <c r="AZ285" s="739"/>
    </row>
    <row r="286" spans="1:52" s="741" customFormat="1">
      <c r="A286" s="182"/>
      <c r="B286" s="525" t="s">
        <v>2086</v>
      </c>
      <c r="C286" s="760"/>
      <c r="D286" s="760"/>
      <c r="E286" s="760"/>
      <c r="F286" s="760"/>
      <c r="G286" s="760"/>
      <c r="H286" s="760"/>
      <c r="I286" s="760"/>
      <c r="J286" s="760"/>
      <c r="K286" s="760"/>
      <c r="L286" s="760"/>
      <c r="M286" s="760"/>
      <c r="N286" s="760"/>
      <c r="O286" s="760"/>
      <c r="P286" s="760"/>
      <c r="Q286" s="760"/>
      <c r="R286" s="760"/>
      <c r="S286" s="760"/>
      <c r="T286" s="760"/>
      <c r="U286" s="760"/>
      <c r="V286" s="760"/>
      <c r="W286" s="760"/>
      <c r="X286" s="536">
        <v>7272.6</v>
      </c>
      <c r="Y286" s="526"/>
      <c r="Z286" s="536">
        <v>4227.8999999999996</v>
      </c>
      <c r="AA286" s="760"/>
      <c r="AB286" s="536">
        <f>(800.43-0.5)*10</f>
        <v>7999.2999999999993</v>
      </c>
      <c r="AC286" s="525"/>
      <c r="AD286" s="536">
        <v>7675.8</v>
      </c>
      <c r="AE286" s="760"/>
      <c r="AF286" s="525">
        <v>9595</v>
      </c>
      <c r="AG286" s="525"/>
      <c r="AH286" s="760">
        <v>7962.1</v>
      </c>
      <c r="AI286" s="760"/>
      <c r="AJ286" s="760">
        <v>9721.7000000000007</v>
      </c>
      <c r="AK286" s="760"/>
      <c r="AL286" s="760"/>
      <c r="AM286" s="760"/>
      <c r="AN286" s="760"/>
      <c r="AO286" s="760"/>
      <c r="AP286" s="760"/>
      <c r="AQ286" s="760"/>
      <c r="AR286" s="760"/>
      <c r="AS286" s="760"/>
      <c r="AT286" s="760"/>
      <c r="AU286" s="760"/>
      <c r="AV286" s="739"/>
      <c r="AW286" s="763"/>
      <c r="AX286" s="739"/>
      <c r="AY286" s="739"/>
      <c r="AZ286" s="739"/>
    </row>
    <row r="287" spans="1:52" s="741" customFormat="1">
      <c r="A287" s="182"/>
      <c r="B287" s="525" t="s">
        <v>2087</v>
      </c>
      <c r="C287" s="760"/>
      <c r="D287" s="760"/>
      <c r="E287" s="760"/>
      <c r="F287" s="760"/>
      <c r="G287" s="760"/>
      <c r="H287" s="760"/>
      <c r="I287" s="760"/>
      <c r="J287" s="760"/>
      <c r="K287" s="760"/>
      <c r="L287" s="760"/>
      <c r="M287" s="760"/>
      <c r="N287" s="760"/>
      <c r="O287" s="760"/>
      <c r="P287" s="760"/>
      <c r="Q287" s="760"/>
      <c r="R287" s="760"/>
      <c r="S287" s="760"/>
      <c r="T287" s="760"/>
      <c r="U287" s="760"/>
      <c r="V287" s="760"/>
      <c r="W287" s="760"/>
      <c r="X287" s="536">
        <v>5018.3999999999996</v>
      </c>
      <c r="Y287" s="526"/>
      <c r="Z287" s="536">
        <v>16538.3</v>
      </c>
      <c r="AA287" s="760"/>
      <c r="AB287" s="536">
        <v>6400.4</v>
      </c>
      <c r="AC287" s="525"/>
      <c r="AD287" s="536">
        <v>5588.5</v>
      </c>
      <c r="AE287" s="760"/>
      <c r="AF287" s="525">
        <v>1555</v>
      </c>
      <c r="AG287" s="525"/>
      <c r="AH287" s="760">
        <v>4954.8</v>
      </c>
      <c r="AI287" s="760"/>
      <c r="AJ287" s="760">
        <v>1954.9</v>
      </c>
      <c r="AK287" s="760"/>
      <c r="AL287" s="760"/>
      <c r="AM287" s="760"/>
      <c r="AN287" s="760"/>
      <c r="AO287" s="760"/>
      <c r="AP287" s="760"/>
      <c r="AQ287" s="760"/>
      <c r="AR287" s="760"/>
      <c r="AS287" s="760"/>
      <c r="AT287" s="760"/>
      <c r="AU287" s="760"/>
      <c r="AV287" s="739"/>
      <c r="AW287" s="763"/>
      <c r="AX287" s="739"/>
      <c r="AY287" s="739"/>
      <c r="AZ287" s="739"/>
    </row>
    <row r="288" spans="1:52" s="741" customFormat="1">
      <c r="A288" s="182"/>
      <c r="B288" s="525" t="s">
        <v>2088</v>
      </c>
      <c r="C288" s="760"/>
      <c r="D288" s="760"/>
      <c r="E288" s="760"/>
      <c r="F288" s="760"/>
      <c r="G288" s="760"/>
      <c r="H288" s="760"/>
      <c r="I288" s="760"/>
      <c r="J288" s="760"/>
      <c r="K288" s="760"/>
      <c r="L288" s="760"/>
      <c r="M288" s="760"/>
      <c r="N288" s="760"/>
      <c r="O288" s="760"/>
      <c r="P288" s="760"/>
      <c r="Q288" s="760"/>
      <c r="R288" s="760"/>
      <c r="S288" s="760"/>
      <c r="T288" s="760"/>
      <c r="U288" s="760"/>
      <c r="V288" s="760"/>
      <c r="W288" s="760"/>
      <c r="X288" s="536">
        <v>8786.2000000000007</v>
      </c>
      <c r="Y288" s="526"/>
      <c r="Z288" s="536">
        <v>10428.1</v>
      </c>
      <c r="AA288" s="760"/>
      <c r="AB288" s="536">
        <f>(1535.71)*10</f>
        <v>15357.1</v>
      </c>
      <c r="AC288" s="525"/>
      <c r="AD288" s="536">
        <v>13117</v>
      </c>
      <c r="AE288" s="760"/>
      <c r="AF288" s="525">
        <v>9157.5</v>
      </c>
      <c r="AG288" s="525"/>
      <c r="AH288" s="760">
        <v>9784.5</v>
      </c>
      <c r="AI288" s="760"/>
      <c r="AJ288" s="760">
        <v>8771.6</v>
      </c>
      <c r="AK288" s="760"/>
      <c r="AL288" s="760"/>
      <c r="AM288" s="760"/>
      <c r="AN288" s="760"/>
      <c r="AO288" s="760"/>
      <c r="AP288" s="760"/>
      <c r="AQ288" s="760"/>
      <c r="AR288" s="760"/>
      <c r="AS288" s="760"/>
      <c r="AT288" s="760"/>
      <c r="AU288" s="760"/>
      <c r="AV288" s="739"/>
      <c r="AW288" s="763"/>
      <c r="AX288" s="739"/>
      <c r="AY288" s="739"/>
      <c r="AZ288" s="739"/>
    </row>
    <row r="289" spans="1:59" s="741" customFormat="1">
      <c r="A289" s="182"/>
      <c r="B289" s="525" t="s">
        <v>2089</v>
      </c>
      <c r="C289" s="760"/>
      <c r="D289" s="760"/>
      <c r="E289" s="760"/>
      <c r="F289" s="760"/>
      <c r="G289" s="760"/>
      <c r="H289" s="760"/>
      <c r="I289" s="760"/>
      <c r="J289" s="760"/>
      <c r="K289" s="760"/>
      <c r="L289" s="760"/>
      <c r="M289" s="760"/>
      <c r="N289" s="760"/>
      <c r="O289" s="760"/>
      <c r="P289" s="760"/>
      <c r="Q289" s="760"/>
      <c r="R289" s="760"/>
      <c r="S289" s="760"/>
      <c r="T289" s="760"/>
      <c r="U289" s="760"/>
      <c r="V289" s="760"/>
      <c r="W289" s="760"/>
      <c r="X289" s="536">
        <v>4626.3999999999996</v>
      </c>
      <c r="Y289" s="526"/>
      <c r="Z289" s="536">
        <v>2955.9</v>
      </c>
      <c r="AA289" s="760"/>
      <c r="AB289" s="536">
        <v>3057.7</v>
      </c>
      <c r="AC289" s="525"/>
      <c r="AD289" s="536">
        <v>2123.1999999999998</v>
      </c>
      <c r="AE289" s="760"/>
      <c r="AF289" s="525">
        <v>2535.4</v>
      </c>
      <c r="AG289" s="525"/>
      <c r="AH289" s="760">
        <v>4170.7</v>
      </c>
      <c r="AI289" s="760"/>
      <c r="AJ289" s="760">
        <v>2606.9</v>
      </c>
      <c r="AK289" s="760"/>
      <c r="AL289" s="760"/>
      <c r="AM289" s="760"/>
      <c r="AN289" s="760"/>
      <c r="AO289" s="760"/>
      <c r="AP289" s="760"/>
      <c r="AQ289" s="760"/>
      <c r="AR289" s="760"/>
      <c r="AS289" s="760"/>
      <c r="AT289" s="760"/>
      <c r="AU289" s="760"/>
      <c r="AV289" s="739"/>
      <c r="AW289" s="763"/>
      <c r="AX289" s="739"/>
      <c r="AY289" s="739"/>
      <c r="AZ289" s="739"/>
    </row>
    <row r="290" spans="1:59" s="741" customFormat="1">
      <c r="A290" s="182"/>
      <c r="B290" s="527" t="s">
        <v>2090</v>
      </c>
      <c r="C290" s="760"/>
      <c r="D290" s="760"/>
      <c r="E290" s="760"/>
      <c r="F290" s="760"/>
      <c r="G290" s="760"/>
      <c r="H290" s="760"/>
      <c r="I290" s="760"/>
      <c r="J290" s="760"/>
      <c r="K290" s="760"/>
      <c r="L290" s="760"/>
      <c r="M290" s="760"/>
      <c r="N290" s="760"/>
      <c r="O290" s="760"/>
      <c r="P290" s="760"/>
      <c r="Q290" s="760"/>
      <c r="R290" s="760"/>
      <c r="S290" s="760"/>
      <c r="T290" s="760"/>
      <c r="U290" s="760"/>
      <c r="V290" s="760"/>
      <c r="W290" s="760"/>
      <c r="X290" s="527">
        <f>SUM(X284:X289)</f>
        <v>36178.9</v>
      </c>
      <c r="Y290" s="526"/>
      <c r="Z290" s="527">
        <f>SUM(Z284:Z289)</f>
        <v>51901.5</v>
      </c>
      <c r="AA290" s="760"/>
      <c r="AB290" s="527">
        <f>SUM(AB284:AB289)</f>
        <v>52825.799999999996</v>
      </c>
      <c r="AC290" s="525"/>
      <c r="AD290" s="527">
        <f>SUM(AD284:AD289)</f>
        <v>61980.6</v>
      </c>
      <c r="AE290" s="760"/>
      <c r="AF290" s="527">
        <f>SUM(AF284:AF289)</f>
        <v>77021.099999999991</v>
      </c>
      <c r="AG290" s="527"/>
      <c r="AH290" s="527">
        <f>SUM(AH284:AH289)</f>
        <v>56166.3</v>
      </c>
      <c r="AI290" s="760"/>
      <c r="AJ290" s="527">
        <f>SUM(AJ284:AJ289)</f>
        <v>100120.59999999999</v>
      </c>
      <c r="AK290" s="760"/>
      <c r="AL290" s="760"/>
      <c r="AM290" s="760"/>
      <c r="AN290" s="760"/>
      <c r="AO290" s="760"/>
      <c r="AP290" s="760"/>
      <c r="AQ290" s="760"/>
      <c r="AR290" s="760"/>
      <c r="AS290" s="760"/>
      <c r="AT290" s="760"/>
      <c r="AU290" s="760"/>
      <c r="AV290" s="739"/>
      <c r="AW290" s="763"/>
      <c r="AX290" s="739"/>
      <c r="AY290" s="739"/>
      <c r="AZ290" s="739"/>
    </row>
    <row r="291" spans="1:59" s="741" customFormat="1">
      <c r="A291" s="182"/>
      <c r="B291" s="527" t="s">
        <v>2091</v>
      </c>
      <c r="C291" s="760"/>
      <c r="D291" s="760"/>
      <c r="E291" s="760"/>
      <c r="F291" s="760"/>
      <c r="G291" s="760"/>
      <c r="H291" s="760"/>
      <c r="I291" s="760"/>
      <c r="J291" s="760"/>
      <c r="K291" s="760"/>
      <c r="L291" s="760"/>
      <c r="M291" s="760"/>
      <c r="N291" s="760"/>
      <c r="O291" s="760"/>
      <c r="P291" s="760"/>
      <c r="Q291" s="760"/>
      <c r="R291" s="760"/>
      <c r="S291" s="760"/>
      <c r="T291" s="760"/>
      <c r="U291" s="760"/>
      <c r="V291" s="760"/>
      <c r="W291" s="760"/>
      <c r="X291" s="528">
        <f>+X281+X290</f>
        <v>98614.599999999991</v>
      </c>
      <c r="Y291" s="526"/>
      <c r="Z291" s="528">
        <f>+Z281+Z290</f>
        <v>110810.7</v>
      </c>
      <c r="AA291" s="760"/>
      <c r="AB291" s="528">
        <f>+AB281+AB290</f>
        <v>114677.9</v>
      </c>
      <c r="AC291" s="525"/>
      <c r="AD291" s="528">
        <f>+AD281+AD290</f>
        <v>124786</v>
      </c>
      <c r="AE291" s="760"/>
      <c r="AF291" s="528">
        <f>+AF281+AF290</f>
        <v>131163</v>
      </c>
      <c r="AG291" s="528"/>
      <c r="AH291" s="528">
        <f>+AH281+AH290</f>
        <v>147476</v>
      </c>
      <c r="AI291" s="760"/>
      <c r="AJ291" s="528">
        <f>+AJ281+AJ290</f>
        <v>152046.9</v>
      </c>
      <c r="AK291" s="760"/>
      <c r="AL291" s="760"/>
      <c r="AM291" s="760"/>
      <c r="AN291" s="760"/>
      <c r="AO291" s="760"/>
      <c r="AP291" s="760"/>
      <c r="AQ291" s="760"/>
      <c r="AR291" s="760"/>
      <c r="AS291" s="760"/>
      <c r="AT291" s="760"/>
      <c r="AU291" s="760"/>
      <c r="AV291" s="739"/>
      <c r="AW291" s="763"/>
      <c r="AX291" s="739"/>
      <c r="AY291" s="739"/>
      <c r="AZ291" s="739"/>
    </row>
    <row r="292" spans="1:59" s="741" customFormat="1">
      <c r="A292" s="182"/>
      <c r="B292" s="525"/>
      <c r="C292" s="760"/>
      <c r="D292" s="760"/>
      <c r="E292" s="760"/>
      <c r="F292" s="760"/>
      <c r="G292" s="760"/>
      <c r="H292" s="760"/>
      <c r="I292" s="760"/>
      <c r="J292" s="760"/>
      <c r="K292" s="760"/>
      <c r="L292" s="760"/>
      <c r="M292" s="760"/>
      <c r="N292" s="760"/>
      <c r="O292" s="760"/>
      <c r="P292" s="760"/>
      <c r="Q292" s="760"/>
      <c r="R292" s="760"/>
      <c r="S292" s="760"/>
      <c r="T292" s="760"/>
      <c r="U292" s="760"/>
      <c r="V292" s="760"/>
      <c r="W292" s="760"/>
      <c r="X292" s="526">
        <f>+X271-X291</f>
        <v>0</v>
      </c>
      <c r="Y292" s="526"/>
      <c r="Z292" s="526">
        <f>+Z271-Z291</f>
        <v>0</v>
      </c>
      <c r="AA292" s="760"/>
      <c r="AB292" s="526">
        <f>+AB271-AB291</f>
        <v>0</v>
      </c>
      <c r="AC292" s="525"/>
      <c r="AD292" s="526">
        <f>+AD271-AD291</f>
        <v>-0.60000000000582077</v>
      </c>
      <c r="AE292" s="760"/>
      <c r="AF292" s="526">
        <f>+AF271-AF291</f>
        <v>9.9999999976716936E-2</v>
      </c>
      <c r="AG292" s="526"/>
      <c r="AH292" s="760"/>
      <c r="AI292" s="760"/>
      <c r="AJ292" s="760"/>
      <c r="AK292" s="760"/>
      <c r="AL292" s="760"/>
      <c r="AM292" s="760"/>
      <c r="AN292" s="760"/>
      <c r="AO292" s="760"/>
      <c r="AP292" s="760"/>
      <c r="AQ292" s="760"/>
      <c r="AR292" s="760"/>
      <c r="AS292" s="760"/>
      <c r="AT292" s="760"/>
      <c r="AU292" s="760"/>
      <c r="AV292" s="739"/>
      <c r="AW292" s="763"/>
      <c r="AX292" s="739"/>
      <c r="AY292" s="739"/>
      <c r="AZ292" s="739"/>
    </row>
    <row r="293" spans="1:59" s="741" customFormat="1">
      <c r="A293" s="182"/>
      <c r="B293" s="529"/>
      <c r="C293" s="760"/>
      <c r="D293" s="760"/>
      <c r="E293" s="760"/>
      <c r="F293" s="760"/>
      <c r="G293" s="760"/>
      <c r="H293" s="760"/>
      <c r="I293" s="760"/>
      <c r="J293" s="760"/>
      <c r="K293" s="760"/>
      <c r="L293" s="760"/>
      <c r="M293" s="760"/>
      <c r="N293" s="760"/>
      <c r="O293" s="760"/>
      <c r="P293" s="760"/>
      <c r="Q293" s="760"/>
      <c r="R293" s="760"/>
      <c r="S293" s="760"/>
      <c r="T293" s="760"/>
      <c r="U293" s="760"/>
      <c r="V293" s="760"/>
      <c r="W293" s="760"/>
      <c r="X293" s="530"/>
      <c r="Y293" s="530"/>
      <c r="Z293" s="530"/>
      <c r="AA293" s="760"/>
      <c r="AB293" s="530"/>
      <c r="AC293" s="530"/>
      <c r="AD293" s="530"/>
      <c r="AE293" s="760"/>
      <c r="AF293" s="530"/>
      <c r="AG293" s="530"/>
      <c r="AH293" s="760"/>
      <c r="AI293" s="760"/>
      <c r="AJ293" s="760"/>
      <c r="AK293" s="760"/>
      <c r="AL293" s="760"/>
      <c r="AM293" s="760"/>
      <c r="AN293" s="760"/>
      <c r="AO293" s="760"/>
      <c r="AP293" s="760"/>
      <c r="AQ293" s="760"/>
      <c r="AR293" s="760"/>
      <c r="AS293" s="760"/>
      <c r="AT293" s="760"/>
      <c r="AU293" s="760"/>
      <c r="AV293" s="739"/>
      <c r="AW293" s="763"/>
      <c r="AX293" s="739"/>
      <c r="AY293" s="739"/>
      <c r="AZ293" s="739"/>
    </row>
    <row r="294" spans="1:59" s="741" customFormat="1">
      <c r="A294" s="182"/>
      <c r="B294" s="531" t="s">
        <v>2092</v>
      </c>
      <c r="C294" s="760"/>
      <c r="D294" s="760"/>
      <c r="E294" s="760"/>
      <c r="F294" s="760"/>
      <c r="G294" s="760"/>
      <c r="H294" s="760"/>
      <c r="I294" s="760"/>
      <c r="J294" s="760"/>
      <c r="K294" s="760"/>
      <c r="L294" s="760"/>
      <c r="M294" s="760"/>
      <c r="N294" s="760"/>
      <c r="O294" s="760"/>
      <c r="P294" s="760"/>
      <c r="Q294" s="760"/>
      <c r="R294" s="760"/>
      <c r="S294" s="760"/>
      <c r="T294" s="760"/>
      <c r="U294" s="760"/>
      <c r="V294" s="760"/>
      <c r="W294" s="760"/>
      <c r="X294" s="532"/>
      <c r="Y294" s="532"/>
      <c r="Z294" s="532"/>
      <c r="AA294" s="760"/>
      <c r="AB294" s="532"/>
      <c r="AC294" s="532"/>
      <c r="AD294" s="532"/>
      <c r="AE294" s="760"/>
      <c r="AF294" s="532"/>
      <c r="AG294" s="532"/>
      <c r="AH294" s="760"/>
      <c r="AI294" s="760"/>
      <c r="AJ294" s="760"/>
      <c r="AK294" s="760"/>
      <c r="AL294" s="760"/>
      <c r="AM294" s="760"/>
      <c r="AN294" s="760"/>
      <c r="AO294" s="760"/>
      <c r="AP294" s="760"/>
      <c r="AQ294" s="760"/>
      <c r="AR294" s="760"/>
      <c r="AS294" s="760"/>
      <c r="AT294" s="760"/>
      <c r="AU294" s="760"/>
      <c r="AV294" s="739"/>
      <c r="AW294" s="763"/>
      <c r="AX294" s="739"/>
      <c r="AY294" s="739"/>
      <c r="AZ294" s="739"/>
    </row>
    <row r="295" spans="1:59" s="741" customFormat="1">
      <c r="A295" s="182"/>
      <c r="B295" s="525" t="s">
        <v>2085</v>
      </c>
      <c r="C295" s="760"/>
      <c r="D295" s="760"/>
      <c r="E295" s="760"/>
      <c r="F295" s="760"/>
      <c r="G295" s="760"/>
      <c r="H295" s="760"/>
      <c r="I295" s="760"/>
      <c r="J295" s="760"/>
      <c r="K295" s="760"/>
      <c r="L295" s="760"/>
      <c r="M295" s="760"/>
      <c r="N295" s="760"/>
      <c r="O295" s="760"/>
      <c r="P295" s="760"/>
      <c r="Q295" s="760"/>
      <c r="R295" s="760"/>
      <c r="S295" s="760"/>
      <c r="T295" s="760"/>
      <c r="U295" s="760"/>
      <c r="V295" s="760"/>
      <c r="W295" s="760"/>
      <c r="X295" s="533">
        <f>+X285/(X$14*4)*365</f>
        <v>8.4118403116610914</v>
      </c>
      <c r="Y295" s="532"/>
      <c r="Z295" s="533">
        <f>+Z285/(Z$14*4)*365</f>
        <v>13.311117094921142</v>
      </c>
      <c r="AA295" s="760"/>
      <c r="AB295" s="533">
        <f>+AB285/(AB$14*4)*365</f>
        <v>11.570677640575981</v>
      </c>
      <c r="AC295" s="532"/>
      <c r="AD295" s="533">
        <f>+AD285/(AD$14*4)*365</f>
        <v>12.232338490839526</v>
      </c>
      <c r="AE295" s="760"/>
      <c r="AF295" s="533">
        <f>+AF285/(AF$14*4)*365</f>
        <v>9.9058168386187919</v>
      </c>
      <c r="AG295" s="533"/>
      <c r="AH295" s="533">
        <f>+AH285/(AH$14*4)*365</f>
        <v>11.835161760561522</v>
      </c>
      <c r="AI295" s="760"/>
      <c r="AJ295" s="533">
        <f>+AJ285/(AJ$14*4)*365</f>
        <v>9.2070365364265836</v>
      </c>
      <c r="AK295" s="760"/>
      <c r="AL295" s="760"/>
      <c r="AM295" s="760"/>
      <c r="AN295" s="760"/>
      <c r="AO295" s="760"/>
      <c r="AP295" s="760"/>
      <c r="AQ295" s="760"/>
      <c r="AR295" s="760"/>
      <c r="AS295" s="760"/>
      <c r="AT295" s="760"/>
      <c r="AU295" s="760"/>
      <c r="AV295" s="739"/>
      <c r="AW295" s="763"/>
      <c r="AX295" s="739"/>
      <c r="AY295" s="739"/>
      <c r="AZ295" s="739"/>
    </row>
    <row r="296" spans="1:59" s="741" customFormat="1">
      <c r="A296" s="182"/>
      <c r="B296" s="525" t="s">
        <v>2086</v>
      </c>
      <c r="C296" s="760"/>
      <c r="D296" s="760"/>
      <c r="E296" s="760"/>
      <c r="F296" s="760"/>
      <c r="G296" s="760"/>
      <c r="H296" s="760"/>
      <c r="I296" s="760"/>
      <c r="J296" s="760"/>
      <c r="K296" s="760"/>
      <c r="L296" s="760"/>
      <c r="M296" s="760"/>
      <c r="N296" s="760"/>
      <c r="O296" s="760"/>
      <c r="P296" s="760"/>
      <c r="Q296" s="760"/>
      <c r="R296" s="760"/>
      <c r="S296" s="760"/>
      <c r="T296" s="760"/>
      <c r="U296" s="760"/>
      <c r="V296" s="760"/>
      <c r="W296" s="760"/>
      <c r="X296" s="533">
        <f>+X286/(X$14*4)*365</f>
        <v>12.59905055000133</v>
      </c>
      <c r="Y296" s="532"/>
      <c r="Z296" s="533">
        <f>+Z286/(Z$14*4)*365</f>
        <v>8.2941169831278057</v>
      </c>
      <c r="AA296" s="760"/>
      <c r="AB296" s="533">
        <f>+AB286/(AB$14*4)*365</f>
        <v>14.679754746199016</v>
      </c>
      <c r="AC296" s="532"/>
      <c r="AD296" s="533">
        <f>+AD286/(AD$14*4)*365</f>
        <v>14.756551170551651</v>
      </c>
      <c r="AE296" s="760"/>
      <c r="AF296" s="533">
        <f>+AF286/(AF$14*4)*365</f>
        <v>16.919079439369725</v>
      </c>
      <c r="AG296" s="533"/>
      <c r="AH296" s="533">
        <f>+AH286/(AH$14*4)*365</f>
        <v>14.730310362934864</v>
      </c>
      <c r="AI296" s="760"/>
      <c r="AJ296" s="533">
        <f>+AJ286/(AJ$14*4)*365</f>
        <v>14.876601309052857</v>
      </c>
      <c r="AK296" s="760"/>
      <c r="AL296" s="760"/>
      <c r="AM296" s="760"/>
      <c r="AN296" s="760"/>
      <c r="AO296" s="760"/>
      <c r="AP296" s="760"/>
      <c r="AQ296" s="760"/>
      <c r="AR296" s="760"/>
      <c r="AS296" s="760"/>
      <c r="AT296" s="760"/>
      <c r="AU296" s="760"/>
      <c r="AV296" s="739"/>
      <c r="AW296" s="763"/>
      <c r="AX296" s="739"/>
      <c r="AY296" s="739"/>
      <c r="AZ296" s="739"/>
    </row>
    <row r="297" spans="1:59" s="741" customFormat="1">
      <c r="A297" s="182"/>
      <c r="B297" s="525" t="str">
        <f>+B288</f>
        <v>(e) Short-term loans and advances</v>
      </c>
      <c r="C297" s="760"/>
      <c r="D297" s="760"/>
      <c r="E297" s="760"/>
      <c r="F297" s="760"/>
      <c r="G297" s="760"/>
      <c r="H297" s="760"/>
      <c r="I297" s="760"/>
      <c r="J297" s="760"/>
      <c r="K297" s="760"/>
      <c r="L297" s="760"/>
      <c r="M297" s="760"/>
      <c r="N297" s="760"/>
      <c r="O297" s="760"/>
      <c r="P297" s="760"/>
      <c r="Q297" s="760"/>
      <c r="R297" s="760"/>
      <c r="S297" s="760"/>
      <c r="T297" s="760"/>
      <c r="U297" s="760"/>
      <c r="V297" s="760"/>
      <c r="W297" s="760"/>
      <c r="X297" s="533">
        <f>+X288/(X$14*4)*365</f>
        <v>15.221210838272654</v>
      </c>
      <c r="Y297" s="532"/>
      <c r="Z297" s="533">
        <f>+Z288/(Z$14*4)*365</f>
        <v>20.457409425898216</v>
      </c>
      <c r="AA297" s="760"/>
      <c r="AB297" s="533">
        <f>+AB288/(AB$14*4)*365</f>
        <v>28.182273650551043</v>
      </c>
      <c r="AC297" s="532"/>
      <c r="AD297" s="533">
        <f>+AD288/(AD$14*4)*365</f>
        <v>25.217134592371607</v>
      </c>
      <c r="AE297" s="760"/>
      <c r="AF297" s="533">
        <f>+AF288/(AF$14*4)*365</f>
        <v>16.147625843254637</v>
      </c>
      <c r="AG297" s="533"/>
      <c r="AH297" s="533">
        <f>+AH288/(AH$14*4)*365</f>
        <v>18.101847721849282</v>
      </c>
      <c r="AI297" s="760"/>
      <c r="AJ297" s="533">
        <f>+AJ288/(AJ$14*4)*365</f>
        <v>13.422713727278976</v>
      </c>
      <c r="AK297" s="760"/>
      <c r="AL297" s="760"/>
      <c r="AM297" s="760"/>
      <c r="AN297" s="760"/>
      <c r="AO297" s="760"/>
      <c r="AP297" s="760"/>
      <c r="AQ297" s="760"/>
      <c r="AR297" s="760"/>
      <c r="AS297" s="760"/>
      <c r="AT297" s="760"/>
      <c r="AU297" s="760"/>
      <c r="AV297" s="739"/>
      <c r="AW297" s="763"/>
      <c r="AX297" s="739"/>
      <c r="AY297" s="739"/>
      <c r="AZ297" s="739"/>
    </row>
    <row r="298" spans="1:59" s="741" customFormat="1">
      <c r="A298" s="182"/>
      <c r="B298" s="525" t="str">
        <f>+B289</f>
        <v>(f) Other current assets</v>
      </c>
      <c r="C298" s="760"/>
      <c r="D298" s="760"/>
      <c r="E298" s="760"/>
      <c r="F298" s="760"/>
      <c r="G298" s="760"/>
      <c r="H298" s="760"/>
      <c r="I298" s="760"/>
      <c r="J298" s="760"/>
      <c r="K298" s="760"/>
      <c r="L298" s="760"/>
      <c r="M298" s="760"/>
      <c r="N298" s="760"/>
      <c r="O298" s="760"/>
      <c r="P298" s="760"/>
      <c r="Q298" s="760"/>
      <c r="R298" s="760"/>
      <c r="S298" s="760"/>
      <c r="T298" s="760"/>
      <c r="U298" s="760"/>
      <c r="V298" s="760"/>
      <c r="W298" s="760"/>
      <c r="X298" s="533">
        <f>+X289/(X$14*4)*365</f>
        <v>8.0147742849223302</v>
      </c>
      <c r="Y298" s="532"/>
      <c r="Z298" s="533">
        <f>+Z289/(Z$14*4)*365</f>
        <v>5.7987607063619011</v>
      </c>
      <c r="AA298" s="760"/>
      <c r="AB298" s="533">
        <f>+AB289/(AB$14*4)*365</f>
        <v>5.6112767476470111</v>
      </c>
      <c r="AC298" s="532"/>
      <c r="AD298" s="533">
        <f>+AD289/(AD$14*4)*365</f>
        <v>4.081803778800289</v>
      </c>
      <c r="AE298" s="760"/>
      <c r="AF298" s="533">
        <f>+AF289/(AF$14*4)*365</f>
        <v>4.470727880206149</v>
      </c>
      <c r="AG298" s="533"/>
      <c r="AH298" s="533">
        <f>+AH289/(AH$14*4)*365</f>
        <v>7.7160178132267161</v>
      </c>
      <c r="AI298" s="760"/>
      <c r="AJ298" s="533">
        <f>+AJ289/(AJ$14*4)*365</f>
        <v>3.9892006493277816</v>
      </c>
      <c r="AK298" s="760"/>
      <c r="AL298" s="760"/>
      <c r="AM298" s="760"/>
      <c r="AN298" s="760"/>
      <c r="AO298" s="760"/>
      <c r="AP298" s="760"/>
      <c r="AQ298" s="760"/>
      <c r="AR298" s="760"/>
      <c r="AS298" s="760"/>
      <c r="AT298" s="760"/>
      <c r="AU298" s="760"/>
      <c r="AV298" s="739"/>
      <c r="AW298" s="763"/>
      <c r="AX298" s="739"/>
      <c r="AY298" s="739"/>
      <c r="AZ298" s="739"/>
    </row>
    <row r="299" spans="1:59" s="741" customFormat="1">
      <c r="A299" s="182"/>
      <c r="B299" s="534"/>
      <c r="C299" s="760"/>
      <c r="D299" s="760"/>
      <c r="E299" s="760"/>
      <c r="F299" s="760"/>
      <c r="G299" s="760"/>
      <c r="H299" s="760"/>
      <c r="I299" s="760"/>
      <c r="J299" s="760"/>
      <c r="K299" s="760"/>
      <c r="L299" s="760"/>
      <c r="M299" s="760"/>
      <c r="N299" s="760"/>
      <c r="O299" s="760"/>
      <c r="P299" s="760"/>
      <c r="Q299" s="760"/>
      <c r="R299" s="760"/>
      <c r="S299" s="760"/>
      <c r="T299" s="760"/>
      <c r="U299" s="760"/>
      <c r="V299" s="760"/>
      <c r="W299" s="760"/>
      <c r="X299" s="533"/>
      <c r="Y299" s="532"/>
      <c r="Z299" s="533"/>
      <c r="AA299" s="760"/>
      <c r="AB299" s="533"/>
      <c r="AC299" s="532"/>
      <c r="AD299" s="533"/>
      <c r="AE299" s="760"/>
      <c r="AF299" s="533"/>
      <c r="AG299" s="533"/>
      <c r="AH299" s="533"/>
      <c r="AI299" s="760"/>
      <c r="AJ299" s="533"/>
      <c r="AK299" s="760"/>
      <c r="AL299" s="760"/>
      <c r="AM299" s="760"/>
      <c r="AN299" s="760"/>
      <c r="AO299" s="760"/>
      <c r="AP299" s="760"/>
      <c r="AQ299" s="760"/>
      <c r="AR299" s="760"/>
      <c r="AS299" s="760"/>
      <c r="AT299" s="760"/>
      <c r="AU299" s="760"/>
      <c r="AV299" s="739"/>
      <c r="AW299" s="763"/>
      <c r="AX299" s="739"/>
      <c r="AY299" s="739"/>
      <c r="AZ299" s="739"/>
    </row>
    <row r="300" spans="1:59" s="741" customFormat="1">
      <c r="A300" s="182"/>
      <c r="B300" s="535" t="str">
        <f>+B267</f>
        <v>(b) Trade payables</v>
      </c>
      <c r="C300" s="760"/>
      <c r="D300" s="760"/>
      <c r="E300" s="760"/>
      <c r="F300" s="760"/>
      <c r="G300" s="760"/>
      <c r="H300" s="760"/>
      <c r="I300" s="760"/>
      <c r="J300" s="760"/>
      <c r="K300" s="760"/>
      <c r="L300" s="760"/>
      <c r="M300" s="760"/>
      <c r="N300" s="760"/>
      <c r="O300" s="760"/>
      <c r="P300" s="760"/>
      <c r="Q300" s="760"/>
      <c r="R300" s="760"/>
      <c r="S300" s="760"/>
      <c r="T300" s="760"/>
      <c r="U300" s="760"/>
      <c r="V300" s="760"/>
      <c r="W300" s="760"/>
      <c r="X300" s="533">
        <f>+X267/(X$14*4)*365</f>
        <v>39.9744316779502</v>
      </c>
      <c r="Y300" s="532"/>
      <c r="Z300" s="533">
        <f>+Z267/(Z$14*4)*365</f>
        <v>38.407103499131452</v>
      </c>
      <c r="AA300" s="760"/>
      <c r="AB300" s="533">
        <f>+AB267/(AB$14*4)*365</f>
        <v>42.394253780870407</v>
      </c>
      <c r="AC300" s="532"/>
      <c r="AD300" s="533">
        <f>+AD267/(AD$14*4)*365</f>
        <v>38.057360401813554</v>
      </c>
      <c r="AE300" s="760"/>
      <c r="AF300" s="533">
        <f>+AF267/(AF$14*4)*365</f>
        <v>40.182593253189921</v>
      </c>
      <c r="AG300" s="533"/>
      <c r="AH300" s="533">
        <f>+AH267/(AH$14*4)*365</f>
        <v>39.06202798294504</v>
      </c>
      <c r="AI300" s="760"/>
      <c r="AJ300" s="533">
        <f>+AJ267/(AJ$14*4)*365</f>
        <v>36.96250182371891</v>
      </c>
      <c r="AK300" s="760"/>
      <c r="AL300" s="760"/>
      <c r="AM300" s="760"/>
      <c r="AN300" s="760"/>
      <c r="AO300" s="760"/>
      <c r="AP300" s="760"/>
      <c r="AQ300" s="760"/>
      <c r="AR300" s="760"/>
      <c r="AS300" s="760"/>
      <c r="AT300" s="760"/>
      <c r="AU300" s="760"/>
      <c r="AV300" s="739"/>
      <c r="AW300" s="763"/>
      <c r="AX300" s="739"/>
      <c r="AY300" s="739"/>
      <c r="AZ300" s="739"/>
    </row>
    <row r="301" spans="1:59" s="741" customFormat="1">
      <c r="A301" s="182"/>
      <c r="B301" s="535" t="str">
        <f>+B268</f>
        <v>(c) Other current liabilities</v>
      </c>
      <c r="C301" s="760"/>
      <c r="D301" s="760"/>
      <c r="E301" s="760"/>
      <c r="F301" s="760"/>
      <c r="G301" s="760"/>
      <c r="H301" s="760"/>
      <c r="I301" s="760"/>
      <c r="J301" s="760"/>
      <c r="K301" s="760"/>
      <c r="L301" s="760"/>
      <c r="M301" s="760"/>
      <c r="N301" s="760"/>
      <c r="O301" s="760"/>
      <c r="P301" s="760"/>
      <c r="Q301" s="760"/>
      <c r="R301" s="760"/>
      <c r="S301" s="760"/>
      <c r="T301" s="760"/>
      <c r="U301" s="760"/>
      <c r="V301" s="760"/>
      <c r="W301" s="760"/>
      <c r="X301" s="533">
        <f>+X268/(X$14*4)*365</f>
        <v>7.4614457991441467</v>
      </c>
      <c r="Y301" s="532"/>
      <c r="Z301" s="533">
        <f>+Z268/(Z$14*4)*365</f>
        <v>11.85549260014103</v>
      </c>
      <c r="AA301" s="760"/>
      <c r="AB301" s="533">
        <f>+AB268/(AB$14*4)*365</f>
        <v>11.10235248572118</v>
      </c>
      <c r="AC301" s="532"/>
      <c r="AD301" s="533">
        <f>+AD268/(AD$14*4)*365</f>
        <v>10.498648472130926</v>
      </c>
      <c r="AE301" s="760"/>
      <c r="AF301" s="533">
        <f>+AF268/(AF$14*4)*365</f>
        <v>8.8853821047403905</v>
      </c>
      <c r="AG301" s="533"/>
      <c r="AH301" s="533">
        <f>+AH268/(AH$14*4)*365</f>
        <v>14.17399929850029</v>
      </c>
      <c r="AI301" s="760"/>
      <c r="AJ301" s="533">
        <f>+AJ268/(AJ$14*4)*365</f>
        <v>17.285515982485588</v>
      </c>
      <c r="AK301" s="760"/>
      <c r="AL301" s="760"/>
      <c r="AM301" s="760"/>
      <c r="AN301" s="760"/>
      <c r="AO301" s="760"/>
      <c r="AP301" s="760"/>
      <c r="AQ301" s="760"/>
      <c r="AR301" s="760"/>
      <c r="AS301" s="760"/>
      <c r="AT301" s="760"/>
      <c r="AU301" s="760"/>
      <c r="AV301" s="739"/>
      <c r="AW301" s="763"/>
      <c r="AX301" s="739"/>
      <c r="AY301" s="739"/>
      <c r="AZ301" s="739"/>
    </row>
    <row r="302" spans="1:59" s="743" customFormat="1">
      <c r="A302" s="182"/>
      <c r="B302" s="184"/>
      <c r="C302" s="760"/>
      <c r="D302" s="760"/>
      <c r="E302" s="760"/>
      <c r="F302" s="760"/>
      <c r="G302" s="767"/>
      <c r="H302" s="768"/>
      <c r="I302" s="768"/>
      <c r="J302" s="767"/>
      <c r="K302" s="767"/>
      <c r="L302" s="768"/>
      <c r="M302" s="768"/>
      <c r="N302" s="768"/>
      <c r="O302" s="768"/>
      <c r="P302" s="768"/>
      <c r="Q302" s="768"/>
      <c r="R302" s="768"/>
      <c r="S302" s="768"/>
      <c r="T302" s="768"/>
      <c r="U302" s="768"/>
      <c r="V302" s="768"/>
      <c r="W302" s="768"/>
      <c r="X302" s="768"/>
      <c r="Y302" s="768"/>
      <c r="Z302" s="768"/>
      <c r="AA302" s="768"/>
      <c r="AB302" s="768"/>
      <c r="AC302" s="768"/>
      <c r="AD302" s="768"/>
      <c r="AE302" s="768"/>
      <c r="AF302" s="768"/>
      <c r="AG302" s="768"/>
      <c r="AH302" s="768"/>
      <c r="AI302" s="768"/>
      <c r="AJ302" s="768"/>
      <c r="AK302" s="768"/>
      <c r="AL302" s="768"/>
      <c r="AM302" s="768"/>
      <c r="AN302" s="768"/>
      <c r="AO302" s="768"/>
      <c r="AP302" s="768"/>
      <c r="AQ302" s="768"/>
      <c r="AR302" s="768"/>
      <c r="AS302" s="768"/>
      <c r="AT302" s="768"/>
      <c r="AU302" s="768"/>
      <c r="AV302" s="465"/>
      <c r="AW302" s="769"/>
      <c r="AX302" s="465"/>
      <c r="AY302" s="465"/>
      <c r="AZ302" s="465"/>
      <c r="BA302" s="741"/>
      <c r="BB302" s="741"/>
      <c r="BC302" s="741"/>
      <c r="BD302" s="741"/>
      <c r="BE302" s="741"/>
      <c r="BF302" s="741"/>
      <c r="BG302" s="741"/>
    </row>
    <row r="303" spans="1:59">
      <c r="A303" s="182"/>
      <c r="B303" s="184"/>
      <c r="C303" s="523"/>
      <c r="D303" s="523"/>
      <c r="E303" s="523"/>
      <c r="F303" s="523"/>
      <c r="G303" s="501"/>
      <c r="H303" s="47"/>
      <c r="I303" s="47"/>
      <c r="J303" s="501"/>
      <c r="K303" s="501"/>
      <c r="L303" s="47"/>
      <c r="M303" s="47"/>
      <c r="N303" s="47"/>
      <c r="O303" s="47"/>
      <c r="P303" s="47"/>
      <c r="Q303" s="47"/>
      <c r="R303" s="47"/>
      <c r="S303" s="47"/>
      <c r="T303" s="47"/>
      <c r="U303" s="47"/>
      <c r="V303" s="47"/>
      <c r="W303" s="47"/>
      <c r="X303" s="47"/>
      <c r="Y303" s="47"/>
      <c r="Z303" s="47"/>
      <c r="AA303" s="47"/>
      <c r="AB303" s="47"/>
      <c r="AC303" s="47"/>
      <c r="AD303" s="47"/>
      <c r="AE303" s="47"/>
      <c r="AF303" s="47"/>
      <c r="AG303" s="47"/>
      <c r="AH303" s="47"/>
      <c r="AI303" s="47"/>
      <c r="AJ303" s="47"/>
      <c r="AK303" s="47"/>
      <c r="AL303" s="47"/>
      <c r="AM303" s="47"/>
      <c r="AN303" s="47"/>
      <c r="AO303" s="47"/>
      <c r="AP303" s="47"/>
      <c r="AQ303" s="47"/>
      <c r="AR303" s="47"/>
      <c r="AS303" s="47"/>
      <c r="AT303" s="47"/>
      <c r="AU303" s="47"/>
      <c r="AV303" s="38"/>
      <c r="AW303" s="697"/>
      <c r="AX303" s="38"/>
      <c r="AY303" s="38"/>
      <c r="AZ303" s="38"/>
      <c r="BA303" s="475"/>
      <c r="BB303" s="475"/>
      <c r="BC303" s="475"/>
      <c r="BD303" s="475"/>
      <c r="BE303" s="475"/>
      <c r="BF303" s="475"/>
      <c r="BG303" s="475"/>
    </row>
    <row r="304" spans="1:59">
      <c r="A304" s="69"/>
      <c r="B304" s="6" t="s">
        <v>431</v>
      </c>
      <c r="C304" s="180"/>
      <c r="D304" s="180"/>
      <c r="E304" s="180"/>
      <c r="F304" s="180"/>
      <c r="G304" s="180"/>
      <c r="H304" s="180"/>
      <c r="I304" s="180"/>
      <c r="J304" s="180"/>
      <c r="K304" s="180"/>
      <c r="L304" s="180"/>
      <c r="M304" s="180"/>
      <c r="N304" s="180"/>
      <c r="O304" s="180"/>
      <c r="P304" s="180"/>
      <c r="Q304" s="180"/>
      <c r="R304" s="69"/>
      <c r="S304" s="69"/>
      <c r="T304" s="69"/>
      <c r="U304" s="69"/>
      <c r="V304" s="69"/>
      <c r="W304" s="69"/>
      <c r="X304" s="69"/>
      <c r="Y304" s="69"/>
      <c r="Z304" s="69"/>
      <c r="AA304" s="69"/>
      <c r="AB304" s="69"/>
      <c r="AC304" s="69"/>
      <c r="AD304" s="69"/>
      <c r="AE304" s="69"/>
      <c r="AF304" s="69"/>
      <c r="AG304" s="69"/>
      <c r="AH304" s="69"/>
      <c r="AI304" s="69"/>
      <c r="AJ304" s="69"/>
      <c r="AK304" s="69"/>
      <c r="AL304" s="69"/>
      <c r="AM304" s="69"/>
      <c r="AN304" s="69"/>
      <c r="AO304" s="69"/>
      <c r="AP304" s="69"/>
      <c r="AQ304" s="69"/>
      <c r="AR304" s="69"/>
      <c r="AS304" s="69"/>
      <c r="AT304" s="69"/>
      <c r="AU304" s="69"/>
      <c r="AV304" s="69"/>
      <c r="AW304" s="663"/>
      <c r="AX304" s="181"/>
      <c r="AY304" s="181"/>
      <c r="AZ304" s="69"/>
      <c r="BA304" s="475"/>
      <c r="BB304" s="475"/>
      <c r="BC304" s="475"/>
      <c r="BD304" s="475"/>
      <c r="BE304" s="475"/>
      <c r="BF304" s="475"/>
      <c r="BG304" s="475"/>
    </row>
    <row r="305" spans="1:59" outlineLevel="1">
      <c r="A305" s="38"/>
      <c r="B305" s="38"/>
      <c r="C305" s="38"/>
      <c r="D305" s="38"/>
      <c r="E305" s="38"/>
      <c r="F305" s="38"/>
      <c r="G305" s="52"/>
      <c r="H305" s="38"/>
      <c r="I305" s="38"/>
      <c r="J305" s="52"/>
      <c r="K305" s="52"/>
      <c r="L305" s="38"/>
      <c r="M305" s="38"/>
      <c r="N305" s="38"/>
      <c r="O305" s="38"/>
      <c r="P305" s="38"/>
      <c r="Q305" s="38"/>
      <c r="R305" s="38"/>
      <c r="S305" s="38"/>
      <c r="T305" s="38"/>
      <c r="U305" s="38"/>
      <c r="V305" s="38"/>
      <c r="W305" s="38"/>
      <c r="X305" s="38"/>
      <c r="Y305" s="38"/>
      <c r="Z305" s="38"/>
      <c r="AA305" s="38"/>
      <c r="AB305" s="38"/>
      <c r="AC305" s="38"/>
      <c r="AD305" s="38"/>
      <c r="AE305" s="38"/>
      <c r="AF305" s="38"/>
      <c r="AG305" s="38"/>
      <c r="AH305" s="38"/>
      <c r="AI305" s="38"/>
      <c r="AJ305" s="38"/>
      <c r="AK305" s="38"/>
      <c r="AL305" s="38"/>
      <c r="AM305" s="38"/>
      <c r="AN305" s="38"/>
      <c r="AO305" s="38"/>
      <c r="AP305" s="38"/>
      <c r="AQ305" s="38"/>
      <c r="AR305" s="38"/>
      <c r="AS305" s="38"/>
      <c r="AT305" s="38"/>
      <c r="AU305" s="38"/>
      <c r="AV305" s="38"/>
      <c r="AW305" s="671"/>
      <c r="AX305" s="38"/>
      <c r="AY305" s="38"/>
      <c r="AZ305" s="38"/>
      <c r="BA305" s="475"/>
      <c r="BB305" s="475"/>
      <c r="BC305" s="475"/>
      <c r="BD305" s="475"/>
      <c r="BE305" s="475"/>
      <c r="BF305" s="475"/>
      <c r="BG305" s="475"/>
    </row>
    <row r="306" spans="1:59" s="743" customFormat="1" outlineLevel="1">
      <c r="A306" s="465"/>
      <c r="B306" s="471" t="s">
        <v>2511</v>
      </c>
      <c r="C306" s="465"/>
      <c r="D306" s="465"/>
      <c r="E306" s="465"/>
      <c r="F306" s="465"/>
      <c r="G306" s="466"/>
      <c r="H306" s="465"/>
      <c r="I306" s="465"/>
      <c r="J306" s="466"/>
      <c r="K306" s="466"/>
      <c r="L306" s="465"/>
      <c r="M306" s="768"/>
      <c r="N306" s="768"/>
      <c r="O306" s="768"/>
      <c r="P306" s="768"/>
      <c r="Q306" s="768"/>
      <c r="R306" s="768">
        <f t="shared" ref="R306:AM306" si="693">+R147</f>
        <v>47043.651528875256</v>
      </c>
      <c r="S306" s="768">
        <f t="shared" si="693"/>
        <v>45186.38605603105</v>
      </c>
      <c r="T306" s="768">
        <f t="shared" si="693"/>
        <v>47199.217349428269</v>
      </c>
      <c r="U306" s="768">
        <f t="shared" si="693"/>
        <v>48133.976001451847</v>
      </c>
      <c r="V306" s="768">
        <f t="shared" si="693"/>
        <v>47903.330398362763</v>
      </c>
      <c r="W306" s="768">
        <f t="shared" si="693"/>
        <v>45910.511575044991</v>
      </c>
      <c r="X306" s="768">
        <f t="shared" si="693"/>
        <v>48135.210262661094</v>
      </c>
      <c r="Y306" s="768">
        <f t="shared" si="693"/>
        <v>48574.645551157693</v>
      </c>
      <c r="Z306" s="768">
        <f t="shared" si="693"/>
        <v>49067.198160672422</v>
      </c>
      <c r="AA306" s="768">
        <f t="shared" si="693"/>
        <v>49167.528485239534</v>
      </c>
      <c r="AB306" s="768">
        <f t="shared" si="693"/>
        <v>52139.172558857405</v>
      </c>
      <c r="AC306" s="768">
        <f t="shared" si="693"/>
        <v>51564.456402129494</v>
      </c>
      <c r="AD306" s="768">
        <f t="shared" si="693"/>
        <v>54081.132571491624</v>
      </c>
      <c r="AE306" s="768">
        <f t="shared" si="693"/>
        <v>51598.477084927814</v>
      </c>
      <c r="AF306" s="768">
        <f t="shared" si="693"/>
        <v>57277.351418882739</v>
      </c>
      <c r="AG306" s="768">
        <f t="shared" si="693"/>
        <v>55525.890080954647</v>
      </c>
      <c r="AH306" s="768">
        <f t="shared" si="693"/>
        <v>55100.326055031546</v>
      </c>
      <c r="AI306" s="768">
        <f t="shared" si="693"/>
        <v>56430.353015666202</v>
      </c>
      <c r="AJ306" s="768">
        <f t="shared" si="693"/>
        <v>61852.526333251932</v>
      </c>
      <c r="AK306" s="768">
        <f t="shared" si="693"/>
        <v>61799.897188052761</v>
      </c>
      <c r="AL306" s="768">
        <f t="shared" si="693"/>
        <v>65401.516124887574</v>
      </c>
      <c r="AM306" s="768">
        <f t="shared" si="693"/>
        <v>58501.713780885795</v>
      </c>
      <c r="AN306" s="768">
        <f>+AN147</f>
        <v>64393.87302007468</v>
      </c>
      <c r="AO306" s="768">
        <f>+AO147</f>
        <v>64716.362850029851</v>
      </c>
      <c r="AP306" s="768">
        <f>+AP147</f>
        <v>66336.002844844828</v>
      </c>
      <c r="AQ306" s="768">
        <f t="shared" ref="AQ306:AQ307" si="694">+AQ147</f>
        <v>62930.791367828693</v>
      </c>
      <c r="AR306" s="768">
        <f t="shared" ref="AR306:AS306" si="695">+AR147</f>
        <v>64504.349102653505</v>
      </c>
      <c r="AS306" s="768">
        <f t="shared" si="695"/>
        <v>64865.728837940937</v>
      </c>
      <c r="AT306" s="768">
        <f t="shared" ref="AT306" si="696">+AT147</f>
        <v>72081.81614233696</v>
      </c>
      <c r="AU306" s="768">
        <f t="shared" ref="AU306" si="697">+AU147</f>
        <v>111822.70978795867</v>
      </c>
      <c r="AV306" s="768"/>
      <c r="AW306" s="769">
        <v>105002.91212872295</v>
      </c>
      <c r="AX306" s="465"/>
      <c r="AY306" s="465"/>
      <c r="AZ306" s="465"/>
      <c r="BA306" s="741"/>
      <c r="BB306" s="741"/>
      <c r="BC306" s="741"/>
      <c r="BD306" s="741"/>
      <c r="BE306" s="741"/>
      <c r="BF306" s="741"/>
      <c r="BG306" s="741"/>
    </row>
    <row r="307" spans="1:59" s="776" customFormat="1" outlineLevel="1">
      <c r="A307" s="770"/>
      <c r="B307" s="488" t="s">
        <v>579</v>
      </c>
      <c r="C307" s="770"/>
      <c r="D307" s="770"/>
      <c r="E307" s="770"/>
      <c r="F307" s="770"/>
      <c r="G307" s="771"/>
      <c r="H307" s="770"/>
      <c r="I307" s="770"/>
      <c r="J307" s="771"/>
      <c r="K307" s="771"/>
      <c r="L307" s="772"/>
      <c r="M307" s="489"/>
      <c r="N307" s="489"/>
      <c r="O307" s="489"/>
      <c r="P307" s="489"/>
      <c r="Q307" s="489"/>
      <c r="R307" s="490">
        <f t="shared" ref="R307:AM307" si="698">+R148</f>
        <v>-3.4244286072648289E-2</v>
      </c>
      <c r="S307" s="490">
        <f t="shared" si="698"/>
        <v>-3.8691425676303126E-2</v>
      </c>
      <c r="T307" s="490">
        <f t="shared" si="698"/>
        <v>1.5567900303260496E-2</v>
      </c>
      <c r="U307" s="490">
        <f t="shared" si="698"/>
        <v>8.3215933774291706E-2</v>
      </c>
      <c r="V307" s="490">
        <f t="shared" si="698"/>
        <v>1.8274067627591428E-2</v>
      </c>
      <c r="W307" s="490">
        <f t="shared" si="698"/>
        <v>1.6025302800627417E-2</v>
      </c>
      <c r="X307" s="490">
        <f t="shared" si="698"/>
        <v>1.9830687155327542E-2</v>
      </c>
      <c r="Y307" s="490">
        <f t="shared" si="698"/>
        <v>9.1550623138332288E-3</v>
      </c>
      <c r="Z307" s="490">
        <f t="shared" si="698"/>
        <v>2.4296176333272967E-2</v>
      </c>
      <c r="AA307" s="490">
        <f t="shared" si="698"/>
        <v>7.0942727459498034E-2</v>
      </c>
      <c r="AB307" s="490">
        <f t="shared" si="698"/>
        <v>8.3181568634431047E-2</v>
      </c>
      <c r="AC307" s="490">
        <f t="shared" si="698"/>
        <v>6.1550852652604515E-2</v>
      </c>
      <c r="AD307" s="490">
        <f t="shared" si="698"/>
        <v>0.10218505638738296</v>
      </c>
      <c r="AE307" s="490">
        <f t="shared" si="698"/>
        <v>4.944215571905497E-2</v>
      </c>
      <c r="AF307" s="490">
        <f t="shared" si="698"/>
        <v>9.8547380172270493E-2</v>
      </c>
      <c r="AG307" s="490">
        <f t="shared" si="698"/>
        <v>7.6824889763824844E-2</v>
      </c>
      <c r="AH307" s="490">
        <f t="shared" si="698"/>
        <v>1.8845638674312548E-2</v>
      </c>
      <c r="AI307" s="490">
        <f t="shared" si="698"/>
        <v>9.3643770198593712E-2</v>
      </c>
      <c r="AJ307" s="490">
        <f t="shared" si="698"/>
        <v>7.9877557202494565E-2</v>
      </c>
      <c r="AK307" s="490">
        <f t="shared" si="698"/>
        <v>0.11299246347876357</v>
      </c>
      <c r="AL307" s="490">
        <f t="shared" si="698"/>
        <v>0.18695334142973485</v>
      </c>
      <c r="AM307" s="490">
        <f t="shared" si="698"/>
        <v>3.6706500217082549E-2</v>
      </c>
      <c r="AN307" s="490">
        <f t="shared" ref="AN307:AO307" si="699">+AN148</f>
        <v>4.1087192997265154E-2</v>
      </c>
      <c r="AO307" s="490">
        <f t="shared" si="699"/>
        <v>4.7192079512729412E-2</v>
      </c>
      <c r="AP307" s="490">
        <f>+AP148</f>
        <v>1.4288456527105531E-2</v>
      </c>
      <c r="AQ307" s="490">
        <f t="shared" si="694"/>
        <v>7.5708510070862323E-2</v>
      </c>
      <c r="AR307" s="490">
        <f t="shared" ref="AR307:AS307" si="700">+AR148</f>
        <v>1.7156303448992993E-3</v>
      </c>
      <c r="AS307" s="490">
        <f t="shared" si="700"/>
        <v>2.3080096181735676E-3</v>
      </c>
      <c r="AT307" s="490">
        <f t="shared" ref="AT307" si="701">+AT148</f>
        <v>8.6616815169451522E-2</v>
      </c>
      <c r="AU307" s="490">
        <f t="shared" ref="AU307" si="702">+AU148</f>
        <v>0.77691567764273128</v>
      </c>
      <c r="AV307" s="489"/>
      <c r="AW307" s="490">
        <v>0.58289477245587529</v>
      </c>
      <c r="AX307" s="773"/>
      <c r="AY307" s="774"/>
      <c r="AZ307" s="774"/>
      <c r="BA307" s="775"/>
      <c r="BB307" s="775"/>
      <c r="BC307" s="775"/>
      <c r="BD307" s="775"/>
      <c r="BE307" s="775"/>
      <c r="BF307" s="775"/>
      <c r="BG307" s="775"/>
    </row>
    <row r="308" spans="1:59" s="743" customFormat="1" outlineLevel="1">
      <c r="A308" s="465"/>
      <c r="B308" s="467"/>
      <c r="C308" s="465"/>
      <c r="D308" s="465"/>
      <c r="E308" s="465"/>
      <c r="F308" s="465"/>
      <c r="G308" s="466"/>
      <c r="H308" s="465"/>
      <c r="I308" s="465"/>
      <c r="J308" s="466"/>
      <c r="K308" s="466"/>
      <c r="L308" s="487"/>
      <c r="M308" s="468"/>
      <c r="N308" s="468"/>
      <c r="O308" s="468"/>
      <c r="P308" s="468"/>
      <c r="Q308" s="468"/>
      <c r="R308" s="469"/>
      <c r="S308" s="469"/>
      <c r="T308" s="469"/>
      <c r="U308" s="469"/>
      <c r="V308" s="469"/>
      <c r="W308" s="469"/>
      <c r="X308" s="469"/>
      <c r="Y308" s="469"/>
      <c r="Z308" s="469"/>
      <c r="AA308" s="469"/>
      <c r="AB308" s="469"/>
      <c r="AC308" s="469"/>
      <c r="AD308" s="469"/>
      <c r="AE308" s="469"/>
      <c r="AF308" s="469"/>
      <c r="AG308" s="469"/>
      <c r="AH308" s="469"/>
      <c r="AI308" s="469"/>
      <c r="AJ308" s="469"/>
      <c r="AK308" s="469"/>
      <c r="AL308" s="469"/>
      <c r="AM308" s="469"/>
      <c r="AN308" s="469"/>
      <c r="AO308" s="469"/>
      <c r="AP308" s="469"/>
      <c r="AQ308" s="469"/>
      <c r="AR308" s="469"/>
      <c r="AS308" s="469"/>
      <c r="AT308" s="469"/>
      <c r="AU308" s="469"/>
      <c r="AV308" s="468"/>
      <c r="AW308" s="469"/>
      <c r="AX308" s="762"/>
      <c r="AY308" s="739"/>
      <c r="AZ308" s="739"/>
      <c r="BA308" s="741"/>
      <c r="BB308" s="741"/>
      <c r="BC308" s="741"/>
      <c r="BD308" s="741"/>
      <c r="BE308" s="741"/>
      <c r="BF308" s="741"/>
      <c r="BG308" s="741"/>
    </row>
    <row r="309" spans="1:59" s="743" customFormat="1" outlineLevel="1">
      <c r="A309" s="465"/>
      <c r="B309" s="471" t="s">
        <v>2512</v>
      </c>
      <c r="C309" s="465"/>
      <c r="D309" s="465"/>
      <c r="E309" s="465"/>
      <c r="F309" s="465"/>
      <c r="G309" s="466"/>
      <c r="H309" s="465"/>
      <c r="I309" s="465"/>
      <c r="J309" s="466"/>
      <c r="K309" s="466"/>
      <c r="L309" s="487"/>
      <c r="M309" s="468"/>
      <c r="N309" s="468"/>
      <c r="O309" s="468"/>
      <c r="P309" s="468"/>
      <c r="Q309" s="468"/>
      <c r="R309" s="469"/>
      <c r="S309" s="469"/>
      <c r="T309" s="469"/>
      <c r="U309" s="469"/>
      <c r="V309" s="469"/>
      <c r="W309" s="768">
        <f>+W156</f>
        <v>42806.09337909532</v>
      </c>
      <c r="X309" s="768">
        <f t="shared" ref="X309:AP309" si="703">+X156</f>
        <v>44776.57523010041</v>
      </c>
      <c r="Y309" s="768">
        <f t="shared" si="703"/>
        <v>45065.792789070001</v>
      </c>
      <c r="Z309" s="768">
        <f t="shared" si="703"/>
        <v>45364.357056478701</v>
      </c>
      <c r="AA309" s="768">
        <f t="shared" si="703"/>
        <v>45281.505624685291</v>
      </c>
      <c r="AB309" s="768">
        <f t="shared" si="703"/>
        <v>47836.697155813345</v>
      </c>
      <c r="AC309" s="768">
        <f t="shared" si="703"/>
        <v>47358.819701971552</v>
      </c>
      <c r="AD309" s="768">
        <f t="shared" si="703"/>
        <v>49674.145524531581</v>
      </c>
      <c r="AE309" s="768">
        <f t="shared" si="703"/>
        <v>47554.287900997551</v>
      </c>
      <c r="AF309" s="768">
        <f t="shared" si="703"/>
        <v>52409.245047296092</v>
      </c>
      <c r="AG309" s="768">
        <f t="shared" si="703"/>
        <v>50802.543488613126</v>
      </c>
      <c r="AH309" s="768">
        <f t="shared" si="703"/>
        <v>51058.284660542136</v>
      </c>
      <c r="AI309" s="768">
        <f t="shared" si="703"/>
        <v>52745.931563527622</v>
      </c>
      <c r="AJ309" s="768">
        <f t="shared" si="703"/>
        <v>57612.551235906045</v>
      </c>
      <c r="AK309" s="768">
        <f t="shared" si="703"/>
        <v>57477.747689766977</v>
      </c>
      <c r="AL309" s="768">
        <f t="shared" si="703"/>
        <v>59166.248116524359</v>
      </c>
      <c r="AM309" s="768">
        <f t="shared" si="703"/>
        <v>53246.49182808886</v>
      </c>
      <c r="AN309" s="768">
        <f t="shared" si="703"/>
        <v>58287.025558908892</v>
      </c>
      <c r="AO309" s="768">
        <f t="shared" si="703"/>
        <v>58498.579642591132</v>
      </c>
      <c r="AP309" s="768">
        <f t="shared" si="703"/>
        <v>59841.014661322712</v>
      </c>
      <c r="AQ309" s="768">
        <f t="shared" ref="AQ309:AS309" si="704">+AQ156</f>
        <v>57469.988014433955</v>
      </c>
      <c r="AR309" s="768">
        <f t="shared" si="704"/>
        <v>58726.954649441526</v>
      </c>
      <c r="AS309" s="768">
        <f t="shared" si="704"/>
        <v>59266.825072266867</v>
      </c>
      <c r="AT309" s="768">
        <f t="shared" ref="AT309" si="705">+AT156</f>
        <v>65275.812380278541</v>
      </c>
      <c r="AU309" s="768">
        <f t="shared" ref="AU309" si="706">+AU156</f>
        <v>105336.99262025706</v>
      </c>
      <c r="AV309" s="468"/>
      <c r="AW309" s="768">
        <v>98912.743225257014</v>
      </c>
      <c r="AX309" s="762"/>
      <c r="AY309" s="739"/>
      <c r="AZ309" s="739"/>
      <c r="BA309" s="741"/>
      <c r="BB309" s="741"/>
      <c r="BC309" s="741"/>
      <c r="BD309" s="741"/>
      <c r="BE309" s="741"/>
      <c r="BF309" s="741"/>
      <c r="BG309" s="741"/>
    </row>
    <row r="310" spans="1:59" s="743" customFormat="1" outlineLevel="1">
      <c r="A310" s="465"/>
      <c r="B310" s="488" t="s">
        <v>579</v>
      </c>
      <c r="C310" s="465"/>
      <c r="D310" s="465"/>
      <c r="E310" s="465"/>
      <c r="F310" s="465"/>
      <c r="G310" s="466"/>
      <c r="H310" s="465"/>
      <c r="I310" s="465"/>
      <c r="J310" s="466"/>
      <c r="K310" s="466"/>
      <c r="L310" s="487"/>
      <c r="M310" s="468"/>
      <c r="N310" s="468"/>
      <c r="O310" s="468"/>
      <c r="P310" s="468"/>
      <c r="Q310" s="468"/>
      <c r="R310" s="469"/>
      <c r="S310" s="469"/>
      <c r="T310" s="469"/>
      <c r="U310" s="469"/>
      <c r="V310" s="469"/>
      <c r="W310" s="490">
        <f>+W157</f>
        <v>2.4093237744919671E-2</v>
      </c>
      <c r="X310" s="490">
        <f t="shared" ref="X310:AP310" si="707">+X157</f>
        <v>2.6231671731328898E-2</v>
      </c>
      <c r="Y310" s="490">
        <f t="shared" si="707"/>
        <v>1.1748194732718709E-2</v>
      </c>
      <c r="Z310" s="490">
        <f t="shared" si="707"/>
        <v>2.583750481416236E-2</v>
      </c>
      <c r="AA310" s="490">
        <f t="shared" si="707"/>
        <v>5.7828501743138583E-2</v>
      </c>
      <c r="AB310" s="490">
        <f t="shared" si="707"/>
        <v>6.8342027276257822E-2</v>
      </c>
      <c r="AC310" s="490">
        <f t="shared" si="707"/>
        <v>5.0881761331350361E-2</v>
      </c>
      <c r="AD310" s="490">
        <f t="shared" si="707"/>
        <v>9.50038476834838E-2</v>
      </c>
      <c r="AE310" s="490">
        <f t="shared" si="707"/>
        <v>5.0192285900344524E-2</v>
      </c>
      <c r="AF310" s="490">
        <f t="shared" si="707"/>
        <v>9.5586613695111122E-2</v>
      </c>
      <c r="AG310" s="490">
        <f t="shared" si="707"/>
        <v>7.2715574592290944E-2</v>
      </c>
      <c r="AH310" s="490">
        <f t="shared" si="707"/>
        <v>2.7864377361599413E-2</v>
      </c>
      <c r="AI310" s="490">
        <f t="shared" si="707"/>
        <v>0.10917298716234503</v>
      </c>
      <c r="AJ310" s="490">
        <f t="shared" si="707"/>
        <v>9.9282219843355834E-2</v>
      </c>
      <c r="AK310" s="490">
        <f t="shared" si="707"/>
        <v>0.13139507872573408</v>
      </c>
      <c r="AL310" s="490">
        <f t="shared" si="707"/>
        <v>0.15879819523682626</v>
      </c>
      <c r="AM310" s="490">
        <f t="shared" si="707"/>
        <v>9.4900260498453903E-3</v>
      </c>
      <c r="AN310" s="490">
        <f t="shared" si="707"/>
        <v>1.1707072652295425E-2</v>
      </c>
      <c r="AO310" s="490">
        <f t="shared" si="707"/>
        <v>1.7760472423763662E-2</v>
      </c>
      <c r="AP310" s="490">
        <f t="shared" si="707"/>
        <v>1.1404585659537503E-2</v>
      </c>
      <c r="AQ310" s="490">
        <f t="shared" ref="AQ310:AS310" si="708">+AQ157</f>
        <v>7.9319708047265181E-2</v>
      </c>
      <c r="AR310" s="490">
        <f t="shared" si="708"/>
        <v>7.5476332222170761E-3</v>
      </c>
      <c r="AS310" s="490">
        <f t="shared" si="708"/>
        <v>1.3132719364632228E-2</v>
      </c>
      <c r="AT310" s="490">
        <f t="shared" ref="AT310" si="709">+AT157</f>
        <v>9.0820614418300138E-2</v>
      </c>
      <c r="AU310" s="490">
        <f t="shared" ref="AU310" si="710">+AU157</f>
        <v>0.83290437773888182</v>
      </c>
      <c r="AV310" s="468"/>
      <c r="AW310" s="490">
        <v>0.65127989082715421</v>
      </c>
      <c r="AX310" s="762"/>
      <c r="AY310" s="739"/>
      <c r="AZ310" s="739"/>
      <c r="BA310" s="741"/>
      <c r="BB310" s="741"/>
      <c r="BC310" s="741"/>
      <c r="BD310" s="741"/>
      <c r="BE310" s="741"/>
      <c r="BF310" s="741"/>
      <c r="BG310" s="741"/>
    </row>
    <row r="311" spans="1:59" s="743" customFormat="1" outlineLevel="1">
      <c r="A311" s="465"/>
      <c r="B311" s="467"/>
      <c r="C311" s="465"/>
      <c r="D311" s="465"/>
      <c r="E311" s="465"/>
      <c r="F311" s="465"/>
      <c r="G311" s="466"/>
      <c r="H311" s="465"/>
      <c r="I311" s="465"/>
      <c r="J311" s="466"/>
      <c r="K311" s="466"/>
      <c r="L311" s="487"/>
      <c r="M311" s="468"/>
      <c r="N311" s="468"/>
      <c r="O311" s="468"/>
      <c r="P311" s="468"/>
      <c r="Q311" s="468"/>
      <c r="R311" s="469"/>
      <c r="S311" s="469"/>
      <c r="T311" s="469"/>
      <c r="U311" s="469"/>
      <c r="V311" s="469"/>
      <c r="W311" s="469"/>
      <c r="X311" s="469"/>
      <c r="Y311" s="469"/>
      <c r="Z311" s="469"/>
      <c r="AA311" s="469"/>
      <c r="AB311" s="469"/>
      <c r="AC311" s="469"/>
      <c r="AD311" s="469"/>
      <c r="AE311" s="469"/>
      <c r="AF311" s="469"/>
      <c r="AG311" s="469"/>
      <c r="AH311" s="469"/>
      <c r="AI311" s="469"/>
      <c r="AJ311" s="469"/>
      <c r="AK311" s="469"/>
      <c r="AL311" s="469"/>
      <c r="AM311" s="469"/>
      <c r="AN311" s="469"/>
      <c r="AO311" s="469"/>
      <c r="AP311" s="469"/>
      <c r="AQ311" s="469"/>
      <c r="AR311" s="469"/>
      <c r="AS311" s="469"/>
      <c r="AT311" s="469"/>
      <c r="AU311" s="469"/>
      <c r="AV311" s="468"/>
      <c r="AW311" s="469"/>
      <c r="AX311" s="762"/>
      <c r="AY311" s="739"/>
      <c r="AZ311" s="739"/>
      <c r="BA311" s="741"/>
      <c r="BB311" s="741"/>
      <c r="BC311" s="741"/>
      <c r="BD311" s="741"/>
      <c r="BE311" s="741"/>
      <c r="BF311" s="741"/>
      <c r="BG311" s="741"/>
    </row>
    <row r="312" spans="1:59" s="743" customFormat="1" outlineLevel="1">
      <c r="A312" s="465"/>
      <c r="B312" s="471" t="s">
        <v>396</v>
      </c>
      <c r="C312" s="465"/>
      <c r="D312" s="465"/>
      <c r="E312" s="465"/>
      <c r="F312" s="465"/>
      <c r="G312" s="466"/>
      <c r="H312" s="465"/>
      <c r="I312" s="465"/>
      <c r="J312" s="466"/>
      <c r="K312" s="466"/>
      <c r="L312" s="487"/>
      <c r="M312" s="777"/>
      <c r="N312" s="778"/>
      <c r="O312" s="778"/>
      <c r="P312" s="778"/>
      <c r="Q312" s="778"/>
      <c r="R312" s="465">
        <f t="shared" ref="R312:AM312" si="711">+R150</f>
        <v>34687.462349809968</v>
      </c>
      <c r="S312" s="465">
        <f t="shared" si="711"/>
        <v>37357.324351109448</v>
      </c>
      <c r="T312" s="465">
        <f t="shared" si="711"/>
        <v>37516.43174156938</v>
      </c>
      <c r="U312" s="465">
        <f t="shared" si="711"/>
        <v>38160.21898302342</v>
      </c>
      <c r="V312" s="465">
        <f t="shared" si="711"/>
        <v>38318.898793879125</v>
      </c>
      <c r="W312" s="465">
        <f t="shared" si="711"/>
        <v>39473.0072912818</v>
      </c>
      <c r="X312" s="465">
        <f t="shared" si="711"/>
        <v>40859.728293416701</v>
      </c>
      <c r="Y312" s="465">
        <f t="shared" si="711"/>
        <v>44892.258579409419</v>
      </c>
      <c r="Z312" s="465">
        <f t="shared" si="711"/>
        <v>42514.118602013739</v>
      </c>
      <c r="AA312" s="465">
        <f t="shared" si="711"/>
        <v>41140.877431461944</v>
      </c>
      <c r="AB312" s="465">
        <f t="shared" si="711"/>
        <v>42661.132249509974</v>
      </c>
      <c r="AC312" s="465">
        <f t="shared" si="711"/>
        <v>46461.92939275215</v>
      </c>
      <c r="AD312" s="465">
        <f t="shared" si="711"/>
        <v>43561.047108943712</v>
      </c>
      <c r="AE312" s="465">
        <f t="shared" si="711"/>
        <v>51742.731608023983</v>
      </c>
      <c r="AF312" s="465">
        <f t="shared" si="711"/>
        <v>52988.554472233998</v>
      </c>
      <c r="AG312" s="465">
        <f t="shared" si="711"/>
        <v>50247.80713173304</v>
      </c>
      <c r="AH312" s="465">
        <f t="shared" si="711"/>
        <v>52182.306276958341</v>
      </c>
      <c r="AI312" s="465">
        <f t="shared" si="711"/>
        <v>50931.404380870066</v>
      </c>
      <c r="AJ312" s="465">
        <f t="shared" si="711"/>
        <v>52707.318341800026</v>
      </c>
      <c r="AK312" s="465">
        <f t="shared" si="711"/>
        <v>54647.705815902482</v>
      </c>
      <c r="AL312" s="465">
        <f t="shared" si="711"/>
        <v>58967.185931348773</v>
      </c>
      <c r="AM312" s="465">
        <f t="shared" si="711"/>
        <v>55278.533293039189</v>
      </c>
      <c r="AN312" s="465">
        <f>+AN150</f>
        <v>54522.838648156583</v>
      </c>
      <c r="AO312" s="465">
        <f>+AO150</f>
        <v>55574.91161859189</v>
      </c>
      <c r="AP312" s="465">
        <f>+AP150</f>
        <v>60773.364366540671</v>
      </c>
      <c r="AQ312" s="465">
        <f t="shared" ref="AQ312:AQ313" si="712">+AQ150</f>
        <v>55497.249419261891</v>
      </c>
      <c r="AR312" s="465">
        <f t="shared" ref="AR312:AS312" si="713">+AR150</f>
        <v>55791.141668231852</v>
      </c>
      <c r="AS312" s="465">
        <f t="shared" si="713"/>
        <v>57144.37593025728</v>
      </c>
      <c r="AT312" s="465">
        <f t="shared" ref="AT312" si="714">+AT150</f>
        <v>54898.765934991716</v>
      </c>
      <c r="AU312" s="465">
        <f t="shared" ref="AU312" si="715">+AU150</f>
        <v>0</v>
      </c>
      <c r="AV312" s="778"/>
      <c r="AW312" s="779">
        <v>0</v>
      </c>
      <c r="AX312" s="762"/>
      <c r="AY312" s="739"/>
      <c r="AZ312" s="739"/>
      <c r="BA312" s="741"/>
      <c r="BB312" s="741"/>
      <c r="BC312" s="741"/>
      <c r="BD312" s="741"/>
      <c r="BE312" s="741"/>
      <c r="BF312" s="741"/>
      <c r="BG312" s="741"/>
    </row>
    <row r="313" spans="1:59" s="776" customFormat="1" outlineLevel="1">
      <c r="A313" s="770"/>
      <c r="B313" s="488" t="s">
        <v>579</v>
      </c>
      <c r="C313" s="770"/>
      <c r="D313" s="770"/>
      <c r="E313" s="770"/>
      <c r="F313" s="770"/>
      <c r="G313" s="771"/>
      <c r="H313" s="770"/>
      <c r="I313" s="770"/>
      <c r="J313" s="771"/>
      <c r="K313" s="771"/>
      <c r="L313" s="772"/>
      <c r="M313" s="489"/>
      <c r="N313" s="491"/>
      <c r="O313" s="491"/>
      <c r="P313" s="491"/>
      <c r="Q313" s="491"/>
      <c r="R313" s="490">
        <f t="shared" ref="R313:AM313" si="716">+R151</f>
        <v>6.823154006150145E-2</v>
      </c>
      <c r="S313" s="490">
        <f t="shared" si="716"/>
        <v>4.5623884643808399E-2</v>
      </c>
      <c r="T313" s="490">
        <f t="shared" si="716"/>
        <v>5.3343078637449803E-2</v>
      </c>
      <c r="U313" s="490">
        <f t="shared" si="716"/>
        <v>0.10022739998821906</v>
      </c>
      <c r="V313" s="490">
        <f t="shared" si="716"/>
        <v>0.10469017328069397</v>
      </c>
      <c r="W313" s="490">
        <f t="shared" si="716"/>
        <v>5.6633685011478141E-2</v>
      </c>
      <c r="X313" s="490">
        <f t="shared" si="716"/>
        <v>8.9115526094738939E-2</v>
      </c>
      <c r="Y313" s="490">
        <f t="shared" si="716"/>
        <v>0.1764151196139867</v>
      </c>
      <c r="Z313" s="490">
        <f t="shared" si="716"/>
        <v>0.10948174243474695</v>
      </c>
      <c r="AA313" s="490">
        <f t="shared" si="716"/>
        <v>4.225343480603061E-2</v>
      </c>
      <c r="AB313" s="490">
        <f t="shared" si="716"/>
        <v>4.4087516763627432E-2</v>
      </c>
      <c r="AC313" s="490">
        <f t="shared" si="716"/>
        <v>3.4965289406549971E-2</v>
      </c>
      <c r="AD313" s="490">
        <f t="shared" si="716"/>
        <v>2.4625431300377087E-2</v>
      </c>
      <c r="AE313" s="490">
        <f t="shared" si="716"/>
        <v>0.25769635550977354</v>
      </c>
      <c r="AF313" s="490">
        <f t="shared" si="716"/>
        <v>0.24208035929104188</v>
      </c>
      <c r="AG313" s="490">
        <f t="shared" si="716"/>
        <v>8.1483437912749812E-2</v>
      </c>
      <c r="AH313" s="490">
        <f t="shared" si="716"/>
        <v>0.19791211966170952</v>
      </c>
      <c r="AI313" s="490">
        <f t="shared" si="716"/>
        <v>-1.5680023105469343E-2</v>
      </c>
      <c r="AJ313" s="490">
        <f t="shared" si="716"/>
        <v>-5.3074882535498746E-3</v>
      </c>
      <c r="AK313" s="490">
        <f t="shared" si="716"/>
        <v>8.7563994039269621E-2</v>
      </c>
      <c r="AL313" s="490">
        <f t="shared" si="716"/>
        <v>0.13002260993179537</v>
      </c>
      <c r="AM313" s="490">
        <f t="shared" si="716"/>
        <v>8.5352622120153265E-2</v>
      </c>
      <c r="AN313" s="490">
        <f t="shared" ref="AN313:AO313" si="717">+AN151</f>
        <v>3.4445317338726023E-2</v>
      </c>
      <c r="AO313" s="490">
        <f t="shared" si="717"/>
        <v>1.6966966661198679E-2</v>
      </c>
      <c r="AP313" s="490">
        <f>+AP151</f>
        <v>3.0630229451591884E-2</v>
      </c>
      <c r="AQ313" s="490">
        <f t="shared" si="712"/>
        <v>3.9566195626656864E-3</v>
      </c>
      <c r="AR313" s="490">
        <f t="shared" ref="AR313:AS313" si="718">+AR151</f>
        <v>2.3261866981280965E-2</v>
      </c>
      <c r="AS313" s="490">
        <f t="shared" si="718"/>
        <v>2.8240518355414634E-2</v>
      </c>
      <c r="AT313" s="490">
        <f t="shared" ref="AT313" si="719">+AT151</f>
        <v>-9.6664031895908442E-2</v>
      </c>
      <c r="AU313" s="490">
        <f t="shared" ref="AU313" si="720">+AU151</f>
        <v>-1</v>
      </c>
      <c r="AV313" s="491"/>
      <c r="AW313" s="490">
        <v>-1</v>
      </c>
      <c r="AX313" s="773"/>
      <c r="AY313" s="774"/>
      <c r="AZ313" s="774"/>
      <c r="BA313" s="775"/>
      <c r="BB313" s="775"/>
      <c r="BC313" s="775"/>
      <c r="BD313" s="775"/>
      <c r="BE313" s="775"/>
      <c r="BF313" s="775"/>
      <c r="BG313" s="775"/>
    </row>
    <row r="314" spans="1:59" s="743" customFormat="1" outlineLevel="1">
      <c r="A314" s="465"/>
      <c r="B314" s="467"/>
      <c r="C314" s="465"/>
      <c r="D314" s="465"/>
      <c r="E314" s="465"/>
      <c r="F314" s="465"/>
      <c r="G314" s="466"/>
      <c r="H314" s="465"/>
      <c r="I314" s="465"/>
      <c r="J314" s="466"/>
      <c r="K314" s="466"/>
      <c r="L314" s="487"/>
      <c r="M314" s="468"/>
      <c r="N314" s="470"/>
      <c r="O314" s="470"/>
      <c r="P314" s="470"/>
      <c r="Q314" s="470"/>
      <c r="R314" s="469"/>
      <c r="S314" s="469"/>
      <c r="T314" s="469"/>
      <c r="U314" s="469"/>
      <c r="V314" s="469"/>
      <c r="W314" s="469"/>
      <c r="X314" s="469"/>
      <c r="Y314" s="469"/>
      <c r="Z314" s="469"/>
      <c r="AA314" s="469"/>
      <c r="AB314" s="469"/>
      <c r="AC314" s="469"/>
      <c r="AD314" s="469"/>
      <c r="AE314" s="469"/>
      <c r="AF314" s="469"/>
      <c r="AG314" s="469"/>
      <c r="AH314" s="469"/>
      <c r="AI314" s="469"/>
      <c r="AJ314" s="469"/>
      <c r="AK314" s="469"/>
      <c r="AL314" s="469"/>
      <c r="AM314" s="469"/>
      <c r="AN314" s="469"/>
      <c r="AO314" s="469"/>
      <c r="AP314" s="469"/>
      <c r="AQ314" s="469"/>
      <c r="AR314" s="469"/>
      <c r="AS314" s="469"/>
      <c r="AT314" s="469"/>
      <c r="AU314" s="469"/>
      <c r="AV314" s="470"/>
      <c r="AW314" s="469"/>
      <c r="AX314" s="762"/>
      <c r="AY314" s="739"/>
      <c r="AZ314" s="739"/>
      <c r="BA314" s="741"/>
      <c r="BB314" s="741"/>
      <c r="BC314" s="741"/>
      <c r="BD314" s="741"/>
      <c r="BE314" s="741"/>
      <c r="BF314" s="741"/>
      <c r="BG314" s="741"/>
    </row>
    <row r="315" spans="1:59" s="743" customFormat="1" outlineLevel="1">
      <c r="A315" s="465"/>
      <c r="B315" s="471" t="s">
        <v>2513</v>
      </c>
      <c r="C315" s="465"/>
      <c r="D315" s="465"/>
      <c r="E315" s="465"/>
      <c r="F315" s="465"/>
      <c r="G315" s="466"/>
      <c r="H315" s="465"/>
      <c r="I315" s="465"/>
      <c r="J315" s="466"/>
      <c r="K315" s="466"/>
      <c r="L315" s="487"/>
      <c r="M315" s="468"/>
      <c r="N315" s="470"/>
      <c r="O315" s="470"/>
      <c r="P315" s="470"/>
      <c r="Q315" s="470"/>
      <c r="R315" s="469"/>
      <c r="S315" s="469"/>
      <c r="T315" s="469"/>
      <c r="U315" s="469"/>
      <c r="V315" s="469"/>
      <c r="W315" s="465">
        <f>+W98</f>
        <v>43065.752208745304</v>
      </c>
      <c r="X315" s="465">
        <f t="shared" ref="X315:AP315" si="721">+X98</f>
        <v>45246.049219292916</v>
      </c>
      <c r="Y315" s="465">
        <f t="shared" si="721"/>
        <v>46361.35315651905</v>
      </c>
      <c r="Z315" s="465">
        <f t="shared" si="721"/>
        <v>45726.801569762414</v>
      </c>
      <c r="AA315" s="465">
        <f t="shared" si="721"/>
        <v>45095.373276946273</v>
      </c>
      <c r="AB315" s="465">
        <f t="shared" si="721"/>
        <v>47391.937537647442</v>
      </c>
      <c r="AC315" s="465">
        <f t="shared" si="721"/>
        <v>47995.186923470486</v>
      </c>
      <c r="AD315" s="465">
        <f t="shared" si="721"/>
        <v>48372.707344142204</v>
      </c>
      <c r="AE315" s="465">
        <f t="shared" si="721"/>
        <v>50150.264226085623</v>
      </c>
      <c r="AF315" s="465">
        <f t="shared" si="721"/>
        <v>53830.526458136126</v>
      </c>
      <c r="AG315" s="465">
        <f t="shared" si="721"/>
        <v>51638.237277219254</v>
      </c>
      <c r="AH315" s="465">
        <f t="shared" si="721"/>
        <v>52707.681917369642</v>
      </c>
      <c r="AI315" s="465">
        <f t="shared" si="721"/>
        <v>53138.91727284684</v>
      </c>
      <c r="AJ315" s="465">
        <f t="shared" si="721"/>
        <v>56491.016330327722</v>
      </c>
      <c r="AK315" s="465">
        <f t="shared" si="721"/>
        <v>57461.199366188601</v>
      </c>
      <c r="AL315" s="465">
        <f t="shared" si="721"/>
        <v>60553.567344560724</v>
      </c>
      <c r="AM315" s="465">
        <f t="shared" si="721"/>
        <v>55272.652609155317</v>
      </c>
      <c r="AN315" s="465">
        <f t="shared" si="721"/>
        <v>57542.712635671531</v>
      </c>
      <c r="AO315" s="465">
        <f t="shared" si="721"/>
        <v>58306.270743606401</v>
      </c>
      <c r="AP315" s="465">
        <f t="shared" si="721"/>
        <v>61428.861245817912</v>
      </c>
      <c r="AQ315" s="465">
        <f t="shared" ref="AQ315:AS315" si="722">+AQ98</f>
        <v>57783.847524913719</v>
      </c>
      <c r="AR315" s="465">
        <f t="shared" si="722"/>
        <v>58670.956300965656</v>
      </c>
      <c r="AS315" s="465">
        <f t="shared" si="722"/>
        <v>59495.329626781109</v>
      </c>
      <c r="AT315" s="465">
        <f t="shared" ref="AT315" si="723">+AT98</f>
        <v>62178.163013710815</v>
      </c>
      <c r="AU315" s="465">
        <f t="shared" ref="AU315" si="724">+AU98</f>
        <v>62282.457506070074</v>
      </c>
      <c r="AV315" s="470"/>
      <c r="AW315" s="465">
        <v>59360.044606637086</v>
      </c>
      <c r="AX315" s="762"/>
      <c r="AY315" s="739"/>
      <c r="AZ315" s="739"/>
      <c r="BA315" s="741"/>
      <c r="BB315" s="741"/>
      <c r="BC315" s="741"/>
      <c r="BD315" s="741"/>
      <c r="BE315" s="741"/>
      <c r="BF315" s="741"/>
      <c r="BG315" s="741"/>
    </row>
    <row r="316" spans="1:59" s="743" customFormat="1" outlineLevel="1">
      <c r="A316" s="465"/>
      <c r="B316" s="488" t="s">
        <v>579</v>
      </c>
      <c r="C316" s="465"/>
      <c r="D316" s="465"/>
      <c r="E316" s="465"/>
      <c r="F316" s="465"/>
      <c r="G316" s="466"/>
      <c r="H316" s="465"/>
      <c r="I316" s="465"/>
      <c r="J316" s="466"/>
      <c r="K316" s="466"/>
      <c r="L316" s="487"/>
      <c r="M316" s="468"/>
      <c r="N316" s="470"/>
      <c r="O316" s="470"/>
      <c r="P316" s="470"/>
      <c r="Q316" s="470"/>
      <c r="R316" s="469"/>
      <c r="S316" s="469"/>
      <c r="T316" s="469"/>
      <c r="U316" s="469"/>
      <c r="V316" s="469"/>
      <c r="W316" s="490">
        <f>+W99</f>
        <v>2.794705800784425E-2</v>
      </c>
      <c r="X316" s="490">
        <f t="shared" ref="X316:AP316" si="725">+X99</f>
        <v>4.3450181690501744E-2</v>
      </c>
      <c r="Y316" s="490">
        <f t="shared" si="725"/>
        <v>5.0907505631926142E-2</v>
      </c>
      <c r="Z316" s="490">
        <f t="shared" si="725"/>
        <v>4.6082542527869252E-2</v>
      </c>
      <c r="AA316" s="490">
        <f t="shared" si="725"/>
        <v>4.7128424887672438E-2</v>
      </c>
      <c r="AB316" s="490">
        <f t="shared" si="725"/>
        <v>4.7427087124316758E-2</v>
      </c>
      <c r="AC316" s="490">
        <f t="shared" si="725"/>
        <v>3.5241287316086334E-2</v>
      </c>
      <c r="AD316" s="490">
        <f t="shared" si="725"/>
        <v>5.7863346736445109E-2</v>
      </c>
      <c r="AE316" s="490">
        <f t="shared" si="725"/>
        <v>0.11209333866903637</v>
      </c>
      <c r="AF316" s="490">
        <f t="shared" si="725"/>
        <v>0.13585831799710579</v>
      </c>
      <c r="AG316" s="490">
        <f t="shared" si="725"/>
        <v>7.5904493497602088E-2</v>
      </c>
      <c r="AH316" s="490">
        <f t="shared" si="725"/>
        <v>8.9616124695828026E-2</v>
      </c>
      <c r="AI316" s="490">
        <f t="shared" si="725"/>
        <v>5.9593964117275133E-2</v>
      </c>
      <c r="AJ316" s="490">
        <f t="shared" si="725"/>
        <v>4.9423441441923455E-2</v>
      </c>
      <c r="AK316" s="490">
        <f t="shared" si="725"/>
        <v>0.11276454030970973</v>
      </c>
      <c r="AL316" s="490">
        <f t="shared" si="725"/>
        <v>0.14885658298331461</v>
      </c>
      <c r="AM316" s="490">
        <f t="shared" si="725"/>
        <v>4.01539106518225E-2</v>
      </c>
      <c r="AN316" s="490">
        <f t="shared" si="725"/>
        <v>1.8617054067395111E-2</v>
      </c>
      <c r="AO316" s="490">
        <f t="shared" si="725"/>
        <v>1.4706817587156973E-2</v>
      </c>
      <c r="AP316" s="490">
        <f t="shared" si="725"/>
        <v>1.4454869294101336E-2</v>
      </c>
      <c r="AQ316" s="490">
        <f t="shared" ref="AQ316:AS316" si="726">+AQ99</f>
        <v>4.5432864123884142E-2</v>
      </c>
      <c r="AR316" s="490">
        <f t="shared" si="726"/>
        <v>1.9607064276540687E-2</v>
      </c>
      <c r="AS316" s="490">
        <f t="shared" si="726"/>
        <v>2.0393327647439952E-2</v>
      </c>
      <c r="AT316" s="490">
        <f t="shared" ref="AT316" si="727">+AT99</f>
        <v>1.2197878207353519E-2</v>
      </c>
      <c r="AU316" s="490">
        <f t="shared" ref="AU316" si="728">+AU99</f>
        <v>7.7852378715639547E-2</v>
      </c>
      <c r="AV316" s="470"/>
      <c r="AW316" s="490">
        <v>-3.4258472339595891E-2</v>
      </c>
      <c r="AX316" s="762"/>
      <c r="AY316" s="739"/>
      <c r="AZ316" s="739"/>
      <c r="BA316" s="741"/>
      <c r="BB316" s="741"/>
      <c r="BC316" s="741"/>
      <c r="BD316" s="741"/>
      <c r="BE316" s="741"/>
      <c r="BF316" s="741"/>
      <c r="BG316" s="741"/>
    </row>
    <row r="317" spans="1:59" s="743" customFormat="1" outlineLevel="1">
      <c r="A317" s="465"/>
      <c r="B317" s="467"/>
      <c r="C317" s="465"/>
      <c r="D317" s="465"/>
      <c r="E317" s="465"/>
      <c r="F317" s="465"/>
      <c r="G317" s="466"/>
      <c r="H317" s="465"/>
      <c r="I317" s="465"/>
      <c r="J317" s="466"/>
      <c r="K317" s="466"/>
      <c r="L317" s="487"/>
      <c r="M317" s="468"/>
      <c r="N317" s="470"/>
      <c r="O317" s="470"/>
      <c r="P317" s="470"/>
      <c r="Q317" s="470"/>
      <c r="R317" s="469"/>
      <c r="S317" s="469"/>
      <c r="T317" s="469"/>
      <c r="U317" s="469"/>
      <c r="V317" s="469"/>
      <c r="W317" s="469"/>
      <c r="X317" s="469"/>
      <c r="Y317" s="469"/>
      <c r="Z317" s="469"/>
      <c r="AA317" s="469"/>
      <c r="AB317" s="469"/>
      <c r="AC317" s="469"/>
      <c r="AD317" s="469"/>
      <c r="AE317" s="469"/>
      <c r="AF317" s="469"/>
      <c r="AG317" s="469"/>
      <c r="AH317" s="469"/>
      <c r="AI317" s="469"/>
      <c r="AJ317" s="469"/>
      <c r="AK317" s="469"/>
      <c r="AL317" s="469"/>
      <c r="AM317" s="469"/>
      <c r="AN317" s="469"/>
      <c r="AO317" s="469"/>
      <c r="AP317" s="469"/>
      <c r="AQ317" s="469"/>
      <c r="AR317" s="469"/>
      <c r="AS317" s="469"/>
      <c r="AT317" s="469"/>
      <c r="AU317" s="469"/>
      <c r="AV317" s="470"/>
      <c r="AW317" s="469"/>
      <c r="AX317" s="762"/>
      <c r="AY317" s="739"/>
      <c r="AZ317" s="739"/>
      <c r="BA317" s="741"/>
      <c r="BB317" s="741"/>
      <c r="BC317" s="741"/>
      <c r="BD317" s="741"/>
      <c r="BE317" s="741"/>
      <c r="BF317" s="741"/>
      <c r="BG317" s="741"/>
    </row>
    <row r="318" spans="1:59" s="743" customFormat="1" ht="12.75" customHeight="1" outlineLevel="1">
      <c r="A318" s="465"/>
      <c r="B318" s="471" t="s">
        <v>1549</v>
      </c>
      <c r="C318" s="465"/>
      <c r="D318" s="465"/>
      <c r="E318" s="465"/>
      <c r="F318" s="465"/>
      <c r="G318" s="466"/>
      <c r="H318" s="465"/>
      <c r="I318" s="465"/>
      <c r="J318" s="780"/>
      <c r="K318" s="466"/>
      <c r="L318" s="487"/>
      <c r="M318" s="777"/>
      <c r="N318" s="777"/>
      <c r="O318" s="777"/>
      <c r="P318" s="777"/>
      <c r="Q318" s="777"/>
      <c r="R318" s="781"/>
      <c r="S318" s="781"/>
      <c r="T318" s="781"/>
      <c r="U318" s="781"/>
      <c r="V318" s="741"/>
      <c r="W318" s="782">
        <f t="shared" ref="W318:AE318" si="729">+W211</f>
        <v>46.47</v>
      </c>
      <c r="X318" s="782">
        <f t="shared" si="729"/>
        <v>47.8</v>
      </c>
      <c r="Y318" s="782">
        <f t="shared" si="729"/>
        <v>49.71</v>
      </c>
      <c r="Z318" s="782">
        <f t="shared" si="729"/>
        <v>48.71</v>
      </c>
      <c r="AA318" s="782">
        <f t="shared" si="729"/>
        <v>49.8</v>
      </c>
      <c r="AB318" s="782">
        <f t="shared" si="729"/>
        <v>48.81</v>
      </c>
      <c r="AC318" s="782">
        <f t="shared" si="729"/>
        <v>49.9</v>
      </c>
      <c r="AD318" s="782">
        <f t="shared" si="729"/>
        <v>49.5</v>
      </c>
      <c r="AE318" s="782">
        <f t="shared" si="729"/>
        <v>55.56</v>
      </c>
      <c r="AF318" s="782">
        <f>+AF211</f>
        <v>60.9</v>
      </c>
      <c r="AG318" s="782">
        <f>+AG211</f>
        <v>61</v>
      </c>
      <c r="AH318" s="782">
        <f>+AH211</f>
        <v>61.3</v>
      </c>
      <c r="AI318" s="782">
        <f>+AI211</f>
        <v>59.9</v>
      </c>
      <c r="AJ318" s="782">
        <f>+AJ211</f>
        <v>61.5</v>
      </c>
      <c r="AK318" s="782">
        <v>62.8</v>
      </c>
      <c r="AL318" s="782">
        <f t="shared" ref="AL318:AR318" si="730">+AL211</f>
        <v>62.8</v>
      </c>
      <c r="AM318" s="782">
        <f t="shared" si="730"/>
        <v>63.9</v>
      </c>
      <c r="AN318" s="782">
        <f t="shared" si="730"/>
        <v>65.2</v>
      </c>
      <c r="AO318" s="782">
        <f t="shared" si="730"/>
        <v>66</v>
      </c>
      <c r="AP318" s="782">
        <f t="shared" si="730"/>
        <v>67.5</v>
      </c>
      <c r="AQ318" s="782">
        <f t="shared" ref="AQ318" si="731">+AQ211</f>
        <v>67.099999999999994</v>
      </c>
      <c r="AR318" s="782">
        <f t="shared" si="730"/>
        <v>67.099999999999994</v>
      </c>
      <c r="AS318" s="782">
        <f t="shared" ref="AS318" si="732">+AS211</f>
        <v>67.7</v>
      </c>
      <c r="AT318" s="782">
        <f t="shared" ref="AT318" si="733">+AT211</f>
        <v>67.3</v>
      </c>
      <c r="AU318" s="782">
        <f t="shared" ref="AU318" si="734">+AU211</f>
        <v>0</v>
      </c>
      <c r="AV318" s="783"/>
      <c r="AW318" s="782">
        <v>0</v>
      </c>
      <c r="AX318" s="762"/>
      <c r="AY318" s="739"/>
      <c r="AZ318" s="739"/>
      <c r="BA318" s="741"/>
      <c r="BB318" s="741"/>
      <c r="BC318" s="741"/>
      <c r="BD318" s="741"/>
      <c r="BE318" s="741"/>
      <c r="BF318" s="741"/>
      <c r="BG318" s="741"/>
    </row>
    <row r="319" spans="1:59" s="743" customFormat="1" ht="12.75" customHeight="1" outlineLevel="1">
      <c r="A319" s="465"/>
      <c r="B319" s="781"/>
      <c r="C319" s="465"/>
      <c r="D319" s="465"/>
      <c r="E319" s="465"/>
      <c r="F319" s="465"/>
      <c r="G319" s="466"/>
      <c r="H319" s="465"/>
      <c r="I319" s="465"/>
      <c r="J319" s="466"/>
      <c r="K319" s="466"/>
      <c r="L319" s="487"/>
      <c r="M319" s="777"/>
      <c r="N319" s="777"/>
      <c r="O319" s="777"/>
      <c r="P319" s="777"/>
      <c r="Q319" s="777"/>
      <c r="R319" s="781"/>
      <c r="S319" s="781"/>
      <c r="T319" s="781"/>
      <c r="U319" s="781"/>
      <c r="V319" s="741"/>
      <c r="W319" s="781"/>
      <c r="X319" s="781"/>
      <c r="Y319" s="781"/>
      <c r="Z319" s="781"/>
      <c r="AA319" s="781"/>
      <c r="AB319" s="781"/>
      <c r="AC319" s="781"/>
      <c r="AD319" s="781"/>
      <c r="AE319" s="781"/>
      <c r="AF319" s="781"/>
      <c r="AG319" s="781"/>
      <c r="AH319" s="781"/>
      <c r="AI319" s="781"/>
      <c r="AJ319" s="781"/>
      <c r="AK319" s="781"/>
      <c r="AL319" s="781"/>
      <c r="AM319" s="781"/>
      <c r="AN319" s="781"/>
      <c r="AO319" s="781"/>
      <c r="AP319" s="781"/>
      <c r="AQ319" s="781"/>
      <c r="AR319" s="781"/>
      <c r="AS319" s="781"/>
      <c r="AT319" s="781"/>
      <c r="AU319" s="781"/>
      <c r="AV319" s="783"/>
      <c r="AW319" s="781"/>
      <c r="AX319" s="762"/>
      <c r="AY319" s="739"/>
      <c r="AZ319" s="739"/>
      <c r="BA319" s="741"/>
      <c r="BB319" s="741"/>
      <c r="BC319" s="741"/>
      <c r="BD319" s="741"/>
      <c r="BE319" s="741"/>
      <c r="BF319" s="741"/>
      <c r="BG319" s="741"/>
    </row>
    <row r="320" spans="1:59" s="743" customFormat="1" outlineLevel="1">
      <c r="A320" s="465"/>
      <c r="B320" s="467" t="s">
        <v>828</v>
      </c>
      <c r="C320" s="465"/>
      <c r="D320" s="465"/>
      <c r="E320" s="465"/>
      <c r="F320" s="465"/>
      <c r="G320" s="466"/>
      <c r="H320" s="465"/>
      <c r="I320" s="465"/>
      <c r="J320" s="466"/>
      <c r="K320" s="466"/>
      <c r="L320" s="487"/>
      <c r="M320" s="784"/>
      <c r="N320" s="784"/>
      <c r="O320" s="784"/>
      <c r="P320" s="784"/>
      <c r="Q320" s="784"/>
      <c r="R320" s="778"/>
      <c r="S320" s="778"/>
      <c r="T320" s="778"/>
      <c r="U320" s="778"/>
      <c r="V320" s="741"/>
      <c r="W320" s="781">
        <f t="shared" ref="W320:AE320" si="735">+W185/1000</f>
        <v>665.49125082318915</v>
      </c>
      <c r="X320" s="781">
        <f t="shared" si="735"/>
        <v>740.3787927929767</v>
      </c>
      <c r="Y320" s="781">
        <f t="shared" si="735"/>
        <v>694.60304396503716</v>
      </c>
      <c r="Z320" s="781">
        <f t="shared" si="735"/>
        <v>669.81</v>
      </c>
      <c r="AA320" s="781">
        <f t="shared" si="735"/>
        <v>663.32600000000002</v>
      </c>
      <c r="AB320" s="781">
        <f t="shared" si="735"/>
        <v>658.923</v>
      </c>
      <c r="AC320" s="781">
        <f t="shared" si="735"/>
        <v>751.53899999999999</v>
      </c>
      <c r="AD320" s="781">
        <f t="shared" si="735"/>
        <v>616.226</v>
      </c>
      <c r="AE320" s="781">
        <f t="shared" si="735"/>
        <v>616.71199999999999</v>
      </c>
      <c r="AF320" s="781">
        <f t="shared" ref="AF320:AM320" si="736">+AF185/1000</f>
        <v>560.29999999999995</v>
      </c>
      <c r="AG320" s="781">
        <f t="shared" si="736"/>
        <v>571.18399999999997</v>
      </c>
      <c r="AH320" s="781">
        <f t="shared" si="736"/>
        <v>537.94600000000003</v>
      </c>
      <c r="AI320" s="781">
        <f t="shared" si="736"/>
        <v>546.46299999999997</v>
      </c>
      <c r="AJ320" s="781">
        <f t="shared" si="736"/>
        <v>536.48900000000003</v>
      </c>
      <c r="AK320" s="781">
        <f t="shared" si="736"/>
        <v>494.10599999999999</v>
      </c>
      <c r="AL320" s="781">
        <f t="shared" si="736"/>
        <v>428.065</v>
      </c>
      <c r="AM320" s="781">
        <f t="shared" si="736"/>
        <v>536.53300000000002</v>
      </c>
      <c r="AN320" s="781">
        <f t="shared" ref="AN320:AP320" si="737">+AN185/1000</f>
        <v>536.447</v>
      </c>
      <c r="AO320" s="781">
        <f t="shared" si="737"/>
        <v>541.06100000000004</v>
      </c>
      <c r="AP320" s="781">
        <f t="shared" si="737"/>
        <v>539.92399999999998</v>
      </c>
      <c r="AQ320" s="781">
        <f t="shared" ref="AQ320" si="738">+AQ185/1000</f>
        <v>624.08399999999995</v>
      </c>
      <c r="AR320" s="781">
        <f t="shared" ref="AR320:AS320" si="739">+AR185/1000</f>
        <v>653.928</v>
      </c>
      <c r="AS320" s="781">
        <f t="shared" si="739"/>
        <v>513.029</v>
      </c>
      <c r="AT320" s="781">
        <f t="shared" ref="AT320" si="740">+AT185/1000</f>
        <v>463.57600000000002</v>
      </c>
      <c r="AU320" s="781">
        <f t="shared" ref="AU320" si="741">+AU185/1000</f>
        <v>505.70299999999997</v>
      </c>
      <c r="AV320" s="778"/>
      <c r="AW320" s="781">
        <v>463.57600000000002</v>
      </c>
      <c r="AX320" s="762"/>
      <c r="AY320" s="739"/>
      <c r="AZ320" s="739"/>
      <c r="BA320" s="741"/>
      <c r="BB320" s="741"/>
      <c r="BC320" s="741"/>
      <c r="BD320" s="741"/>
      <c r="BE320" s="741"/>
      <c r="BF320" s="741"/>
      <c r="BG320" s="741"/>
    </row>
    <row r="321" spans="1:59" s="776" customFormat="1" outlineLevel="1">
      <c r="A321" s="770"/>
      <c r="B321" s="785" t="s">
        <v>2472</v>
      </c>
      <c r="C321" s="770"/>
      <c r="D321" s="770"/>
      <c r="E321" s="770"/>
      <c r="F321" s="770"/>
      <c r="G321" s="771"/>
      <c r="H321" s="770"/>
      <c r="I321" s="770"/>
      <c r="J321" s="771"/>
      <c r="K321" s="771"/>
      <c r="L321" s="772"/>
      <c r="M321" s="786"/>
      <c r="N321" s="786"/>
      <c r="O321" s="786"/>
      <c r="P321" s="786"/>
      <c r="Q321" s="786"/>
      <c r="R321" s="787"/>
      <c r="S321" s="787"/>
      <c r="T321" s="787"/>
      <c r="U321" s="787"/>
      <c r="V321" s="775"/>
      <c r="W321" s="788">
        <f t="shared" ref="W321:AE321" si="742">+W185/S185-1</f>
        <v>0.10066046545176288</v>
      </c>
      <c r="X321" s="788">
        <f t="shared" si="742"/>
        <v>6.6882195537207645E-2</v>
      </c>
      <c r="Y321" s="788">
        <f t="shared" si="742"/>
        <v>6.5738066315462529E-2</v>
      </c>
      <c r="Z321" s="788">
        <f t="shared" si="742"/>
        <v>-3.6459028995564635E-3</v>
      </c>
      <c r="AA321" s="788">
        <f t="shared" si="742"/>
        <v>-3.2536127567579509E-3</v>
      </c>
      <c r="AB321" s="788">
        <f t="shared" si="742"/>
        <v>-0.11001907886326134</v>
      </c>
      <c r="AC321" s="788">
        <f t="shared" si="742"/>
        <v>8.19690563259734E-2</v>
      </c>
      <c r="AD321" s="788">
        <f t="shared" si="742"/>
        <v>-7.9998805631447678E-2</v>
      </c>
      <c r="AE321" s="788">
        <f t="shared" si="742"/>
        <v>-7.0273138698015769E-2</v>
      </c>
      <c r="AF321" s="788">
        <f t="shared" ref="AF321:AP321" si="743">+AF185/AB185-1</f>
        <v>-0.14967302704564878</v>
      </c>
      <c r="AG321" s="788">
        <f t="shared" si="743"/>
        <v>-0.23998089254183752</v>
      </c>
      <c r="AH321" s="788">
        <f t="shared" si="743"/>
        <v>-0.12703131643260757</v>
      </c>
      <c r="AI321" s="788">
        <f t="shared" si="743"/>
        <v>-0.11390892345211379</v>
      </c>
      <c r="AJ321" s="788">
        <f t="shared" si="743"/>
        <v>-4.2496876673210782E-2</v>
      </c>
      <c r="AK321" s="788">
        <f t="shared" si="743"/>
        <v>-0.13494425614162864</v>
      </c>
      <c r="AL321" s="788">
        <f t="shared" si="743"/>
        <v>-0.20426027891275333</v>
      </c>
      <c r="AM321" s="788">
        <f t="shared" si="743"/>
        <v>-1.8171404102382049E-2</v>
      </c>
      <c r="AN321" s="788">
        <f t="shared" si="743"/>
        <v>-7.8286786867942659E-5</v>
      </c>
      <c r="AO321" s="788">
        <f t="shared" si="743"/>
        <v>9.5030216188429106E-2</v>
      </c>
      <c r="AP321" s="788">
        <f t="shared" si="743"/>
        <v>0.26131311833483228</v>
      </c>
      <c r="AQ321" s="788">
        <f t="shared" ref="AQ321" si="744">+AQ185/AM185-1</f>
        <v>0.16317915207452294</v>
      </c>
      <c r="AR321" s="788">
        <f>+AR185/AM185-1</f>
        <v>0.21880294408731626</v>
      </c>
      <c r="AS321" s="788">
        <f t="shared" ref="AS321:AU321" si="745">+AS185/AN185-1</f>
        <v>-4.365389311525647E-2</v>
      </c>
      <c r="AT321" s="788">
        <f t="shared" si="745"/>
        <v>-0.14320936086688929</v>
      </c>
      <c r="AU321" s="788">
        <f t="shared" si="745"/>
        <v>-6.3381142531171109E-2</v>
      </c>
      <c r="AV321" s="787"/>
      <c r="AW321" s="788">
        <v>-0.14320936086688929</v>
      </c>
      <c r="AX321" s="773"/>
      <c r="AY321" s="774"/>
      <c r="AZ321" s="774"/>
      <c r="BA321" s="775"/>
      <c r="BB321" s="775"/>
      <c r="BC321" s="775"/>
      <c r="BD321" s="775"/>
      <c r="BE321" s="775"/>
      <c r="BF321" s="775"/>
      <c r="BG321" s="775"/>
    </row>
    <row r="322" spans="1:59" s="743" customFormat="1" ht="12.75" customHeight="1" outlineLevel="1">
      <c r="A322" s="465"/>
      <c r="B322" s="778"/>
      <c r="C322" s="465"/>
      <c r="D322" s="465"/>
      <c r="E322" s="465"/>
      <c r="F322" s="465"/>
      <c r="G322" s="466"/>
      <c r="H322" s="465"/>
      <c r="I322" s="465"/>
      <c r="J322" s="466"/>
      <c r="K322" s="466"/>
      <c r="L322" s="487"/>
      <c r="M322" s="777"/>
      <c r="N322" s="777"/>
      <c r="O322" s="777"/>
      <c r="P322" s="777"/>
      <c r="Q322" s="777"/>
      <c r="R322" s="778"/>
      <c r="S322" s="778"/>
      <c r="T322" s="778"/>
      <c r="U322" s="778"/>
      <c r="V322" s="741"/>
      <c r="W322" s="778"/>
      <c r="X322" s="778"/>
      <c r="Y322" s="778"/>
      <c r="Z322" s="778"/>
      <c r="AA322" s="778"/>
      <c r="AB322" s="778"/>
      <c r="AC322" s="778"/>
      <c r="AD322" s="778"/>
      <c r="AE322" s="778"/>
      <c r="AF322" s="778"/>
      <c r="AG322" s="778"/>
      <c r="AH322" s="778"/>
      <c r="AI322" s="778"/>
      <c r="AJ322" s="778"/>
      <c r="AK322" s="778"/>
      <c r="AL322" s="778"/>
      <c r="AM322" s="778"/>
      <c r="AN322" s="778"/>
      <c r="AO322" s="778"/>
      <c r="AP322" s="778"/>
      <c r="AQ322" s="778"/>
      <c r="AR322" s="778"/>
      <c r="AS322" s="778"/>
      <c r="AT322" s="778"/>
      <c r="AU322" s="778"/>
      <c r="AV322" s="777"/>
      <c r="AW322" s="778"/>
      <c r="AX322" s="762"/>
      <c r="AY322" s="739"/>
      <c r="AZ322" s="739"/>
      <c r="BA322" s="741"/>
      <c r="BB322" s="741"/>
      <c r="BC322" s="741"/>
      <c r="BD322" s="741"/>
      <c r="BE322" s="741"/>
      <c r="BF322" s="741"/>
      <c r="BG322" s="741"/>
    </row>
    <row r="323" spans="1:59" s="743" customFormat="1" ht="13.5" customHeight="1" outlineLevel="1">
      <c r="A323" s="465"/>
      <c r="B323" s="467" t="s">
        <v>829</v>
      </c>
      <c r="C323" s="465"/>
      <c r="D323" s="465"/>
      <c r="E323" s="465"/>
      <c r="F323" s="465"/>
      <c r="G323" s="466"/>
      <c r="H323" s="465"/>
      <c r="I323" s="465"/>
      <c r="J323" s="466"/>
      <c r="K323" s="466"/>
      <c r="L323" s="487"/>
      <c r="M323" s="777"/>
      <c r="N323" s="777"/>
      <c r="O323" s="777"/>
      <c r="P323" s="777"/>
      <c r="Q323" s="777"/>
      <c r="R323" s="778"/>
      <c r="S323" s="778"/>
      <c r="T323" s="778"/>
      <c r="U323" s="778"/>
      <c r="V323" s="741"/>
      <c r="W323" s="789">
        <f t="shared" ref="W323:AE323" si="746">+W190/1000</f>
        <v>427.36399999999998</v>
      </c>
      <c r="X323" s="789">
        <f t="shared" si="746"/>
        <v>424.13400000000001</v>
      </c>
      <c r="Y323" s="789">
        <f t="shared" si="746"/>
        <v>380.83795603496276</v>
      </c>
      <c r="Z323" s="789">
        <f t="shared" si="746"/>
        <v>347.41399999999999</v>
      </c>
      <c r="AA323" s="789">
        <f t="shared" si="746"/>
        <v>415.64499999999998</v>
      </c>
      <c r="AB323" s="789">
        <f t="shared" si="746"/>
        <v>390.28500000000003</v>
      </c>
      <c r="AC323" s="789">
        <f t="shared" si="746"/>
        <v>376.22199999999998</v>
      </c>
      <c r="AD323" s="789">
        <f t="shared" si="746"/>
        <v>365.005</v>
      </c>
      <c r="AE323" s="789">
        <f t="shared" si="746"/>
        <v>362.56299999999999</v>
      </c>
      <c r="AF323" s="789">
        <f t="shared" ref="AF323:AM323" si="747">+AF190/1000</f>
        <v>401.03</v>
      </c>
      <c r="AG323" s="789">
        <f t="shared" si="747"/>
        <v>422.50599999999997</v>
      </c>
      <c r="AH323" s="789">
        <f t="shared" si="747"/>
        <v>397.83600000000001</v>
      </c>
      <c r="AI323" s="789">
        <f t="shared" si="747"/>
        <v>441.96699999999998</v>
      </c>
      <c r="AJ323" s="789">
        <f t="shared" si="747"/>
        <v>519.09299999999996</v>
      </c>
      <c r="AK323" s="789">
        <f t="shared" si="747"/>
        <v>490.41399999999999</v>
      </c>
      <c r="AL323" s="789">
        <f t="shared" si="747"/>
        <v>354.60399999999998</v>
      </c>
      <c r="AM323" s="789">
        <f t="shared" si="747"/>
        <v>476.49599999999998</v>
      </c>
      <c r="AN323" s="789">
        <f t="shared" ref="AN323:AP323" si="748">+AN190/1000</f>
        <v>520.149</v>
      </c>
      <c r="AO323" s="789">
        <f t="shared" si="748"/>
        <v>410.43700000000001</v>
      </c>
      <c r="AP323" s="789">
        <f t="shared" si="748"/>
        <v>332.54700000000003</v>
      </c>
      <c r="AQ323" s="789">
        <f t="shared" ref="AQ323" si="749">+AQ190/1000</f>
        <v>370.649</v>
      </c>
      <c r="AR323" s="789">
        <f t="shared" ref="AR323:AS323" si="750">+AR190/1000</f>
        <v>378.017</v>
      </c>
      <c r="AS323" s="789">
        <f t="shared" si="750"/>
        <v>338.61599999999999</v>
      </c>
      <c r="AT323" s="789">
        <f t="shared" ref="AT323" si="751">+AT190/1000</f>
        <v>324.05099999999999</v>
      </c>
      <c r="AU323" s="789">
        <f t="shared" ref="AU323" si="752">+AU190/1000</f>
        <v>364.03199999999998</v>
      </c>
      <c r="AV323" s="777"/>
      <c r="AW323" s="789">
        <v>324.05099999999999</v>
      </c>
      <c r="AX323" s="762"/>
      <c r="AY323" s="739"/>
      <c r="AZ323" s="739"/>
      <c r="BA323" s="741"/>
      <c r="BB323" s="741"/>
      <c r="BC323" s="741"/>
      <c r="BD323" s="741"/>
      <c r="BE323" s="741"/>
      <c r="BF323" s="741"/>
      <c r="BG323" s="741"/>
    </row>
    <row r="324" spans="1:59" s="358" customFormat="1" outlineLevel="1">
      <c r="A324" s="36"/>
      <c r="B324" s="492" t="s">
        <v>579</v>
      </c>
      <c r="C324" s="36"/>
      <c r="D324" s="36"/>
      <c r="E324" s="36"/>
      <c r="F324" s="36"/>
      <c r="G324" s="115"/>
      <c r="H324" s="36"/>
      <c r="I324" s="36"/>
      <c r="J324" s="115"/>
      <c r="K324" s="115"/>
      <c r="L324" s="36"/>
      <c r="M324" s="790"/>
      <c r="N324" s="790"/>
      <c r="O324" s="790"/>
      <c r="P324" s="790"/>
      <c r="Q324" s="790"/>
      <c r="R324" s="790"/>
      <c r="S324" s="790"/>
      <c r="T324" s="790"/>
      <c r="U324" s="790"/>
      <c r="W324" s="791">
        <f t="shared" ref="W324:AE324" si="753">+(W190/S190-1)</f>
        <v>0.31943599702376368</v>
      </c>
      <c r="X324" s="791">
        <f t="shared" si="753"/>
        <v>0.38005154035375432</v>
      </c>
      <c r="Y324" s="791">
        <f t="shared" si="753"/>
        <v>0.28382153704427804</v>
      </c>
      <c r="Z324" s="791">
        <f t="shared" si="753"/>
        <v>0.25946281036676666</v>
      </c>
      <c r="AA324" s="791">
        <f t="shared" si="753"/>
        <v>-2.7421589090330545E-2</v>
      </c>
      <c r="AB324" s="791">
        <f t="shared" si="753"/>
        <v>-7.980732504350041E-2</v>
      </c>
      <c r="AC324" s="791">
        <f t="shared" si="753"/>
        <v>-1.2120525178270336E-2</v>
      </c>
      <c r="AD324" s="791">
        <f t="shared" si="753"/>
        <v>5.0634113766284683E-2</v>
      </c>
      <c r="AE324" s="791">
        <f t="shared" si="753"/>
        <v>-0.12770994478461184</v>
      </c>
      <c r="AF324" s="791">
        <f t="shared" ref="AF324:AK324" si="754">+(AF190/AB190-1)</f>
        <v>2.7531163124383529E-2</v>
      </c>
      <c r="AG324" s="791">
        <f t="shared" si="754"/>
        <v>0.12302310869646105</v>
      </c>
      <c r="AH324" s="791">
        <f t="shared" si="754"/>
        <v>8.9946713058725258E-2</v>
      </c>
      <c r="AI324" s="791">
        <f t="shared" si="754"/>
        <v>0.21900745525605214</v>
      </c>
      <c r="AJ324" s="791">
        <f t="shared" si="754"/>
        <v>0.29439942148966414</v>
      </c>
      <c r="AK324" s="791">
        <f t="shared" si="754"/>
        <v>0.16072671157332685</v>
      </c>
      <c r="AL324" s="788">
        <f t="shared" ref="AL324:AP324" si="755">+AL188/AH188-1</f>
        <v>-0.11418388563806514</v>
      </c>
      <c r="AM324" s="788">
        <f t="shared" si="755"/>
        <v>1.4061877468966255E-2</v>
      </c>
      <c r="AN324" s="788">
        <f t="shared" si="755"/>
        <v>-8.5371038303825308E-3</v>
      </c>
      <c r="AO324" s="788">
        <f t="shared" si="755"/>
        <v>-0.13262852149512006</v>
      </c>
      <c r="AP324" s="788">
        <f t="shared" si="755"/>
        <v>-3.3369445239360584E-2</v>
      </c>
      <c r="AQ324" s="788">
        <f t="shared" ref="AQ324" si="756">+AQ188/AM188-1</f>
        <v>-0.16886011653317656</v>
      </c>
      <c r="AR324" s="788">
        <f>+AR188/AM188-1</f>
        <v>-0.18373106464278655</v>
      </c>
      <c r="AS324" s="788">
        <f t="shared" ref="AS324:AU324" si="757">+AS188/AN188-1</f>
        <v>-0.33251261622022887</v>
      </c>
      <c r="AT324" s="788">
        <f t="shared" si="757"/>
        <v>-0.18416795790835871</v>
      </c>
      <c r="AU324" s="788">
        <f t="shared" si="757"/>
        <v>0.15409340339821731</v>
      </c>
      <c r="AV324" s="790"/>
      <c r="AW324" s="792">
        <v>-0.18416795790835871</v>
      </c>
      <c r="AX324" s="36"/>
      <c r="AY324" s="36"/>
      <c r="AZ324" s="36"/>
      <c r="BA324" s="497"/>
      <c r="BB324" s="497"/>
      <c r="BC324" s="497"/>
      <c r="BD324" s="497"/>
      <c r="BE324" s="497"/>
      <c r="BF324" s="497"/>
      <c r="BG324" s="497"/>
    </row>
    <row r="325" spans="1:59" s="743" customFormat="1" outlineLevel="1">
      <c r="A325" s="465"/>
      <c r="B325" s="465"/>
      <c r="C325" s="768"/>
      <c r="D325" s="768"/>
      <c r="E325" s="768"/>
      <c r="F325" s="768"/>
      <c r="G325" s="767"/>
      <c r="H325" s="768"/>
      <c r="I325" s="768"/>
      <c r="J325" s="466"/>
      <c r="K325" s="466"/>
      <c r="L325" s="465"/>
      <c r="M325" s="465"/>
      <c r="N325" s="465"/>
      <c r="O325" s="465"/>
      <c r="P325" s="465"/>
      <c r="Q325" s="465"/>
      <c r="R325" s="465"/>
      <c r="S325" s="465"/>
      <c r="T325" s="465"/>
      <c r="U325" s="465"/>
      <c r="V325" s="465"/>
      <c r="W325" s="465"/>
      <c r="X325" s="465"/>
      <c r="Y325" s="465"/>
      <c r="Z325" s="465"/>
      <c r="AA325" s="465"/>
      <c r="AB325" s="465"/>
      <c r="AC325" s="465"/>
      <c r="AD325" s="465"/>
      <c r="AE325" s="465"/>
      <c r="AF325" s="465"/>
      <c r="AG325" s="465"/>
      <c r="AH325" s="465"/>
      <c r="AI325" s="465"/>
      <c r="AJ325" s="465"/>
      <c r="AK325" s="465"/>
      <c r="AL325" s="465"/>
      <c r="AM325" s="465"/>
      <c r="AN325" s="465"/>
      <c r="AO325" s="465"/>
      <c r="AP325" s="465"/>
      <c r="AQ325" s="465"/>
      <c r="AR325" s="465"/>
      <c r="AS325" s="465"/>
      <c r="AT325" s="465"/>
      <c r="AU325" s="465"/>
      <c r="AV325" s="465"/>
      <c r="AW325" s="779"/>
      <c r="AX325" s="465"/>
      <c r="AY325" s="465"/>
      <c r="AZ325" s="465"/>
      <c r="BA325" s="741"/>
      <c r="BB325" s="741"/>
      <c r="BC325" s="741"/>
      <c r="BD325" s="741"/>
      <c r="BE325" s="741"/>
      <c r="BF325" s="741"/>
      <c r="BG325" s="741"/>
    </row>
    <row r="326" spans="1:59" outlineLevel="1">
      <c r="A326" s="38"/>
      <c r="B326" s="39"/>
      <c r="C326" s="472"/>
      <c r="D326" s="1695"/>
      <c r="E326" s="1695"/>
      <c r="F326" s="1695"/>
      <c r="G326" s="1695"/>
      <c r="H326" s="1695"/>
      <c r="I326" s="1695"/>
      <c r="J326" s="433"/>
      <c r="K326" s="52"/>
      <c r="L326" s="38"/>
      <c r="M326" s="38"/>
      <c r="N326" s="38"/>
      <c r="O326" s="38"/>
      <c r="P326" s="38"/>
      <c r="Q326" s="38"/>
      <c r="R326" s="38"/>
      <c r="S326" s="38"/>
      <c r="T326" s="38"/>
      <c r="U326" s="38"/>
      <c r="V326" s="38"/>
      <c r="W326" s="38"/>
      <c r="X326" s="38"/>
      <c r="Y326" s="38"/>
      <c r="Z326" s="38"/>
      <c r="AA326" s="38"/>
      <c r="AB326" s="38"/>
      <c r="AC326" s="38"/>
      <c r="AD326" s="38"/>
      <c r="AE326" s="38"/>
      <c r="AF326" s="38"/>
      <c r="AG326" s="38"/>
      <c r="AH326" s="38"/>
      <c r="AI326" s="38"/>
      <c r="AJ326" s="38"/>
      <c r="AK326" s="38"/>
      <c r="AL326" s="38"/>
      <c r="AM326" s="38"/>
      <c r="AN326" s="38"/>
      <c r="AO326" s="38"/>
      <c r="AP326" s="38"/>
      <c r="AQ326" s="38"/>
      <c r="AR326" s="38"/>
      <c r="AS326" s="38"/>
      <c r="AT326" s="38"/>
      <c r="AU326" s="38"/>
      <c r="AV326" s="38"/>
      <c r="AW326" s="671"/>
      <c r="AX326" s="38"/>
      <c r="AY326" s="38"/>
      <c r="AZ326" s="38"/>
      <c r="BA326" s="475"/>
      <c r="BB326" s="475"/>
      <c r="BC326" s="475"/>
      <c r="BD326" s="475"/>
      <c r="BE326" s="475"/>
      <c r="BF326" s="475"/>
      <c r="BG326" s="475"/>
    </row>
    <row r="327" spans="1:59" outlineLevel="1">
      <c r="A327" s="38"/>
      <c r="B327" s="39"/>
      <c r="C327" s="472"/>
      <c r="D327" s="473"/>
      <c r="E327" s="473"/>
      <c r="F327" s="473"/>
      <c r="G327" s="473"/>
      <c r="H327" s="473"/>
      <c r="I327" s="473"/>
      <c r="J327" s="433"/>
      <c r="K327" s="52"/>
      <c r="L327" s="38"/>
      <c r="M327" s="38"/>
      <c r="N327" s="38"/>
      <c r="O327" s="38"/>
      <c r="P327" s="38"/>
      <c r="Q327" s="38"/>
      <c r="R327" s="38"/>
      <c r="S327" s="38"/>
      <c r="T327" s="38"/>
      <c r="U327" s="38"/>
      <c r="V327" s="38"/>
      <c r="W327" s="38"/>
      <c r="X327" s="38"/>
      <c r="Y327" s="38"/>
      <c r="Z327" s="38"/>
      <c r="AA327" s="38"/>
      <c r="AB327" s="38"/>
      <c r="AC327" s="38"/>
      <c r="AD327" s="38"/>
      <c r="AE327" s="38"/>
      <c r="AF327" s="38"/>
      <c r="AG327" s="38"/>
      <c r="AH327" s="38"/>
      <c r="AI327" s="38"/>
      <c r="AJ327" s="38"/>
      <c r="AK327" s="38"/>
      <c r="AL327" s="38"/>
      <c r="AM327" s="38"/>
      <c r="AN327" s="38"/>
      <c r="AO327" s="38"/>
      <c r="AP327" s="38"/>
      <c r="AQ327" s="38"/>
      <c r="AR327" s="38"/>
      <c r="AS327" s="38"/>
      <c r="AT327" s="38"/>
      <c r="AU327" s="38"/>
      <c r="AV327" s="38"/>
      <c r="AW327" s="671"/>
      <c r="AX327" s="38"/>
      <c r="AY327" s="38"/>
      <c r="AZ327" s="38"/>
      <c r="BA327" s="475"/>
      <c r="BB327" s="475"/>
      <c r="BC327" s="475"/>
      <c r="BD327" s="475"/>
      <c r="BE327" s="475"/>
      <c r="BF327" s="475"/>
      <c r="BG327" s="475"/>
    </row>
    <row r="328" spans="1:59" outlineLevel="1">
      <c r="A328" s="38"/>
      <c r="B328" s="39"/>
      <c r="C328" s="106"/>
      <c r="D328" s="108"/>
      <c r="E328" s="108"/>
      <c r="F328" s="107"/>
      <c r="G328" s="108"/>
      <c r="H328" s="108"/>
      <c r="I328" s="107"/>
      <c r="J328" s="433"/>
      <c r="K328" s="52"/>
      <c r="L328" s="38"/>
      <c r="M328" s="38"/>
      <c r="N328" s="38"/>
      <c r="O328" s="38"/>
      <c r="P328" s="38"/>
      <c r="Q328" s="38"/>
      <c r="R328" s="38"/>
      <c r="S328" s="38"/>
      <c r="T328" s="38"/>
      <c r="U328" s="38"/>
      <c r="V328" s="38"/>
      <c r="W328" s="38"/>
      <c r="X328" s="38"/>
      <c r="Y328" s="38"/>
      <c r="Z328" s="38"/>
      <c r="AA328" s="38"/>
      <c r="AB328" s="38"/>
      <c r="AC328" s="38"/>
      <c r="AD328" s="38"/>
      <c r="AE328" s="38"/>
      <c r="AF328" s="38"/>
      <c r="AG328" s="38"/>
      <c r="AH328" s="38"/>
      <c r="AI328" s="38"/>
      <c r="AJ328" s="38"/>
      <c r="AK328" s="38"/>
      <c r="AL328" s="38"/>
      <c r="AM328" s="38"/>
      <c r="AN328" s="38"/>
      <c r="AO328" s="38"/>
      <c r="AP328" s="38"/>
      <c r="AQ328" s="38"/>
      <c r="AR328" s="38"/>
      <c r="AS328" s="38"/>
      <c r="AT328" s="38"/>
      <c r="AU328" s="38"/>
      <c r="AV328" s="38"/>
      <c r="AW328" s="671"/>
      <c r="AX328" s="38"/>
      <c r="AY328" s="38"/>
      <c r="AZ328" s="38"/>
      <c r="BA328" s="475"/>
      <c r="BB328" s="475"/>
      <c r="BC328" s="475"/>
      <c r="BD328" s="475"/>
      <c r="BE328" s="475"/>
      <c r="BF328" s="475"/>
      <c r="BG328" s="475"/>
    </row>
    <row r="329" spans="1:59" outlineLevel="1">
      <c r="A329" s="38"/>
      <c r="B329" s="487" t="s">
        <v>574</v>
      </c>
      <c r="C329" s="106"/>
      <c r="D329" s="474"/>
      <c r="E329" s="474"/>
      <c r="F329" s="107"/>
      <c r="G329" s="474"/>
      <c r="H329" s="474"/>
      <c r="I329" s="107"/>
      <c r="J329" s="433"/>
      <c r="K329" s="52"/>
      <c r="L329" s="38"/>
      <c r="M329" s="38"/>
      <c r="N329" s="38"/>
      <c r="O329" s="38"/>
      <c r="P329" s="38"/>
      <c r="Q329" s="38"/>
      <c r="R329" s="38"/>
      <c r="S329" s="38"/>
      <c r="T329" s="38"/>
      <c r="U329" s="38"/>
      <c r="V329" s="38"/>
      <c r="W329" s="38"/>
      <c r="X329" s="38"/>
      <c r="Y329" s="38"/>
      <c r="Z329" s="38"/>
      <c r="AA329" s="38"/>
      <c r="AB329" s="38"/>
      <c r="AC329" s="38"/>
      <c r="AD329" s="38"/>
      <c r="AE329" s="38"/>
      <c r="AF329" s="38"/>
      <c r="AG329" s="38"/>
      <c r="AH329" s="38"/>
      <c r="AI329" s="38"/>
      <c r="AJ329" s="38"/>
      <c r="AK329" s="38"/>
      <c r="AL329" s="38"/>
      <c r="AM329" s="38"/>
      <c r="AN329" s="38"/>
      <c r="AO329" s="38"/>
      <c r="AP329" s="38"/>
      <c r="AQ329" s="38"/>
      <c r="AR329" s="38"/>
      <c r="AS329" s="38"/>
      <c r="AT329" s="38"/>
      <c r="AU329" s="38"/>
      <c r="AV329" s="38"/>
      <c r="AW329" s="671"/>
      <c r="AX329" s="38"/>
      <c r="AY329" s="38"/>
      <c r="AZ329" s="38"/>
      <c r="BA329" s="475"/>
      <c r="BB329" s="475"/>
      <c r="BC329" s="475"/>
      <c r="BD329" s="475"/>
      <c r="BE329" s="475"/>
      <c r="BF329" s="475"/>
      <c r="BG329" s="475"/>
    </row>
    <row r="330" spans="1:59" outlineLevel="1" collapsed="1">
      <c r="A330" s="38"/>
      <c r="B330" s="355" t="s">
        <v>744</v>
      </c>
      <c r="C330" s="106"/>
      <c r="D330" s="107"/>
      <c r="E330" s="107"/>
      <c r="F330" s="107"/>
      <c r="G330" s="107"/>
      <c r="H330" s="107"/>
      <c r="I330" s="107"/>
      <c r="J330" s="433"/>
      <c r="K330" s="52"/>
      <c r="L330" s="38"/>
      <c r="M330" s="38"/>
      <c r="N330" s="38"/>
      <c r="O330" s="38"/>
      <c r="P330" s="38"/>
      <c r="Q330" s="38"/>
      <c r="R330" s="38"/>
      <c r="S330" s="38"/>
      <c r="T330" s="38"/>
      <c r="U330" s="38"/>
      <c r="V330" s="38"/>
      <c r="W330" s="38"/>
      <c r="X330" s="38"/>
      <c r="Y330" s="38"/>
      <c r="Z330" s="38"/>
      <c r="AA330" s="38"/>
      <c r="AB330" s="38"/>
      <c r="AC330" s="38"/>
      <c r="AD330" s="38"/>
      <c r="AE330" s="38"/>
      <c r="AF330" s="38"/>
      <c r="AG330" s="38"/>
      <c r="AH330" s="38"/>
      <c r="AI330" s="38"/>
      <c r="AJ330" s="38"/>
      <c r="AK330" s="38"/>
      <c r="AL330" s="38"/>
      <c r="AM330" s="38"/>
      <c r="AN330" s="38"/>
      <c r="AO330" s="38"/>
      <c r="AP330" s="38"/>
      <c r="AQ330" s="38"/>
      <c r="AR330" s="38"/>
      <c r="AS330" s="38"/>
      <c r="AT330" s="38"/>
      <c r="AU330" s="38"/>
      <c r="AV330" s="38"/>
      <c r="AW330" s="671"/>
      <c r="AX330" s="38"/>
      <c r="AY330" s="38"/>
      <c r="AZ330" s="38"/>
      <c r="BA330" s="475"/>
      <c r="BB330" s="475"/>
      <c r="BC330" s="475"/>
      <c r="BD330" s="475"/>
      <c r="BE330" s="475"/>
      <c r="BF330" s="475"/>
      <c r="BG330" s="475"/>
    </row>
    <row r="331" spans="1:59" outlineLevel="1">
      <c r="A331" s="38"/>
      <c r="B331" s="487" t="s">
        <v>621</v>
      </c>
      <c r="C331" s="106"/>
      <c r="D331" s="474"/>
      <c r="E331" s="474"/>
      <c r="F331" s="107"/>
      <c r="G331" s="474"/>
      <c r="H331" s="474"/>
      <c r="I331" s="107"/>
      <c r="J331" s="433"/>
      <c r="K331" s="52"/>
      <c r="L331" s="38"/>
      <c r="M331" s="38"/>
      <c r="N331" s="38"/>
      <c r="O331" s="38"/>
      <c r="P331" s="38"/>
      <c r="Q331" s="38"/>
      <c r="R331" s="38"/>
      <c r="S331" s="38"/>
      <c r="T331" s="38"/>
      <c r="U331" s="38"/>
      <c r="V331" s="38"/>
      <c r="W331" s="38"/>
      <c r="X331" s="38"/>
      <c r="Y331" s="38"/>
      <c r="Z331" s="38"/>
      <c r="AA331" s="38"/>
      <c r="AB331" s="38"/>
      <c r="AC331" s="38"/>
      <c r="AD331" s="38"/>
      <c r="AE331" s="38"/>
      <c r="AF331" s="38"/>
      <c r="AG331" s="38"/>
      <c r="AH331" s="38"/>
      <c r="AI331" s="38"/>
      <c r="AJ331" s="38"/>
      <c r="AK331" s="38"/>
      <c r="AL331" s="38"/>
      <c r="AM331" s="38"/>
      <c r="AN331" s="38"/>
      <c r="AO331" s="38"/>
      <c r="AP331" s="38"/>
      <c r="AQ331" s="38"/>
      <c r="AR331" s="38"/>
      <c r="AS331" s="38"/>
      <c r="AT331" s="38"/>
      <c r="AU331" s="38"/>
      <c r="AV331" s="38"/>
      <c r="AW331" s="671"/>
      <c r="AX331" s="38"/>
      <c r="AY331" s="38"/>
      <c r="AZ331" s="38"/>
      <c r="BA331" s="475"/>
      <c r="BB331" s="475"/>
      <c r="BC331" s="475"/>
      <c r="BD331" s="475"/>
      <c r="BE331" s="475"/>
      <c r="BF331" s="475"/>
      <c r="BG331" s="475"/>
    </row>
    <row r="332" spans="1:59" outlineLevel="1">
      <c r="A332" s="38"/>
      <c r="B332" s="487" t="s">
        <v>48</v>
      </c>
      <c r="C332" s="106"/>
      <c r="D332" s="107"/>
      <c r="E332" s="107"/>
      <c r="F332" s="107"/>
      <c r="G332" s="107"/>
      <c r="H332" s="107"/>
      <c r="I332" s="107"/>
      <c r="J332" s="433"/>
      <c r="K332" s="52"/>
      <c r="L332" s="38"/>
      <c r="M332" s="38"/>
      <c r="N332" s="38"/>
      <c r="O332" s="38"/>
      <c r="P332" s="38"/>
      <c r="Q332" s="38"/>
      <c r="R332" s="38"/>
      <c r="S332" s="38"/>
      <c r="T332" s="38"/>
      <c r="U332" s="38"/>
      <c r="V332" s="38"/>
      <c r="W332" s="38"/>
      <c r="X332" s="38"/>
      <c r="Y332" s="38"/>
      <c r="Z332" s="38"/>
      <c r="AA332" s="38"/>
      <c r="AB332" s="38"/>
      <c r="AC332" s="38"/>
      <c r="AD332" s="38"/>
      <c r="AE332" s="38"/>
      <c r="AF332" s="38"/>
      <c r="AG332" s="38"/>
      <c r="AH332" s="38"/>
      <c r="AI332" s="38"/>
      <c r="AJ332" s="38"/>
      <c r="AK332" s="38"/>
      <c r="AL332" s="38"/>
      <c r="AM332" s="38"/>
      <c r="AN332" s="38"/>
      <c r="AO332" s="38"/>
      <c r="AP332" s="38"/>
      <c r="AQ332" s="38"/>
      <c r="AR332" s="38"/>
      <c r="AS332" s="38"/>
      <c r="AT332" s="38"/>
      <c r="AU332" s="38"/>
      <c r="AV332" s="38"/>
      <c r="AW332" s="671"/>
      <c r="AX332" s="38"/>
      <c r="AY332" s="38"/>
      <c r="AZ332" s="38"/>
      <c r="BA332" s="475"/>
      <c r="BB332" s="475"/>
      <c r="BC332" s="475"/>
      <c r="BD332" s="475"/>
      <c r="BE332" s="475"/>
      <c r="BF332" s="475"/>
      <c r="BG332" s="475"/>
    </row>
    <row r="333" spans="1:59" outlineLevel="1">
      <c r="A333" s="38"/>
      <c r="B333" s="487" t="s">
        <v>2371</v>
      </c>
      <c r="C333" s="475"/>
      <c r="D333" s="475"/>
      <c r="E333" s="475"/>
      <c r="F333" s="475"/>
      <c r="G333" s="475"/>
      <c r="H333" s="475"/>
      <c r="I333" s="475"/>
      <c r="J333" s="433"/>
      <c r="K333" s="52"/>
      <c r="L333" s="38"/>
      <c r="M333" s="38"/>
      <c r="N333" s="38"/>
      <c r="O333" s="38"/>
      <c r="P333" s="38"/>
      <c r="Q333" s="38"/>
      <c r="R333" s="38"/>
      <c r="S333" s="38"/>
      <c r="T333" s="38"/>
      <c r="U333" s="38"/>
      <c r="V333" s="38"/>
      <c r="W333" s="38"/>
      <c r="X333" s="38"/>
      <c r="Y333" s="38"/>
      <c r="Z333" s="38"/>
      <c r="AA333" s="38"/>
      <c r="AB333" s="38"/>
      <c r="AC333" s="38"/>
      <c r="AD333" s="38"/>
      <c r="AE333" s="38"/>
      <c r="AF333" s="38"/>
      <c r="AG333" s="38"/>
      <c r="AH333" s="38"/>
      <c r="AI333" s="38"/>
      <c r="AJ333" s="38"/>
      <c r="AK333" s="38"/>
      <c r="AL333" s="38"/>
      <c r="AM333" s="38"/>
      <c r="AN333" s="38"/>
      <c r="AO333" s="38"/>
      <c r="AP333" s="38"/>
      <c r="AQ333" s="38"/>
      <c r="AR333" s="38"/>
      <c r="AS333" s="38"/>
      <c r="AT333" s="38"/>
      <c r="AU333" s="38"/>
      <c r="AV333" s="38"/>
      <c r="AW333" s="671"/>
      <c r="AX333" s="38"/>
      <c r="AY333" s="38"/>
      <c r="AZ333" s="38"/>
      <c r="BA333" s="475"/>
      <c r="BB333" s="475"/>
      <c r="BC333" s="475"/>
      <c r="BD333" s="475"/>
      <c r="BE333" s="475"/>
      <c r="BF333" s="475"/>
      <c r="BG333" s="475"/>
    </row>
    <row r="334" spans="1:59" outlineLevel="1">
      <c r="A334" s="38"/>
      <c r="B334" s="38"/>
      <c r="C334" s="41"/>
      <c r="D334" s="41"/>
      <c r="E334" s="41"/>
      <c r="F334" s="41"/>
      <c r="G334" s="183"/>
      <c r="H334" s="41"/>
      <c r="I334" s="41"/>
      <c r="J334" s="52"/>
      <c r="K334" s="52"/>
      <c r="L334" s="38"/>
      <c r="M334" s="38"/>
      <c r="N334" s="38"/>
      <c r="O334" s="38"/>
      <c r="P334" s="38"/>
      <c r="Q334" s="38"/>
      <c r="R334" s="38"/>
      <c r="S334" s="38"/>
      <c r="T334" s="38"/>
      <c r="U334" s="38"/>
      <c r="V334" s="38"/>
      <c r="W334" s="38"/>
      <c r="X334" s="38"/>
      <c r="Y334" s="38"/>
      <c r="Z334" s="38"/>
      <c r="AA334" s="38"/>
      <c r="AB334" s="38"/>
      <c r="AC334" s="38"/>
      <c r="AD334" s="38"/>
      <c r="AE334" s="38"/>
      <c r="AF334" s="38"/>
      <c r="AG334" s="38"/>
      <c r="AH334" s="38"/>
      <c r="AI334" s="38"/>
      <c r="AJ334" s="38"/>
      <c r="AK334" s="38"/>
      <c r="AL334" s="38"/>
      <c r="AM334" s="38"/>
      <c r="AN334" s="38"/>
      <c r="AO334" s="38"/>
      <c r="AP334" s="38"/>
      <c r="AQ334" s="38"/>
      <c r="AR334" s="38"/>
      <c r="AS334" s="38"/>
      <c r="AT334" s="38"/>
      <c r="AU334" s="38"/>
      <c r="AV334" s="38"/>
      <c r="AW334" s="671"/>
      <c r="AX334" s="38"/>
      <c r="AY334" s="38"/>
      <c r="AZ334" s="38"/>
      <c r="BA334" s="475"/>
      <c r="BB334" s="475"/>
      <c r="BC334" s="475"/>
      <c r="BD334" s="475"/>
      <c r="BE334" s="475"/>
      <c r="BF334" s="475"/>
      <c r="BG334" s="475"/>
    </row>
    <row r="335" spans="1:59" outlineLevel="1">
      <c r="A335" s="38"/>
      <c r="B335" s="38"/>
      <c r="C335" s="38"/>
      <c r="D335" s="38"/>
      <c r="E335" s="38"/>
      <c r="F335" s="38"/>
      <c r="G335" s="52"/>
      <c r="H335" s="38"/>
      <c r="I335" s="38"/>
      <c r="J335" s="52"/>
      <c r="K335" s="52"/>
      <c r="L335" s="38"/>
      <c r="M335" s="38"/>
      <c r="N335" s="38"/>
      <c r="O335" s="38"/>
      <c r="P335" s="38"/>
      <c r="Q335" s="38"/>
      <c r="R335" s="38"/>
      <c r="S335" s="38"/>
      <c r="T335" s="38"/>
      <c r="U335" s="38"/>
      <c r="V335" s="38"/>
      <c r="W335" s="38"/>
      <c r="X335" s="38"/>
      <c r="Y335" s="38"/>
      <c r="Z335" s="38"/>
      <c r="AA335" s="38"/>
      <c r="AB335" s="38"/>
      <c r="AC335" s="38"/>
      <c r="AD335" s="38"/>
      <c r="AE335" s="38"/>
      <c r="AF335" s="38"/>
      <c r="AG335" s="38"/>
      <c r="AH335" s="38"/>
      <c r="AI335" s="38"/>
      <c r="AJ335" s="38"/>
      <c r="AK335" s="38"/>
      <c r="AL335" s="38"/>
      <c r="AM335" s="38"/>
      <c r="AN335" s="38"/>
      <c r="AO335" s="38"/>
      <c r="AP335" s="38"/>
      <c r="AQ335" s="38"/>
      <c r="AR335" s="38"/>
      <c r="AS335" s="38"/>
      <c r="AT335" s="38"/>
      <c r="AU335" s="38"/>
      <c r="AV335" s="38"/>
      <c r="AW335" s="671"/>
      <c r="AX335" s="38"/>
      <c r="AY335" s="38"/>
      <c r="AZ335" s="38"/>
      <c r="BA335" s="475"/>
      <c r="BB335" s="475"/>
      <c r="BC335" s="475"/>
      <c r="BD335" s="475"/>
      <c r="BE335" s="475"/>
      <c r="BF335" s="475"/>
      <c r="BG335" s="475"/>
    </row>
    <row r="336" spans="1:59" outlineLevel="1">
      <c r="A336" s="38"/>
      <c r="B336" s="38"/>
      <c r="C336" s="38"/>
      <c r="D336" s="38"/>
      <c r="E336" s="38"/>
      <c r="F336" s="38"/>
      <c r="G336" s="52"/>
      <c r="H336" s="38"/>
      <c r="I336" s="38"/>
      <c r="J336" s="52"/>
      <c r="K336" s="52"/>
      <c r="L336" s="38"/>
      <c r="M336" s="38"/>
      <c r="N336" s="38"/>
      <c r="O336" s="38"/>
      <c r="P336" s="38"/>
      <c r="Q336" s="38"/>
      <c r="R336" s="38"/>
      <c r="S336" s="38"/>
      <c r="T336" s="38"/>
      <c r="U336" s="38"/>
      <c r="V336" s="38"/>
      <c r="W336" s="38"/>
      <c r="X336" s="38"/>
      <c r="Y336" s="38"/>
      <c r="Z336" s="38"/>
      <c r="AA336" s="38"/>
      <c r="AB336" s="38"/>
      <c r="AC336" s="38"/>
      <c r="AD336" s="38"/>
      <c r="AE336" s="38"/>
      <c r="AF336" s="38"/>
      <c r="AG336" s="38"/>
      <c r="AH336" s="38"/>
      <c r="AI336" s="38"/>
      <c r="AJ336" s="38"/>
      <c r="AK336" s="38"/>
      <c r="AL336" s="38"/>
      <c r="AM336" s="38"/>
      <c r="AN336" s="38"/>
      <c r="AO336" s="38"/>
      <c r="AP336" s="38"/>
      <c r="AQ336" s="38"/>
      <c r="AR336" s="38"/>
      <c r="AS336" s="38"/>
      <c r="AT336" s="38"/>
      <c r="AU336" s="38"/>
      <c r="AV336" s="38"/>
      <c r="AW336" s="671"/>
      <c r="AX336" s="38"/>
      <c r="AY336" s="38"/>
      <c r="AZ336" s="38"/>
      <c r="BA336" s="475"/>
      <c r="BB336" s="475"/>
      <c r="BC336" s="475"/>
      <c r="BD336" s="475"/>
      <c r="BE336" s="475"/>
      <c r="BF336" s="475"/>
      <c r="BG336" s="475"/>
    </row>
    <row r="337" spans="1:59" outlineLevel="1">
      <c r="A337" s="38"/>
      <c r="B337" s="465"/>
      <c r="C337" s="38"/>
      <c r="D337" s="38"/>
      <c r="E337" s="38"/>
      <c r="F337" s="38"/>
      <c r="G337" s="52"/>
      <c r="H337" s="38"/>
      <c r="I337" s="38"/>
      <c r="J337" s="52"/>
      <c r="K337" s="52"/>
      <c r="L337" s="38"/>
      <c r="M337" s="38"/>
      <c r="N337" s="38"/>
      <c r="O337" s="38"/>
      <c r="P337" s="38"/>
      <c r="Q337" s="38"/>
      <c r="R337" s="38"/>
      <c r="S337" s="38"/>
      <c r="T337" s="38"/>
      <c r="U337" s="38"/>
      <c r="V337" s="38"/>
      <c r="W337" s="38"/>
      <c r="X337" s="38"/>
      <c r="Y337" s="38"/>
      <c r="Z337" s="38"/>
      <c r="AA337" s="38"/>
      <c r="AB337" s="38"/>
      <c r="AC337" s="38"/>
      <c r="AD337" s="38"/>
      <c r="AE337" s="38"/>
      <c r="AF337" s="38"/>
      <c r="AG337" s="38"/>
      <c r="AH337" s="38"/>
      <c r="AI337" s="38"/>
      <c r="AJ337" s="38"/>
      <c r="AK337" s="38"/>
      <c r="AL337" s="38"/>
      <c r="AM337" s="38"/>
      <c r="AN337" s="38"/>
      <c r="AO337" s="38"/>
      <c r="AP337" s="38"/>
      <c r="AQ337" s="38"/>
      <c r="AR337" s="38"/>
      <c r="AS337" s="38"/>
      <c r="AT337" s="38"/>
      <c r="AU337" s="38"/>
      <c r="AV337" s="38"/>
      <c r="AW337" s="671"/>
      <c r="AX337" s="38"/>
      <c r="AY337" s="38"/>
      <c r="AZ337" s="38"/>
      <c r="BA337" s="475"/>
      <c r="BB337" s="475"/>
      <c r="BC337" s="475"/>
      <c r="BD337" s="475"/>
      <c r="BE337" s="475"/>
      <c r="BF337" s="475"/>
      <c r="BG337" s="475"/>
    </row>
    <row r="338" spans="1:59" outlineLevel="1">
      <c r="A338" s="38"/>
      <c r="B338" s="38"/>
      <c r="C338" s="38"/>
      <c r="D338" s="38"/>
      <c r="E338" s="38"/>
      <c r="F338" s="38"/>
      <c r="G338" s="52"/>
      <c r="H338" s="38"/>
      <c r="I338" s="38"/>
      <c r="J338" s="52"/>
      <c r="K338" s="52"/>
      <c r="L338" s="38"/>
      <c r="M338" s="38"/>
      <c r="N338" s="38"/>
      <c r="O338" s="38"/>
      <c r="P338" s="38"/>
      <c r="Q338" s="38"/>
      <c r="R338" s="38"/>
      <c r="S338" s="38"/>
      <c r="T338" s="38"/>
      <c r="U338" s="38"/>
      <c r="V338" s="38"/>
      <c r="W338" s="38"/>
      <c r="X338" s="38"/>
      <c r="Y338" s="38"/>
      <c r="Z338" s="38"/>
      <c r="AA338" s="38"/>
      <c r="AB338" s="38"/>
      <c r="AC338" s="38"/>
      <c r="AD338" s="38"/>
      <c r="AE338" s="38"/>
      <c r="AF338" s="38"/>
      <c r="AG338" s="38"/>
      <c r="AH338" s="38"/>
      <c r="AI338" s="38"/>
      <c r="AJ338" s="38"/>
      <c r="AK338" s="38"/>
      <c r="AL338" s="38"/>
      <c r="AM338" s="38"/>
      <c r="AN338" s="38"/>
      <c r="AO338" s="38"/>
      <c r="AP338" s="38"/>
      <c r="AQ338" s="38"/>
      <c r="AR338" s="38"/>
      <c r="AS338" s="38"/>
      <c r="AT338" s="38"/>
      <c r="AU338" s="38"/>
      <c r="AV338" s="38"/>
      <c r="AW338" s="671"/>
      <c r="AX338" s="38"/>
      <c r="AY338" s="38"/>
      <c r="AZ338" s="38"/>
      <c r="BA338" s="475"/>
      <c r="BB338" s="475"/>
      <c r="BC338" s="475"/>
      <c r="BD338" s="475"/>
      <c r="BE338" s="475"/>
      <c r="BF338" s="475"/>
      <c r="BG338" s="475"/>
    </row>
    <row r="339" spans="1:59" outlineLevel="1">
      <c r="A339" s="38"/>
      <c r="B339" s="38"/>
      <c r="C339" s="1692"/>
      <c r="D339" s="1693"/>
      <c r="E339" s="1694"/>
      <c r="F339" s="1692"/>
      <c r="G339" s="1693"/>
      <c r="H339" s="1694"/>
      <c r="I339" s="38"/>
      <c r="J339" s="52"/>
      <c r="K339" s="52"/>
      <c r="L339" s="38"/>
      <c r="M339" s="38"/>
      <c r="N339" s="38"/>
      <c r="O339" s="38"/>
      <c r="P339" s="38"/>
      <c r="Q339" s="38"/>
      <c r="R339" s="38"/>
      <c r="S339" s="38"/>
      <c r="T339" s="38"/>
      <c r="U339" s="38"/>
      <c r="V339" s="38"/>
      <c r="W339" s="38"/>
      <c r="X339" s="38"/>
      <c r="Y339" s="38"/>
      <c r="Z339" s="38"/>
      <c r="AA339" s="38"/>
      <c r="AB339" s="38"/>
      <c r="AC339" s="38"/>
      <c r="AD339" s="38"/>
      <c r="AE339" s="38"/>
      <c r="AF339" s="38"/>
      <c r="AG339" s="38"/>
      <c r="AH339" s="38"/>
      <c r="AI339" s="38"/>
      <c r="AJ339" s="38"/>
      <c r="AK339" s="38"/>
      <c r="AL339" s="38"/>
      <c r="AM339" s="38"/>
      <c r="AN339" s="38"/>
      <c r="AO339" s="38"/>
      <c r="AP339" s="38"/>
      <c r="AQ339" s="38"/>
      <c r="AR339" s="38"/>
      <c r="AS339" s="38"/>
      <c r="AT339" s="38"/>
      <c r="AU339" s="38"/>
      <c r="AV339" s="38"/>
      <c r="AW339" s="671"/>
      <c r="AX339" s="38"/>
      <c r="AY339" s="38"/>
      <c r="AZ339" s="38"/>
      <c r="BA339" s="475"/>
      <c r="BB339" s="475"/>
      <c r="BC339" s="475"/>
      <c r="BD339" s="475"/>
      <c r="BE339" s="475"/>
      <c r="BF339" s="475"/>
      <c r="BG339" s="475"/>
    </row>
    <row r="340" spans="1:59" outlineLevel="1">
      <c r="A340" s="38"/>
      <c r="B340" s="38"/>
      <c r="C340" s="38"/>
      <c r="D340" s="38"/>
      <c r="E340" s="38"/>
      <c r="F340" s="38"/>
      <c r="G340" s="52"/>
      <c r="H340" s="38"/>
      <c r="I340" s="38"/>
      <c r="J340" s="52"/>
      <c r="K340" s="52"/>
      <c r="L340" s="38"/>
      <c r="M340" s="38"/>
      <c r="N340" s="38"/>
      <c r="O340" s="38"/>
      <c r="P340" s="38"/>
      <c r="Q340" s="38"/>
      <c r="R340" s="38"/>
      <c r="S340" s="38"/>
      <c r="T340" s="38"/>
      <c r="U340" s="38"/>
      <c r="V340" s="38"/>
      <c r="W340" s="38"/>
      <c r="X340" s="38"/>
      <c r="Y340" s="38"/>
      <c r="Z340" s="38"/>
      <c r="AA340" s="38"/>
      <c r="AB340" s="38"/>
      <c r="AC340" s="38"/>
      <c r="AD340" s="38"/>
      <c r="AE340" s="38"/>
      <c r="AF340" s="38"/>
      <c r="AG340" s="38"/>
      <c r="AH340" s="38"/>
      <c r="AI340" s="38"/>
      <c r="AJ340" s="38"/>
      <c r="AK340" s="38"/>
      <c r="AL340" s="38"/>
      <c r="AM340" s="38"/>
      <c r="AN340" s="38"/>
      <c r="AO340" s="38"/>
      <c r="AP340" s="38"/>
      <c r="AQ340" s="38"/>
      <c r="AR340" s="38"/>
      <c r="AS340" s="38"/>
      <c r="AT340" s="38"/>
      <c r="AU340" s="38"/>
      <c r="AV340" s="38"/>
      <c r="AW340" s="671"/>
      <c r="AX340" s="38"/>
      <c r="AY340" s="38"/>
      <c r="AZ340" s="38"/>
      <c r="BA340" s="475"/>
      <c r="BB340" s="475"/>
      <c r="BC340" s="475"/>
      <c r="BD340" s="475"/>
      <c r="BE340" s="475"/>
      <c r="BF340" s="475"/>
      <c r="BG340" s="475"/>
    </row>
    <row r="341" spans="1:59" outlineLevel="1">
      <c r="A341" s="38"/>
      <c r="B341" s="38"/>
      <c r="C341" s="38"/>
      <c r="D341" s="38"/>
      <c r="E341" s="38"/>
      <c r="F341" s="38"/>
      <c r="G341" s="52"/>
      <c r="H341" s="38"/>
      <c r="I341" s="38"/>
      <c r="J341" s="52"/>
      <c r="K341" s="52"/>
      <c r="L341" s="38"/>
      <c r="M341" s="38"/>
      <c r="N341" s="38"/>
      <c r="O341" s="38"/>
      <c r="P341" s="38"/>
      <c r="Q341" s="38"/>
      <c r="R341" s="38"/>
      <c r="S341" s="38"/>
      <c r="T341" s="38"/>
      <c r="U341" s="38"/>
      <c r="V341" s="38"/>
      <c r="W341" s="38"/>
      <c r="X341" s="38"/>
      <c r="Y341" s="38"/>
      <c r="Z341" s="38"/>
      <c r="AA341" s="38"/>
      <c r="AB341" s="38"/>
      <c r="AC341" s="38"/>
      <c r="AD341" s="38"/>
      <c r="AE341" s="38"/>
      <c r="AF341" s="38"/>
      <c r="AG341" s="38"/>
      <c r="AH341" s="38"/>
      <c r="AI341" s="38"/>
      <c r="AJ341" s="38"/>
      <c r="AK341" s="38"/>
      <c r="AL341" s="38"/>
      <c r="AM341" s="38"/>
      <c r="AN341" s="38"/>
      <c r="AO341" s="38"/>
      <c r="AP341" s="38"/>
      <c r="AQ341" s="38"/>
      <c r="AR341" s="38"/>
      <c r="AS341" s="38"/>
      <c r="AT341" s="38"/>
      <c r="AU341" s="38"/>
      <c r="AV341" s="38"/>
      <c r="AW341" s="671"/>
      <c r="AX341" s="38"/>
      <c r="AY341" s="38"/>
      <c r="AZ341" s="38"/>
      <c r="BA341" s="475"/>
      <c r="BB341" s="475"/>
      <c r="BC341" s="475"/>
      <c r="BD341" s="475"/>
      <c r="BE341" s="475"/>
      <c r="BF341" s="475"/>
      <c r="BG341" s="475"/>
    </row>
    <row r="342" spans="1:59" outlineLevel="1">
      <c r="A342" s="38"/>
      <c r="B342" s="38"/>
      <c r="C342" s="38"/>
      <c r="D342" s="38"/>
      <c r="E342" s="38"/>
      <c r="F342" s="38"/>
      <c r="G342" s="52"/>
      <c r="H342" s="38"/>
      <c r="I342" s="38"/>
      <c r="J342" s="52"/>
      <c r="K342" s="52"/>
      <c r="L342" s="38"/>
      <c r="M342" s="38"/>
      <c r="N342" s="38"/>
      <c r="O342" s="38"/>
      <c r="P342" s="38"/>
      <c r="Q342" s="38"/>
      <c r="R342" s="38"/>
      <c r="S342" s="38"/>
      <c r="T342" s="38"/>
      <c r="U342" s="38"/>
      <c r="V342" s="38"/>
      <c r="W342" s="38"/>
      <c r="X342" s="38"/>
      <c r="Y342" s="38"/>
      <c r="Z342" s="38"/>
      <c r="AA342" s="38"/>
      <c r="AB342" s="38"/>
      <c r="AC342" s="38"/>
      <c r="AD342" s="38"/>
      <c r="AE342" s="38"/>
      <c r="AF342" s="38"/>
      <c r="AG342" s="38"/>
      <c r="AH342" s="38"/>
      <c r="AI342" s="38"/>
      <c r="AJ342" s="38"/>
      <c r="AK342" s="38"/>
      <c r="AL342" s="38"/>
      <c r="AM342" s="38"/>
      <c r="AN342" s="38"/>
      <c r="AO342" s="38"/>
      <c r="AP342" s="38"/>
      <c r="AQ342" s="38"/>
      <c r="AR342" s="38"/>
      <c r="AS342" s="38"/>
      <c r="AT342" s="38"/>
      <c r="AU342" s="38"/>
      <c r="AV342" s="38"/>
      <c r="AW342" s="671"/>
      <c r="AX342" s="38"/>
      <c r="AY342" s="38"/>
      <c r="AZ342" s="38"/>
      <c r="BA342" s="475"/>
      <c r="BB342" s="475"/>
      <c r="BC342" s="475"/>
      <c r="BD342" s="475"/>
      <c r="BE342" s="475"/>
      <c r="BF342" s="475"/>
      <c r="BG342" s="475"/>
    </row>
    <row r="343" spans="1:59" outlineLevel="1">
      <c r="A343" s="38"/>
      <c r="B343" s="38"/>
      <c r="C343" s="38"/>
      <c r="D343" s="38"/>
      <c r="E343" s="38"/>
      <c r="F343" s="38"/>
      <c r="G343" s="52"/>
      <c r="H343" s="38"/>
      <c r="I343" s="38"/>
      <c r="J343" s="52"/>
      <c r="K343" s="52"/>
      <c r="L343" s="38"/>
      <c r="M343" s="38"/>
      <c r="N343" s="38"/>
      <c r="O343" s="38"/>
      <c r="P343" s="38"/>
      <c r="Q343" s="38"/>
      <c r="R343" s="38"/>
      <c r="S343" s="38"/>
      <c r="T343" s="38"/>
      <c r="U343" s="38"/>
      <c r="V343" s="38"/>
      <c r="W343" s="38"/>
      <c r="X343" s="38"/>
      <c r="Y343" s="38"/>
      <c r="Z343" s="38"/>
      <c r="AA343" s="38"/>
      <c r="AB343" s="38"/>
      <c r="AC343" s="38"/>
      <c r="AD343" s="38"/>
      <c r="AE343" s="38"/>
      <c r="AF343" s="38"/>
      <c r="AG343" s="38"/>
      <c r="AH343" s="38"/>
      <c r="AI343" s="38"/>
      <c r="AJ343" s="38"/>
      <c r="AK343" s="38"/>
      <c r="AL343" s="38"/>
      <c r="AM343" s="38"/>
      <c r="AN343" s="38"/>
      <c r="AO343" s="38"/>
      <c r="AP343" s="38"/>
      <c r="AQ343" s="38"/>
      <c r="AR343" s="38"/>
      <c r="AS343" s="38"/>
      <c r="AT343" s="38"/>
      <c r="AU343" s="38"/>
      <c r="AV343" s="38"/>
      <c r="AW343" s="671"/>
      <c r="AX343" s="38"/>
      <c r="AY343" s="38"/>
      <c r="AZ343" s="38"/>
      <c r="BA343" s="475"/>
      <c r="BB343" s="475"/>
      <c r="BC343" s="475"/>
      <c r="BD343" s="475"/>
      <c r="BE343" s="475"/>
      <c r="BF343" s="475"/>
      <c r="BG343" s="475"/>
    </row>
    <row r="344" spans="1:59" outlineLevel="1">
      <c r="A344" s="38"/>
      <c r="B344" s="38"/>
      <c r="C344" s="38"/>
      <c r="D344" s="38"/>
      <c r="E344" s="38"/>
      <c r="F344" s="38"/>
      <c r="G344" s="52"/>
      <c r="H344" s="38"/>
      <c r="I344" s="38"/>
      <c r="J344" s="52"/>
      <c r="K344" s="52"/>
      <c r="L344" s="38"/>
      <c r="M344" s="38"/>
      <c r="N344" s="38"/>
      <c r="O344" s="38"/>
      <c r="P344" s="38"/>
      <c r="Q344" s="38"/>
      <c r="R344" s="38"/>
      <c r="S344" s="38"/>
      <c r="T344" s="38"/>
      <c r="U344" s="38"/>
      <c r="V344" s="38"/>
      <c r="W344" s="38"/>
      <c r="X344" s="38"/>
      <c r="Y344" s="38"/>
      <c r="Z344" s="38"/>
      <c r="AA344" s="38"/>
      <c r="AB344" s="38"/>
      <c r="AC344" s="38"/>
      <c r="AD344" s="38"/>
      <c r="AE344" s="38"/>
      <c r="AF344" s="38"/>
      <c r="AG344" s="38"/>
      <c r="AH344" s="38"/>
      <c r="AI344" s="38"/>
      <c r="AJ344" s="38"/>
      <c r="AK344" s="38"/>
      <c r="AL344" s="38"/>
      <c r="AM344" s="38"/>
      <c r="AN344" s="38"/>
      <c r="AO344" s="38"/>
      <c r="AP344" s="38"/>
      <c r="AQ344" s="38"/>
      <c r="AR344" s="38"/>
      <c r="AS344" s="38"/>
      <c r="AT344" s="38"/>
      <c r="AU344" s="38"/>
      <c r="AV344" s="38"/>
      <c r="AW344" s="671"/>
      <c r="AX344" s="38"/>
      <c r="AY344" s="38"/>
      <c r="AZ344" s="38"/>
      <c r="BA344" s="475"/>
      <c r="BB344" s="475"/>
      <c r="BC344" s="475"/>
      <c r="BD344" s="475"/>
      <c r="BE344" s="475"/>
      <c r="BF344" s="475"/>
      <c r="BG344" s="475"/>
    </row>
    <row r="345" spans="1:59" outlineLevel="1">
      <c r="A345" s="38"/>
      <c r="B345" s="38"/>
      <c r="C345" s="38"/>
      <c r="D345" s="38"/>
      <c r="E345" s="38"/>
      <c r="F345" s="38"/>
      <c r="G345" s="52"/>
      <c r="H345" s="38"/>
      <c r="I345" s="38"/>
      <c r="J345" s="52"/>
      <c r="K345" s="52"/>
      <c r="L345" s="38"/>
      <c r="M345" s="38"/>
      <c r="N345" s="38"/>
      <c r="O345" s="38"/>
      <c r="P345" s="38"/>
      <c r="Q345" s="38"/>
      <c r="R345" s="38"/>
      <c r="S345" s="38"/>
      <c r="T345" s="38"/>
      <c r="U345" s="38"/>
      <c r="V345" s="38"/>
      <c r="W345" s="38"/>
      <c r="X345" s="38"/>
      <c r="Y345" s="38"/>
      <c r="Z345" s="38"/>
      <c r="AA345" s="38"/>
      <c r="AB345" s="38"/>
      <c r="AC345" s="38"/>
      <c r="AD345" s="38"/>
      <c r="AE345" s="38"/>
      <c r="AF345" s="38"/>
      <c r="AG345" s="38"/>
      <c r="AH345" s="38"/>
      <c r="AI345" s="38"/>
      <c r="AJ345" s="38"/>
      <c r="AK345" s="38"/>
      <c r="AL345" s="38"/>
      <c r="AM345" s="38"/>
      <c r="AN345" s="38"/>
      <c r="AO345" s="38"/>
      <c r="AP345" s="38"/>
      <c r="AQ345" s="38"/>
      <c r="AR345" s="38"/>
      <c r="AS345" s="38"/>
      <c r="AT345" s="38"/>
      <c r="AU345" s="38"/>
      <c r="AV345" s="38"/>
      <c r="AW345" s="671"/>
      <c r="AX345" s="38"/>
      <c r="AY345" s="38"/>
      <c r="AZ345" s="38"/>
      <c r="BA345" s="475"/>
      <c r="BB345" s="475"/>
      <c r="BC345" s="475"/>
      <c r="BD345" s="475"/>
      <c r="BE345" s="475"/>
      <c r="BF345" s="475"/>
      <c r="BG345" s="475"/>
    </row>
    <row r="346" spans="1:59" outlineLevel="1">
      <c r="A346" s="38"/>
      <c r="B346" s="38"/>
      <c r="C346" s="38"/>
      <c r="D346" s="38"/>
      <c r="E346" s="38"/>
      <c r="F346" s="38"/>
      <c r="G346" s="52"/>
      <c r="H346" s="38"/>
      <c r="I346" s="38"/>
      <c r="J346" s="52"/>
      <c r="K346" s="52"/>
      <c r="L346" s="38"/>
      <c r="M346" s="38"/>
      <c r="N346" s="38"/>
      <c r="O346" s="38"/>
      <c r="P346" s="38"/>
      <c r="Q346" s="38"/>
      <c r="R346" s="38"/>
      <c r="S346" s="38"/>
      <c r="T346" s="38"/>
      <c r="U346" s="38"/>
      <c r="V346" s="38"/>
      <c r="W346" s="38"/>
      <c r="X346" s="38"/>
      <c r="Y346" s="38"/>
      <c r="Z346" s="38"/>
      <c r="AA346" s="38"/>
      <c r="AB346" s="38"/>
      <c r="AC346" s="38"/>
      <c r="AD346" s="38"/>
      <c r="AE346" s="38"/>
      <c r="AF346" s="38"/>
      <c r="AG346" s="38"/>
      <c r="AH346" s="38"/>
      <c r="AI346" s="38"/>
      <c r="AJ346" s="38"/>
      <c r="AK346" s="38"/>
      <c r="AL346" s="38"/>
      <c r="AM346" s="38"/>
      <c r="AN346" s="38"/>
      <c r="AO346" s="38"/>
      <c r="AP346" s="38"/>
      <c r="AQ346" s="38"/>
      <c r="AR346" s="38"/>
      <c r="AS346" s="38"/>
      <c r="AT346" s="38"/>
      <c r="AU346" s="38"/>
      <c r="AV346" s="38"/>
      <c r="AW346" s="671"/>
      <c r="AX346" s="38"/>
      <c r="AY346" s="38"/>
      <c r="AZ346" s="38"/>
      <c r="BA346" s="475"/>
      <c r="BB346" s="475"/>
      <c r="BC346" s="475"/>
      <c r="BD346" s="475"/>
      <c r="BE346" s="475"/>
      <c r="BF346" s="475"/>
      <c r="BG346" s="475"/>
    </row>
    <row r="347" spans="1:59" outlineLevel="1">
      <c r="A347" s="38"/>
      <c r="B347" s="38"/>
      <c r="C347" s="38"/>
      <c r="D347" s="38"/>
      <c r="E347" s="38"/>
      <c r="F347" s="38"/>
      <c r="G347" s="52"/>
      <c r="H347" s="38"/>
      <c r="I347" s="38"/>
      <c r="J347" s="52"/>
      <c r="K347" s="52"/>
      <c r="L347" s="38"/>
      <c r="M347" s="38"/>
      <c r="N347" s="38"/>
      <c r="O347" s="38"/>
      <c r="P347" s="38"/>
      <c r="Q347" s="38"/>
      <c r="R347" s="38"/>
      <c r="S347" s="38"/>
      <c r="T347" s="38"/>
      <c r="U347" s="38"/>
      <c r="V347" s="38"/>
      <c r="W347" s="38"/>
      <c r="X347" s="38"/>
      <c r="Y347" s="38"/>
      <c r="Z347" s="38"/>
      <c r="AA347" s="38"/>
      <c r="AB347" s="38"/>
      <c r="AC347" s="38"/>
      <c r="AD347" s="38"/>
      <c r="AE347" s="38"/>
      <c r="AF347" s="38"/>
      <c r="AG347" s="38"/>
      <c r="AH347" s="38"/>
      <c r="AI347" s="38"/>
      <c r="AJ347" s="38"/>
      <c r="AK347" s="38"/>
      <c r="AL347" s="38"/>
      <c r="AM347" s="38"/>
      <c r="AN347" s="38"/>
      <c r="AO347" s="38"/>
      <c r="AP347" s="38"/>
      <c r="AQ347" s="38"/>
      <c r="AR347" s="38"/>
      <c r="AS347" s="38"/>
      <c r="AT347" s="38"/>
      <c r="AU347" s="38"/>
      <c r="AV347" s="38"/>
      <c r="AW347" s="671"/>
      <c r="AX347" s="38"/>
      <c r="AY347" s="38"/>
      <c r="AZ347" s="38"/>
      <c r="BA347" s="475"/>
      <c r="BB347" s="475"/>
      <c r="BC347" s="475"/>
      <c r="BD347" s="475"/>
      <c r="BE347" s="475"/>
      <c r="BF347" s="475"/>
      <c r="BG347" s="475"/>
    </row>
    <row r="348" spans="1:59" outlineLevel="1">
      <c r="A348" s="38"/>
      <c r="B348" s="38"/>
      <c r="C348" s="38"/>
      <c r="D348" s="38"/>
      <c r="E348" s="38"/>
      <c r="F348" s="38"/>
      <c r="G348" s="52"/>
      <c r="H348" s="38"/>
      <c r="I348" s="38"/>
      <c r="J348" s="52"/>
      <c r="K348" s="52"/>
      <c r="L348" s="38"/>
      <c r="M348" s="38"/>
      <c r="N348" s="38"/>
      <c r="O348" s="38"/>
      <c r="P348" s="38"/>
      <c r="Q348" s="38"/>
      <c r="R348" s="38"/>
      <c r="S348" s="38"/>
      <c r="T348" s="38"/>
      <c r="U348" s="38"/>
      <c r="V348" s="38"/>
      <c r="W348" s="38"/>
      <c r="X348" s="38"/>
      <c r="Y348" s="38"/>
      <c r="Z348" s="38"/>
      <c r="AA348" s="38"/>
      <c r="AB348" s="38"/>
      <c r="AC348" s="38"/>
      <c r="AD348" s="38"/>
      <c r="AE348" s="38"/>
      <c r="AF348" s="38"/>
      <c r="AG348" s="38"/>
      <c r="AH348" s="38"/>
      <c r="AI348" s="38"/>
      <c r="AJ348" s="38"/>
      <c r="AK348" s="38"/>
      <c r="AL348" s="38"/>
      <c r="AM348" s="38"/>
      <c r="AN348" s="38"/>
      <c r="AO348" s="38"/>
      <c r="AP348" s="38"/>
      <c r="AQ348" s="38"/>
      <c r="AR348" s="38"/>
      <c r="AS348" s="38"/>
      <c r="AT348" s="38"/>
      <c r="AU348" s="38"/>
      <c r="AV348" s="38"/>
      <c r="AW348" s="671"/>
      <c r="AX348" s="38"/>
      <c r="AY348" s="38"/>
      <c r="AZ348" s="38"/>
      <c r="BA348" s="475"/>
      <c r="BB348" s="475"/>
      <c r="BC348" s="475"/>
      <c r="BD348" s="475"/>
      <c r="BE348" s="475"/>
      <c r="BF348" s="475"/>
      <c r="BG348" s="475"/>
    </row>
    <row r="349" spans="1:59" outlineLevel="1">
      <c r="A349" s="38"/>
      <c r="B349" s="38"/>
      <c r="C349" s="38"/>
      <c r="D349" s="38"/>
      <c r="E349" s="38"/>
      <c r="F349" s="38"/>
      <c r="G349" s="52"/>
      <c r="H349" s="38"/>
      <c r="I349" s="38"/>
      <c r="J349" s="52"/>
      <c r="K349" s="52"/>
      <c r="L349" s="38"/>
      <c r="M349" s="38"/>
      <c r="N349" s="38"/>
      <c r="O349" s="38"/>
      <c r="P349" s="38"/>
      <c r="Q349" s="38"/>
      <c r="R349" s="38"/>
      <c r="S349" s="38"/>
      <c r="T349" s="38"/>
      <c r="U349" s="38"/>
      <c r="V349" s="38"/>
      <c r="W349" s="38"/>
      <c r="X349" s="38"/>
      <c r="Y349" s="38"/>
      <c r="Z349" s="38"/>
      <c r="AA349" s="38"/>
      <c r="AB349" s="38"/>
      <c r="AC349" s="38"/>
      <c r="AD349" s="38"/>
      <c r="AE349" s="38"/>
      <c r="AF349" s="38"/>
      <c r="AG349" s="38"/>
      <c r="AH349" s="38"/>
      <c r="AI349" s="38"/>
      <c r="AJ349" s="38"/>
      <c r="AK349" s="38"/>
      <c r="AL349" s="38"/>
      <c r="AM349" s="38"/>
      <c r="AN349" s="38"/>
      <c r="AO349" s="38"/>
      <c r="AP349" s="38"/>
      <c r="AQ349" s="38"/>
      <c r="AR349" s="38"/>
      <c r="AS349" s="38"/>
      <c r="AT349" s="38"/>
      <c r="AU349" s="38"/>
      <c r="AV349" s="38"/>
      <c r="AW349" s="671"/>
      <c r="AX349" s="38"/>
      <c r="AY349" s="38"/>
      <c r="AZ349" s="38"/>
      <c r="BA349" s="475"/>
      <c r="BB349" s="475"/>
      <c r="BC349" s="475"/>
      <c r="BD349" s="475"/>
      <c r="BE349" s="475"/>
      <c r="BF349" s="475"/>
      <c r="BG349" s="475"/>
    </row>
    <row r="350" spans="1:59" outlineLevel="1">
      <c r="A350" s="38"/>
      <c r="B350" s="38"/>
      <c r="C350" s="38"/>
      <c r="D350" s="38"/>
      <c r="E350" s="38"/>
      <c r="F350" s="38"/>
      <c r="G350" s="52"/>
      <c r="H350" s="38"/>
      <c r="I350" s="38"/>
      <c r="J350" s="52"/>
      <c r="K350" s="52"/>
      <c r="L350" s="38"/>
      <c r="M350" s="38"/>
      <c r="N350" s="38"/>
      <c r="O350" s="38"/>
      <c r="P350" s="38"/>
      <c r="Q350" s="38"/>
      <c r="R350" s="38"/>
      <c r="S350" s="38"/>
      <c r="T350" s="38"/>
      <c r="U350" s="38"/>
      <c r="V350" s="38"/>
      <c r="W350" s="38"/>
      <c r="X350" s="38"/>
      <c r="Y350" s="38"/>
      <c r="Z350" s="38"/>
      <c r="AA350" s="38"/>
      <c r="AB350" s="38"/>
      <c r="AC350" s="38"/>
      <c r="AD350" s="38"/>
      <c r="AE350" s="38"/>
      <c r="AF350" s="38"/>
      <c r="AG350" s="38"/>
      <c r="AH350" s="38"/>
      <c r="AI350" s="38"/>
      <c r="AJ350" s="38"/>
      <c r="AK350" s="38"/>
      <c r="AL350" s="38"/>
      <c r="AM350" s="38"/>
      <c r="AN350" s="38"/>
      <c r="AO350" s="38"/>
      <c r="AP350" s="38"/>
      <c r="AQ350" s="38"/>
      <c r="AR350" s="38"/>
      <c r="AS350" s="38"/>
      <c r="AT350" s="38"/>
      <c r="AU350" s="38"/>
      <c r="AV350" s="38"/>
      <c r="AW350" s="671"/>
      <c r="AX350" s="38"/>
      <c r="AY350" s="38"/>
      <c r="AZ350" s="38"/>
      <c r="BA350" s="475"/>
      <c r="BB350" s="475"/>
      <c r="BC350" s="475"/>
      <c r="BD350" s="475"/>
      <c r="BE350" s="475"/>
      <c r="BF350" s="475"/>
      <c r="BG350" s="475"/>
    </row>
    <row r="351" spans="1:59" outlineLevel="1">
      <c r="A351" s="38"/>
      <c r="B351" s="38"/>
      <c r="C351" s="38"/>
      <c r="D351" s="38"/>
      <c r="E351" s="38"/>
      <c r="F351" s="38"/>
      <c r="G351" s="52"/>
      <c r="H351" s="38"/>
      <c r="I351" s="38"/>
      <c r="J351" s="52"/>
      <c r="K351" s="52"/>
      <c r="L351" s="38"/>
      <c r="M351" s="38"/>
      <c r="N351" s="38"/>
      <c r="O351" s="38"/>
      <c r="P351" s="38"/>
      <c r="Q351" s="38"/>
      <c r="R351" s="38"/>
      <c r="S351" s="38"/>
      <c r="T351" s="38"/>
      <c r="U351" s="38"/>
      <c r="V351" s="38"/>
      <c r="W351" s="38"/>
      <c r="X351" s="38"/>
      <c r="Y351" s="38"/>
      <c r="Z351" s="38"/>
      <c r="AA351" s="38"/>
      <c r="AB351" s="38"/>
      <c r="AC351" s="38"/>
      <c r="AD351" s="38"/>
      <c r="AE351" s="38"/>
      <c r="AF351" s="38"/>
      <c r="AG351" s="38"/>
      <c r="AH351" s="38"/>
      <c r="AI351" s="38"/>
      <c r="AJ351" s="38"/>
      <c r="AK351" s="38"/>
      <c r="AL351" s="38"/>
      <c r="AM351" s="38"/>
      <c r="AN351" s="38"/>
      <c r="AO351" s="38"/>
      <c r="AP351" s="38"/>
      <c r="AQ351" s="38"/>
      <c r="AR351" s="38"/>
      <c r="AS351" s="38"/>
      <c r="AT351" s="38"/>
      <c r="AU351" s="38"/>
      <c r="AV351" s="38"/>
      <c r="AW351" s="671"/>
      <c r="AX351" s="38"/>
      <c r="AY351" s="38"/>
      <c r="AZ351" s="38"/>
      <c r="BA351" s="475"/>
      <c r="BB351" s="475"/>
      <c r="BC351" s="475"/>
      <c r="BD351" s="475"/>
      <c r="BE351" s="475"/>
      <c r="BF351" s="475"/>
      <c r="BG351" s="475"/>
    </row>
    <row r="352" spans="1:59" outlineLevel="1">
      <c r="A352" s="38"/>
      <c r="B352" s="38"/>
      <c r="C352" s="38"/>
      <c r="D352" s="38"/>
      <c r="E352" s="38"/>
      <c r="F352" s="38"/>
      <c r="G352" s="52"/>
      <c r="H352" s="38"/>
      <c r="I352" s="38"/>
      <c r="J352" s="52"/>
      <c r="K352" s="52"/>
      <c r="L352" s="38"/>
      <c r="M352" s="38"/>
      <c r="N352" s="38"/>
      <c r="O352" s="38"/>
      <c r="P352" s="38"/>
      <c r="Q352" s="38"/>
      <c r="R352" s="38"/>
      <c r="S352" s="38"/>
      <c r="T352" s="38"/>
      <c r="U352" s="38"/>
      <c r="V352" s="38"/>
      <c r="W352" s="38"/>
      <c r="X352" s="38"/>
      <c r="Y352" s="38"/>
      <c r="Z352" s="38"/>
      <c r="AA352" s="38"/>
      <c r="AB352" s="38"/>
      <c r="AC352" s="38"/>
      <c r="AD352" s="38"/>
      <c r="AE352" s="38"/>
      <c r="AF352" s="38"/>
      <c r="AG352" s="38"/>
      <c r="AH352" s="38"/>
      <c r="AI352" s="38"/>
      <c r="AJ352" s="38"/>
      <c r="AK352" s="38"/>
      <c r="AL352" s="38"/>
      <c r="AM352" s="38"/>
      <c r="AN352" s="38"/>
      <c r="AO352" s="38"/>
      <c r="AP352" s="38"/>
      <c r="AQ352" s="38"/>
      <c r="AR352" s="38"/>
      <c r="AS352" s="38"/>
      <c r="AT352" s="38"/>
      <c r="AU352" s="38"/>
      <c r="AV352" s="38"/>
      <c r="AW352" s="671"/>
      <c r="AX352" s="38"/>
      <c r="AY352" s="38"/>
      <c r="AZ352" s="38"/>
      <c r="BA352" s="475"/>
      <c r="BB352" s="475"/>
      <c r="BC352" s="475"/>
      <c r="BD352" s="475"/>
      <c r="BE352" s="475"/>
      <c r="BF352" s="475"/>
      <c r="BG352" s="475"/>
    </row>
    <row r="353" spans="1:59" outlineLevel="1">
      <c r="A353" s="38"/>
      <c r="B353" s="38"/>
      <c r="C353" s="38"/>
      <c r="D353" s="38"/>
      <c r="E353" s="38"/>
      <c r="F353" s="38"/>
      <c r="G353" s="52"/>
      <c r="H353" s="38"/>
      <c r="I353" s="38"/>
      <c r="J353" s="52"/>
      <c r="K353" s="52"/>
      <c r="L353" s="38"/>
      <c r="M353" s="38"/>
      <c r="N353" s="38"/>
      <c r="O353" s="38"/>
      <c r="P353" s="38"/>
      <c r="Q353" s="38"/>
      <c r="R353" s="38"/>
      <c r="S353" s="38"/>
      <c r="T353" s="38"/>
      <c r="U353" s="38"/>
      <c r="V353" s="38"/>
      <c r="W353" s="38"/>
      <c r="X353" s="38"/>
      <c r="Y353" s="38"/>
      <c r="Z353" s="38"/>
      <c r="AA353" s="38"/>
      <c r="AB353" s="38"/>
      <c r="AC353" s="38"/>
      <c r="AD353" s="38"/>
      <c r="AE353" s="38"/>
      <c r="AF353" s="38"/>
      <c r="AG353" s="38"/>
      <c r="AH353" s="38"/>
      <c r="AI353" s="38"/>
      <c r="AJ353" s="38"/>
      <c r="AK353" s="38"/>
      <c r="AL353" s="38"/>
      <c r="AM353" s="38"/>
      <c r="AN353" s="38"/>
      <c r="AO353" s="38"/>
      <c r="AP353" s="38"/>
      <c r="AQ353" s="38"/>
      <c r="AR353" s="38"/>
      <c r="AS353" s="38"/>
      <c r="AT353" s="38"/>
      <c r="AU353" s="38"/>
      <c r="AV353" s="38"/>
      <c r="AW353" s="671"/>
      <c r="AX353" s="38"/>
      <c r="AY353" s="38"/>
      <c r="AZ353" s="38"/>
      <c r="BA353" s="475"/>
      <c r="BB353" s="475"/>
      <c r="BC353" s="475"/>
      <c r="BD353" s="475"/>
      <c r="BE353" s="475"/>
      <c r="BF353" s="475"/>
      <c r="BG353" s="475"/>
    </row>
    <row r="354" spans="1:59" outlineLevel="1">
      <c r="A354" s="38"/>
      <c r="B354" s="38"/>
      <c r="C354" s="38"/>
      <c r="D354" s="38"/>
      <c r="E354" s="38"/>
      <c r="F354" s="38"/>
      <c r="G354" s="52"/>
      <c r="H354" s="38"/>
      <c r="I354" s="38"/>
      <c r="J354" s="52"/>
      <c r="K354" s="52"/>
      <c r="L354" s="38"/>
      <c r="M354" s="38"/>
      <c r="N354" s="38"/>
      <c r="O354" s="38"/>
      <c r="P354" s="38"/>
      <c r="Q354" s="38"/>
      <c r="R354" s="38"/>
      <c r="S354" s="38"/>
      <c r="T354" s="38"/>
      <c r="U354" s="38"/>
      <c r="V354" s="38"/>
      <c r="W354" s="38"/>
      <c r="X354" s="38"/>
      <c r="Y354" s="38"/>
      <c r="Z354" s="38"/>
      <c r="AA354" s="38"/>
      <c r="AB354" s="38"/>
      <c r="AC354" s="38"/>
      <c r="AD354" s="38"/>
      <c r="AE354" s="38"/>
      <c r="AF354" s="38"/>
      <c r="AG354" s="38"/>
      <c r="AH354" s="38"/>
      <c r="AI354" s="38"/>
      <c r="AJ354" s="38"/>
      <c r="AK354" s="38"/>
      <c r="AL354" s="38"/>
      <c r="AM354" s="38"/>
      <c r="AN354" s="38"/>
      <c r="AO354" s="38"/>
      <c r="AP354" s="38"/>
      <c r="AQ354" s="38"/>
      <c r="AR354" s="38"/>
      <c r="AS354" s="38"/>
      <c r="AT354" s="38"/>
      <c r="AU354" s="38"/>
      <c r="AV354" s="38"/>
      <c r="AW354" s="671"/>
      <c r="AX354" s="38"/>
      <c r="AY354" s="38"/>
      <c r="AZ354" s="38"/>
      <c r="BA354" s="475"/>
      <c r="BB354" s="475"/>
      <c r="BC354" s="475"/>
      <c r="BD354" s="475"/>
      <c r="BE354" s="475"/>
      <c r="BF354" s="475"/>
      <c r="BG354" s="475"/>
    </row>
    <row r="355" spans="1:59" outlineLevel="1">
      <c r="A355" s="38"/>
      <c r="B355" s="38"/>
      <c r="C355" s="38"/>
      <c r="D355" s="38"/>
      <c r="E355" s="38"/>
      <c r="F355" s="38"/>
      <c r="G355" s="52"/>
      <c r="H355" s="38"/>
      <c r="I355" s="38"/>
      <c r="J355" s="52"/>
      <c r="K355" s="52"/>
      <c r="L355" s="38"/>
      <c r="M355" s="38"/>
      <c r="N355" s="38"/>
      <c r="O355" s="38"/>
      <c r="P355" s="38"/>
      <c r="Q355" s="38"/>
      <c r="R355" s="38"/>
      <c r="S355" s="38"/>
      <c r="T355" s="38"/>
      <c r="U355" s="38"/>
      <c r="V355" s="38"/>
      <c r="W355" s="38"/>
      <c r="X355" s="38"/>
      <c r="Y355" s="38"/>
      <c r="Z355" s="38"/>
      <c r="AA355" s="38"/>
      <c r="AB355" s="38"/>
      <c r="AC355" s="38"/>
      <c r="AD355" s="38"/>
      <c r="AE355" s="38"/>
      <c r="AF355" s="38"/>
      <c r="AG355" s="38"/>
      <c r="AH355" s="38"/>
      <c r="AI355" s="38"/>
      <c r="AJ355" s="38"/>
      <c r="AK355" s="38"/>
      <c r="AL355" s="38"/>
      <c r="AM355" s="38"/>
      <c r="AN355" s="38"/>
      <c r="AO355" s="38"/>
      <c r="AP355" s="38"/>
      <c r="AQ355" s="38"/>
      <c r="AR355" s="38"/>
      <c r="AS355" s="38"/>
      <c r="AT355" s="38"/>
      <c r="AU355" s="38"/>
      <c r="AV355" s="38"/>
      <c r="AW355" s="671"/>
      <c r="AX355" s="38"/>
      <c r="AY355" s="38"/>
      <c r="AZ355" s="38"/>
      <c r="BA355" s="475"/>
      <c r="BB355" s="475"/>
      <c r="BC355" s="475"/>
      <c r="BD355" s="475"/>
      <c r="BE355" s="475"/>
      <c r="BF355" s="475"/>
      <c r="BG355" s="475"/>
    </row>
    <row r="356" spans="1:59" outlineLevel="1">
      <c r="A356" s="38"/>
      <c r="B356" s="38"/>
      <c r="C356" s="38"/>
      <c r="D356" s="38"/>
      <c r="E356" s="38"/>
      <c r="F356" s="38"/>
      <c r="G356" s="52"/>
      <c r="H356" s="38"/>
      <c r="I356" s="38"/>
      <c r="J356" s="52"/>
      <c r="K356" s="52"/>
      <c r="L356" s="38"/>
      <c r="M356" s="38"/>
      <c r="N356" s="38"/>
      <c r="O356" s="38"/>
      <c r="P356" s="38"/>
      <c r="Q356" s="38"/>
      <c r="R356" s="38"/>
      <c r="S356" s="38"/>
      <c r="T356" s="38"/>
      <c r="U356" s="38"/>
      <c r="V356" s="38"/>
      <c r="W356" s="38"/>
      <c r="X356" s="38"/>
      <c r="Y356" s="38"/>
      <c r="Z356" s="38"/>
      <c r="AA356" s="38"/>
      <c r="AB356" s="38"/>
      <c r="AC356" s="38"/>
      <c r="AD356" s="38"/>
      <c r="AE356" s="38"/>
      <c r="AF356" s="38"/>
      <c r="AG356" s="38"/>
      <c r="AH356" s="38"/>
      <c r="AI356" s="38"/>
      <c r="AJ356" s="38"/>
      <c r="AK356" s="38"/>
      <c r="AL356" s="38"/>
      <c r="AM356" s="38"/>
      <c r="AN356" s="38"/>
      <c r="AO356" s="38"/>
      <c r="AP356" s="38"/>
      <c r="AQ356" s="38"/>
      <c r="AR356" s="38"/>
      <c r="AS356" s="38"/>
      <c r="AT356" s="38"/>
      <c r="AU356" s="38"/>
      <c r="AV356" s="38"/>
      <c r="AW356" s="671"/>
      <c r="AX356" s="38"/>
      <c r="AY356" s="38"/>
      <c r="AZ356" s="38"/>
      <c r="BA356" s="475"/>
      <c r="BB356" s="475"/>
      <c r="BC356" s="475"/>
      <c r="BD356" s="475"/>
      <c r="BE356" s="475"/>
      <c r="BF356" s="475"/>
      <c r="BG356" s="475"/>
    </row>
    <row r="357" spans="1:59" outlineLevel="1">
      <c r="A357" s="38"/>
      <c r="B357" s="38"/>
      <c r="C357" s="38"/>
      <c r="D357" s="38"/>
      <c r="E357" s="38"/>
      <c r="F357" s="38"/>
      <c r="G357" s="52"/>
      <c r="H357" s="38"/>
      <c r="I357" s="38"/>
      <c r="J357" s="52"/>
      <c r="K357" s="52"/>
      <c r="L357" s="38"/>
      <c r="M357" s="38"/>
      <c r="N357" s="38"/>
      <c r="O357" s="38"/>
      <c r="P357" s="38"/>
      <c r="Q357" s="38"/>
      <c r="R357" s="38"/>
      <c r="S357" s="38"/>
      <c r="T357" s="38"/>
      <c r="U357" s="38"/>
      <c r="V357" s="38"/>
      <c r="W357" s="38"/>
      <c r="X357" s="38"/>
      <c r="Y357" s="38"/>
      <c r="Z357" s="38"/>
      <c r="AA357" s="38"/>
      <c r="AB357" s="38"/>
      <c r="AC357" s="38"/>
      <c r="AD357" s="38"/>
      <c r="AE357" s="38"/>
      <c r="AF357" s="38"/>
      <c r="AG357" s="38"/>
      <c r="AH357" s="38"/>
      <c r="AI357" s="38"/>
      <c r="AJ357" s="38"/>
      <c r="AK357" s="38"/>
      <c r="AL357" s="38"/>
      <c r="AM357" s="38"/>
      <c r="AN357" s="38"/>
      <c r="AO357" s="38"/>
      <c r="AP357" s="38"/>
      <c r="AQ357" s="38"/>
      <c r="AR357" s="38"/>
      <c r="AS357" s="38"/>
      <c r="AT357" s="38"/>
      <c r="AU357" s="38"/>
      <c r="AV357" s="38"/>
      <c r="AW357" s="671"/>
      <c r="AX357" s="38"/>
      <c r="AY357" s="38"/>
      <c r="AZ357" s="38"/>
      <c r="BA357" s="475"/>
      <c r="BB357" s="475"/>
      <c r="BC357" s="475"/>
      <c r="BD357" s="475"/>
      <c r="BE357" s="475"/>
      <c r="BF357" s="475"/>
      <c r="BG357" s="475"/>
    </row>
    <row r="358" spans="1:59" outlineLevel="1">
      <c r="A358" s="38"/>
      <c r="B358" s="38"/>
      <c r="C358" s="38"/>
      <c r="D358" s="38"/>
      <c r="E358" s="38"/>
      <c r="F358" s="38"/>
      <c r="G358" s="52"/>
      <c r="H358" s="38"/>
      <c r="I358" s="38"/>
      <c r="J358" s="52"/>
      <c r="K358" s="52"/>
      <c r="L358" s="38"/>
      <c r="M358" s="38"/>
      <c r="N358" s="38"/>
      <c r="O358" s="38"/>
      <c r="P358" s="38"/>
      <c r="Q358" s="38"/>
      <c r="R358" s="38"/>
      <c r="S358" s="38"/>
      <c r="T358" s="38"/>
      <c r="U358" s="38"/>
      <c r="V358" s="38"/>
      <c r="W358" s="38"/>
      <c r="X358" s="38"/>
      <c r="Y358" s="38"/>
      <c r="Z358" s="38"/>
      <c r="AA358" s="38"/>
      <c r="AB358" s="38"/>
      <c r="AC358" s="38"/>
      <c r="AD358" s="38"/>
      <c r="AE358" s="38"/>
      <c r="AF358" s="38"/>
      <c r="AG358" s="38"/>
      <c r="AH358" s="38"/>
      <c r="AI358" s="38"/>
      <c r="AJ358" s="38"/>
      <c r="AK358" s="38"/>
      <c r="AL358" s="38"/>
      <c r="AM358" s="38"/>
      <c r="AN358" s="38"/>
      <c r="AO358" s="38"/>
      <c r="AP358" s="38"/>
      <c r="AQ358" s="38"/>
      <c r="AR358" s="38"/>
      <c r="AS358" s="38"/>
      <c r="AT358" s="38"/>
      <c r="AU358" s="38"/>
      <c r="AV358" s="38"/>
      <c r="AW358" s="671"/>
      <c r="AX358" s="38"/>
      <c r="AY358" s="38"/>
      <c r="AZ358" s="38"/>
      <c r="BA358" s="475"/>
      <c r="BB358" s="475"/>
      <c r="BC358" s="475"/>
      <c r="BD358" s="475"/>
      <c r="BE358" s="475"/>
      <c r="BF358" s="475"/>
      <c r="BG358" s="475"/>
    </row>
    <row r="359" spans="1:59" outlineLevel="1">
      <c r="A359" s="38"/>
      <c r="B359" s="38"/>
      <c r="C359" s="38"/>
      <c r="D359" s="38"/>
      <c r="E359" s="38"/>
      <c r="F359" s="38"/>
      <c r="G359" s="52"/>
      <c r="H359" s="38"/>
      <c r="I359" s="38"/>
      <c r="J359" s="52"/>
      <c r="K359" s="52"/>
      <c r="L359" s="38"/>
      <c r="M359" s="38"/>
      <c r="N359" s="38"/>
      <c r="O359" s="38"/>
      <c r="P359" s="38"/>
      <c r="Q359" s="38"/>
      <c r="R359" s="38"/>
      <c r="S359" s="38"/>
      <c r="T359" s="38"/>
      <c r="U359" s="38"/>
      <c r="V359" s="38"/>
      <c r="W359" s="38"/>
      <c r="X359" s="38"/>
      <c r="Y359" s="38"/>
      <c r="Z359" s="38"/>
      <c r="AA359" s="38"/>
      <c r="AB359" s="38"/>
      <c r="AC359" s="38"/>
      <c r="AD359" s="38"/>
      <c r="AE359" s="38"/>
      <c r="AF359" s="38"/>
      <c r="AG359" s="38"/>
      <c r="AH359" s="38"/>
      <c r="AI359" s="38"/>
      <c r="AJ359" s="38"/>
      <c r="AK359" s="38"/>
      <c r="AL359" s="38"/>
      <c r="AM359" s="38"/>
      <c r="AN359" s="38"/>
      <c r="AO359" s="38"/>
      <c r="AP359" s="38"/>
      <c r="AQ359" s="38"/>
      <c r="AR359" s="38"/>
      <c r="AS359" s="38"/>
      <c r="AT359" s="38"/>
      <c r="AU359" s="38"/>
      <c r="AV359" s="38"/>
      <c r="AW359" s="671"/>
      <c r="AX359" s="38"/>
      <c r="AY359" s="38"/>
      <c r="AZ359" s="38"/>
      <c r="BA359" s="475"/>
      <c r="BB359" s="475"/>
      <c r="BC359" s="475"/>
      <c r="BD359" s="475"/>
      <c r="BE359" s="475"/>
      <c r="BF359" s="475"/>
      <c r="BG359" s="475"/>
    </row>
    <row r="360" spans="1:59" outlineLevel="1">
      <c r="A360" s="38"/>
      <c r="B360" s="38"/>
      <c r="C360" s="38"/>
      <c r="D360" s="38"/>
      <c r="E360" s="38"/>
      <c r="F360" s="38"/>
      <c r="G360" s="52"/>
      <c r="H360" s="38"/>
      <c r="I360" s="38"/>
      <c r="J360" s="52"/>
      <c r="K360" s="52"/>
      <c r="L360" s="38"/>
      <c r="M360" s="38"/>
      <c r="N360" s="38"/>
      <c r="O360" s="38"/>
      <c r="P360" s="38"/>
      <c r="Q360" s="38"/>
      <c r="R360" s="38"/>
      <c r="S360" s="38"/>
      <c r="T360" s="38"/>
      <c r="U360" s="38"/>
      <c r="V360" s="38"/>
      <c r="W360" s="38"/>
      <c r="X360" s="38"/>
      <c r="Y360" s="38"/>
      <c r="Z360" s="38"/>
      <c r="AA360" s="38"/>
      <c r="AB360" s="38"/>
      <c r="AC360" s="38"/>
      <c r="AD360" s="38"/>
      <c r="AE360" s="38"/>
      <c r="AF360" s="38"/>
      <c r="AG360" s="38"/>
      <c r="AH360" s="38"/>
      <c r="AI360" s="38"/>
      <c r="AJ360" s="38"/>
      <c r="AK360" s="38"/>
      <c r="AL360" s="38"/>
      <c r="AM360" s="38"/>
      <c r="AN360" s="38"/>
      <c r="AO360" s="38"/>
      <c r="AP360" s="38"/>
      <c r="AQ360" s="38"/>
      <c r="AR360" s="38"/>
      <c r="AS360" s="38"/>
      <c r="AT360" s="38"/>
      <c r="AU360" s="38"/>
      <c r="AV360" s="38"/>
      <c r="AW360" s="671"/>
      <c r="AX360" s="38"/>
      <c r="AY360" s="38"/>
      <c r="AZ360" s="38"/>
      <c r="BA360" s="475"/>
      <c r="BB360" s="475"/>
      <c r="BC360" s="475"/>
      <c r="BD360" s="475"/>
      <c r="BE360" s="475"/>
      <c r="BF360" s="475"/>
      <c r="BG360" s="475"/>
    </row>
    <row r="361" spans="1:59" outlineLevel="1">
      <c r="A361" s="38"/>
      <c r="B361" s="38"/>
      <c r="C361" s="38"/>
      <c r="D361" s="38"/>
      <c r="E361" s="38"/>
      <c r="F361" s="38"/>
      <c r="G361" s="52"/>
      <c r="H361" s="38"/>
      <c r="I361" s="38"/>
      <c r="J361" s="52"/>
      <c r="K361" s="52"/>
      <c r="L361" s="38"/>
      <c r="M361" s="38"/>
      <c r="N361" s="38"/>
      <c r="O361" s="38"/>
      <c r="P361" s="38"/>
      <c r="Q361" s="38"/>
      <c r="R361" s="38"/>
      <c r="S361" s="38"/>
      <c r="T361" s="38"/>
      <c r="U361" s="38"/>
      <c r="V361" s="38"/>
      <c r="W361" s="38"/>
      <c r="X361" s="38"/>
      <c r="Y361" s="38"/>
      <c r="Z361" s="38"/>
      <c r="AA361" s="38"/>
      <c r="AB361" s="38"/>
      <c r="AC361" s="38"/>
      <c r="AD361" s="38"/>
      <c r="AE361" s="38"/>
      <c r="AF361" s="38"/>
      <c r="AG361" s="38"/>
      <c r="AH361" s="38"/>
      <c r="AI361" s="38"/>
      <c r="AJ361" s="38"/>
      <c r="AK361" s="38"/>
      <c r="AL361" s="38"/>
      <c r="AM361" s="38"/>
      <c r="AN361" s="38"/>
      <c r="AO361" s="38"/>
      <c r="AP361" s="38"/>
      <c r="AQ361" s="38"/>
      <c r="AR361" s="38"/>
      <c r="AS361" s="38"/>
      <c r="AT361" s="38"/>
      <c r="AU361" s="38"/>
      <c r="AV361" s="38"/>
      <c r="AW361" s="671"/>
      <c r="AX361" s="38"/>
      <c r="AY361" s="38"/>
      <c r="AZ361" s="38"/>
      <c r="BA361" s="475"/>
      <c r="BB361" s="475"/>
      <c r="BC361" s="475"/>
      <c r="BD361" s="475"/>
      <c r="BE361" s="475"/>
      <c r="BF361" s="475"/>
      <c r="BG361" s="475"/>
    </row>
    <row r="362" spans="1:59" outlineLevel="1">
      <c r="A362" s="38"/>
      <c r="B362" s="38"/>
      <c r="C362" s="38"/>
      <c r="D362" s="38"/>
      <c r="E362" s="38"/>
      <c r="F362" s="38"/>
      <c r="G362" s="52"/>
      <c r="H362" s="38"/>
      <c r="I362" s="38"/>
      <c r="J362" s="52"/>
      <c r="K362" s="52"/>
      <c r="L362" s="38"/>
      <c r="M362" s="38"/>
      <c r="N362" s="38"/>
      <c r="O362" s="38"/>
      <c r="P362" s="38"/>
      <c r="Q362" s="38"/>
      <c r="R362" s="38"/>
      <c r="S362" s="38"/>
      <c r="T362" s="38"/>
      <c r="U362" s="38"/>
      <c r="V362" s="38"/>
      <c r="W362" s="38"/>
      <c r="X362" s="38"/>
      <c r="Y362" s="38"/>
      <c r="Z362" s="38"/>
      <c r="AA362" s="38"/>
      <c r="AB362" s="38"/>
      <c r="AC362" s="38"/>
      <c r="AD362" s="38"/>
      <c r="AE362" s="38"/>
      <c r="AF362" s="38"/>
      <c r="AG362" s="38"/>
      <c r="AH362" s="38"/>
      <c r="AI362" s="38"/>
      <c r="AJ362" s="38"/>
      <c r="AK362" s="38"/>
      <c r="AL362" s="38"/>
      <c r="AM362" s="38"/>
      <c r="AN362" s="38"/>
      <c r="AO362" s="38"/>
      <c r="AP362" s="38"/>
      <c r="AQ362" s="38"/>
      <c r="AR362" s="38"/>
      <c r="AS362" s="38"/>
      <c r="AT362" s="38"/>
      <c r="AU362" s="38"/>
      <c r="AV362" s="38"/>
      <c r="AW362" s="671"/>
      <c r="AX362" s="38"/>
      <c r="AY362" s="38"/>
      <c r="AZ362" s="38"/>
      <c r="BA362" s="475"/>
      <c r="BB362" s="475"/>
      <c r="BC362" s="475"/>
      <c r="BD362" s="475"/>
      <c r="BE362" s="475"/>
      <c r="BF362" s="475"/>
      <c r="BG362" s="475"/>
    </row>
    <row r="363" spans="1:59" outlineLevel="1">
      <c r="A363" s="38"/>
      <c r="B363" s="38"/>
      <c r="C363" s="38"/>
      <c r="D363" s="38"/>
      <c r="E363" s="38"/>
      <c r="F363" s="38"/>
      <c r="G363" s="52"/>
      <c r="H363" s="38"/>
      <c r="I363" s="38"/>
      <c r="J363" s="52"/>
      <c r="K363" s="52"/>
      <c r="L363" s="38"/>
      <c r="M363" s="38"/>
      <c r="N363" s="38"/>
      <c r="O363" s="38"/>
      <c r="P363" s="38"/>
      <c r="Q363" s="38"/>
      <c r="R363" s="38"/>
      <c r="S363" s="38"/>
      <c r="T363" s="38"/>
      <c r="U363" s="38"/>
      <c r="V363" s="38"/>
      <c r="W363" s="38"/>
      <c r="X363" s="38"/>
      <c r="Y363" s="38"/>
      <c r="Z363" s="38"/>
      <c r="AA363" s="38"/>
      <c r="AB363" s="38"/>
      <c r="AC363" s="38"/>
      <c r="AD363" s="38"/>
      <c r="AE363" s="38"/>
      <c r="AF363" s="38"/>
      <c r="AG363" s="38"/>
      <c r="AH363" s="38"/>
      <c r="AI363" s="38"/>
      <c r="AJ363" s="38"/>
      <c r="AK363" s="38"/>
      <c r="AL363" s="38"/>
      <c r="AM363" s="38"/>
      <c r="AN363" s="38"/>
      <c r="AO363" s="38"/>
      <c r="AP363" s="38"/>
      <c r="AQ363" s="38"/>
      <c r="AR363" s="38"/>
      <c r="AS363" s="38"/>
      <c r="AT363" s="38"/>
      <c r="AU363" s="38"/>
      <c r="AV363" s="38"/>
      <c r="AW363" s="671"/>
      <c r="AX363" s="38"/>
      <c r="AY363" s="38"/>
      <c r="AZ363" s="38"/>
      <c r="BA363" s="475"/>
      <c r="BB363" s="475"/>
      <c r="BC363" s="475"/>
      <c r="BD363" s="475"/>
      <c r="BE363" s="475"/>
      <c r="BF363" s="475"/>
      <c r="BG363" s="475"/>
    </row>
    <row r="364" spans="1:59" outlineLevel="1">
      <c r="A364" s="38"/>
      <c r="B364" s="38"/>
      <c r="C364" s="38"/>
      <c r="D364" s="38"/>
      <c r="E364" s="38"/>
      <c r="F364" s="38"/>
      <c r="G364" s="52"/>
      <c r="H364" s="38"/>
      <c r="I364" s="38"/>
      <c r="J364" s="52"/>
      <c r="K364" s="52"/>
      <c r="L364" s="38"/>
      <c r="M364" s="38"/>
      <c r="N364" s="38"/>
      <c r="O364" s="38"/>
      <c r="P364" s="38"/>
      <c r="Q364" s="38"/>
      <c r="R364" s="38"/>
      <c r="S364" s="38"/>
      <c r="T364" s="38"/>
      <c r="U364" s="38"/>
      <c r="V364" s="38"/>
      <c r="W364" s="38"/>
      <c r="X364" s="38"/>
      <c r="Y364" s="38"/>
      <c r="Z364" s="38"/>
      <c r="AA364" s="38"/>
      <c r="AB364" s="38"/>
      <c r="AC364" s="38"/>
      <c r="AD364" s="38"/>
      <c r="AE364" s="38"/>
      <c r="AF364" s="38"/>
      <c r="AG364" s="38"/>
      <c r="AH364" s="38"/>
      <c r="AI364" s="38"/>
      <c r="AJ364" s="38"/>
      <c r="AK364" s="38"/>
      <c r="AL364" s="38"/>
      <c r="AM364" s="38"/>
      <c r="AN364" s="38"/>
      <c r="AO364" s="38"/>
      <c r="AP364" s="38"/>
      <c r="AQ364" s="38"/>
      <c r="AR364" s="38"/>
      <c r="AS364" s="38"/>
      <c r="AT364" s="38"/>
      <c r="AU364" s="38"/>
      <c r="AV364" s="38"/>
      <c r="AW364" s="671"/>
      <c r="AX364" s="38"/>
      <c r="AY364" s="38"/>
      <c r="AZ364" s="38"/>
      <c r="BA364" s="475"/>
      <c r="BB364" s="475"/>
      <c r="BC364" s="475"/>
      <c r="BD364" s="475"/>
      <c r="BE364" s="475"/>
      <c r="BF364" s="475"/>
      <c r="BG364" s="475"/>
    </row>
    <row r="365" spans="1:59" outlineLevel="1">
      <c r="A365" s="38"/>
      <c r="B365" s="38"/>
      <c r="C365" s="38"/>
      <c r="D365" s="38"/>
      <c r="E365" s="38"/>
      <c r="F365" s="38"/>
      <c r="G365" s="52"/>
      <c r="H365" s="38"/>
      <c r="I365" s="38"/>
      <c r="J365" s="52"/>
      <c r="K365" s="52"/>
      <c r="L365" s="38"/>
      <c r="M365" s="38"/>
      <c r="N365" s="38"/>
      <c r="O365" s="38"/>
      <c r="P365" s="38"/>
      <c r="Q365" s="38"/>
      <c r="R365" s="38"/>
      <c r="S365" s="38"/>
      <c r="T365" s="38"/>
      <c r="U365" s="38"/>
      <c r="V365" s="38"/>
      <c r="W365" s="38"/>
      <c r="X365" s="38"/>
      <c r="Y365" s="38"/>
      <c r="Z365" s="38"/>
      <c r="AA365" s="38"/>
      <c r="AB365" s="38"/>
      <c r="AC365" s="38"/>
      <c r="AD365" s="38"/>
      <c r="AE365" s="38"/>
      <c r="AF365" s="38"/>
      <c r="AG365" s="38"/>
      <c r="AH365" s="38"/>
      <c r="AI365" s="38"/>
      <c r="AJ365" s="38"/>
      <c r="AK365" s="38"/>
      <c r="AL365" s="38"/>
      <c r="AM365" s="38"/>
      <c r="AN365" s="38"/>
      <c r="AO365" s="38"/>
      <c r="AP365" s="38"/>
      <c r="AQ365" s="38"/>
      <c r="AR365" s="38"/>
      <c r="AS365" s="38"/>
      <c r="AT365" s="38"/>
      <c r="AU365" s="38"/>
      <c r="AV365" s="38"/>
      <c r="AW365" s="671"/>
      <c r="AX365" s="38"/>
      <c r="AY365" s="38"/>
      <c r="AZ365" s="38"/>
      <c r="BA365" s="475"/>
      <c r="BB365" s="475"/>
      <c r="BC365" s="475"/>
      <c r="BD365" s="475"/>
      <c r="BE365" s="475"/>
      <c r="BF365" s="475"/>
      <c r="BG365" s="475"/>
    </row>
    <row r="366" spans="1:59" outlineLevel="1">
      <c r="A366" s="38"/>
      <c r="B366" s="38"/>
      <c r="C366" s="38"/>
      <c r="D366" s="38"/>
      <c r="E366" s="38"/>
      <c r="F366" s="38"/>
      <c r="G366" s="52"/>
      <c r="H366" s="38"/>
      <c r="I366" s="38"/>
      <c r="J366" s="52"/>
      <c r="K366" s="52"/>
      <c r="L366" s="38"/>
      <c r="M366" s="38"/>
      <c r="N366" s="38"/>
      <c r="O366" s="38"/>
      <c r="P366" s="38"/>
      <c r="Q366" s="38"/>
      <c r="R366" s="38"/>
      <c r="S366" s="38"/>
      <c r="T366" s="38"/>
      <c r="U366" s="38"/>
      <c r="V366" s="38"/>
      <c r="W366" s="38"/>
      <c r="X366" s="38"/>
      <c r="Y366" s="38"/>
      <c r="Z366" s="38"/>
      <c r="AA366" s="38"/>
      <c r="AB366" s="38"/>
      <c r="AC366" s="38"/>
      <c r="AD366" s="38"/>
      <c r="AE366" s="38"/>
      <c r="AF366" s="38"/>
      <c r="AG366" s="38"/>
      <c r="AH366" s="38"/>
      <c r="AI366" s="38"/>
      <c r="AJ366" s="38"/>
      <c r="AK366" s="38"/>
      <c r="AL366" s="38"/>
      <c r="AM366" s="38"/>
      <c r="AN366" s="38"/>
      <c r="AO366" s="38"/>
      <c r="AP366" s="38"/>
      <c r="AQ366" s="38"/>
      <c r="AR366" s="38"/>
      <c r="AS366" s="38"/>
      <c r="AT366" s="38"/>
      <c r="AU366" s="38"/>
      <c r="AV366" s="38"/>
      <c r="AW366" s="671"/>
      <c r="AX366" s="38"/>
      <c r="AY366" s="38"/>
      <c r="AZ366" s="38"/>
      <c r="BA366" s="475"/>
      <c r="BB366" s="475"/>
      <c r="BC366" s="475"/>
      <c r="BD366" s="475"/>
      <c r="BE366" s="475"/>
      <c r="BF366" s="475"/>
      <c r="BG366" s="475"/>
    </row>
    <row r="367" spans="1:59" outlineLevel="1">
      <c r="A367" s="38"/>
      <c r="B367" s="38"/>
      <c r="C367" s="38"/>
      <c r="D367" s="38"/>
      <c r="E367" s="38"/>
      <c r="F367" s="38"/>
      <c r="G367" s="52"/>
      <c r="H367" s="38"/>
      <c r="I367" s="38"/>
      <c r="J367" s="52"/>
      <c r="K367" s="52"/>
      <c r="L367" s="38"/>
      <c r="M367" s="38"/>
      <c r="N367" s="38"/>
      <c r="O367" s="38"/>
      <c r="P367" s="38"/>
      <c r="Q367" s="38"/>
      <c r="R367" s="38"/>
      <c r="S367" s="38"/>
      <c r="T367" s="38"/>
      <c r="U367" s="38"/>
      <c r="V367" s="38"/>
      <c r="W367" s="38"/>
      <c r="X367" s="38"/>
      <c r="Y367" s="38"/>
      <c r="Z367" s="38"/>
      <c r="AA367" s="38"/>
      <c r="AB367" s="38"/>
      <c r="AC367" s="38"/>
      <c r="AD367" s="38"/>
      <c r="AE367" s="38"/>
      <c r="AF367" s="38"/>
      <c r="AG367" s="38"/>
      <c r="AH367" s="38"/>
      <c r="AI367" s="38"/>
      <c r="AJ367" s="38"/>
      <c r="AK367" s="38"/>
      <c r="AL367" s="38"/>
      <c r="AM367" s="38"/>
      <c r="AN367" s="38"/>
      <c r="AO367" s="38"/>
      <c r="AP367" s="38"/>
      <c r="AQ367" s="38"/>
      <c r="AR367" s="38"/>
      <c r="AS367" s="38"/>
      <c r="AT367" s="38"/>
      <c r="AU367" s="38"/>
      <c r="AV367" s="38"/>
      <c r="AW367" s="671"/>
      <c r="AX367" s="38"/>
      <c r="AY367" s="38"/>
      <c r="AZ367" s="38"/>
      <c r="BA367" s="475"/>
      <c r="BB367" s="475"/>
      <c r="BC367" s="475"/>
      <c r="BD367" s="475"/>
      <c r="BE367" s="475"/>
      <c r="BF367" s="475"/>
      <c r="BG367" s="475"/>
    </row>
    <row r="368" spans="1:59" outlineLevel="1">
      <c r="A368" s="38"/>
      <c r="B368" s="38"/>
      <c r="C368" s="38"/>
      <c r="D368" s="38"/>
      <c r="E368" s="38"/>
      <c r="F368" s="38"/>
      <c r="G368" s="52"/>
      <c r="H368" s="38"/>
      <c r="I368" s="38"/>
      <c r="J368" s="52"/>
      <c r="K368" s="52"/>
      <c r="L368" s="38"/>
      <c r="M368" s="38"/>
      <c r="N368" s="38"/>
      <c r="O368" s="38"/>
      <c r="P368" s="38"/>
      <c r="Q368" s="38"/>
      <c r="R368" s="38"/>
      <c r="S368" s="38"/>
      <c r="T368" s="38"/>
      <c r="U368" s="38"/>
      <c r="V368" s="38"/>
      <c r="W368" s="38"/>
      <c r="X368" s="38"/>
      <c r="Y368" s="38"/>
      <c r="Z368" s="38"/>
      <c r="AA368" s="38"/>
      <c r="AB368" s="38"/>
      <c r="AC368" s="38"/>
      <c r="AD368" s="38"/>
      <c r="AE368" s="38"/>
      <c r="AF368" s="38"/>
      <c r="AG368" s="38"/>
      <c r="AH368" s="38"/>
      <c r="AI368" s="38"/>
      <c r="AJ368" s="38"/>
      <c r="AK368" s="38"/>
      <c r="AL368" s="38"/>
      <c r="AM368" s="38"/>
      <c r="AN368" s="38"/>
      <c r="AO368" s="38"/>
      <c r="AP368" s="38"/>
      <c r="AQ368" s="38"/>
      <c r="AR368" s="38"/>
      <c r="AS368" s="38"/>
      <c r="AT368" s="38"/>
      <c r="AU368" s="38"/>
      <c r="AV368" s="38"/>
      <c r="AW368" s="671"/>
      <c r="AX368" s="38"/>
      <c r="AY368" s="38"/>
      <c r="AZ368" s="38"/>
      <c r="BA368" s="475"/>
      <c r="BB368" s="475"/>
      <c r="BC368" s="475"/>
      <c r="BD368" s="475"/>
      <c r="BE368" s="475"/>
      <c r="BF368" s="475"/>
      <c r="BG368" s="475"/>
    </row>
    <row r="369" spans="1:59" outlineLevel="1">
      <c r="A369" s="38"/>
      <c r="B369" s="38"/>
      <c r="C369" s="38"/>
      <c r="D369" s="38"/>
      <c r="E369" s="38"/>
      <c r="F369" s="38"/>
      <c r="G369" s="52"/>
      <c r="H369" s="38"/>
      <c r="I369" s="38"/>
      <c r="J369" s="52"/>
      <c r="K369" s="52"/>
      <c r="L369" s="38"/>
      <c r="M369" s="38"/>
      <c r="N369" s="38"/>
      <c r="O369" s="38"/>
      <c r="P369" s="38"/>
      <c r="Q369" s="38"/>
      <c r="R369" s="38"/>
      <c r="S369" s="38"/>
      <c r="T369" s="38"/>
      <c r="U369" s="38"/>
      <c r="V369" s="38"/>
      <c r="W369" s="38"/>
      <c r="X369" s="38"/>
      <c r="Y369" s="38"/>
      <c r="Z369" s="38"/>
      <c r="AA369" s="38"/>
      <c r="AB369" s="38"/>
      <c r="AC369" s="38"/>
      <c r="AD369" s="38"/>
      <c r="AE369" s="38"/>
      <c r="AF369" s="38"/>
      <c r="AG369" s="38"/>
      <c r="AH369" s="38"/>
      <c r="AI369" s="38"/>
      <c r="AJ369" s="38"/>
      <c r="AK369" s="38"/>
      <c r="AL369" s="38"/>
      <c r="AM369" s="38"/>
      <c r="AN369" s="38"/>
      <c r="AO369" s="38"/>
      <c r="AP369" s="38"/>
      <c r="AQ369" s="38"/>
      <c r="AR369" s="38"/>
      <c r="AS369" s="38"/>
      <c r="AT369" s="38"/>
      <c r="AU369" s="38"/>
      <c r="AV369" s="38"/>
      <c r="AW369" s="671"/>
      <c r="AX369" s="38"/>
      <c r="AY369" s="38"/>
      <c r="AZ369" s="38"/>
      <c r="BA369" s="475"/>
      <c r="BB369" s="475"/>
      <c r="BC369" s="475"/>
      <c r="BD369" s="475"/>
      <c r="BE369" s="475"/>
      <c r="BF369" s="475"/>
      <c r="BG369" s="475"/>
    </row>
    <row r="370" spans="1:59" outlineLevel="1">
      <c r="A370" s="38"/>
      <c r="B370" s="38"/>
      <c r="C370" s="38"/>
      <c r="D370" s="38"/>
      <c r="E370" s="38"/>
      <c r="F370" s="38"/>
      <c r="G370" s="52"/>
      <c r="H370" s="38"/>
      <c r="I370" s="38"/>
      <c r="J370" s="52"/>
      <c r="K370" s="52"/>
      <c r="L370" s="38"/>
      <c r="M370" s="38"/>
      <c r="N370" s="38"/>
      <c r="O370" s="38"/>
      <c r="P370" s="38"/>
      <c r="Q370" s="38"/>
      <c r="R370" s="38"/>
      <c r="S370" s="38"/>
      <c r="T370" s="38"/>
      <c r="U370" s="38"/>
      <c r="V370" s="38"/>
      <c r="W370" s="38"/>
      <c r="X370" s="38"/>
      <c r="Y370" s="38"/>
      <c r="Z370" s="38"/>
      <c r="AA370" s="38"/>
      <c r="AB370" s="38"/>
      <c r="AC370" s="38"/>
      <c r="AD370" s="38"/>
      <c r="AE370" s="38"/>
      <c r="AF370" s="38"/>
      <c r="AG370" s="38"/>
      <c r="AH370" s="38"/>
      <c r="AI370" s="38"/>
      <c r="AJ370" s="38"/>
      <c r="AK370" s="38"/>
      <c r="AL370" s="38"/>
      <c r="AM370" s="38"/>
      <c r="AN370" s="38"/>
      <c r="AO370" s="38"/>
      <c r="AP370" s="38"/>
      <c r="AQ370" s="38"/>
      <c r="AR370" s="38"/>
      <c r="AS370" s="38"/>
      <c r="AT370" s="38"/>
      <c r="AU370" s="38"/>
      <c r="AV370" s="38"/>
      <c r="AW370" s="671"/>
      <c r="AX370" s="38"/>
      <c r="AY370" s="38"/>
      <c r="AZ370" s="38"/>
      <c r="BA370" s="475"/>
      <c r="BB370" s="475"/>
      <c r="BC370" s="475"/>
      <c r="BD370" s="475"/>
      <c r="BE370" s="475"/>
      <c r="BF370" s="475"/>
      <c r="BG370" s="475"/>
    </row>
    <row r="371" spans="1:59" outlineLevel="1">
      <c r="A371" s="38"/>
      <c r="B371" s="38"/>
      <c r="C371" s="38"/>
      <c r="D371" s="38"/>
      <c r="E371" s="38"/>
      <c r="F371" s="38"/>
      <c r="G371" s="52"/>
      <c r="H371" s="38"/>
      <c r="I371" s="38"/>
      <c r="J371" s="52"/>
      <c r="K371" s="52"/>
      <c r="L371" s="38"/>
      <c r="M371" s="38"/>
      <c r="N371" s="38"/>
      <c r="O371" s="38"/>
      <c r="P371" s="38"/>
      <c r="Q371" s="38"/>
      <c r="R371" s="38"/>
      <c r="S371" s="38"/>
      <c r="T371" s="38"/>
      <c r="U371" s="38"/>
      <c r="V371" s="38"/>
      <c r="W371" s="38"/>
      <c r="X371" s="38"/>
      <c r="Y371" s="38"/>
      <c r="Z371" s="38"/>
      <c r="AA371" s="38"/>
      <c r="AB371" s="38"/>
      <c r="AC371" s="38"/>
      <c r="AD371" s="38"/>
      <c r="AE371" s="38"/>
      <c r="AF371" s="38"/>
      <c r="AG371" s="38"/>
      <c r="AH371" s="38"/>
      <c r="AI371" s="38"/>
      <c r="AJ371" s="38"/>
      <c r="AK371" s="38"/>
      <c r="AL371" s="38"/>
      <c r="AM371" s="38"/>
      <c r="AN371" s="38"/>
      <c r="AO371" s="38"/>
      <c r="AP371" s="38"/>
      <c r="AQ371" s="38"/>
      <c r="AR371" s="38"/>
      <c r="AS371" s="38"/>
      <c r="AT371" s="38"/>
      <c r="AU371" s="38"/>
      <c r="AV371" s="38"/>
      <c r="AW371" s="671"/>
      <c r="AX371" s="38"/>
      <c r="AY371" s="38"/>
      <c r="AZ371" s="38"/>
      <c r="BA371" s="475"/>
      <c r="BB371" s="475"/>
      <c r="BC371" s="475"/>
      <c r="BD371" s="475"/>
      <c r="BE371" s="475"/>
      <c r="BF371" s="475"/>
      <c r="BG371" s="475"/>
    </row>
    <row r="372" spans="1:59" outlineLevel="1">
      <c r="A372" s="38"/>
      <c r="B372" s="38"/>
      <c r="C372" s="38"/>
      <c r="D372" s="38"/>
      <c r="E372" s="38"/>
      <c r="F372" s="38"/>
      <c r="G372" s="52"/>
      <c r="H372" s="38"/>
      <c r="I372" s="38"/>
      <c r="J372" s="52"/>
      <c r="K372" s="52"/>
      <c r="L372" s="38"/>
      <c r="M372" s="38"/>
      <c r="N372" s="38"/>
      <c r="O372" s="38"/>
      <c r="P372" s="38"/>
      <c r="Q372" s="38"/>
      <c r="R372" s="38"/>
      <c r="S372" s="38"/>
      <c r="T372" s="38"/>
      <c r="U372" s="38"/>
      <c r="V372" s="38"/>
      <c r="W372" s="38"/>
      <c r="X372" s="38"/>
      <c r="Y372" s="38"/>
      <c r="Z372" s="38"/>
      <c r="AA372" s="38"/>
      <c r="AB372" s="38"/>
      <c r="AC372" s="38"/>
      <c r="AD372" s="38"/>
      <c r="AE372" s="38"/>
      <c r="AF372" s="38"/>
      <c r="AG372" s="38"/>
      <c r="AH372" s="38"/>
      <c r="AI372" s="38"/>
      <c r="AJ372" s="38"/>
      <c r="AK372" s="38"/>
      <c r="AL372" s="38"/>
      <c r="AM372" s="38"/>
      <c r="AN372" s="38"/>
      <c r="AO372" s="38"/>
      <c r="AP372" s="38"/>
      <c r="AQ372" s="38"/>
      <c r="AR372" s="38"/>
      <c r="AS372" s="38"/>
      <c r="AT372" s="38"/>
      <c r="AU372" s="38"/>
      <c r="AV372" s="38"/>
      <c r="AW372" s="671"/>
      <c r="AX372" s="38"/>
      <c r="AY372" s="38"/>
      <c r="AZ372" s="38"/>
      <c r="BA372" s="475"/>
      <c r="BB372" s="475"/>
      <c r="BC372" s="475"/>
      <c r="BD372" s="475"/>
      <c r="BE372" s="475"/>
      <c r="BF372" s="475"/>
      <c r="BG372" s="475"/>
    </row>
    <row r="373" spans="1:59" outlineLevel="1">
      <c r="A373" s="38"/>
      <c r="B373" s="38"/>
      <c r="C373" s="38"/>
      <c r="D373" s="38"/>
      <c r="E373" s="38"/>
      <c r="F373" s="38"/>
      <c r="G373" s="52"/>
      <c r="H373" s="38"/>
      <c r="I373" s="38"/>
      <c r="J373" s="52"/>
      <c r="K373" s="52"/>
      <c r="L373" s="38"/>
      <c r="M373" s="38"/>
      <c r="N373" s="38"/>
      <c r="O373" s="38"/>
      <c r="P373" s="38"/>
      <c r="Q373" s="38"/>
      <c r="R373" s="38"/>
      <c r="S373" s="38"/>
      <c r="T373" s="38"/>
      <c r="U373" s="38"/>
      <c r="V373" s="38"/>
      <c r="W373" s="38"/>
      <c r="X373" s="38"/>
      <c r="Y373" s="38"/>
      <c r="Z373" s="38"/>
      <c r="AA373" s="38"/>
      <c r="AB373" s="38"/>
      <c r="AC373" s="38"/>
      <c r="AD373" s="38"/>
      <c r="AE373" s="38"/>
      <c r="AF373" s="38"/>
      <c r="AG373" s="38"/>
      <c r="AH373" s="38"/>
      <c r="AI373" s="38"/>
      <c r="AJ373" s="38"/>
      <c r="AK373" s="38"/>
      <c r="AL373" s="38"/>
      <c r="AM373" s="38"/>
      <c r="AN373" s="38"/>
      <c r="AO373" s="38"/>
      <c r="AP373" s="38"/>
      <c r="AQ373" s="38"/>
      <c r="AR373" s="38"/>
      <c r="AS373" s="38"/>
      <c r="AT373" s="38"/>
      <c r="AU373" s="38"/>
      <c r="AV373" s="38"/>
      <c r="AW373" s="671"/>
      <c r="AX373" s="38"/>
      <c r="AY373" s="38"/>
      <c r="AZ373" s="38"/>
      <c r="BA373" s="475"/>
      <c r="BB373" s="475"/>
      <c r="BC373" s="475"/>
      <c r="BD373" s="475"/>
      <c r="BE373" s="475"/>
      <c r="BF373" s="475"/>
      <c r="BG373" s="475"/>
    </row>
    <row r="374" spans="1:59" outlineLevel="1">
      <c r="A374" s="38"/>
      <c r="B374" s="38"/>
      <c r="C374" s="38"/>
      <c r="D374" s="38"/>
      <c r="E374" s="38"/>
      <c r="F374" s="38"/>
      <c r="G374" s="52"/>
      <c r="H374" s="38"/>
      <c r="I374" s="38"/>
      <c r="J374" s="52"/>
      <c r="K374" s="52"/>
      <c r="L374" s="38"/>
      <c r="M374" s="38"/>
      <c r="N374" s="38"/>
      <c r="O374" s="38"/>
      <c r="P374" s="38"/>
      <c r="Q374" s="38"/>
      <c r="R374" s="38"/>
      <c r="S374" s="38"/>
      <c r="T374" s="38"/>
      <c r="U374" s="38"/>
      <c r="V374" s="38"/>
      <c r="W374" s="38"/>
      <c r="X374" s="38"/>
      <c r="Y374" s="38"/>
      <c r="Z374" s="38"/>
      <c r="AA374" s="38"/>
      <c r="AB374" s="38"/>
      <c r="AC374" s="38"/>
      <c r="AD374" s="38"/>
      <c r="AE374" s="38"/>
      <c r="AF374" s="38"/>
      <c r="AG374" s="38"/>
      <c r="AH374" s="38"/>
      <c r="AI374" s="38"/>
      <c r="AJ374" s="38"/>
      <c r="AK374" s="38"/>
      <c r="AL374" s="38"/>
      <c r="AM374" s="38"/>
      <c r="AN374" s="38"/>
      <c r="AO374" s="38"/>
      <c r="AP374" s="38"/>
      <c r="AQ374" s="38"/>
      <c r="AR374" s="38"/>
      <c r="AS374" s="38"/>
      <c r="AT374" s="38"/>
      <c r="AU374" s="38"/>
      <c r="AV374" s="38"/>
      <c r="AW374" s="671"/>
      <c r="AX374" s="38"/>
      <c r="AY374" s="38"/>
      <c r="AZ374" s="38"/>
      <c r="BA374" s="475"/>
      <c r="BB374" s="475"/>
      <c r="BC374" s="475"/>
      <c r="BD374" s="475"/>
      <c r="BE374" s="475"/>
      <c r="BF374" s="475"/>
      <c r="BG374" s="475"/>
    </row>
    <row r="375" spans="1:59" outlineLevel="1">
      <c r="A375" s="38"/>
      <c r="B375" s="38"/>
      <c r="C375" s="38"/>
      <c r="D375" s="38"/>
      <c r="E375" s="38"/>
      <c r="F375" s="38"/>
      <c r="G375" s="52"/>
      <c r="H375" s="38"/>
      <c r="I375" s="38"/>
      <c r="J375" s="52"/>
      <c r="K375" s="52"/>
      <c r="L375" s="38"/>
      <c r="M375" s="38"/>
      <c r="N375" s="38"/>
      <c r="O375" s="38"/>
      <c r="P375" s="38"/>
      <c r="Q375" s="38"/>
      <c r="R375" s="38"/>
      <c r="S375" s="38"/>
      <c r="T375" s="38"/>
      <c r="U375" s="38"/>
      <c r="V375" s="38"/>
      <c r="W375" s="38"/>
      <c r="X375" s="38"/>
      <c r="Y375" s="38"/>
      <c r="Z375" s="38"/>
      <c r="AA375" s="38"/>
      <c r="AB375" s="38"/>
      <c r="AC375" s="38"/>
      <c r="AD375" s="38"/>
      <c r="AE375" s="38"/>
      <c r="AF375" s="38"/>
      <c r="AG375" s="38"/>
      <c r="AH375" s="38"/>
      <c r="AI375" s="38"/>
      <c r="AJ375" s="38"/>
      <c r="AK375" s="38"/>
      <c r="AL375" s="38"/>
      <c r="AM375" s="38"/>
      <c r="AN375" s="38"/>
      <c r="AO375" s="38"/>
      <c r="AP375" s="38"/>
      <c r="AQ375" s="38"/>
      <c r="AR375" s="38"/>
      <c r="AS375" s="38"/>
      <c r="AT375" s="38"/>
      <c r="AU375" s="38"/>
      <c r="AV375" s="38"/>
      <c r="AW375" s="671"/>
      <c r="AX375" s="38"/>
      <c r="AY375" s="38"/>
      <c r="AZ375" s="38"/>
      <c r="BA375" s="475"/>
      <c r="BB375" s="475"/>
      <c r="BC375" s="475"/>
      <c r="BD375" s="475"/>
      <c r="BE375" s="475"/>
      <c r="BF375" s="475"/>
      <c r="BG375" s="475"/>
    </row>
    <row r="376" spans="1:59" outlineLevel="1">
      <c r="A376" s="38"/>
      <c r="B376" s="38"/>
      <c r="C376" s="38"/>
      <c r="D376" s="38"/>
      <c r="E376" s="38"/>
      <c r="F376" s="38"/>
      <c r="G376" s="52"/>
      <c r="H376" s="38"/>
      <c r="I376" s="38"/>
      <c r="J376" s="52"/>
      <c r="K376" s="52"/>
      <c r="L376" s="38"/>
      <c r="M376" s="38"/>
      <c r="N376" s="38"/>
      <c r="O376" s="38"/>
      <c r="P376" s="38"/>
      <c r="Q376" s="38"/>
      <c r="R376" s="38"/>
      <c r="S376" s="38"/>
      <c r="T376" s="38"/>
      <c r="U376" s="38"/>
      <c r="V376" s="38"/>
      <c r="W376" s="38"/>
      <c r="X376" s="38"/>
      <c r="Y376" s="38"/>
      <c r="Z376" s="38"/>
      <c r="AA376" s="38"/>
      <c r="AB376" s="38"/>
      <c r="AC376" s="38"/>
      <c r="AD376" s="38"/>
      <c r="AE376" s="38"/>
      <c r="AF376" s="38"/>
      <c r="AG376" s="38"/>
      <c r="AH376" s="38"/>
      <c r="AI376" s="38"/>
      <c r="AJ376" s="38"/>
      <c r="AK376" s="38"/>
      <c r="AL376" s="38"/>
      <c r="AM376" s="38"/>
      <c r="AN376" s="38"/>
      <c r="AO376" s="38"/>
      <c r="AP376" s="38"/>
      <c r="AQ376" s="38"/>
      <c r="AR376" s="38"/>
      <c r="AS376" s="38"/>
      <c r="AT376" s="38"/>
      <c r="AU376" s="38"/>
      <c r="AV376" s="38"/>
      <c r="AW376" s="671"/>
      <c r="AX376" s="38"/>
      <c r="AY376" s="38"/>
      <c r="AZ376" s="38"/>
      <c r="BA376" s="475"/>
      <c r="BB376" s="475"/>
      <c r="BC376" s="475"/>
      <c r="BD376" s="475"/>
      <c r="BE376" s="475"/>
      <c r="BF376" s="475"/>
      <c r="BG376" s="475"/>
    </row>
    <row r="377" spans="1:59" outlineLevel="1">
      <c r="A377" s="38"/>
      <c r="B377" s="38"/>
      <c r="C377" s="38"/>
      <c r="D377" s="38"/>
      <c r="E377" s="38"/>
      <c r="F377" s="38"/>
      <c r="G377" s="52"/>
      <c r="H377" s="38"/>
      <c r="I377" s="38"/>
      <c r="J377" s="52"/>
      <c r="K377" s="52"/>
      <c r="L377" s="38"/>
      <c r="M377" s="38"/>
      <c r="N377" s="38"/>
      <c r="O377" s="38"/>
      <c r="P377" s="38"/>
      <c r="Q377" s="38"/>
      <c r="R377" s="38"/>
      <c r="S377" s="38"/>
      <c r="T377" s="38"/>
      <c r="U377" s="38"/>
      <c r="V377" s="38"/>
      <c r="W377" s="38"/>
      <c r="X377" s="38"/>
      <c r="Y377" s="38"/>
      <c r="Z377" s="38"/>
      <c r="AA377" s="38"/>
      <c r="AB377" s="38"/>
      <c r="AC377" s="38"/>
      <c r="AD377" s="38"/>
      <c r="AE377" s="38"/>
      <c r="AF377" s="38"/>
      <c r="AG377" s="38"/>
      <c r="AH377" s="38"/>
      <c r="AI377" s="38"/>
      <c r="AJ377" s="38"/>
      <c r="AK377" s="38"/>
      <c r="AL377" s="38"/>
      <c r="AM377" s="38"/>
      <c r="AN377" s="38"/>
      <c r="AO377" s="38"/>
      <c r="AP377" s="38"/>
      <c r="AQ377" s="38"/>
      <c r="AR377" s="38"/>
      <c r="AS377" s="38"/>
      <c r="AT377" s="38"/>
      <c r="AU377" s="38"/>
      <c r="AV377" s="38"/>
      <c r="AW377" s="671"/>
      <c r="AX377" s="38"/>
      <c r="AY377" s="38"/>
      <c r="AZ377" s="38"/>
      <c r="BA377" s="475"/>
      <c r="BB377" s="475"/>
      <c r="BC377" s="475"/>
      <c r="BD377" s="475"/>
      <c r="BE377" s="475"/>
      <c r="BF377" s="475"/>
      <c r="BG377" s="475"/>
    </row>
    <row r="378" spans="1:59" outlineLevel="1">
      <c r="A378" s="38"/>
      <c r="B378" s="38"/>
      <c r="C378" s="38"/>
      <c r="D378" s="38"/>
      <c r="E378" s="38"/>
      <c r="F378" s="38"/>
      <c r="G378" s="52"/>
      <c r="H378" s="38"/>
      <c r="I378" s="38"/>
      <c r="J378" s="52"/>
      <c r="K378" s="52"/>
      <c r="L378" s="38"/>
      <c r="M378" s="38"/>
      <c r="N378" s="38"/>
      <c r="O378" s="38"/>
      <c r="P378" s="38"/>
      <c r="Q378" s="38"/>
      <c r="R378" s="38"/>
      <c r="S378" s="38"/>
      <c r="T378" s="38"/>
      <c r="U378" s="38"/>
      <c r="V378" s="38"/>
      <c r="W378" s="38"/>
      <c r="X378" s="38"/>
      <c r="Y378" s="38"/>
      <c r="Z378" s="38"/>
      <c r="AA378" s="38"/>
      <c r="AB378" s="38"/>
      <c r="AC378" s="38"/>
      <c r="AD378" s="38"/>
      <c r="AE378" s="38"/>
      <c r="AF378" s="38"/>
      <c r="AG378" s="38"/>
      <c r="AH378" s="38"/>
      <c r="AI378" s="38"/>
      <c r="AJ378" s="38"/>
      <c r="AK378" s="38"/>
      <c r="AL378" s="38"/>
      <c r="AM378" s="38"/>
      <c r="AN378" s="38"/>
      <c r="AO378" s="38"/>
      <c r="AP378" s="38"/>
      <c r="AQ378" s="38"/>
      <c r="AR378" s="38"/>
      <c r="AS378" s="38"/>
      <c r="AT378" s="38"/>
      <c r="AU378" s="38"/>
      <c r="AV378" s="38"/>
      <c r="AW378" s="671"/>
      <c r="AX378" s="38"/>
      <c r="AY378" s="38"/>
      <c r="AZ378" s="38"/>
      <c r="BA378" s="475"/>
      <c r="BB378" s="475"/>
      <c r="BC378" s="475"/>
      <c r="BD378" s="475"/>
      <c r="BE378" s="475"/>
      <c r="BF378" s="475"/>
      <c r="BG378" s="475"/>
    </row>
    <row r="379" spans="1:59" outlineLevel="1">
      <c r="A379" s="38"/>
      <c r="B379" s="38"/>
      <c r="C379" s="38"/>
      <c r="D379" s="38"/>
      <c r="E379" s="38"/>
      <c r="F379" s="38"/>
      <c r="G379" s="52"/>
      <c r="H379" s="38"/>
      <c r="I379" s="38"/>
      <c r="J379" s="52"/>
      <c r="K379" s="52"/>
      <c r="L379" s="38"/>
      <c r="M379" s="38"/>
      <c r="N379" s="38"/>
      <c r="O379" s="38"/>
      <c r="P379" s="38"/>
      <c r="Q379" s="38"/>
      <c r="R379" s="38"/>
      <c r="S379" s="38"/>
      <c r="T379" s="38"/>
      <c r="U379" s="38"/>
      <c r="V379" s="38"/>
      <c r="W379" s="38"/>
      <c r="X379" s="38"/>
      <c r="Y379" s="38"/>
      <c r="Z379" s="38"/>
      <c r="AA379" s="38"/>
      <c r="AB379" s="38"/>
      <c r="AC379" s="38"/>
      <c r="AD379" s="38"/>
      <c r="AE379" s="38"/>
      <c r="AF379" s="38"/>
      <c r="AG379" s="38"/>
      <c r="AH379" s="38"/>
      <c r="AI379" s="38"/>
      <c r="AJ379" s="38"/>
      <c r="AK379" s="38"/>
      <c r="AL379" s="38"/>
      <c r="AM379" s="38"/>
      <c r="AN379" s="38"/>
      <c r="AO379" s="38"/>
      <c r="AP379" s="38"/>
      <c r="AQ379" s="38"/>
      <c r="AR379" s="38"/>
      <c r="AS379" s="38"/>
      <c r="AT379" s="38"/>
      <c r="AU379" s="38"/>
      <c r="AV379" s="38"/>
      <c r="AW379" s="671"/>
      <c r="AX379" s="38"/>
      <c r="AY379" s="38"/>
      <c r="AZ379" s="38"/>
      <c r="BA379" s="475"/>
      <c r="BB379" s="475"/>
      <c r="BC379" s="475"/>
      <c r="BD379" s="475"/>
      <c r="BE379" s="475"/>
      <c r="BF379" s="475"/>
      <c r="BG379" s="475"/>
    </row>
    <row r="380" spans="1:59" outlineLevel="1">
      <c r="A380" s="38"/>
      <c r="B380" s="38"/>
      <c r="C380" s="38"/>
      <c r="D380" s="38"/>
      <c r="E380" s="38"/>
      <c r="F380" s="38"/>
      <c r="G380" s="52"/>
      <c r="H380" s="38"/>
      <c r="I380" s="38"/>
      <c r="J380" s="52"/>
      <c r="K380" s="52"/>
      <c r="L380" s="38"/>
      <c r="M380" s="38"/>
      <c r="N380" s="38"/>
      <c r="O380" s="38"/>
      <c r="P380" s="38"/>
      <c r="Q380" s="38"/>
      <c r="R380" s="38"/>
      <c r="S380" s="38"/>
      <c r="T380" s="38"/>
      <c r="U380" s="38"/>
      <c r="V380" s="38"/>
      <c r="W380" s="38"/>
      <c r="X380" s="38"/>
      <c r="Y380" s="38"/>
      <c r="Z380" s="38"/>
      <c r="AA380" s="38"/>
      <c r="AB380" s="38"/>
      <c r="AC380" s="38"/>
      <c r="AD380" s="38"/>
      <c r="AE380" s="38"/>
      <c r="AF380" s="38"/>
      <c r="AG380" s="38"/>
      <c r="AH380" s="38"/>
      <c r="AI380" s="38"/>
      <c r="AJ380" s="38"/>
      <c r="AK380" s="38"/>
      <c r="AL380" s="38"/>
      <c r="AM380" s="38"/>
      <c r="AN380" s="38"/>
      <c r="AO380" s="38"/>
      <c r="AP380" s="38"/>
      <c r="AQ380" s="38"/>
      <c r="AR380" s="38"/>
      <c r="AS380" s="38"/>
      <c r="AT380" s="38"/>
      <c r="AU380" s="38"/>
      <c r="AV380" s="38"/>
      <c r="AW380" s="671"/>
      <c r="AX380" s="38"/>
      <c r="AY380" s="38"/>
      <c r="AZ380" s="38"/>
      <c r="BA380" s="475"/>
      <c r="BB380" s="475"/>
      <c r="BC380" s="475"/>
      <c r="BD380" s="475"/>
      <c r="BE380" s="475"/>
      <c r="BF380" s="475"/>
      <c r="BG380" s="475"/>
    </row>
    <row r="381" spans="1:59">
      <c r="A381" s="38"/>
      <c r="B381" s="38"/>
      <c r="C381" s="38"/>
      <c r="D381" s="38"/>
      <c r="E381" s="38"/>
      <c r="F381" s="38"/>
      <c r="G381" s="52"/>
      <c r="H381" s="38"/>
      <c r="I381" s="38"/>
      <c r="J381" s="52"/>
      <c r="K381" s="52"/>
      <c r="L381" s="38"/>
      <c r="M381" s="38"/>
      <c r="N381" s="38"/>
      <c r="O381" s="38"/>
      <c r="P381" s="38"/>
      <c r="Q381" s="38"/>
      <c r="R381" s="38"/>
      <c r="S381" s="38"/>
      <c r="T381" s="38"/>
      <c r="U381" s="38"/>
      <c r="V381" s="38"/>
      <c r="W381" s="38"/>
      <c r="X381" s="38"/>
      <c r="Y381" s="38"/>
      <c r="Z381" s="38"/>
      <c r="AA381" s="38"/>
      <c r="AB381" s="38"/>
      <c r="AC381" s="38"/>
      <c r="AD381" s="38"/>
      <c r="AE381" s="38"/>
      <c r="AF381" s="38"/>
      <c r="AG381" s="38"/>
      <c r="AH381" s="38"/>
      <c r="AI381" s="38"/>
      <c r="AJ381" s="38"/>
      <c r="AK381" s="38"/>
      <c r="AL381" s="38"/>
      <c r="AM381" s="38"/>
      <c r="AN381" s="38"/>
      <c r="AO381" s="38"/>
      <c r="AP381" s="38"/>
      <c r="AQ381" s="38"/>
      <c r="AR381" s="38"/>
      <c r="AS381" s="38"/>
      <c r="AT381" s="38"/>
      <c r="AU381" s="38"/>
      <c r="AV381" s="38"/>
      <c r="AW381" s="671"/>
      <c r="AX381" s="38"/>
      <c r="AY381" s="38"/>
      <c r="AZ381" s="38"/>
      <c r="BA381" s="475"/>
      <c r="BB381" s="475"/>
      <c r="BC381" s="475"/>
      <c r="BD381" s="475"/>
      <c r="BE381" s="475"/>
      <c r="BF381" s="475"/>
      <c r="BG381" s="475"/>
    </row>
    <row r="382" spans="1:59">
      <c r="A382" s="38"/>
      <c r="B382" s="38"/>
      <c r="C382" s="38"/>
      <c r="D382" s="38"/>
      <c r="E382" s="38"/>
      <c r="F382" s="38"/>
      <c r="G382" s="52"/>
      <c r="H382" s="38"/>
      <c r="I382" s="38"/>
      <c r="J382" s="52"/>
      <c r="K382" s="52"/>
      <c r="L382" s="38"/>
      <c r="M382" s="38"/>
      <c r="N382" s="38"/>
      <c r="O382" s="38"/>
      <c r="P382" s="38"/>
      <c r="Q382" s="38"/>
      <c r="R382" s="38"/>
      <c r="S382" s="38"/>
      <c r="T382" s="38"/>
      <c r="U382" s="38"/>
      <c r="V382" s="38"/>
      <c r="W382" s="38"/>
      <c r="X382" s="38"/>
      <c r="Y382" s="38"/>
      <c r="Z382" s="38"/>
      <c r="AA382" s="38"/>
      <c r="AB382" s="38"/>
      <c r="AC382" s="38"/>
      <c r="AD382" s="38"/>
      <c r="AE382" s="38"/>
      <c r="AF382" s="38"/>
      <c r="AG382" s="38"/>
      <c r="AH382" s="38"/>
      <c r="AI382" s="38"/>
      <c r="AJ382" s="38"/>
      <c r="AK382" s="38"/>
      <c r="AL382" s="38"/>
      <c r="AM382" s="38"/>
      <c r="AN382" s="38"/>
      <c r="AO382" s="38"/>
      <c r="AP382" s="38"/>
      <c r="AQ382" s="38"/>
      <c r="AR382" s="38"/>
      <c r="AS382" s="38"/>
      <c r="AT382" s="38"/>
      <c r="AU382" s="38"/>
      <c r="AV382" s="38"/>
      <c r="AW382" s="671"/>
      <c r="AX382" s="38"/>
      <c r="AY382" s="38"/>
      <c r="AZ382" s="38"/>
      <c r="BA382" s="475"/>
      <c r="BB382" s="475"/>
      <c r="BC382" s="475"/>
      <c r="BD382" s="475"/>
      <c r="BE382" s="475"/>
      <c r="BF382" s="475"/>
      <c r="BG382" s="475"/>
    </row>
    <row r="383" spans="1:59">
      <c r="A383" s="38"/>
      <c r="B383" s="38"/>
      <c r="C383" s="38"/>
      <c r="D383" s="38"/>
      <c r="E383" s="38"/>
      <c r="F383" s="38"/>
      <c r="G383" s="52"/>
      <c r="H383" s="38"/>
      <c r="I383" s="38"/>
      <c r="J383" s="52"/>
      <c r="K383" s="52"/>
      <c r="L383" s="38"/>
      <c r="M383" s="38"/>
      <c r="N383" s="38"/>
      <c r="O383" s="38"/>
      <c r="P383" s="38"/>
      <c r="Q383" s="38"/>
      <c r="R383" s="38"/>
      <c r="S383" s="38"/>
      <c r="T383" s="38"/>
      <c r="U383" s="38"/>
      <c r="V383" s="38"/>
      <c r="W383" s="38"/>
      <c r="X383" s="38"/>
      <c r="Y383" s="38"/>
      <c r="Z383" s="38"/>
      <c r="AA383" s="38"/>
      <c r="AB383" s="38"/>
      <c r="AC383" s="38"/>
      <c r="AD383" s="38"/>
      <c r="AE383" s="38"/>
      <c r="AF383" s="38"/>
      <c r="AG383" s="38"/>
      <c r="AH383" s="38"/>
      <c r="AI383" s="38"/>
      <c r="AJ383" s="38"/>
      <c r="AK383" s="38"/>
      <c r="AL383" s="38"/>
      <c r="AM383" s="38"/>
      <c r="AN383" s="38"/>
      <c r="AO383" s="38"/>
      <c r="AP383" s="38"/>
      <c r="AQ383" s="38"/>
      <c r="AR383" s="38"/>
      <c r="AS383" s="38"/>
      <c r="AT383" s="38"/>
      <c r="AU383" s="38"/>
      <c r="AV383" s="38"/>
      <c r="AW383" s="671"/>
      <c r="AX383" s="38"/>
      <c r="AY383" s="38"/>
      <c r="AZ383" s="38"/>
      <c r="BA383" s="475"/>
      <c r="BB383" s="475"/>
      <c r="BC383" s="475"/>
      <c r="BD383" s="475"/>
      <c r="BE383" s="475"/>
      <c r="BF383" s="475"/>
      <c r="BG383" s="475"/>
    </row>
    <row r="384" spans="1:59">
      <c r="A384" s="38"/>
      <c r="B384" s="38"/>
      <c r="C384" s="38"/>
      <c r="D384" s="38"/>
      <c r="E384" s="38"/>
      <c r="F384" s="38"/>
      <c r="G384" s="52"/>
      <c r="H384" s="38"/>
      <c r="I384" s="38"/>
      <c r="J384" s="52"/>
      <c r="K384" s="52"/>
      <c r="L384" s="38"/>
      <c r="M384" s="38"/>
      <c r="N384" s="38"/>
      <c r="O384" s="38"/>
      <c r="P384" s="38"/>
      <c r="Q384" s="38"/>
      <c r="R384" s="38"/>
      <c r="S384" s="38"/>
      <c r="T384" s="38"/>
      <c r="U384" s="38"/>
      <c r="V384" s="38"/>
      <c r="W384" s="38"/>
      <c r="X384" s="38"/>
      <c r="Y384" s="38"/>
      <c r="Z384" s="38"/>
      <c r="AA384" s="38"/>
      <c r="AB384" s="38"/>
      <c r="AC384" s="38"/>
      <c r="AD384" s="38"/>
      <c r="AE384" s="38"/>
      <c r="AF384" s="38"/>
      <c r="AG384" s="38"/>
      <c r="AH384" s="38"/>
      <c r="AI384" s="38"/>
      <c r="AJ384" s="38"/>
      <c r="AK384" s="38"/>
      <c r="AL384" s="38"/>
      <c r="AM384" s="38"/>
      <c r="AN384" s="38"/>
      <c r="AO384" s="38"/>
      <c r="AP384" s="38"/>
      <c r="AQ384" s="38"/>
      <c r="AR384" s="38"/>
      <c r="AS384" s="38"/>
      <c r="AT384" s="38"/>
      <c r="AU384" s="38"/>
      <c r="AV384" s="38"/>
      <c r="AW384" s="671"/>
      <c r="AX384" s="38"/>
      <c r="AY384" s="38"/>
      <c r="AZ384" s="38"/>
      <c r="BA384" s="475"/>
      <c r="BB384" s="475"/>
      <c r="BC384" s="475"/>
      <c r="BD384" s="475"/>
      <c r="BE384" s="475"/>
      <c r="BF384" s="475"/>
      <c r="BG384" s="475"/>
    </row>
    <row r="385" spans="1:59">
      <c r="A385" s="38"/>
      <c r="B385" s="38"/>
      <c r="C385" s="38"/>
      <c r="D385" s="38"/>
      <c r="E385" s="38"/>
      <c r="F385" s="38"/>
      <c r="G385" s="52"/>
      <c r="H385" s="38"/>
      <c r="I385" s="38"/>
      <c r="J385" s="52"/>
      <c r="K385" s="52"/>
      <c r="L385" s="38"/>
      <c r="M385" s="38"/>
      <c r="N385" s="38"/>
      <c r="O385" s="38"/>
      <c r="P385" s="38"/>
      <c r="Q385" s="38"/>
      <c r="R385" s="38"/>
      <c r="S385" s="38"/>
      <c r="T385" s="38"/>
      <c r="U385" s="38"/>
      <c r="V385" s="38"/>
      <c r="W385" s="38"/>
      <c r="X385" s="38"/>
      <c r="Y385" s="38"/>
      <c r="Z385" s="38"/>
      <c r="AA385" s="38"/>
      <c r="AB385" s="38"/>
      <c r="AC385" s="38"/>
      <c r="AD385" s="38"/>
      <c r="AE385" s="38"/>
      <c r="AF385" s="38"/>
      <c r="AG385" s="38"/>
      <c r="AH385" s="38"/>
      <c r="AI385" s="38"/>
      <c r="AJ385" s="38"/>
      <c r="AK385" s="38"/>
      <c r="AL385" s="38"/>
      <c r="AM385" s="38"/>
      <c r="AN385" s="38"/>
      <c r="AO385" s="38"/>
      <c r="AP385" s="38"/>
      <c r="AQ385" s="38"/>
      <c r="AR385" s="38"/>
      <c r="AS385" s="38"/>
      <c r="AT385" s="38"/>
      <c r="AU385" s="38"/>
      <c r="AV385" s="38"/>
      <c r="AW385" s="671"/>
      <c r="AX385" s="38"/>
      <c r="AY385" s="38"/>
      <c r="AZ385" s="38"/>
      <c r="BA385" s="475"/>
      <c r="BB385" s="475"/>
      <c r="BC385" s="475"/>
      <c r="BD385" s="475"/>
      <c r="BE385" s="475"/>
      <c r="BF385" s="475"/>
      <c r="BG385" s="475"/>
    </row>
    <row r="386" spans="1:59">
      <c r="A386" s="38"/>
      <c r="B386" s="38"/>
      <c r="C386" s="38"/>
      <c r="D386" s="38"/>
      <c r="E386" s="38"/>
      <c r="F386" s="38"/>
      <c r="G386" s="52"/>
      <c r="H386" s="38"/>
      <c r="I386" s="38"/>
      <c r="J386" s="52"/>
      <c r="K386" s="52"/>
      <c r="L386" s="38"/>
      <c r="M386" s="38"/>
      <c r="N386" s="38"/>
      <c r="O386" s="38"/>
      <c r="P386" s="38"/>
      <c r="Q386" s="38"/>
      <c r="R386" s="38"/>
      <c r="S386" s="38"/>
      <c r="T386" s="38"/>
      <c r="U386" s="38"/>
      <c r="V386" s="38"/>
      <c r="W386" s="38"/>
      <c r="X386" s="38"/>
      <c r="Y386" s="38"/>
      <c r="Z386" s="38"/>
      <c r="AA386" s="38"/>
      <c r="AB386" s="38"/>
      <c r="AC386" s="38"/>
      <c r="AD386" s="38"/>
      <c r="AE386" s="38"/>
      <c r="AF386" s="38"/>
      <c r="AG386" s="38"/>
      <c r="AH386" s="38"/>
      <c r="AI386" s="38"/>
      <c r="AJ386" s="38"/>
      <c r="AK386" s="38"/>
      <c r="AL386" s="38"/>
      <c r="AM386" s="38"/>
      <c r="AN386" s="38"/>
      <c r="AO386" s="38"/>
      <c r="AP386" s="38"/>
      <c r="AQ386" s="38"/>
      <c r="AR386" s="38"/>
      <c r="AS386" s="38"/>
      <c r="AT386" s="38"/>
      <c r="AU386" s="38"/>
      <c r="AV386" s="38"/>
      <c r="AW386" s="671"/>
      <c r="AX386" s="38"/>
      <c r="AY386" s="38"/>
      <c r="AZ386" s="38"/>
      <c r="BA386" s="475"/>
      <c r="BB386" s="475"/>
      <c r="BC386" s="475"/>
      <c r="BD386" s="475"/>
      <c r="BE386" s="475"/>
      <c r="BF386" s="475"/>
      <c r="BG386" s="475"/>
    </row>
    <row r="387" spans="1:59">
      <c r="A387" s="38"/>
      <c r="B387" s="38"/>
      <c r="C387" s="38"/>
      <c r="D387" s="38"/>
      <c r="E387" s="38"/>
      <c r="F387" s="38"/>
      <c r="G387" s="52"/>
      <c r="H387" s="38"/>
      <c r="I387" s="38"/>
      <c r="J387" s="52"/>
      <c r="K387" s="52"/>
      <c r="L387" s="38"/>
      <c r="M387" s="38"/>
      <c r="N387" s="38"/>
      <c r="O387" s="38"/>
      <c r="P387" s="38"/>
      <c r="Q387" s="38"/>
      <c r="R387" s="38"/>
      <c r="S387" s="38"/>
      <c r="T387" s="38"/>
      <c r="U387" s="38"/>
      <c r="V387" s="38"/>
      <c r="W387" s="38"/>
      <c r="X387" s="38"/>
      <c r="Y387" s="38"/>
      <c r="Z387" s="38"/>
      <c r="AA387" s="38"/>
      <c r="AB387" s="38"/>
      <c r="AC387" s="38"/>
      <c r="AD387" s="38"/>
      <c r="AE387" s="38"/>
      <c r="AF387" s="38"/>
      <c r="AG387" s="38"/>
      <c r="AH387" s="38"/>
      <c r="AI387" s="38"/>
      <c r="AJ387" s="38"/>
      <c r="AK387" s="38"/>
      <c r="AL387" s="38"/>
      <c r="AM387" s="38"/>
      <c r="AN387" s="38"/>
      <c r="AO387" s="38"/>
      <c r="AP387" s="38"/>
      <c r="AQ387" s="38"/>
      <c r="AR387" s="38"/>
      <c r="AS387" s="38"/>
      <c r="AT387" s="38"/>
      <c r="AU387" s="38"/>
      <c r="AV387" s="38"/>
      <c r="AW387" s="671"/>
      <c r="AX387" s="38"/>
      <c r="AY387" s="38"/>
      <c r="AZ387" s="38"/>
      <c r="BA387" s="475"/>
      <c r="BB387" s="475"/>
      <c r="BC387" s="475"/>
      <c r="BD387" s="475"/>
      <c r="BE387" s="475"/>
      <c r="BF387" s="475"/>
      <c r="BG387" s="475"/>
    </row>
    <row r="388" spans="1:59">
      <c r="A388" s="38"/>
      <c r="B388" s="38"/>
      <c r="C388" s="38"/>
      <c r="D388" s="38"/>
      <c r="E388" s="38"/>
      <c r="F388" s="38"/>
      <c r="G388" s="52"/>
      <c r="H388" s="38"/>
      <c r="I388" s="38"/>
      <c r="J388" s="52"/>
      <c r="K388" s="52"/>
      <c r="L388" s="38"/>
      <c r="M388" s="38"/>
      <c r="N388" s="38"/>
      <c r="O388" s="38"/>
      <c r="P388" s="38"/>
      <c r="Q388" s="38"/>
      <c r="R388" s="38"/>
      <c r="S388" s="38"/>
      <c r="T388" s="38"/>
      <c r="U388" s="38"/>
      <c r="V388" s="38"/>
      <c r="W388" s="38"/>
      <c r="X388" s="38"/>
      <c r="Y388" s="38"/>
      <c r="Z388" s="38"/>
      <c r="AA388" s="38"/>
      <c r="AB388" s="38"/>
      <c r="AC388" s="38"/>
      <c r="AD388" s="38"/>
      <c r="AE388" s="38"/>
      <c r="AF388" s="38"/>
      <c r="AG388" s="38"/>
      <c r="AH388" s="38"/>
      <c r="AI388" s="38"/>
      <c r="AJ388" s="38"/>
      <c r="AK388" s="38"/>
      <c r="AL388" s="38"/>
      <c r="AM388" s="38"/>
      <c r="AN388" s="38"/>
      <c r="AO388" s="38"/>
      <c r="AP388" s="38"/>
      <c r="AQ388" s="38"/>
      <c r="AR388" s="38"/>
      <c r="AS388" s="38"/>
      <c r="AT388" s="38"/>
      <c r="AU388" s="38"/>
      <c r="AV388" s="38"/>
      <c r="AW388" s="671"/>
      <c r="AX388" s="38"/>
      <c r="AY388" s="38"/>
      <c r="AZ388" s="38"/>
      <c r="BA388" s="475"/>
      <c r="BB388" s="475"/>
      <c r="BC388" s="475"/>
      <c r="BD388" s="475"/>
      <c r="BE388" s="475"/>
      <c r="BF388" s="475"/>
      <c r="BG388" s="475"/>
    </row>
    <row r="389" spans="1:59">
      <c r="A389" s="38"/>
      <c r="B389" s="38"/>
      <c r="C389" s="38"/>
      <c r="D389" s="38"/>
      <c r="E389" s="38"/>
      <c r="F389" s="38"/>
      <c r="G389" s="52"/>
      <c r="H389" s="38"/>
      <c r="I389" s="38"/>
      <c r="J389" s="52"/>
      <c r="K389" s="52"/>
      <c r="L389" s="38"/>
      <c r="M389" s="38"/>
      <c r="N389" s="38"/>
      <c r="O389" s="38"/>
      <c r="P389" s="38"/>
      <c r="Q389" s="38"/>
      <c r="R389" s="38"/>
      <c r="S389" s="38"/>
      <c r="T389" s="38"/>
      <c r="U389" s="38"/>
      <c r="V389" s="38"/>
      <c r="W389" s="38"/>
      <c r="X389" s="38"/>
      <c r="Y389" s="38"/>
      <c r="Z389" s="38"/>
      <c r="AA389" s="38"/>
      <c r="AB389" s="38"/>
      <c r="AC389" s="38"/>
      <c r="AD389" s="38"/>
      <c r="AE389" s="38"/>
      <c r="AF389" s="38"/>
      <c r="AG389" s="38"/>
      <c r="AH389" s="38"/>
      <c r="AI389" s="38"/>
      <c r="AJ389" s="38"/>
      <c r="AK389" s="38"/>
      <c r="AL389" s="38"/>
      <c r="AM389" s="38"/>
      <c r="AN389" s="38"/>
      <c r="AO389" s="38"/>
      <c r="AP389" s="38"/>
      <c r="AQ389" s="38"/>
      <c r="AR389" s="38"/>
      <c r="AS389" s="38"/>
      <c r="AT389" s="38"/>
      <c r="AU389" s="38"/>
      <c r="AV389" s="38"/>
      <c r="AW389" s="671"/>
      <c r="AX389" s="38"/>
      <c r="AY389" s="38"/>
      <c r="AZ389" s="38"/>
      <c r="BA389" s="475"/>
      <c r="BB389" s="475"/>
      <c r="BC389" s="475"/>
      <c r="BD389" s="475"/>
      <c r="BE389" s="475"/>
      <c r="BF389" s="475"/>
      <c r="BG389" s="475"/>
    </row>
    <row r="390" spans="1:59">
      <c r="A390" s="38"/>
      <c r="B390" s="38"/>
      <c r="C390" s="38"/>
      <c r="D390" s="38"/>
      <c r="E390" s="38"/>
      <c r="F390" s="38"/>
      <c r="G390" s="52"/>
      <c r="H390" s="38"/>
      <c r="I390" s="38"/>
      <c r="J390" s="52"/>
      <c r="K390" s="52"/>
      <c r="L390" s="38"/>
      <c r="M390" s="38"/>
      <c r="N390" s="38"/>
      <c r="O390" s="38"/>
      <c r="P390" s="38"/>
      <c r="Q390" s="38"/>
      <c r="R390" s="38"/>
      <c r="S390" s="38"/>
      <c r="T390" s="38"/>
      <c r="U390" s="38"/>
      <c r="V390" s="38"/>
      <c r="W390" s="38"/>
      <c r="X390" s="38"/>
      <c r="Y390" s="38"/>
      <c r="Z390" s="38"/>
      <c r="AA390" s="38"/>
      <c r="AB390" s="38"/>
      <c r="AC390" s="38"/>
      <c r="AD390" s="38"/>
      <c r="AE390" s="38"/>
      <c r="AF390" s="38"/>
      <c r="AG390" s="38"/>
      <c r="AH390" s="38"/>
      <c r="AI390" s="38"/>
      <c r="AJ390" s="38"/>
      <c r="AK390" s="38"/>
      <c r="AL390" s="38"/>
      <c r="AM390" s="38"/>
      <c r="AN390" s="38"/>
      <c r="AO390" s="38"/>
      <c r="AP390" s="38"/>
      <c r="AQ390" s="38"/>
      <c r="AR390" s="38"/>
      <c r="AS390" s="38"/>
      <c r="AT390" s="38"/>
      <c r="AU390" s="38"/>
      <c r="AV390" s="38"/>
      <c r="AW390" s="671"/>
      <c r="AX390" s="38"/>
      <c r="AY390" s="38"/>
      <c r="AZ390" s="38"/>
      <c r="BA390" s="475"/>
      <c r="BB390" s="475"/>
      <c r="BC390" s="475"/>
      <c r="BD390" s="475"/>
      <c r="BE390" s="475"/>
      <c r="BF390" s="475"/>
      <c r="BG390" s="475"/>
    </row>
    <row r="391" spans="1:59">
      <c r="A391" s="38"/>
      <c r="B391" s="38"/>
      <c r="C391" s="38"/>
      <c r="D391" s="38"/>
      <c r="E391" s="38"/>
      <c r="F391" s="38"/>
      <c r="G391" s="52"/>
      <c r="H391" s="38"/>
      <c r="I391" s="38"/>
      <c r="J391" s="52"/>
      <c r="K391" s="52"/>
      <c r="L391" s="38"/>
      <c r="M391" s="38"/>
      <c r="N391" s="38"/>
      <c r="O391" s="38"/>
      <c r="P391" s="38"/>
      <c r="Q391" s="38"/>
      <c r="R391" s="38"/>
      <c r="S391" s="38"/>
      <c r="T391" s="38"/>
      <c r="U391" s="38"/>
      <c r="V391" s="38"/>
      <c r="W391" s="38"/>
      <c r="X391" s="38"/>
      <c r="Y391" s="38"/>
      <c r="Z391" s="38"/>
      <c r="AA391" s="38"/>
      <c r="AB391" s="38"/>
      <c r="AC391" s="38"/>
      <c r="AD391" s="38"/>
      <c r="AE391" s="38"/>
      <c r="AF391" s="38"/>
      <c r="AG391" s="38"/>
      <c r="AH391" s="38"/>
      <c r="AI391" s="38"/>
      <c r="AJ391" s="38"/>
      <c r="AK391" s="38"/>
      <c r="AL391" s="38"/>
      <c r="AM391" s="38"/>
      <c r="AN391" s="38"/>
      <c r="AO391" s="38"/>
      <c r="AP391" s="38"/>
      <c r="AQ391" s="38"/>
      <c r="AR391" s="38"/>
      <c r="AS391" s="38"/>
      <c r="AT391" s="38"/>
      <c r="AU391" s="38"/>
      <c r="AV391" s="38"/>
      <c r="AW391" s="671"/>
      <c r="AX391" s="38"/>
      <c r="AY391" s="38"/>
      <c r="AZ391" s="38"/>
      <c r="BA391" s="475"/>
      <c r="BB391" s="475"/>
      <c r="BC391" s="475"/>
      <c r="BD391" s="475"/>
      <c r="BE391" s="475"/>
      <c r="BF391" s="475"/>
      <c r="BG391" s="475"/>
    </row>
    <row r="392" spans="1:59">
      <c r="A392" s="38"/>
      <c r="B392" s="38"/>
      <c r="C392" s="38"/>
      <c r="D392" s="38"/>
      <c r="E392" s="38"/>
      <c r="F392" s="38"/>
      <c r="G392" s="52"/>
      <c r="H392" s="38"/>
      <c r="I392" s="38"/>
      <c r="J392" s="52"/>
      <c r="K392" s="52"/>
      <c r="L392" s="38"/>
      <c r="M392" s="38"/>
      <c r="N392" s="38"/>
      <c r="O392" s="38"/>
      <c r="P392" s="38"/>
      <c r="Q392" s="38"/>
      <c r="R392" s="38"/>
      <c r="S392" s="38"/>
      <c r="T392" s="38"/>
      <c r="U392" s="38"/>
      <c r="V392" s="38"/>
      <c r="W392" s="38"/>
      <c r="X392" s="38"/>
      <c r="Y392" s="38"/>
      <c r="Z392" s="38"/>
      <c r="AA392" s="38"/>
      <c r="AB392" s="38"/>
      <c r="AC392" s="38"/>
      <c r="AD392" s="38"/>
      <c r="AE392" s="38"/>
      <c r="AF392" s="38"/>
      <c r="AG392" s="38"/>
      <c r="AH392" s="38"/>
      <c r="AI392" s="38"/>
      <c r="AJ392" s="38"/>
      <c r="AK392" s="38"/>
      <c r="AL392" s="38"/>
      <c r="AM392" s="38"/>
      <c r="AN392" s="38"/>
      <c r="AO392" s="38"/>
      <c r="AP392" s="38"/>
      <c r="AQ392" s="38"/>
      <c r="AR392" s="38"/>
      <c r="AS392" s="38"/>
      <c r="AT392" s="38"/>
      <c r="AU392" s="38"/>
      <c r="AV392" s="38"/>
      <c r="AW392" s="671"/>
      <c r="AX392" s="38"/>
      <c r="AY392" s="38"/>
      <c r="AZ392" s="38"/>
      <c r="BA392" s="475"/>
      <c r="BB392" s="475"/>
      <c r="BC392" s="475"/>
      <c r="BD392" s="475"/>
      <c r="BE392" s="475"/>
      <c r="BF392" s="475"/>
      <c r="BG392" s="475"/>
    </row>
    <row r="393" spans="1:59">
      <c r="A393" s="38"/>
      <c r="B393" s="38"/>
      <c r="C393" s="38"/>
      <c r="D393" s="38"/>
      <c r="E393" s="38"/>
      <c r="F393" s="38"/>
      <c r="G393" s="52"/>
      <c r="H393" s="38"/>
      <c r="I393" s="38"/>
      <c r="J393" s="52"/>
      <c r="K393" s="52"/>
      <c r="L393" s="38"/>
      <c r="M393" s="38"/>
      <c r="N393" s="38"/>
      <c r="O393" s="38"/>
      <c r="P393" s="38"/>
      <c r="Q393" s="38"/>
      <c r="R393" s="38"/>
      <c r="S393" s="38"/>
      <c r="T393" s="38"/>
      <c r="U393" s="38"/>
      <c r="V393" s="38"/>
      <c r="W393" s="38"/>
      <c r="X393" s="38"/>
      <c r="Y393" s="38"/>
      <c r="Z393" s="38"/>
      <c r="AA393" s="38"/>
      <c r="AB393" s="38"/>
      <c r="AC393" s="38"/>
      <c r="AD393" s="38"/>
      <c r="AE393" s="38"/>
      <c r="AF393" s="38"/>
      <c r="AG393" s="38"/>
      <c r="AH393" s="38"/>
      <c r="AI393" s="38"/>
      <c r="AJ393" s="38"/>
      <c r="AK393" s="38"/>
      <c r="AL393" s="38"/>
      <c r="AM393" s="38"/>
      <c r="AN393" s="38"/>
      <c r="AO393" s="38"/>
      <c r="AP393" s="38"/>
      <c r="AQ393" s="38"/>
      <c r="AR393" s="38"/>
      <c r="AS393" s="38"/>
      <c r="AT393" s="38"/>
      <c r="AU393" s="38"/>
      <c r="AV393" s="38"/>
      <c r="AW393" s="671"/>
      <c r="AX393" s="38"/>
      <c r="AY393" s="38"/>
      <c r="AZ393" s="38"/>
      <c r="BA393" s="475"/>
      <c r="BB393" s="475"/>
      <c r="BC393" s="475"/>
      <c r="BD393" s="475"/>
      <c r="BE393" s="475"/>
      <c r="BF393" s="475"/>
      <c r="BG393" s="475"/>
    </row>
    <row r="394" spans="1:59">
      <c r="A394" s="38"/>
      <c r="B394" s="38"/>
      <c r="C394" s="38"/>
      <c r="D394" s="38"/>
      <c r="E394" s="38"/>
      <c r="F394" s="38"/>
      <c r="G394" s="52"/>
      <c r="H394" s="38"/>
      <c r="I394" s="38"/>
      <c r="J394" s="52"/>
      <c r="K394" s="52"/>
      <c r="L394" s="38"/>
      <c r="M394" s="38"/>
      <c r="N394" s="38"/>
      <c r="O394" s="38"/>
      <c r="P394" s="38"/>
      <c r="Q394" s="38"/>
      <c r="R394" s="38"/>
      <c r="S394" s="38"/>
      <c r="T394" s="38"/>
      <c r="U394" s="38"/>
      <c r="V394" s="38"/>
      <c r="W394" s="38"/>
      <c r="X394" s="38"/>
      <c r="Y394" s="38"/>
      <c r="Z394" s="38"/>
      <c r="AA394" s="38"/>
      <c r="AB394" s="38"/>
      <c r="AC394" s="38"/>
      <c r="AD394" s="38"/>
      <c r="AE394" s="38"/>
      <c r="AF394" s="38"/>
      <c r="AG394" s="38"/>
      <c r="AH394" s="38"/>
      <c r="AI394" s="38"/>
      <c r="AJ394" s="38"/>
      <c r="AK394" s="38"/>
      <c r="AL394" s="38"/>
      <c r="AM394" s="38"/>
      <c r="AN394" s="38"/>
      <c r="AO394" s="38"/>
      <c r="AP394" s="38"/>
      <c r="AQ394" s="38"/>
      <c r="AR394" s="38"/>
      <c r="AS394" s="38"/>
      <c r="AT394" s="38"/>
      <c r="AU394" s="38"/>
      <c r="AV394" s="38"/>
      <c r="AW394" s="671"/>
      <c r="AX394" s="38"/>
      <c r="AY394" s="38"/>
      <c r="AZ394" s="38"/>
      <c r="BA394" s="475"/>
      <c r="BB394" s="475"/>
      <c r="BC394" s="475"/>
      <c r="BD394" s="475"/>
      <c r="BE394" s="475"/>
      <c r="BF394" s="475"/>
      <c r="BG394" s="475"/>
    </row>
    <row r="395" spans="1:59">
      <c r="A395" s="38"/>
      <c r="B395" s="38"/>
      <c r="C395" s="38"/>
      <c r="D395" s="38"/>
      <c r="E395" s="38"/>
      <c r="F395" s="38"/>
      <c r="G395" s="52"/>
      <c r="H395" s="38"/>
      <c r="I395" s="38"/>
      <c r="J395" s="52"/>
      <c r="K395" s="52"/>
      <c r="L395" s="38"/>
      <c r="M395" s="38"/>
      <c r="N395" s="38"/>
      <c r="O395" s="38"/>
      <c r="P395" s="38"/>
      <c r="Q395" s="38"/>
      <c r="R395" s="38"/>
      <c r="S395" s="38"/>
      <c r="T395" s="38"/>
      <c r="U395" s="38"/>
      <c r="V395" s="38"/>
      <c r="W395" s="38"/>
      <c r="X395" s="38"/>
      <c r="Y395" s="38"/>
      <c r="Z395" s="38"/>
      <c r="AA395" s="38"/>
      <c r="AB395" s="38"/>
      <c r="AC395" s="38"/>
      <c r="AD395" s="38"/>
      <c r="AE395" s="38"/>
      <c r="AF395" s="38"/>
      <c r="AG395" s="38"/>
      <c r="AH395" s="38"/>
      <c r="AI395" s="38"/>
      <c r="AJ395" s="38"/>
      <c r="AK395" s="38"/>
      <c r="AL395" s="38"/>
      <c r="AM395" s="38"/>
      <c r="AN395" s="38"/>
      <c r="AO395" s="38"/>
      <c r="AP395" s="38"/>
      <c r="AQ395" s="38"/>
      <c r="AR395" s="38"/>
      <c r="AS395" s="38"/>
      <c r="AT395" s="38"/>
      <c r="AU395" s="38"/>
      <c r="AV395" s="38"/>
      <c r="AW395" s="671"/>
      <c r="AX395" s="38"/>
      <c r="AY395" s="38"/>
      <c r="AZ395" s="38"/>
      <c r="BA395" s="475"/>
      <c r="BB395" s="475"/>
      <c r="BC395" s="475"/>
      <c r="BD395" s="475"/>
      <c r="BE395" s="475"/>
      <c r="BF395" s="475"/>
      <c r="BG395" s="475"/>
    </row>
    <row r="396" spans="1:59">
      <c r="A396" s="38"/>
      <c r="B396" s="38"/>
      <c r="C396" s="38"/>
      <c r="D396" s="38"/>
      <c r="E396" s="38"/>
      <c r="F396" s="38"/>
      <c r="G396" s="52"/>
      <c r="H396" s="38"/>
      <c r="I396" s="38"/>
      <c r="J396" s="52"/>
      <c r="K396" s="52"/>
      <c r="L396" s="38"/>
      <c r="M396" s="38"/>
      <c r="N396" s="38"/>
      <c r="O396" s="38"/>
      <c r="P396" s="38"/>
      <c r="Q396" s="38"/>
      <c r="R396" s="38"/>
      <c r="S396" s="38"/>
      <c r="T396" s="38"/>
      <c r="U396" s="38"/>
      <c r="V396" s="38"/>
      <c r="W396" s="38"/>
      <c r="X396" s="38"/>
      <c r="Y396" s="38"/>
      <c r="Z396" s="38"/>
      <c r="AA396" s="38"/>
      <c r="AB396" s="38"/>
      <c r="AC396" s="38"/>
      <c r="AD396" s="38"/>
      <c r="AE396" s="38"/>
      <c r="AF396" s="38"/>
      <c r="AG396" s="38"/>
      <c r="AH396" s="38"/>
      <c r="AI396" s="38"/>
      <c r="AJ396" s="38"/>
      <c r="AK396" s="38"/>
      <c r="AL396" s="38"/>
      <c r="AM396" s="38"/>
      <c r="AN396" s="38"/>
      <c r="AO396" s="38"/>
      <c r="AP396" s="38"/>
      <c r="AQ396" s="38"/>
      <c r="AR396" s="38"/>
      <c r="AS396" s="38"/>
      <c r="AT396" s="38"/>
      <c r="AU396" s="38"/>
      <c r="AV396" s="38"/>
      <c r="AW396" s="671"/>
      <c r="AX396" s="38"/>
      <c r="AY396" s="38"/>
      <c r="AZ396" s="38"/>
      <c r="BA396" s="475"/>
      <c r="BB396" s="475"/>
      <c r="BC396" s="475"/>
      <c r="BD396" s="475"/>
      <c r="BE396" s="475"/>
      <c r="BF396" s="475"/>
      <c r="BG396" s="475"/>
    </row>
    <row r="397" spans="1:59">
      <c r="A397" s="38"/>
      <c r="B397" s="38"/>
      <c r="C397" s="38"/>
      <c r="D397" s="38"/>
      <c r="E397" s="38"/>
      <c r="F397" s="38"/>
      <c r="G397" s="52"/>
      <c r="H397" s="38"/>
      <c r="I397" s="38"/>
      <c r="J397" s="52"/>
      <c r="K397" s="52"/>
      <c r="L397" s="38"/>
      <c r="M397" s="38"/>
      <c r="N397" s="38"/>
      <c r="O397" s="38"/>
      <c r="P397" s="38"/>
      <c r="Q397" s="38"/>
      <c r="R397" s="38"/>
      <c r="S397" s="38"/>
      <c r="T397" s="38"/>
      <c r="U397" s="38"/>
      <c r="V397" s="38"/>
      <c r="W397" s="38"/>
      <c r="X397" s="38"/>
      <c r="Y397" s="38"/>
      <c r="Z397" s="38"/>
      <c r="AA397" s="38"/>
      <c r="AB397" s="38"/>
      <c r="AC397" s="38"/>
      <c r="AD397" s="38"/>
      <c r="AE397" s="38"/>
      <c r="AF397" s="38"/>
      <c r="AG397" s="38"/>
      <c r="AH397" s="38"/>
      <c r="AI397" s="38"/>
      <c r="AJ397" s="38"/>
      <c r="AK397" s="38"/>
      <c r="AL397" s="38"/>
      <c r="AM397" s="38"/>
      <c r="AN397" s="38"/>
      <c r="AO397" s="38"/>
      <c r="AP397" s="38"/>
      <c r="AQ397" s="38"/>
      <c r="AR397" s="38"/>
      <c r="AS397" s="38"/>
      <c r="AT397" s="38"/>
      <c r="AU397" s="38"/>
      <c r="AV397" s="38"/>
      <c r="AW397" s="671"/>
      <c r="AX397" s="38"/>
      <c r="AY397" s="38"/>
      <c r="AZ397" s="38"/>
      <c r="BA397" s="475"/>
      <c r="BB397" s="475"/>
      <c r="BC397" s="475"/>
      <c r="BD397" s="475"/>
      <c r="BE397" s="475"/>
      <c r="BF397" s="475"/>
      <c r="BG397" s="475"/>
    </row>
    <row r="398" spans="1:59">
      <c r="A398" s="38"/>
      <c r="B398" s="38"/>
      <c r="C398" s="38"/>
      <c r="D398" s="38"/>
      <c r="E398" s="38"/>
      <c r="F398" s="38"/>
      <c r="G398" s="52"/>
      <c r="H398" s="38"/>
      <c r="I398" s="38"/>
      <c r="J398" s="52"/>
      <c r="K398" s="52"/>
      <c r="L398" s="38"/>
      <c r="M398" s="38"/>
      <c r="N398" s="38"/>
      <c r="O398" s="38"/>
      <c r="P398" s="38"/>
      <c r="Q398" s="38"/>
      <c r="R398" s="38"/>
      <c r="S398" s="38"/>
      <c r="T398" s="38"/>
      <c r="U398" s="38"/>
      <c r="V398" s="38"/>
      <c r="W398" s="38"/>
      <c r="X398" s="38"/>
      <c r="Y398" s="38"/>
      <c r="Z398" s="38"/>
      <c r="AA398" s="38"/>
      <c r="AB398" s="38"/>
      <c r="AC398" s="38"/>
      <c r="AD398" s="38"/>
      <c r="AE398" s="38"/>
      <c r="AF398" s="38"/>
      <c r="AG398" s="38"/>
      <c r="AH398" s="38"/>
      <c r="AI398" s="38"/>
      <c r="AJ398" s="38"/>
      <c r="AK398" s="38"/>
      <c r="AL398" s="38"/>
      <c r="AM398" s="38"/>
      <c r="AN398" s="38"/>
      <c r="AO398" s="38"/>
      <c r="AP398" s="38"/>
      <c r="AQ398" s="38"/>
      <c r="AR398" s="38"/>
      <c r="AS398" s="38"/>
      <c r="AT398" s="38"/>
      <c r="AU398" s="38"/>
      <c r="AV398" s="38"/>
      <c r="AW398" s="671"/>
      <c r="AX398" s="38"/>
      <c r="AY398" s="38"/>
      <c r="AZ398" s="38"/>
      <c r="BA398" s="475"/>
      <c r="BB398" s="475"/>
      <c r="BC398" s="475"/>
      <c r="BD398" s="475"/>
      <c r="BE398" s="475"/>
      <c r="BF398" s="475"/>
      <c r="BG398" s="475"/>
    </row>
    <row r="399" spans="1:59">
      <c r="A399" s="38"/>
      <c r="B399" s="38"/>
      <c r="C399" s="38"/>
      <c r="D399" s="38"/>
      <c r="E399" s="38"/>
      <c r="F399" s="38"/>
      <c r="G399" s="52"/>
      <c r="H399" s="38"/>
      <c r="I399" s="38"/>
      <c r="J399" s="52"/>
      <c r="K399" s="52"/>
      <c r="L399" s="38"/>
      <c r="M399" s="38"/>
      <c r="N399" s="38"/>
      <c r="O399" s="38"/>
      <c r="P399" s="38"/>
      <c r="Q399" s="38"/>
      <c r="R399" s="38"/>
      <c r="S399" s="38"/>
      <c r="T399" s="38"/>
      <c r="U399" s="38"/>
      <c r="V399" s="38"/>
      <c r="W399" s="38"/>
      <c r="X399" s="38"/>
      <c r="Y399" s="38"/>
      <c r="Z399" s="38"/>
      <c r="AA399" s="38"/>
      <c r="AB399" s="38"/>
      <c r="AC399" s="38"/>
      <c r="AD399" s="38"/>
      <c r="AE399" s="38"/>
      <c r="AF399" s="38"/>
      <c r="AG399" s="38"/>
      <c r="AH399" s="38"/>
      <c r="AI399" s="38"/>
      <c r="AJ399" s="38"/>
      <c r="AK399" s="38"/>
      <c r="AL399" s="38"/>
      <c r="AM399" s="38"/>
      <c r="AN399" s="38"/>
      <c r="AO399" s="38"/>
      <c r="AP399" s="38"/>
      <c r="AQ399" s="38"/>
      <c r="AR399" s="38"/>
      <c r="AS399" s="38"/>
      <c r="AT399" s="38"/>
      <c r="AU399" s="38"/>
      <c r="AV399" s="38"/>
      <c r="AW399" s="671"/>
      <c r="AX399" s="38"/>
      <c r="AY399" s="38"/>
      <c r="AZ399" s="38"/>
      <c r="BA399" s="475"/>
      <c r="BB399" s="475"/>
      <c r="BC399" s="475"/>
      <c r="BD399" s="475"/>
      <c r="BE399" s="475"/>
      <c r="BF399" s="475"/>
      <c r="BG399" s="475"/>
    </row>
    <row r="400" spans="1:59">
      <c r="A400" s="38"/>
      <c r="B400" s="38"/>
      <c r="C400" s="38"/>
      <c r="D400" s="38"/>
      <c r="E400" s="38"/>
      <c r="F400" s="38"/>
      <c r="G400" s="52"/>
      <c r="H400" s="38"/>
      <c r="I400" s="38"/>
      <c r="J400" s="52"/>
      <c r="K400" s="52"/>
      <c r="L400" s="38"/>
      <c r="M400" s="38"/>
      <c r="N400" s="38"/>
      <c r="O400" s="38"/>
      <c r="P400" s="38"/>
      <c r="Q400" s="38"/>
      <c r="R400" s="38"/>
      <c r="S400" s="38"/>
      <c r="T400" s="38"/>
      <c r="U400" s="38"/>
      <c r="V400" s="38"/>
      <c r="W400" s="38"/>
      <c r="X400" s="38"/>
      <c r="Y400" s="38"/>
      <c r="Z400" s="38"/>
      <c r="AA400" s="38"/>
      <c r="AB400" s="38"/>
      <c r="AC400" s="38"/>
      <c r="AD400" s="38"/>
      <c r="AE400" s="38"/>
      <c r="AF400" s="38"/>
      <c r="AG400" s="38"/>
      <c r="AH400" s="38"/>
      <c r="AI400" s="38"/>
      <c r="AJ400" s="38"/>
      <c r="AK400" s="38"/>
      <c r="AL400" s="38"/>
      <c r="AM400" s="38"/>
      <c r="AN400" s="38"/>
      <c r="AO400" s="38"/>
      <c r="AP400" s="38"/>
      <c r="AQ400" s="38"/>
      <c r="AR400" s="38"/>
      <c r="AS400" s="38"/>
      <c r="AT400" s="38"/>
      <c r="AU400" s="38"/>
      <c r="AV400" s="38"/>
      <c r="AW400" s="671"/>
      <c r="AX400" s="38"/>
      <c r="AY400" s="38"/>
      <c r="AZ400" s="38"/>
      <c r="BA400" s="475"/>
      <c r="BB400" s="475"/>
      <c r="BC400" s="475"/>
      <c r="BD400" s="475"/>
      <c r="BE400" s="475"/>
      <c r="BF400" s="475"/>
      <c r="BG400" s="475"/>
    </row>
    <row r="401" spans="1:59">
      <c r="A401" s="38"/>
      <c r="B401" s="38"/>
      <c r="C401" s="38"/>
      <c r="D401" s="38"/>
      <c r="E401" s="38"/>
      <c r="F401" s="38"/>
      <c r="G401" s="52"/>
      <c r="H401" s="38"/>
      <c r="I401" s="38"/>
      <c r="J401" s="52"/>
      <c r="K401" s="52"/>
      <c r="L401" s="38"/>
      <c r="M401" s="38"/>
      <c r="N401" s="38"/>
      <c r="O401" s="38"/>
      <c r="P401" s="38"/>
      <c r="Q401" s="38"/>
      <c r="R401" s="38"/>
      <c r="S401" s="38"/>
      <c r="T401" s="38"/>
      <c r="U401" s="38"/>
      <c r="V401" s="38"/>
      <c r="W401" s="38"/>
      <c r="X401" s="38"/>
      <c r="Y401" s="38"/>
      <c r="Z401" s="38"/>
      <c r="AA401" s="38"/>
      <c r="AB401" s="38"/>
      <c r="AC401" s="38"/>
      <c r="AD401" s="38"/>
      <c r="AE401" s="38"/>
      <c r="AF401" s="38"/>
      <c r="AG401" s="38"/>
      <c r="AH401" s="38"/>
      <c r="AI401" s="38"/>
      <c r="AJ401" s="38"/>
      <c r="AK401" s="38"/>
      <c r="AL401" s="38"/>
      <c r="AM401" s="38"/>
      <c r="AN401" s="38"/>
      <c r="AO401" s="38"/>
      <c r="AP401" s="38"/>
      <c r="AQ401" s="38"/>
      <c r="AR401" s="38"/>
      <c r="AS401" s="38"/>
      <c r="AT401" s="38"/>
      <c r="AU401" s="38"/>
      <c r="AV401" s="38"/>
      <c r="AW401" s="671"/>
      <c r="AX401" s="38"/>
      <c r="AY401" s="38"/>
      <c r="AZ401" s="38"/>
      <c r="BA401" s="475"/>
      <c r="BB401" s="475"/>
      <c r="BC401" s="475"/>
      <c r="BD401" s="475"/>
      <c r="BE401" s="475"/>
      <c r="BF401" s="475"/>
      <c r="BG401" s="475"/>
    </row>
    <row r="402" spans="1:59">
      <c r="A402" s="38"/>
      <c r="B402" s="38"/>
      <c r="C402" s="38"/>
      <c r="D402" s="38"/>
      <c r="E402" s="38"/>
      <c r="F402" s="38"/>
      <c r="G402" s="52"/>
      <c r="H402" s="38"/>
      <c r="I402" s="38"/>
      <c r="J402" s="52"/>
      <c r="K402" s="52"/>
      <c r="L402" s="38"/>
      <c r="M402" s="38"/>
      <c r="N402" s="38"/>
      <c r="O402" s="38"/>
      <c r="P402" s="38"/>
      <c r="Q402" s="38"/>
      <c r="R402" s="38"/>
      <c r="S402" s="38"/>
      <c r="T402" s="38"/>
      <c r="U402" s="38"/>
      <c r="V402" s="38"/>
      <c r="W402" s="38"/>
      <c r="X402" s="38"/>
      <c r="Y402" s="38"/>
      <c r="Z402" s="38"/>
      <c r="AA402" s="38"/>
      <c r="AB402" s="38"/>
      <c r="AC402" s="38"/>
      <c r="AD402" s="38"/>
      <c r="AE402" s="38"/>
      <c r="AF402" s="38"/>
      <c r="AG402" s="38"/>
      <c r="AH402" s="38"/>
      <c r="AI402" s="38"/>
      <c r="AJ402" s="38"/>
      <c r="AK402" s="38"/>
      <c r="AL402" s="38"/>
      <c r="AM402" s="38"/>
      <c r="AN402" s="38"/>
      <c r="AO402" s="38"/>
      <c r="AP402" s="38"/>
      <c r="AQ402" s="38"/>
      <c r="AR402" s="38"/>
      <c r="AS402" s="38"/>
      <c r="AT402" s="38"/>
      <c r="AU402" s="38"/>
      <c r="AV402" s="38"/>
      <c r="AW402" s="671"/>
      <c r="AX402" s="38"/>
      <c r="AY402" s="38"/>
      <c r="AZ402" s="38"/>
      <c r="BA402" s="475"/>
      <c r="BB402" s="475"/>
      <c r="BC402" s="475"/>
      <c r="BD402" s="475"/>
      <c r="BE402" s="475"/>
      <c r="BF402" s="475"/>
      <c r="BG402" s="475"/>
    </row>
    <row r="403" spans="1:59">
      <c r="A403" s="38"/>
      <c r="B403" s="38"/>
      <c r="C403" s="38"/>
      <c r="D403" s="38"/>
      <c r="E403" s="38"/>
      <c r="F403" s="38"/>
      <c r="G403" s="52"/>
      <c r="H403" s="38"/>
      <c r="I403" s="38"/>
      <c r="J403" s="52"/>
      <c r="K403" s="52"/>
      <c r="L403" s="38"/>
      <c r="M403" s="38"/>
      <c r="N403" s="38"/>
      <c r="O403" s="38"/>
      <c r="P403" s="38"/>
      <c r="Q403" s="38"/>
      <c r="R403" s="38"/>
      <c r="S403" s="38"/>
      <c r="T403" s="38"/>
      <c r="U403" s="38"/>
      <c r="V403" s="38"/>
      <c r="W403" s="38"/>
      <c r="X403" s="38"/>
      <c r="Y403" s="38"/>
      <c r="Z403" s="38"/>
      <c r="AA403" s="38"/>
      <c r="AB403" s="38"/>
      <c r="AC403" s="38"/>
      <c r="AD403" s="38"/>
      <c r="AE403" s="38"/>
      <c r="AF403" s="38"/>
      <c r="AG403" s="38"/>
      <c r="AH403" s="38"/>
      <c r="AI403" s="38"/>
      <c r="AJ403" s="38"/>
      <c r="AK403" s="38"/>
      <c r="AL403" s="38"/>
      <c r="AM403" s="38"/>
      <c r="AN403" s="38"/>
      <c r="AO403" s="38"/>
      <c r="AP403" s="38"/>
      <c r="AQ403" s="38"/>
      <c r="AR403" s="38"/>
      <c r="AS403" s="38"/>
      <c r="AT403" s="38"/>
      <c r="AU403" s="38"/>
      <c r="AV403" s="38"/>
      <c r="AW403" s="671"/>
      <c r="AX403" s="38"/>
      <c r="AY403" s="38"/>
      <c r="AZ403" s="38"/>
      <c r="BA403" s="475"/>
      <c r="BB403" s="475"/>
      <c r="BC403" s="475"/>
      <c r="BD403" s="475"/>
      <c r="BE403" s="475"/>
      <c r="BF403" s="475"/>
      <c r="BG403" s="475"/>
    </row>
    <row r="404" spans="1:59">
      <c r="A404" s="38"/>
      <c r="B404" s="38"/>
      <c r="C404" s="38"/>
      <c r="D404" s="38"/>
      <c r="E404" s="38"/>
      <c r="F404" s="38"/>
      <c r="G404" s="52"/>
      <c r="H404" s="38"/>
      <c r="I404" s="38"/>
      <c r="J404" s="52"/>
      <c r="K404" s="52"/>
      <c r="L404" s="38"/>
      <c r="M404" s="38"/>
      <c r="N404" s="38"/>
      <c r="O404" s="38"/>
      <c r="P404" s="38"/>
      <c r="Q404" s="38"/>
      <c r="R404" s="38"/>
      <c r="S404" s="38"/>
      <c r="T404" s="38"/>
      <c r="U404" s="38"/>
      <c r="V404" s="38"/>
      <c r="W404" s="38"/>
      <c r="X404" s="38"/>
      <c r="Y404" s="38"/>
      <c r="Z404" s="38"/>
      <c r="AA404" s="38"/>
      <c r="AB404" s="38"/>
      <c r="AC404" s="38"/>
      <c r="AD404" s="38"/>
      <c r="AE404" s="38"/>
      <c r="AF404" s="38"/>
      <c r="AG404" s="38"/>
      <c r="AH404" s="38"/>
      <c r="AI404" s="38"/>
      <c r="AJ404" s="38"/>
      <c r="AK404" s="38"/>
      <c r="AL404" s="38"/>
      <c r="AM404" s="38"/>
      <c r="AN404" s="38"/>
      <c r="AO404" s="38"/>
      <c r="AP404" s="38"/>
      <c r="AQ404" s="38"/>
      <c r="AR404" s="38"/>
      <c r="AS404" s="38"/>
      <c r="AT404" s="38"/>
      <c r="AU404" s="38"/>
      <c r="AV404" s="38"/>
      <c r="AW404" s="671"/>
      <c r="AX404" s="38"/>
      <c r="AY404" s="38"/>
      <c r="AZ404" s="38"/>
      <c r="BA404" s="475"/>
      <c r="BB404" s="475"/>
      <c r="BC404" s="475"/>
      <c r="BD404" s="475"/>
      <c r="BE404" s="475"/>
      <c r="BF404" s="475"/>
      <c r="BG404" s="475"/>
    </row>
    <row r="405" spans="1:59">
      <c r="A405" s="38"/>
      <c r="B405" s="38"/>
      <c r="C405" s="38"/>
      <c r="D405" s="38"/>
      <c r="E405" s="38"/>
      <c r="F405" s="38"/>
      <c r="G405" s="52"/>
      <c r="H405" s="38"/>
      <c r="I405" s="38"/>
      <c r="J405" s="52"/>
      <c r="K405" s="52"/>
      <c r="L405" s="38"/>
      <c r="M405" s="38"/>
      <c r="N405" s="38"/>
      <c r="O405" s="38"/>
      <c r="P405" s="38"/>
      <c r="Q405" s="38"/>
      <c r="R405" s="38"/>
      <c r="S405" s="38"/>
      <c r="T405" s="38"/>
      <c r="U405" s="38"/>
      <c r="V405" s="38"/>
      <c r="W405" s="38"/>
      <c r="X405" s="38"/>
      <c r="Y405" s="38"/>
      <c r="Z405" s="38"/>
      <c r="AA405" s="38"/>
      <c r="AB405" s="38"/>
      <c r="AC405" s="38"/>
      <c r="AD405" s="38"/>
      <c r="AE405" s="38"/>
      <c r="AF405" s="38"/>
      <c r="AG405" s="38"/>
      <c r="AH405" s="38"/>
      <c r="AI405" s="38"/>
      <c r="AJ405" s="38"/>
      <c r="AK405" s="38"/>
      <c r="AL405" s="38"/>
      <c r="AM405" s="38"/>
      <c r="AN405" s="38"/>
      <c r="AO405" s="38"/>
      <c r="AP405" s="38"/>
      <c r="AQ405" s="38"/>
      <c r="AR405" s="38"/>
      <c r="AS405" s="38"/>
      <c r="AT405" s="38"/>
      <c r="AU405" s="38"/>
      <c r="AV405" s="38"/>
      <c r="AW405" s="671"/>
      <c r="AX405" s="38"/>
      <c r="AY405" s="38"/>
      <c r="AZ405" s="38"/>
      <c r="BA405" s="475"/>
      <c r="BB405" s="475"/>
      <c r="BC405" s="475"/>
      <c r="BD405" s="475"/>
      <c r="BE405" s="475"/>
      <c r="BF405" s="475"/>
      <c r="BG405" s="475"/>
    </row>
    <row r="406" spans="1:59">
      <c r="A406" s="38"/>
      <c r="B406" s="38"/>
      <c r="C406" s="38"/>
      <c r="D406" s="38"/>
      <c r="E406" s="38"/>
      <c r="F406" s="38"/>
      <c r="G406" s="52"/>
      <c r="H406" s="38"/>
      <c r="I406" s="38"/>
      <c r="J406" s="52"/>
      <c r="K406" s="52"/>
      <c r="L406" s="38"/>
      <c r="M406" s="38"/>
      <c r="N406" s="38"/>
      <c r="O406" s="38"/>
      <c r="P406" s="38"/>
      <c r="Q406" s="38"/>
      <c r="R406" s="38"/>
      <c r="S406" s="38"/>
      <c r="T406" s="38"/>
      <c r="U406" s="38"/>
      <c r="V406" s="38"/>
      <c r="W406" s="38"/>
      <c r="X406" s="38"/>
      <c r="Y406" s="38"/>
      <c r="Z406" s="38"/>
      <c r="AA406" s="38"/>
      <c r="AB406" s="38"/>
      <c r="AC406" s="38"/>
      <c r="AD406" s="38"/>
      <c r="AE406" s="38"/>
      <c r="AF406" s="38"/>
      <c r="AG406" s="38"/>
      <c r="AH406" s="38"/>
      <c r="AI406" s="38"/>
      <c r="AJ406" s="38"/>
      <c r="AK406" s="38"/>
      <c r="AL406" s="38"/>
      <c r="AM406" s="38"/>
      <c r="AN406" s="38"/>
      <c r="AO406" s="38"/>
      <c r="AP406" s="38"/>
      <c r="AQ406" s="38"/>
      <c r="AR406" s="38"/>
      <c r="AS406" s="38"/>
      <c r="AT406" s="38"/>
      <c r="AU406" s="38"/>
      <c r="AV406" s="38"/>
      <c r="AW406" s="671"/>
      <c r="AX406" s="38"/>
      <c r="AY406" s="38"/>
      <c r="AZ406" s="38"/>
      <c r="BA406" s="475"/>
      <c r="BB406" s="475"/>
      <c r="BC406" s="475"/>
      <c r="BD406" s="475"/>
      <c r="BE406" s="475"/>
      <c r="BF406" s="475"/>
      <c r="BG406" s="475"/>
    </row>
    <row r="407" spans="1:59">
      <c r="A407" s="38"/>
      <c r="B407" s="38"/>
      <c r="C407" s="38"/>
      <c r="D407" s="38"/>
      <c r="E407" s="38"/>
      <c r="F407" s="38"/>
      <c r="G407" s="52"/>
      <c r="H407" s="38"/>
      <c r="I407" s="38"/>
      <c r="J407" s="52"/>
      <c r="K407" s="52"/>
      <c r="L407" s="38"/>
      <c r="M407" s="38"/>
      <c r="N407" s="38"/>
      <c r="O407" s="38"/>
      <c r="P407" s="38"/>
      <c r="Q407" s="38"/>
      <c r="R407" s="38"/>
      <c r="S407" s="38"/>
      <c r="T407" s="38"/>
      <c r="U407" s="38"/>
      <c r="V407" s="38"/>
      <c r="W407" s="38"/>
      <c r="X407" s="38"/>
      <c r="Y407" s="38"/>
      <c r="Z407" s="38"/>
      <c r="AA407" s="38"/>
      <c r="AB407" s="38"/>
      <c r="AC407" s="38"/>
      <c r="AD407" s="38"/>
      <c r="AE407" s="38"/>
      <c r="AF407" s="38"/>
      <c r="AG407" s="38"/>
      <c r="AH407" s="38"/>
      <c r="AI407" s="38"/>
      <c r="AJ407" s="38"/>
      <c r="AK407" s="38"/>
      <c r="AL407" s="38"/>
      <c r="AM407" s="38"/>
      <c r="AN407" s="38"/>
      <c r="AO407" s="38"/>
      <c r="AP407" s="38"/>
      <c r="AQ407" s="38"/>
      <c r="AR407" s="38"/>
      <c r="AS407" s="38"/>
      <c r="AT407" s="38"/>
      <c r="AU407" s="38"/>
      <c r="AV407" s="38"/>
      <c r="AW407" s="671"/>
      <c r="AX407" s="38"/>
      <c r="AY407" s="38"/>
      <c r="AZ407" s="38"/>
      <c r="BA407" s="475"/>
      <c r="BB407" s="475"/>
      <c r="BC407" s="475"/>
      <c r="BD407" s="475"/>
      <c r="BE407" s="475"/>
      <c r="BF407" s="475"/>
      <c r="BG407" s="475"/>
    </row>
    <row r="408" spans="1:59">
      <c r="A408" s="38"/>
      <c r="B408" s="38"/>
      <c r="C408" s="38"/>
      <c r="D408" s="38"/>
      <c r="E408" s="38"/>
      <c r="F408" s="38"/>
      <c r="G408" s="52"/>
      <c r="H408" s="38"/>
      <c r="I408" s="38"/>
      <c r="J408" s="52"/>
      <c r="K408" s="52"/>
      <c r="L408" s="38"/>
      <c r="M408" s="38"/>
      <c r="N408" s="38"/>
      <c r="O408" s="38"/>
      <c r="P408" s="38"/>
      <c r="Q408" s="38"/>
      <c r="R408" s="38"/>
      <c r="S408" s="38"/>
      <c r="T408" s="38"/>
      <c r="U408" s="38"/>
      <c r="V408" s="38"/>
      <c r="W408" s="38"/>
      <c r="X408" s="38"/>
      <c r="Y408" s="38"/>
      <c r="Z408" s="38"/>
      <c r="AA408" s="38"/>
      <c r="AB408" s="38"/>
      <c r="AC408" s="38"/>
      <c r="AD408" s="38"/>
      <c r="AE408" s="38"/>
      <c r="AF408" s="38"/>
      <c r="AG408" s="38"/>
      <c r="AH408" s="38"/>
      <c r="AI408" s="38"/>
      <c r="AJ408" s="38"/>
      <c r="AK408" s="38"/>
      <c r="AL408" s="38"/>
      <c r="AM408" s="38"/>
      <c r="AN408" s="38"/>
      <c r="AO408" s="38"/>
      <c r="AP408" s="38"/>
      <c r="AQ408" s="38"/>
      <c r="AR408" s="38"/>
      <c r="AS408" s="38"/>
      <c r="AT408" s="38"/>
      <c r="AU408" s="38"/>
      <c r="AV408" s="38"/>
      <c r="AW408" s="671"/>
      <c r="AX408" s="38"/>
      <c r="AY408" s="38"/>
      <c r="AZ408" s="38"/>
      <c r="BA408" s="475"/>
      <c r="BB408" s="475"/>
      <c r="BC408" s="475"/>
      <c r="BD408" s="475"/>
      <c r="BE408" s="475"/>
      <c r="BF408" s="475"/>
      <c r="BG408" s="475"/>
    </row>
    <row r="409" spans="1:59">
      <c r="A409" s="38"/>
      <c r="B409" s="38"/>
      <c r="C409" s="38"/>
      <c r="D409" s="38"/>
      <c r="E409" s="38"/>
      <c r="F409" s="38"/>
      <c r="G409" s="52"/>
      <c r="H409" s="38"/>
      <c r="I409" s="38"/>
      <c r="J409" s="52"/>
      <c r="K409" s="52"/>
      <c r="L409" s="38"/>
      <c r="M409" s="38"/>
      <c r="N409" s="38"/>
      <c r="O409" s="38"/>
      <c r="P409" s="38"/>
      <c r="Q409" s="38"/>
      <c r="R409" s="38"/>
      <c r="S409" s="38"/>
      <c r="T409" s="38"/>
      <c r="U409" s="38"/>
      <c r="V409" s="38"/>
      <c r="W409" s="38"/>
      <c r="X409" s="38"/>
      <c r="Y409" s="38"/>
      <c r="Z409" s="38"/>
      <c r="AA409" s="38"/>
      <c r="AB409" s="38"/>
      <c r="AC409" s="38"/>
      <c r="AD409" s="38"/>
      <c r="AE409" s="38"/>
      <c r="AF409" s="38"/>
      <c r="AG409" s="38"/>
      <c r="AH409" s="38"/>
      <c r="AI409" s="38"/>
      <c r="AJ409" s="38"/>
      <c r="AK409" s="38"/>
      <c r="AL409" s="38"/>
      <c r="AM409" s="38"/>
      <c r="AN409" s="38"/>
      <c r="AO409" s="38"/>
      <c r="AP409" s="38"/>
      <c r="AQ409" s="38"/>
      <c r="AR409" s="38"/>
      <c r="AS409" s="38"/>
      <c r="AT409" s="38"/>
      <c r="AU409" s="38"/>
      <c r="AV409" s="38"/>
      <c r="AW409" s="671"/>
      <c r="AX409" s="38"/>
      <c r="AY409" s="38"/>
      <c r="AZ409" s="38"/>
      <c r="BA409" s="475"/>
      <c r="BB409" s="475"/>
      <c r="BC409" s="475"/>
      <c r="BD409" s="475"/>
      <c r="BE409" s="475"/>
      <c r="BF409" s="475"/>
      <c r="BG409" s="475"/>
    </row>
    <row r="410" spans="1:59">
      <c r="A410" s="38"/>
      <c r="B410" s="38"/>
      <c r="C410" s="38"/>
      <c r="D410" s="38"/>
      <c r="E410" s="38"/>
      <c r="F410" s="38"/>
      <c r="G410" s="52"/>
      <c r="H410" s="38"/>
      <c r="I410" s="38"/>
      <c r="J410" s="52"/>
      <c r="K410" s="52"/>
      <c r="L410" s="38"/>
      <c r="M410" s="38"/>
      <c r="N410" s="38"/>
      <c r="O410" s="38"/>
      <c r="P410" s="38"/>
      <c r="Q410" s="38"/>
      <c r="R410" s="38"/>
      <c r="S410" s="38"/>
      <c r="T410" s="38"/>
      <c r="U410" s="38"/>
      <c r="V410" s="38"/>
      <c r="W410" s="38"/>
      <c r="X410" s="38"/>
      <c r="Y410" s="38"/>
      <c r="Z410" s="38"/>
      <c r="AA410" s="38"/>
      <c r="AB410" s="38"/>
      <c r="AC410" s="38"/>
      <c r="AD410" s="38"/>
      <c r="AE410" s="38"/>
      <c r="AF410" s="38"/>
      <c r="AG410" s="38"/>
      <c r="AH410" s="38"/>
      <c r="AI410" s="38"/>
      <c r="AJ410" s="38"/>
      <c r="AK410" s="38"/>
      <c r="AL410" s="38"/>
      <c r="AM410" s="38"/>
      <c r="AN410" s="38"/>
      <c r="AO410" s="38"/>
      <c r="AP410" s="38"/>
      <c r="AQ410" s="38"/>
      <c r="AR410" s="38"/>
      <c r="AS410" s="38"/>
      <c r="AT410" s="38"/>
      <c r="AU410" s="38"/>
      <c r="AV410" s="38"/>
      <c r="AW410" s="671"/>
      <c r="AX410" s="38"/>
      <c r="AY410" s="38"/>
      <c r="AZ410" s="38"/>
      <c r="BA410" s="475"/>
      <c r="BB410" s="475"/>
      <c r="BC410" s="475"/>
      <c r="BD410" s="475"/>
      <c r="BE410" s="475"/>
      <c r="BF410" s="475"/>
      <c r="BG410" s="475"/>
    </row>
    <row r="411" spans="1:59">
      <c r="A411" s="38"/>
      <c r="B411" s="38"/>
      <c r="C411" s="38"/>
      <c r="D411" s="38"/>
      <c r="E411" s="38"/>
      <c r="F411" s="38"/>
      <c r="G411" s="52"/>
      <c r="H411" s="38"/>
      <c r="I411" s="38"/>
      <c r="J411" s="52"/>
      <c r="K411" s="52"/>
      <c r="L411" s="38"/>
      <c r="M411" s="38"/>
      <c r="N411" s="38"/>
      <c r="O411" s="38"/>
      <c r="P411" s="38"/>
      <c r="Q411" s="38"/>
      <c r="R411" s="38"/>
      <c r="S411" s="38"/>
      <c r="T411" s="38"/>
      <c r="U411" s="38"/>
      <c r="V411" s="38"/>
      <c r="W411" s="38"/>
      <c r="X411" s="38"/>
      <c r="Y411" s="38"/>
      <c r="Z411" s="38"/>
      <c r="AA411" s="38"/>
      <c r="AB411" s="38"/>
      <c r="AC411" s="38"/>
      <c r="AD411" s="38"/>
      <c r="AE411" s="38"/>
      <c r="AF411" s="38"/>
      <c r="AG411" s="38"/>
      <c r="AH411" s="38"/>
      <c r="AI411" s="38"/>
      <c r="AJ411" s="38"/>
      <c r="AK411" s="38"/>
      <c r="AL411" s="38"/>
      <c r="AM411" s="38"/>
      <c r="AN411" s="38"/>
      <c r="AO411" s="38"/>
      <c r="AP411" s="38"/>
      <c r="AQ411" s="38"/>
      <c r="AR411" s="38"/>
      <c r="AS411" s="38"/>
      <c r="AT411" s="38"/>
      <c r="AU411" s="38"/>
      <c r="AV411" s="38"/>
      <c r="AW411" s="671"/>
      <c r="AX411" s="38"/>
      <c r="AY411" s="38"/>
      <c r="AZ411" s="38"/>
      <c r="BA411" s="475"/>
      <c r="BB411" s="475"/>
      <c r="BC411" s="475"/>
      <c r="BD411" s="475"/>
      <c r="BE411" s="475"/>
      <c r="BF411" s="475"/>
      <c r="BG411" s="475"/>
    </row>
    <row r="412" spans="1:59">
      <c r="A412" s="38"/>
      <c r="B412" s="38"/>
      <c r="C412" s="38"/>
      <c r="D412" s="38"/>
      <c r="E412" s="38"/>
      <c r="F412" s="38"/>
      <c r="G412" s="52"/>
      <c r="H412" s="38"/>
      <c r="I412" s="38"/>
      <c r="J412" s="52"/>
      <c r="K412" s="52"/>
      <c r="L412" s="38"/>
      <c r="M412" s="38"/>
      <c r="N412" s="38"/>
      <c r="O412" s="38"/>
      <c r="P412" s="38"/>
      <c r="Q412" s="38"/>
      <c r="R412" s="38"/>
      <c r="S412" s="38"/>
      <c r="T412" s="38"/>
      <c r="U412" s="38"/>
      <c r="V412" s="38"/>
      <c r="W412" s="38"/>
      <c r="X412" s="38"/>
      <c r="Y412" s="38"/>
      <c r="Z412" s="38"/>
      <c r="AA412" s="38"/>
      <c r="AB412" s="38"/>
      <c r="AC412" s="38"/>
      <c r="AD412" s="38"/>
      <c r="AE412" s="38"/>
      <c r="AF412" s="38"/>
      <c r="AG412" s="38"/>
      <c r="AH412" s="38"/>
      <c r="AI412" s="38"/>
      <c r="AJ412" s="38"/>
      <c r="AK412" s="38"/>
      <c r="AL412" s="38"/>
      <c r="AM412" s="38"/>
      <c r="AN412" s="38"/>
      <c r="AO412" s="38"/>
      <c r="AP412" s="38"/>
      <c r="AQ412" s="38"/>
      <c r="AR412" s="38"/>
      <c r="AS412" s="38"/>
      <c r="AT412" s="38"/>
      <c r="AU412" s="38"/>
      <c r="AV412" s="38"/>
      <c r="AW412" s="671"/>
      <c r="AX412" s="38"/>
      <c r="AY412" s="38"/>
      <c r="AZ412" s="38"/>
      <c r="BA412" s="475"/>
      <c r="BB412" s="475"/>
      <c r="BC412" s="475"/>
      <c r="BD412" s="475"/>
      <c r="BE412" s="475"/>
      <c r="BF412" s="475"/>
      <c r="BG412" s="475"/>
    </row>
    <row r="413" spans="1:59">
      <c r="A413" s="38"/>
      <c r="B413" s="38"/>
      <c r="C413" s="38"/>
      <c r="D413" s="38"/>
      <c r="E413" s="38"/>
      <c r="F413" s="38"/>
      <c r="G413" s="52"/>
      <c r="H413" s="38"/>
      <c r="I413" s="38"/>
      <c r="J413" s="52"/>
      <c r="K413" s="52"/>
      <c r="L413" s="38"/>
      <c r="M413" s="38"/>
      <c r="N413" s="38"/>
      <c r="O413" s="38"/>
      <c r="P413" s="38"/>
      <c r="Q413" s="38"/>
      <c r="R413" s="38"/>
      <c r="S413" s="38"/>
      <c r="T413" s="38"/>
      <c r="U413" s="38"/>
      <c r="V413" s="38"/>
      <c r="W413" s="38"/>
      <c r="X413" s="38"/>
      <c r="Y413" s="38"/>
      <c r="Z413" s="38"/>
      <c r="AA413" s="38"/>
      <c r="AB413" s="38"/>
      <c r="AC413" s="38"/>
      <c r="AD413" s="38"/>
      <c r="AE413" s="38"/>
      <c r="AF413" s="38"/>
      <c r="AG413" s="38"/>
      <c r="AH413" s="38"/>
      <c r="AI413" s="38"/>
      <c r="AJ413" s="38"/>
      <c r="AK413" s="38"/>
      <c r="AL413" s="38"/>
      <c r="AM413" s="38"/>
      <c r="AN413" s="38"/>
      <c r="AO413" s="38"/>
      <c r="AP413" s="38"/>
      <c r="AQ413" s="38"/>
      <c r="AR413" s="38"/>
      <c r="AS413" s="38"/>
      <c r="AT413" s="38"/>
      <c r="AU413" s="38"/>
      <c r="AV413" s="38"/>
      <c r="AW413" s="671"/>
      <c r="AX413" s="38"/>
      <c r="AY413" s="38"/>
      <c r="AZ413" s="38"/>
      <c r="BA413" s="475"/>
      <c r="BB413" s="475"/>
      <c r="BC413" s="475"/>
      <c r="BD413" s="475"/>
      <c r="BE413" s="475"/>
      <c r="BF413" s="475"/>
      <c r="BG413" s="475"/>
    </row>
    <row r="414" spans="1:59">
      <c r="A414" s="38"/>
      <c r="B414" s="38"/>
      <c r="C414" s="38"/>
      <c r="D414" s="38"/>
      <c r="E414" s="38"/>
      <c r="F414" s="38"/>
      <c r="G414" s="52"/>
      <c r="H414" s="38"/>
      <c r="I414" s="38"/>
      <c r="J414" s="52"/>
      <c r="K414" s="52"/>
      <c r="L414" s="38"/>
      <c r="M414" s="38"/>
      <c r="N414" s="38"/>
      <c r="O414" s="38"/>
      <c r="P414" s="38"/>
      <c r="Q414" s="38"/>
      <c r="R414" s="38"/>
      <c r="S414" s="38"/>
      <c r="T414" s="38"/>
      <c r="U414" s="38"/>
      <c r="V414" s="38"/>
      <c r="W414" s="38"/>
      <c r="X414" s="38"/>
      <c r="Y414" s="38"/>
      <c r="Z414" s="38"/>
      <c r="AA414" s="38"/>
      <c r="AB414" s="38"/>
      <c r="AC414" s="38"/>
      <c r="AD414" s="38"/>
      <c r="AE414" s="38"/>
      <c r="AF414" s="38"/>
      <c r="AG414" s="38"/>
      <c r="AH414" s="38"/>
      <c r="AI414" s="38"/>
      <c r="AJ414" s="38"/>
      <c r="AK414" s="38"/>
      <c r="AL414" s="38"/>
      <c r="AM414" s="38"/>
      <c r="AN414" s="38"/>
      <c r="AO414" s="38"/>
      <c r="AP414" s="38"/>
      <c r="AQ414" s="38"/>
      <c r="AR414" s="38"/>
      <c r="AS414" s="38"/>
      <c r="AT414" s="38"/>
      <c r="AU414" s="38"/>
      <c r="AV414" s="38"/>
      <c r="AW414" s="671"/>
      <c r="AX414" s="38"/>
      <c r="AY414" s="38"/>
      <c r="AZ414" s="38"/>
      <c r="BA414" s="475"/>
      <c r="BB414" s="475"/>
      <c r="BC414" s="475"/>
      <c r="BD414" s="475"/>
      <c r="BE414" s="475"/>
      <c r="BF414" s="475"/>
      <c r="BG414" s="475"/>
    </row>
    <row r="415" spans="1:59">
      <c r="A415" s="38"/>
      <c r="B415" s="38"/>
      <c r="C415" s="38"/>
      <c r="D415" s="38"/>
      <c r="E415" s="38"/>
      <c r="F415" s="38"/>
      <c r="G415" s="52"/>
      <c r="H415" s="38"/>
      <c r="I415" s="38"/>
      <c r="J415" s="52"/>
      <c r="K415" s="52"/>
      <c r="L415" s="38"/>
      <c r="M415" s="38"/>
      <c r="N415" s="38"/>
      <c r="O415" s="38"/>
      <c r="P415" s="38"/>
      <c r="Q415" s="38"/>
      <c r="R415" s="38"/>
      <c r="S415" s="38"/>
      <c r="T415" s="38"/>
      <c r="U415" s="38"/>
      <c r="V415" s="38"/>
      <c r="W415" s="38"/>
      <c r="X415" s="38"/>
      <c r="Y415" s="38"/>
      <c r="Z415" s="38"/>
      <c r="AA415" s="38"/>
      <c r="AB415" s="38"/>
      <c r="AC415" s="38"/>
      <c r="AD415" s="38"/>
      <c r="AE415" s="38"/>
      <c r="AF415" s="38"/>
      <c r="AG415" s="38"/>
      <c r="AH415" s="38"/>
      <c r="AI415" s="38"/>
      <c r="AJ415" s="38"/>
      <c r="AK415" s="38"/>
      <c r="AL415" s="38"/>
      <c r="AM415" s="38"/>
      <c r="AN415" s="38"/>
      <c r="AO415" s="38"/>
      <c r="AP415" s="38"/>
      <c r="AQ415" s="38"/>
      <c r="AR415" s="38"/>
      <c r="AS415" s="38"/>
      <c r="AT415" s="38"/>
      <c r="AU415" s="38"/>
      <c r="AV415" s="38"/>
      <c r="AW415" s="671"/>
      <c r="AX415" s="38"/>
      <c r="AY415" s="38"/>
      <c r="AZ415" s="38"/>
      <c r="BA415" s="475"/>
      <c r="BB415" s="475"/>
      <c r="BC415" s="475"/>
      <c r="BD415" s="475"/>
      <c r="BE415" s="475"/>
      <c r="BF415" s="475"/>
      <c r="BG415" s="475"/>
    </row>
    <row r="416" spans="1:59">
      <c r="A416" s="38"/>
      <c r="B416" s="38"/>
      <c r="C416" s="38"/>
      <c r="D416" s="38"/>
      <c r="E416" s="38"/>
      <c r="F416" s="38"/>
      <c r="G416" s="52"/>
      <c r="H416" s="38"/>
      <c r="I416" s="38"/>
      <c r="J416" s="52"/>
      <c r="K416" s="52"/>
      <c r="L416" s="38"/>
      <c r="M416" s="38"/>
      <c r="N416" s="38"/>
      <c r="O416" s="38"/>
      <c r="P416" s="38"/>
      <c r="Q416" s="38"/>
      <c r="R416" s="38"/>
      <c r="S416" s="38"/>
      <c r="T416" s="38"/>
      <c r="U416" s="38"/>
      <c r="V416" s="38"/>
      <c r="W416" s="38"/>
      <c r="X416" s="38"/>
      <c r="Y416" s="38"/>
      <c r="Z416" s="38"/>
      <c r="AA416" s="38"/>
      <c r="AB416" s="38"/>
      <c r="AC416" s="38"/>
      <c r="AD416" s="38"/>
      <c r="AE416" s="38"/>
      <c r="AF416" s="38"/>
      <c r="AG416" s="38"/>
      <c r="AH416" s="38"/>
      <c r="AI416" s="38"/>
      <c r="AJ416" s="38"/>
      <c r="AK416" s="38"/>
      <c r="AL416" s="38"/>
      <c r="AM416" s="38"/>
      <c r="AN416" s="38"/>
      <c r="AO416" s="38"/>
      <c r="AP416" s="38"/>
      <c r="AQ416" s="38"/>
      <c r="AR416" s="38"/>
      <c r="AS416" s="38"/>
      <c r="AT416" s="38"/>
      <c r="AU416" s="38"/>
      <c r="AV416" s="38"/>
      <c r="AW416" s="671"/>
      <c r="AX416" s="38"/>
      <c r="AY416" s="38"/>
      <c r="AZ416" s="38"/>
      <c r="BA416" s="475"/>
      <c r="BB416" s="475"/>
      <c r="BC416" s="475"/>
      <c r="BD416" s="475"/>
      <c r="BE416" s="475"/>
      <c r="BF416" s="475"/>
      <c r="BG416" s="475"/>
    </row>
    <row r="417" spans="1:59">
      <c r="A417" s="38"/>
      <c r="B417" s="38"/>
      <c r="C417" s="38"/>
      <c r="D417" s="38"/>
      <c r="E417" s="38"/>
      <c r="F417" s="38"/>
      <c r="G417" s="52"/>
      <c r="H417" s="38"/>
      <c r="I417" s="38"/>
      <c r="J417" s="52"/>
      <c r="K417" s="52"/>
      <c r="L417" s="38"/>
      <c r="M417" s="38"/>
      <c r="N417" s="38"/>
      <c r="O417" s="38"/>
      <c r="P417" s="38"/>
      <c r="Q417" s="38"/>
      <c r="R417" s="38"/>
      <c r="S417" s="38"/>
      <c r="T417" s="38"/>
      <c r="U417" s="38"/>
      <c r="V417" s="38"/>
      <c r="W417" s="38"/>
      <c r="X417" s="38"/>
      <c r="Y417" s="38"/>
      <c r="Z417" s="38"/>
      <c r="AA417" s="38"/>
      <c r="AB417" s="38"/>
      <c r="AC417" s="38"/>
      <c r="AD417" s="38"/>
      <c r="AE417" s="38"/>
      <c r="AF417" s="38"/>
      <c r="AG417" s="38"/>
      <c r="AH417" s="38"/>
      <c r="AI417" s="38"/>
      <c r="AJ417" s="38"/>
      <c r="AK417" s="38"/>
      <c r="AL417" s="38"/>
      <c r="AM417" s="38"/>
      <c r="AN417" s="38"/>
      <c r="AO417" s="38"/>
      <c r="AP417" s="38"/>
      <c r="AQ417" s="38"/>
      <c r="AR417" s="38"/>
      <c r="AS417" s="38"/>
      <c r="AT417" s="38"/>
      <c r="AU417" s="38"/>
      <c r="AV417" s="38"/>
      <c r="AW417" s="671"/>
      <c r="AX417" s="38"/>
      <c r="AY417" s="38"/>
      <c r="AZ417" s="38"/>
      <c r="BA417" s="475"/>
      <c r="BB417" s="475"/>
      <c r="BC417" s="475"/>
      <c r="BD417" s="475"/>
      <c r="BE417" s="475"/>
      <c r="BF417" s="475"/>
      <c r="BG417" s="475"/>
    </row>
    <row r="418" spans="1:59">
      <c r="A418" s="38"/>
      <c r="B418" s="38"/>
      <c r="C418" s="38"/>
      <c r="D418" s="38"/>
      <c r="E418" s="38"/>
      <c r="F418" s="38"/>
      <c r="G418" s="52"/>
      <c r="H418" s="38"/>
      <c r="I418" s="38"/>
      <c r="J418" s="52"/>
      <c r="K418" s="52"/>
      <c r="L418" s="38"/>
      <c r="M418" s="38"/>
      <c r="N418" s="38"/>
      <c r="O418" s="38"/>
      <c r="P418" s="38"/>
      <c r="Q418" s="38"/>
      <c r="R418" s="38"/>
      <c r="S418" s="38"/>
      <c r="T418" s="38"/>
      <c r="U418" s="38"/>
      <c r="V418" s="38"/>
      <c r="W418" s="38"/>
      <c r="X418" s="38"/>
      <c r="Y418" s="38"/>
      <c r="Z418" s="38"/>
      <c r="AA418" s="38"/>
      <c r="AB418" s="38"/>
      <c r="AC418" s="38"/>
      <c r="AD418" s="38"/>
      <c r="AE418" s="38"/>
      <c r="AF418" s="38"/>
      <c r="AG418" s="38"/>
      <c r="AH418" s="38"/>
      <c r="AI418" s="38"/>
      <c r="AJ418" s="38"/>
      <c r="AK418" s="38"/>
      <c r="AL418" s="38"/>
      <c r="AM418" s="38"/>
      <c r="AN418" s="38"/>
      <c r="AO418" s="38"/>
      <c r="AP418" s="38"/>
      <c r="AQ418" s="38"/>
      <c r="AR418" s="38"/>
      <c r="AS418" s="38"/>
      <c r="AT418" s="38"/>
      <c r="AU418" s="38"/>
      <c r="AV418" s="38"/>
      <c r="AW418" s="671"/>
      <c r="AX418" s="38"/>
      <c r="AY418" s="38"/>
      <c r="AZ418" s="38"/>
      <c r="BA418" s="475"/>
      <c r="BB418" s="475"/>
      <c r="BC418" s="475"/>
      <c r="BD418" s="475"/>
      <c r="BE418" s="475"/>
      <c r="BF418" s="475"/>
      <c r="BG418" s="475"/>
    </row>
    <row r="419" spans="1:59">
      <c r="A419" s="38"/>
      <c r="B419" s="38"/>
      <c r="C419" s="38"/>
      <c r="D419" s="38"/>
      <c r="E419" s="38"/>
      <c r="F419" s="38"/>
      <c r="G419" s="52"/>
      <c r="H419" s="38"/>
      <c r="I419" s="38"/>
      <c r="J419" s="52"/>
      <c r="K419" s="52"/>
      <c r="L419" s="38"/>
      <c r="M419" s="38"/>
      <c r="N419" s="38"/>
      <c r="O419" s="38"/>
      <c r="P419" s="38"/>
      <c r="Q419" s="38"/>
      <c r="R419" s="38"/>
      <c r="S419" s="38"/>
      <c r="T419" s="38"/>
      <c r="U419" s="38"/>
      <c r="V419" s="38"/>
      <c r="W419" s="38"/>
      <c r="X419" s="38"/>
      <c r="Y419" s="38"/>
      <c r="Z419" s="38"/>
      <c r="AA419" s="38"/>
      <c r="AB419" s="38"/>
      <c r="AC419" s="38"/>
      <c r="AD419" s="38"/>
      <c r="AE419" s="38"/>
      <c r="AF419" s="38"/>
      <c r="AG419" s="38"/>
      <c r="AH419" s="38"/>
      <c r="AI419" s="38"/>
      <c r="AJ419" s="38"/>
      <c r="AK419" s="38"/>
      <c r="AL419" s="38"/>
      <c r="AM419" s="38"/>
      <c r="AN419" s="38"/>
      <c r="AO419" s="38"/>
      <c r="AP419" s="38"/>
      <c r="AQ419" s="38"/>
      <c r="AR419" s="38"/>
      <c r="AS419" s="38"/>
      <c r="AT419" s="38"/>
      <c r="AU419" s="38"/>
      <c r="AV419" s="38"/>
      <c r="AW419" s="671"/>
      <c r="AX419" s="38"/>
      <c r="AY419" s="38"/>
      <c r="AZ419" s="38"/>
      <c r="BA419" s="475"/>
      <c r="BB419" s="475"/>
      <c r="BC419" s="475"/>
      <c r="BD419" s="475"/>
      <c r="BE419" s="475"/>
      <c r="BF419" s="475"/>
      <c r="BG419" s="475"/>
    </row>
    <row r="420" spans="1:59">
      <c r="A420" s="38"/>
      <c r="B420" s="38"/>
      <c r="C420" s="38"/>
      <c r="D420" s="38"/>
      <c r="E420" s="38"/>
      <c r="F420" s="38"/>
      <c r="G420" s="52"/>
      <c r="H420" s="38"/>
      <c r="I420" s="38"/>
      <c r="J420" s="52"/>
      <c r="K420" s="52"/>
      <c r="L420" s="38"/>
      <c r="M420" s="38"/>
      <c r="N420" s="38"/>
      <c r="O420" s="38"/>
      <c r="P420" s="38"/>
      <c r="Q420" s="38"/>
      <c r="R420" s="38"/>
      <c r="S420" s="38"/>
      <c r="T420" s="38"/>
      <c r="U420" s="38"/>
      <c r="V420" s="38"/>
      <c r="W420" s="38"/>
      <c r="X420" s="38"/>
      <c r="Y420" s="38"/>
      <c r="Z420" s="38"/>
      <c r="AA420" s="38"/>
      <c r="AB420" s="38"/>
      <c r="AC420" s="38"/>
      <c r="AD420" s="38"/>
      <c r="AE420" s="38"/>
      <c r="AF420" s="38"/>
      <c r="AG420" s="38"/>
      <c r="AH420" s="38"/>
      <c r="AI420" s="38"/>
      <c r="AJ420" s="38"/>
      <c r="AK420" s="38"/>
      <c r="AL420" s="38"/>
      <c r="AM420" s="38"/>
      <c r="AN420" s="38"/>
      <c r="AO420" s="38"/>
      <c r="AP420" s="38"/>
      <c r="AQ420" s="38"/>
      <c r="AR420" s="38"/>
      <c r="AS420" s="38"/>
      <c r="AT420" s="38"/>
      <c r="AU420" s="38"/>
      <c r="AV420" s="38"/>
      <c r="AW420" s="671"/>
      <c r="AX420" s="38"/>
      <c r="AY420" s="38"/>
      <c r="AZ420" s="38"/>
      <c r="BA420" s="475"/>
      <c r="BB420" s="475"/>
      <c r="BC420" s="475"/>
      <c r="BD420" s="475"/>
      <c r="BE420" s="475"/>
      <c r="BF420" s="475"/>
      <c r="BG420" s="475"/>
    </row>
    <row r="421" spans="1:59">
      <c r="A421" s="38"/>
      <c r="B421" s="38"/>
      <c r="C421" s="38"/>
      <c r="D421" s="38"/>
      <c r="E421" s="38"/>
      <c r="F421" s="38"/>
      <c r="G421" s="52"/>
      <c r="H421" s="38"/>
      <c r="I421" s="38"/>
      <c r="J421" s="52"/>
      <c r="K421" s="52"/>
      <c r="L421" s="38"/>
      <c r="M421" s="38"/>
      <c r="N421" s="38"/>
      <c r="O421" s="38"/>
      <c r="P421" s="38"/>
      <c r="Q421" s="38"/>
      <c r="R421" s="38"/>
      <c r="S421" s="38"/>
      <c r="T421" s="38"/>
      <c r="U421" s="38"/>
      <c r="V421" s="38"/>
      <c r="W421" s="38"/>
      <c r="X421" s="38"/>
      <c r="Y421" s="38"/>
      <c r="Z421" s="38"/>
      <c r="AA421" s="38"/>
      <c r="AB421" s="38"/>
      <c r="AC421" s="38"/>
      <c r="AD421" s="38"/>
      <c r="AE421" s="38"/>
      <c r="AF421" s="38"/>
      <c r="AG421" s="38"/>
      <c r="AH421" s="38"/>
      <c r="AI421" s="38"/>
      <c r="AJ421" s="38"/>
      <c r="AK421" s="38"/>
      <c r="AL421" s="38"/>
      <c r="AM421" s="38"/>
      <c r="AN421" s="38"/>
      <c r="AO421" s="38"/>
      <c r="AP421" s="38"/>
      <c r="AQ421" s="38"/>
      <c r="AR421" s="38"/>
      <c r="AS421" s="38"/>
      <c r="AT421" s="38"/>
      <c r="AU421" s="38"/>
      <c r="AV421" s="38"/>
      <c r="AW421" s="671"/>
      <c r="AX421" s="38"/>
      <c r="AY421" s="38"/>
      <c r="AZ421" s="38"/>
      <c r="BA421" s="475"/>
      <c r="BB421" s="475"/>
      <c r="BC421" s="475"/>
      <c r="BD421" s="475"/>
      <c r="BE421" s="475"/>
      <c r="BF421" s="475"/>
      <c r="BG421" s="475"/>
    </row>
    <row r="422" spans="1:59">
      <c r="A422" s="38"/>
      <c r="B422" s="38"/>
      <c r="C422" s="38"/>
      <c r="D422" s="38"/>
      <c r="E422" s="38"/>
      <c r="F422" s="38"/>
      <c r="G422" s="52"/>
      <c r="H422" s="38"/>
      <c r="I422" s="38"/>
      <c r="J422" s="52"/>
      <c r="K422" s="52"/>
      <c r="L422" s="38"/>
      <c r="M422" s="38"/>
      <c r="N422" s="38"/>
      <c r="O422" s="38"/>
      <c r="P422" s="38"/>
      <c r="Q422" s="38"/>
      <c r="R422" s="38"/>
      <c r="S422" s="38"/>
      <c r="T422" s="38"/>
      <c r="U422" s="38"/>
      <c r="V422" s="38"/>
      <c r="W422" s="38"/>
      <c r="X422" s="38"/>
      <c r="Y422" s="38"/>
      <c r="Z422" s="38"/>
      <c r="AA422" s="38"/>
      <c r="AB422" s="38"/>
      <c r="AC422" s="38"/>
      <c r="AD422" s="38"/>
      <c r="AE422" s="38"/>
      <c r="AF422" s="38"/>
      <c r="AG422" s="38"/>
      <c r="AH422" s="38"/>
      <c r="AI422" s="38"/>
      <c r="AJ422" s="38"/>
      <c r="AK422" s="38"/>
      <c r="AL422" s="38"/>
      <c r="AM422" s="38"/>
      <c r="AN422" s="38"/>
      <c r="AO422" s="38"/>
      <c r="AP422" s="38"/>
      <c r="AQ422" s="38"/>
      <c r="AR422" s="38"/>
      <c r="AS422" s="38"/>
      <c r="AT422" s="38"/>
      <c r="AU422" s="38"/>
      <c r="AV422" s="38"/>
      <c r="AW422" s="671"/>
      <c r="AX422" s="38"/>
      <c r="AY422" s="38"/>
      <c r="AZ422" s="38"/>
      <c r="BA422" s="475"/>
      <c r="BB422" s="475"/>
      <c r="BC422" s="475"/>
      <c r="BD422" s="475"/>
      <c r="BE422" s="475"/>
      <c r="BF422" s="475"/>
      <c r="BG422" s="475"/>
    </row>
    <row r="423" spans="1:59">
      <c r="A423" s="38"/>
      <c r="B423" s="38"/>
      <c r="C423" s="38"/>
      <c r="D423" s="38"/>
      <c r="E423" s="38"/>
      <c r="F423" s="38"/>
      <c r="G423" s="52"/>
      <c r="H423" s="38"/>
      <c r="I423" s="38"/>
      <c r="J423" s="52"/>
      <c r="K423" s="52"/>
      <c r="L423" s="38"/>
      <c r="M423" s="38"/>
      <c r="N423" s="38"/>
      <c r="O423" s="38"/>
      <c r="P423" s="38"/>
      <c r="Q423" s="38"/>
      <c r="R423" s="38"/>
      <c r="S423" s="38"/>
      <c r="T423" s="38"/>
      <c r="U423" s="38"/>
      <c r="V423" s="38"/>
      <c r="W423" s="38"/>
      <c r="X423" s="38"/>
      <c r="Y423" s="38"/>
      <c r="Z423" s="38"/>
      <c r="AA423" s="38"/>
      <c r="AB423" s="38"/>
      <c r="AC423" s="38"/>
      <c r="AD423" s="38"/>
      <c r="AE423" s="38"/>
      <c r="AF423" s="38"/>
      <c r="AG423" s="38"/>
      <c r="AH423" s="38"/>
      <c r="AI423" s="38"/>
      <c r="AJ423" s="38"/>
      <c r="AK423" s="38"/>
      <c r="AL423" s="38"/>
      <c r="AM423" s="38"/>
      <c r="AN423" s="38"/>
      <c r="AO423" s="38"/>
      <c r="AP423" s="38"/>
      <c r="AQ423" s="38"/>
      <c r="AR423" s="38"/>
      <c r="AS423" s="38"/>
      <c r="AT423" s="38"/>
      <c r="AU423" s="38"/>
      <c r="AV423" s="38"/>
      <c r="AW423" s="671"/>
      <c r="AX423" s="38"/>
      <c r="AY423" s="38"/>
      <c r="AZ423" s="38"/>
      <c r="BA423" s="475"/>
      <c r="BB423" s="475"/>
      <c r="BC423" s="475"/>
      <c r="BD423" s="475"/>
      <c r="BE423" s="475"/>
      <c r="BF423" s="475"/>
      <c r="BG423" s="475"/>
    </row>
    <row r="424" spans="1:59">
      <c r="A424" s="38"/>
      <c r="B424" s="38"/>
      <c r="C424" s="38"/>
      <c r="D424" s="38"/>
      <c r="E424" s="38"/>
      <c r="F424" s="38"/>
      <c r="G424" s="52"/>
      <c r="H424" s="38"/>
      <c r="I424" s="38"/>
      <c r="J424" s="52"/>
      <c r="K424" s="52"/>
      <c r="L424" s="38"/>
      <c r="M424" s="38"/>
      <c r="N424" s="38"/>
      <c r="O424" s="38"/>
      <c r="P424" s="38"/>
      <c r="Q424" s="38"/>
      <c r="R424" s="38"/>
      <c r="S424" s="38"/>
      <c r="T424" s="38"/>
      <c r="U424" s="38"/>
      <c r="V424" s="38"/>
      <c r="W424" s="38"/>
      <c r="X424" s="38"/>
      <c r="Y424" s="38"/>
      <c r="Z424" s="38"/>
      <c r="AA424" s="38"/>
      <c r="AB424" s="38"/>
      <c r="AC424" s="38"/>
      <c r="AD424" s="38"/>
      <c r="AE424" s="38"/>
      <c r="AF424" s="38"/>
      <c r="AG424" s="38"/>
      <c r="AH424" s="38"/>
      <c r="AI424" s="38"/>
      <c r="AJ424" s="38"/>
      <c r="AK424" s="38"/>
      <c r="AL424" s="38"/>
      <c r="AM424" s="38"/>
      <c r="AN424" s="38"/>
      <c r="AO424" s="38"/>
      <c r="AP424" s="38"/>
      <c r="AQ424" s="38"/>
      <c r="AR424" s="38"/>
      <c r="AS424" s="38"/>
      <c r="AT424" s="38"/>
      <c r="AU424" s="38"/>
      <c r="AV424" s="38"/>
      <c r="AW424" s="671"/>
      <c r="AX424" s="38"/>
      <c r="AY424" s="38"/>
      <c r="AZ424" s="38"/>
      <c r="BA424" s="475"/>
      <c r="BB424" s="475"/>
      <c r="BC424" s="475"/>
      <c r="BD424" s="475"/>
      <c r="BE424" s="475"/>
      <c r="BF424" s="475"/>
      <c r="BG424" s="475"/>
    </row>
    <row r="425" spans="1:59">
      <c r="A425" s="38"/>
      <c r="B425" s="38"/>
      <c r="C425" s="38"/>
      <c r="D425" s="38"/>
      <c r="E425" s="38"/>
      <c r="F425" s="38"/>
      <c r="G425" s="52"/>
      <c r="H425" s="38"/>
      <c r="I425" s="38"/>
      <c r="J425" s="52"/>
      <c r="K425" s="52"/>
      <c r="L425" s="38"/>
      <c r="M425" s="38"/>
      <c r="N425" s="38"/>
      <c r="O425" s="38"/>
      <c r="P425" s="38"/>
      <c r="Q425" s="38"/>
      <c r="R425" s="38"/>
      <c r="S425" s="38"/>
      <c r="T425" s="38"/>
      <c r="U425" s="38"/>
      <c r="V425" s="38"/>
      <c r="W425" s="38"/>
      <c r="X425" s="38"/>
      <c r="Y425" s="38"/>
      <c r="Z425" s="38"/>
      <c r="AA425" s="38"/>
      <c r="AB425" s="38"/>
      <c r="AC425" s="38"/>
      <c r="AD425" s="38"/>
      <c r="AE425" s="38"/>
      <c r="AF425" s="38"/>
      <c r="AG425" s="38"/>
      <c r="AH425" s="38"/>
      <c r="AI425" s="38"/>
      <c r="AJ425" s="38"/>
      <c r="AK425" s="38"/>
      <c r="AL425" s="38"/>
      <c r="AM425" s="38"/>
      <c r="AN425" s="38"/>
      <c r="AO425" s="38"/>
      <c r="AP425" s="38"/>
      <c r="AQ425" s="38"/>
      <c r="AR425" s="38"/>
      <c r="AS425" s="38"/>
      <c r="AT425" s="38"/>
      <c r="AU425" s="38"/>
      <c r="AV425" s="38"/>
      <c r="AW425" s="671"/>
      <c r="AX425" s="38"/>
      <c r="AY425" s="38"/>
      <c r="AZ425" s="38"/>
      <c r="BA425" s="475"/>
      <c r="BB425" s="475"/>
      <c r="BC425" s="475"/>
      <c r="BD425" s="475"/>
      <c r="BE425" s="475"/>
      <c r="BF425" s="475"/>
      <c r="BG425" s="475"/>
    </row>
    <row r="426" spans="1:59">
      <c r="A426" s="38"/>
      <c r="B426" s="38"/>
      <c r="C426" s="38"/>
      <c r="D426" s="38"/>
      <c r="E426" s="38"/>
      <c r="F426" s="38"/>
      <c r="G426" s="52"/>
      <c r="H426" s="38"/>
      <c r="I426" s="38"/>
      <c r="J426" s="52"/>
      <c r="K426" s="52"/>
      <c r="L426" s="38"/>
      <c r="M426" s="38"/>
      <c r="N426" s="38"/>
      <c r="O426" s="38"/>
      <c r="P426" s="38"/>
      <c r="Q426" s="38"/>
      <c r="R426" s="38"/>
      <c r="S426" s="38"/>
      <c r="T426" s="38"/>
      <c r="U426" s="38"/>
      <c r="V426" s="38"/>
      <c r="W426" s="38"/>
      <c r="X426" s="38"/>
      <c r="Y426" s="38"/>
      <c r="Z426" s="38"/>
      <c r="AA426" s="38"/>
      <c r="AB426" s="38"/>
      <c r="AC426" s="38"/>
      <c r="AD426" s="38"/>
      <c r="AE426" s="38"/>
      <c r="AF426" s="38"/>
      <c r="AG426" s="38"/>
      <c r="AH426" s="38"/>
      <c r="AI426" s="38"/>
      <c r="AJ426" s="38"/>
      <c r="AK426" s="38"/>
      <c r="AL426" s="38"/>
      <c r="AM426" s="38"/>
      <c r="AN426" s="38"/>
      <c r="AO426" s="38"/>
      <c r="AP426" s="38"/>
      <c r="AQ426" s="38"/>
      <c r="AR426" s="38"/>
      <c r="AS426" s="38"/>
      <c r="AT426" s="38"/>
      <c r="AU426" s="38"/>
      <c r="AV426" s="38"/>
      <c r="AW426" s="671"/>
      <c r="AX426" s="38"/>
      <c r="AY426" s="38"/>
      <c r="AZ426" s="38"/>
      <c r="BA426" s="475"/>
      <c r="BB426" s="475"/>
      <c r="BC426" s="475"/>
      <c r="BD426" s="475"/>
      <c r="BE426" s="475"/>
      <c r="BF426" s="475"/>
      <c r="BG426" s="475"/>
    </row>
    <row r="427" spans="1:59">
      <c r="A427" s="38"/>
      <c r="B427" s="38"/>
      <c r="C427" s="38"/>
      <c r="D427" s="38"/>
      <c r="E427" s="38"/>
      <c r="F427" s="38"/>
      <c r="G427" s="52"/>
      <c r="H427" s="38"/>
      <c r="I427" s="38"/>
      <c r="J427" s="52"/>
      <c r="K427" s="52"/>
      <c r="L427" s="38"/>
      <c r="M427" s="38"/>
      <c r="N427" s="38"/>
      <c r="O427" s="38"/>
      <c r="P427" s="38"/>
      <c r="Q427" s="38"/>
      <c r="R427" s="38"/>
      <c r="S427" s="38"/>
      <c r="T427" s="38"/>
      <c r="U427" s="38"/>
      <c r="V427" s="38"/>
      <c r="W427" s="38"/>
      <c r="X427" s="38"/>
      <c r="Y427" s="38"/>
      <c r="Z427" s="38"/>
      <c r="AA427" s="38"/>
      <c r="AB427" s="38"/>
      <c r="AC427" s="38"/>
      <c r="AD427" s="38"/>
      <c r="AE427" s="38"/>
      <c r="AF427" s="38"/>
      <c r="AG427" s="38"/>
      <c r="AH427" s="38"/>
      <c r="AI427" s="38"/>
      <c r="AJ427" s="38"/>
      <c r="AK427" s="38"/>
      <c r="AL427" s="38"/>
      <c r="AM427" s="38"/>
      <c r="AN427" s="38"/>
      <c r="AO427" s="38"/>
      <c r="AP427" s="38"/>
      <c r="AQ427" s="38"/>
      <c r="AR427" s="38"/>
      <c r="AS427" s="38"/>
      <c r="AT427" s="38"/>
      <c r="AU427" s="38"/>
      <c r="AV427" s="38"/>
      <c r="AW427" s="671"/>
      <c r="AX427" s="38"/>
      <c r="AY427" s="38"/>
      <c r="AZ427" s="38"/>
      <c r="BA427" s="475"/>
      <c r="BB427" s="475"/>
      <c r="BC427" s="475"/>
      <c r="BD427" s="475"/>
      <c r="BE427" s="475"/>
      <c r="BF427" s="475"/>
      <c r="BG427" s="475"/>
    </row>
    <row r="428" spans="1:59">
      <c r="A428" s="38"/>
      <c r="B428" s="38"/>
      <c r="C428" s="38"/>
      <c r="D428" s="38"/>
      <c r="E428" s="38"/>
      <c r="F428" s="38"/>
      <c r="G428" s="52"/>
      <c r="H428" s="38"/>
      <c r="I428" s="38"/>
      <c r="J428" s="52"/>
      <c r="K428" s="52"/>
      <c r="L428" s="38"/>
      <c r="M428" s="38"/>
      <c r="N428" s="38"/>
      <c r="O428" s="38"/>
      <c r="P428" s="38"/>
      <c r="Q428" s="38"/>
      <c r="R428" s="38"/>
      <c r="S428" s="38"/>
      <c r="T428" s="38"/>
      <c r="U428" s="38"/>
      <c r="V428" s="38"/>
      <c r="W428" s="38"/>
      <c r="X428" s="38"/>
      <c r="Y428" s="38"/>
      <c r="Z428" s="38"/>
      <c r="AA428" s="38"/>
      <c r="AB428" s="38"/>
      <c r="AC428" s="38"/>
      <c r="AD428" s="38"/>
      <c r="AE428" s="38"/>
      <c r="AF428" s="38"/>
      <c r="AG428" s="38"/>
      <c r="AH428" s="38"/>
      <c r="AI428" s="38"/>
      <c r="AJ428" s="38"/>
      <c r="AK428" s="38"/>
      <c r="AL428" s="38"/>
      <c r="AM428" s="38"/>
      <c r="AN428" s="38"/>
      <c r="AO428" s="38"/>
      <c r="AP428" s="38"/>
      <c r="AQ428" s="38"/>
      <c r="AR428" s="38"/>
      <c r="AS428" s="38"/>
      <c r="AT428" s="38"/>
      <c r="AU428" s="38"/>
      <c r="AV428" s="38"/>
      <c r="AW428" s="671"/>
      <c r="AX428" s="38"/>
      <c r="AY428" s="38"/>
      <c r="AZ428" s="38"/>
      <c r="BA428" s="475"/>
      <c r="BB428" s="475"/>
      <c r="BC428" s="475"/>
      <c r="BD428" s="475"/>
      <c r="BE428" s="475"/>
      <c r="BF428" s="475"/>
      <c r="BG428" s="475"/>
    </row>
    <row r="429" spans="1:59">
      <c r="A429" s="38"/>
      <c r="B429" s="38"/>
      <c r="C429" s="38"/>
      <c r="D429" s="38"/>
      <c r="E429" s="38"/>
      <c r="F429" s="38"/>
      <c r="G429" s="52"/>
      <c r="H429" s="38"/>
      <c r="I429" s="38"/>
      <c r="J429" s="52"/>
      <c r="K429" s="52"/>
      <c r="L429" s="38"/>
      <c r="M429" s="38"/>
      <c r="N429" s="38"/>
      <c r="O429" s="38"/>
      <c r="P429" s="38"/>
      <c r="Q429" s="38"/>
      <c r="R429" s="38"/>
      <c r="S429" s="38"/>
      <c r="T429" s="38"/>
      <c r="U429" s="38"/>
      <c r="V429" s="38"/>
      <c r="W429" s="38"/>
      <c r="X429" s="38"/>
      <c r="Y429" s="38"/>
      <c r="Z429" s="38"/>
      <c r="AA429" s="38"/>
      <c r="AB429" s="38"/>
      <c r="AC429" s="38"/>
      <c r="AD429" s="38"/>
      <c r="AE429" s="38"/>
      <c r="AF429" s="38"/>
      <c r="AG429" s="38"/>
      <c r="AH429" s="38"/>
      <c r="AI429" s="38"/>
      <c r="AJ429" s="38"/>
      <c r="AK429" s="38"/>
      <c r="AL429" s="38"/>
      <c r="AM429" s="38"/>
      <c r="AN429" s="38"/>
      <c r="AO429" s="38"/>
      <c r="AP429" s="38"/>
      <c r="AQ429" s="38"/>
      <c r="AR429" s="38"/>
      <c r="AS429" s="38"/>
      <c r="AT429" s="38"/>
      <c r="AU429" s="38"/>
      <c r="AV429" s="38"/>
      <c r="AW429" s="671"/>
      <c r="AX429" s="38"/>
      <c r="AY429" s="38"/>
      <c r="AZ429" s="38"/>
      <c r="BA429" s="475"/>
      <c r="BB429" s="475"/>
      <c r="BC429" s="475"/>
      <c r="BD429" s="475"/>
      <c r="BE429" s="475"/>
      <c r="BF429" s="475"/>
      <c r="BG429" s="475"/>
    </row>
    <row r="430" spans="1:59">
      <c r="A430" s="38"/>
      <c r="B430" s="38"/>
      <c r="C430" s="38"/>
      <c r="D430" s="38"/>
      <c r="E430" s="38"/>
      <c r="F430" s="38"/>
      <c r="G430" s="52"/>
      <c r="H430" s="38"/>
      <c r="I430" s="38"/>
      <c r="J430" s="52"/>
      <c r="K430" s="52"/>
      <c r="L430" s="38"/>
      <c r="M430" s="38"/>
      <c r="N430" s="38"/>
      <c r="O430" s="38"/>
      <c r="P430" s="38"/>
      <c r="Q430" s="38"/>
      <c r="R430" s="38"/>
      <c r="S430" s="38"/>
      <c r="T430" s="38"/>
      <c r="U430" s="38"/>
      <c r="V430" s="38"/>
      <c r="W430" s="38"/>
      <c r="X430" s="38"/>
      <c r="Y430" s="38"/>
      <c r="Z430" s="38"/>
      <c r="AA430" s="38"/>
      <c r="AB430" s="38"/>
      <c r="AC430" s="38"/>
      <c r="AD430" s="38"/>
      <c r="AE430" s="38"/>
      <c r="AF430" s="38"/>
      <c r="AG430" s="38"/>
      <c r="AH430" s="38"/>
      <c r="AI430" s="38"/>
      <c r="AJ430" s="38"/>
      <c r="AK430" s="38"/>
      <c r="AL430" s="38"/>
      <c r="AM430" s="38"/>
      <c r="AN430" s="38"/>
      <c r="AO430" s="38"/>
      <c r="AP430" s="38"/>
      <c r="AQ430" s="38"/>
      <c r="AR430" s="38"/>
      <c r="AS430" s="38"/>
      <c r="AT430" s="38"/>
      <c r="AU430" s="38"/>
      <c r="AV430" s="38"/>
      <c r="AW430" s="671"/>
      <c r="AX430" s="38"/>
      <c r="AY430" s="38"/>
      <c r="AZ430" s="38"/>
      <c r="BA430" s="475"/>
      <c r="BB430" s="475"/>
      <c r="BC430" s="475"/>
      <c r="BD430" s="475"/>
      <c r="BE430" s="475"/>
      <c r="BF430" s="475"/>
      <c r="BG430" s="475"/>
    </row>
    <row r="431" spans="1:59">
      <c r="A431" s="38"/>
      <c r="B431" s="38"/>
      <c r="C431" s="38"/>
      <c r="D431" s="38"/>
      <c r="E431" s="38"/>
      <c r="F431" s="38"/>
      <c r="G431" s="52"/>
      <c r="H431" s="38"/>
      <c r="I431" s="38"/>
      <c r="J431" s="52"/>
      <c r="K431" s="52"/>
      <c r="L431" s="38"/>
      <c r="M431" s="38"/>
      <c r="N431" s="38"/>
      <c r="O431" s="38"/>
      <c r="P431" s="38"/>
      <c r="Q431" s="38"/>
      <c r="R431" s="38"/>
      <c r="S431" s="38"/>
      <c r="T431" s="38"/>
      <c r="U431" s="38"/>
      <c r="V431" s="38"/>
      <c r="W431" s="38"/>
      <c r="X431" s="38"/>
      <c r="Y431" s="38"/>
      <c r="Z431" s="38"/>
      <c r="AA431" s="38"/>
      <c r="AB431" s="38"/>
      <c r="AC431" s="38"/>
      <c r="AD431" s="38"/>
      <c r="AE431" s="38"/>
      <c r="AF431" s="38"/>
      <c r="AG431" s="38"/>
      <c r="AH431" s="38"/>
      <c r="AI431" s="38"/>
      <c r="AJ431" s="38"/>
      <c r="AK431" s="38"/>
      <c r="AL431" s="38"/>
      <c r="AM431" s="38"/>
      <c r="AN431" s="38"/>
      <c r="AO431" s="38"/>
      <c r="AP431" s="38"/>
      <c r="AQ431" s="38"/>
      <c r="AR431" s="38"/>
      <c r="AS431" s="38"/>
      <c r="AT431" s="38"/>
      <c r="AU431" s="38"/>
      <c r="AV431" s="38"/>
      <c r="AW431" s="671"/>
      <c r="AX431" s="38"/>
      <c r="AY431" s="38"/>
      <c r="AZ431" s="38"/>
      <c r="BA431" s="475"/>
      <c r="BB431" s="475"/>
      <c r="BC431" s="475"/>
      <c r="BD431" s="475"/>
      <c r="BE431" s="475"/>
      <c r="BF431" s="475"/>
      <c r="BG431" s="475"/>
    </row>
    <row r="432" spans="1:59">
      <c r="A432" s="38"/>
      <c r="B432" s="38"/>
      <c r="C432" s="38"/>
      <c r="D432" s="38"/>
      <c r="E432" s="38"/>
      <c r="F432" s="38"/>
      <c r="G432" s="52"/>
      <c r="H432" s="38"/>
      <c r="I432" s="38"/>
      <c r="J432" s="52"/>
      <c r="K432" s="52"/>
      <c r="L432" s="38"/>
      <c r="M432" s="38"/>
      <c r="N432" s="38"/>
      <c r="O432" s="38"/>
      <c r="P432" s="38"/>
      <c r="Q432" s="38"/>
      <c r="R432" s="38"/>
      <c r="S432" s="38"/>
      <c r="T432" s="38"/>
      <c r="U432" s="38"/>
      <c r="V432" s="38"/>
      <c r="W432" s="38"/>
      <c r="X432" s="38"/>
      <c r="Y432" s="38"/>
      <c r="Z432" s="38"/>
      <c r="AA432" s="38"/>
      <c r="AB432" s="38"/>
      <c r="AC432" s="38"/>
      <c r="AD432" s="38"/>
      <c r="AE432" s="38"/>
      <c r="AF432" s="38"/>
      <c r="AG432" s="38"/>
      <c r="AH432" s="38"/>
      <c r="AI432" s="38"/>
      <c r="AJ432" s="38"/>
      <c r="AK432" s="38"/>
      <c r="AL432" s="38"/>
      <c r="AM432" s="38"/>
      <c r="AN432" s="38"/>
      <c r="AO432" s="38"/>
      <c r="AP432" s="38"/>
      <c r="AQ432" s="38"/>
      <c r="AR432" s="38"/>
      <c r="AS432" s="38"/>
      <c r="AT432" s="38"/>
      <c r="AU432" s="38"/>
      <c r="AV432" s="38"/>
      <c r="AW432" s="671"/>
      <c r="AX432" s="38"/>
      <c r="AY432" s="38"/>
      <c r="AZ432" s="38"/>
      <c r="BA432" s="475"/>
      <c r="BB432" s="475"/>
      <c r="BC432" s="475"/>
      <c r="BD432" s="475"/>
      <c r="BE432" s="475"/>
      <c r="BF432" s="475"/>
      <c r="BG432" s="475"/>
    </row>
    <row r="433" spans="1:59">
      <c r="A433" s="38"/>
      <c r="B433" s="38"/>
      <c r="C433" s="38"/>
      <c r="D433" s="38"/>
      <c r="E433" s="38"/>
      <c r="F433" s="38"/>
      <c r="G433" s="52"/>
      <c r="H433" s="38"/>
      <c r="I433" s="38"/>
      <c r="J433" s="52"/>
      <c r="K433" s="52"/>
      <c r="L433" s="38"/>
      <c r="M433" s="38"/>
      <c r="N433" s="38"/>
      <c r="O433" s="38"/>
      <c r="P433" s="38"/>
      <c r="Q433" s="38"/>
      <c r="R433" s="38"/>
      <c r="S433" s="38"/>
      <c r="T433" s="38"/>
      <c r="U433" s="38"/>
      <c r="V433" s="38"/>
      <c r="W433" s="38"/>
      <c r="X433" s="38"/>
      <c r="Y433" s="38"/>
      <c r="Z433" s="38"/>
      <c r="AA433" s="38"/>
      <c r="AB433" s="38"/>
      <c r="AC433" s="38"/>
      <c r="AD433" s="38"/>
      <c r="AE433" s="38"/>
      <c r="AF433" s="38"/>
      <c r="AG433" s="38"/>
      <c r="AH433" s="38"/>
      <c r="AI433" s="38"/>
      <c r="AJ433" s="38"/>
      <c r="AK433" s="38"/>
      <c r="AL433" s="38"/>
      <c r="AM433" s="38"/>
      <c r="AN433" s="38"/>
      <c r="AO433" s="38"/>
      <c r="AP433" s="38"/>
      <c r="AQ433" s="38"/>
      <c r="AR433" s="38"/>
      <c r="AS433" s="38"/>
      <c r="AT433" s="38"/>
      <c r="AU433" s="38"/>
      <c r="AV433" s="38"/>
      <c r="AW433" s="671"/>
      <c r="AX433" s="38"/>
      <c r="AY433" s="38"/>
      <c r="AZ433" s="38"/>
      <c r="BA433" s="475"/>
      <c r="BB433" s="475"/>
      <c r="BC433" s="475"/>
      <c r="BD433" s="475"/>
      <c r="BE433" s="475"/>
      <c r="BF433" s="475"/>
      <c r="BG433" s="475"/>
    </row>
    <row r="434" spans="1:59">
      <c r="A434" s="38"/>
      <c r="B434" s="38"/>
      <c r="C434" s="38"/>
      <c r="D434" s="38"/>
      <c r="E434" s="38"/>
      <c r="F434" s="38"/>
      <c r="G434" s="52"/>
      <c r="H434" s="38"/>
      <c r="I434" s="38"/>
      <c r="J434" s="52"/>
      <c r="K434" s="52"/>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c r="AL434" s="38"/>
      <c r="AM434" s="38"/>
      <c r="AN434" s="38"/>
      <c r="AO434" s="38"/>
      <c r="AP434" s="38"/>
      <c r="AQ434" s="38"/>
      <c r="AR434" s="38"/>
      <c r="AS434" s="38"/>
      <c r="AT434" s="38"/>
      <c r="AU434" s="38"/>
      <c r="AV434" s="38"/>
      <c r="AW434" s="671"/>
      <c r="AX434" s="38"/>
      <c r="AY434" s="38"/>
      <c r="AZ434" s="38"/>
      <c r="BA434" s="475"/>
      <c r="BB434" s="475"/>
      <c r="BC434" s="475"/>
      <c r="BD434" s="475"/>
      <c r="BE434" s="475"/>
      <c r="BF434" s="475"/>
      <c r="BG434" s="475"/>
    </row>
    <row r="435" spans="1:59">
      <c r="A435" s="38"/>
      <c r="B435" s="38"/>
      <c r="C435" s="38"/>
      <c r="D435" s="38"/>
      <c r="E435" s="38"/>
      <c r="F435" s="38"/>
      <c r="G435" s="52"/>
      <c r="H435" s="38"/>
      <c r="I435" s="38"/>
      <c r="J435" s="52"/>
      <c r="K435" s="52"/>
      <c r="L435" s="38"/>
      <c r="M435" s="38"/>
      <c r="N435" s="38"/>
      <c r="O435" s="38"/>
      <c r="P435" s="38"/>
      <c r="Q435" s="38"/>
      <c r="R435" s="38"/>
      <c r="S435" s="38"/>
      <c r="T435" s="38"/>
      <c r="U435" s="38"/>
      <c r="V435" s="38"/>
      <c r="W435" s="38"/>
      <c r="X435" s="38"/>
      <c r="Y435" s="38"/>
      <c r="Z435" s="38"/>
      <c r="AA435" s="38"/>
      <c r="AB435" s="38"/>
      <c r="AC435" s="38"/>
      <c r="AD435" s="38"/>
      <c r="AE435" s="38"/>
      <c r="AF435" s="38"/>
      <c r="AG435" s="38"/>
      <c r="AH435" s="38"/>
      <c r="AI435" s="38"/>
      <c r="AJ435" s="38"/>
      <c r="AK435" s="38"/>
      <c r="AL435" s="38"/>
      <c r="AM435" s="38"/>
      <c r="AN435" s="38"/>
      <c r="AO435" s="38"/>
      <c r="AP435" s="38"/>
      <c r="AQ435" s="38"/>
      <c r="AR435" s="38"/>
      <c r="AS435" s="38"/>
      <c r="AT435" s="38"/>
      <c r="AU435" s="38"/>
      <c r="AV435" s="38"/>
      <c r="AW435" s="671"/>
      <c r="AX435" s="38"/>
      <c r="AY435" s="38"/>
      <c r="AZ435" s="38"/>
      <c r="BA435" s="475"/>
      <c r="BB435" s="475"/>
      <c r="BC435" s="475"/>
      <c r="BD435" s="475"/>
      <c r="BE435" s="475"/>
      <c r="BF435" s="475"/>
      <c r="BG435" s="475"/>
    </row>
    <row r="436" spans="1:59">
      <c r="A436" s="38"/>
      <c r="B436" s="38"/>
      <c r="C436" s="38"/>
      <c r="D436" s="38"/>
      <c r="E436" s="38"/>
      <c r="F436" s="38"/>
      <c r="G436" s="52"/>
      <c r="H436" s="38"/>
      <c r="I436" s="38"/>
      <c r="J436" s="52"/>
      <c r="K436" s="52"/>
      <c r="L436" s="38"/>
      <c r="M436" s="38"/>
      <c r="N436" s="38"/>
      <c r="O436" s="38"/>
      <c r="P436" s="38"/>
      <c r="Q436" s="38"/>
      <c r="R436" s="38"/>
      <c r="S436" s="38"/>
      <c r="T436" s="38"/>
      <c r="U436" s="38"/>
      <c r="V436" s="38"/>
      <c r="W436" s="38"/>
      <c r="X436" s="38"/>
      <c r="Y436" s="38"/>
      <c r="Z436" s="38"/>
      <c r="AA436" s="38"/>
      <c r="AB436" s="38"/>
      <c r="AC436" s="38"/>
      <c r="AD436" s="38"/>
      <c r="AE436" s="38"/>
      <c r="AF436" s="38"/>
      <c r="AG436" s="38"/>
      <c r="AH436" s="38"/>
      <c r="AI436" s="38"/>
      <c r="AJ436" s="38"/>
      <c r="AK436" s="38"/>
      <c r="AL436" s="38"/>
      <c r="AM436" s="38"/>
      <c r="AN436" s="38"/>
      <c r="AO436" s="38"/>
      <c r="AP436" s="38"/>
      <c r="AQ436" s="38"/>
      <c r="AR436" s="38"/>
      <c r="AS436" s="38"/>
      <c r="AT436" s="38"/>
      <c r="AU436" s="38"/>
      <c r="AV436" s="38"/>
      <c r="AW436" s="671"/>
      <c r="AX436" s="38"/>
      <c r="AY436" s="38"/>
      <c r="AZ436" s="38"/>
      <c r="BA436" s="475"/>
      <c r="BB436" s="475"/>
      <c r="BC436" s="475"/>
      <c r="BD436" s="475"/>
      <c r="BE436" s="475"/>
      <c r="BF436" s="475"/>
      <c r="BG436" s="475"/>
    </row>
    <row r="437" spans="1:59">
      <c r="A437" s="38"/>
      <c r="B437" s="38"/>
      <c r="C437" s="38"/>
      <c r="D437" s="38"/>
      <c r="E437" s="38"/>
      <c r="F437" s="38"/>
      <c r="G437" s="52"/>
      <c r="H437" s="38"/>
      <c r="I437" s="38"/>
      <c r="J437" s="52"/>
      <c r="K437" s="52"/>
      <c r="L437" s="38"/>
      <c r="M437" s="38"/>
      <c r="N437" s="38"/>
      <c r="O437" s="38"/>
      <c r="P437" s="38"/>
      <c r="Q437" s="38"/>
      <c r="R437" s="38"/>
      <c r="S437" s="38"/>
      <c r="T437" s="38"/>
      <c r="U437" s="38"/>
      <c r="V437" s="38"/>
      <c r="W437" s="38"/>
      <c r="X437" s="38"/>
      <c r="Y437" s="38"/>
      <c r="Z437" s="38"/>
      <c r="AA437" s="38"/>
      <c r="AB437" s="38"/>
      <c r="AC437" s="38"/>
      <c r="AD437" s="38"/>
      <c r="AE437" s="38"/>
      <c r="AF437" s="38"/>
      <c r="AG437" s="38"/>
      <c r="AH437" s="38"/>
      <c r="AI437" s="38"/>
      <c r="AJ437" s="38"/>
      <c r="AK437" s="38"/>
      <c r="AL437" s="38"/>
      <c r="AM437" s="38"/>
      <c r="AN437" s="38"/>
      <c r="AO437" s="38"/>
      <c r="AP437" s="38"/>
      <c r="AQ437" s="38"/>
      <c r="AR437" s="38"/>
      <c r="AS437" s="38"/>
      <c r="AT437" s="38"/>
      <c r="AU437" s="38"/>
      <c r="AV437" s="38"/>
      <c r="AW437" s="671"/>
      <c r="AX437" s="38"/>
      <c r="AY437" s="38"/>
      <c r="AZ437" s="38"/>
      <c r="BA437" s="475"/>
      <c r="BB437" s="475"/>
      <c r="BC437" s="475"/>
      <c r="BD437" s="475"/>
      <c r="BE437" s="475"/>
      <c r="BF437" s="475"/>
      <c r="BG437" s="475"/>
    </row>
    <row r="438" spans="1:59">
      <c r="A438" s="38"/>
      <c r="B438" s="38"/>
      <c r="C438" s="38"/>
      <c r="D438" s="38"/>
      <c r="E438" s="38"/>
      <c r="F438" s="38"/>
      <c r="G438" s="52"/>
      <c r="H438" s="38"/>
      <c r="I438" s="38"/>
      <c r="J438" s="52"/>
      <c r="K438" s="52"/>
      <c r="L438" s="38"/>
      <c r="M438" s="38"/>
      <c r="N438" s="38"/>
      <c r="O438" s="38"/>
      <c r="P438" s="38"/>
      <c r="Q438" s="38"/>
      <c r="R438" s="38"/>
      <c r="S438" s="38"/>
      <c r="T438" s="38"/>
      <c r="U438" s="38"/>
      <c r="V438" s="38"/>
      <c r="W438" s="38"/>
      <c r="X438" s="38"/>
      <c r="Y438" s="38"/>
      <c r="Z438" s="38"/>
      <c r="AA438" s="38"/>
      <c r="AB438" s="38"/>
      <c r="AC438" s="38"/>
      <c r="AD438" s="38"/>
      <c r="AE438" s="38"/>
      <c r="AF438" s="38"/>
      <c r="AG438" s="38"/>
      <c r="AH438" s="38"/>
      <c r="AI438" s="38"/>
      <c r="AJ438" s="38"/>
      <c r="AK438" s="38"/>
      <c r="AL438" s="38"/>
      <c r="AM438" s="38"/>
      <c r="AN438" s="38"/>
      <c r="AO438" s="38"/>
      <c r="AP438" s="38"/>
      <c r="AQ438" s="38"/>
      <c r="AR438" s="38"/>
      <c r="AS438" s="38"/>
      <c r="AT438" s="38"/>
      <c r="AU438" s="38"/>
      <c r="AV438" s="38"/>
      <c r="AW438" s="671"/>
      <c r="AX438" s="38"/>
      <c r="AY438" s="38"/>
      <c r="AZ438" s="38"/>
      <c r="BA438" s="475"/>
      <c r="BB438" s="475"/>
      <c r="BC438" s="475"/>
      <c r="BD438" s="475"/>
      <c r="BE438" s="475"/>
      <c r="BF438" s="475"/>
      <c r="BG438" s="475"/>
    </row>
    <row r="439" spans="1:59">
      <c r="A439" s="38"/>
      <c r="B439" s="38"/>
      <c r="C439" s="38"/>
      <c r="D439" s="38"/>
      <c r="E439" s="38"/>
      <c r="F439" s="38"/>
      <c r="G439" s="52"/>
      <c r="H439" s="38"/>
      <c r="I439" s="38"/>
      <c r="J439" s="52"/>
      <c r="K439" s="52"/>
      <c r="L439" s="38"/>
      <c r="M439" s="38"/>
      <c r="N439" s="38"/>
      <c r="O439" s="38"/>
      <c r="P439" s="38"/>
      <c r="Q439" s="38"/>
      <c r="R439" s="38"/>
      <c r="S439" s="38"/>
      <c r="T439" s="38"/>
      <c r="U439" s="38"/>
      <c r="V439" s="38"/>
      <c r="W439" s="38"/>
      <c r="X439" s="38"/>
      <c r="Y439" s="38"/>
      <c r="Z439" s="38"/>
      <c r="AA439" s="38"/>
      <c r="AB439" s="38"/>
      <c r="AC439" s="38"/>
      <c r="AD439" s="38"/>
      <c r="AE439" s="38"/>
      <c r="AF439" s="38"/>
      <c r="AG439" s="38"/>
      <c r="AH439" s="38"/>
      <c r="AI439" s="38"/>
      <c r="AJ439" s="38"/>
      <c r="AK439" s="38"/>
      <c r="AL439" s="38"/>
      <c r="AM439" s="38"/>
      <c r="AN439" s="38"/>
      <c r="AO439" s="38"/>
      <c r="AP439" s="38"/>
      <c r="AQ439" s="38"/>
      <c r="AR439" s="38"/>
      <c r="AS439" s="38"/>
      <c r="AT439" s="38"/>
      <c r="AU439" s="38"/>
      <c r="AV439" s="38"/>
      <c r="AW439" s="671"/>
      <c r="AX439" s="38"/>
      <c r="AY439" s="38"/>
      <c r="AZ439" s="38"/>
      <c r="BA439" s="475"/>
      <c r="BB439" s="475"/>
      <c r="BC439" s="475"/>
      <c r="BD439" s="475"/>
      <c r="BE439" s="475"/>
      <c r="BF439" s="475"/>
      <c r="BG439" s="475"/>
    </row>
    <row r="440" spans="1:59">
      <c r="A440" s="38"/>
      <c r="B440" s="38"/>
      <c r="C440" s="38"/>
      <c r="D440" s="38"/>
      <c r="E440" s="38"/>
      <c r="F440" s="38"/>
      <c r="G440" s="52"/>
      <c r="H440" s="38"/>
      <c r="I440" s="38"/>
      <c r="J440" s="52"/>
      <c r="K440" s="52"/>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c r="AL440" s="38"/>
      <c r="AM440" s="38"/>
      <c r="AN440" s="38"/>
      <c r="AO440" s="38"/>
      <c r="AP440" s="38"/>
      <c r="AQ440" s="38"/>
      <c r="AR440" s="38"/>
      <c r="AS440" s="38"/>
      <c r="AT440" s="38"/>
      <c r="AU440" s="38"/>
      <c r="AV440" s="38"/>
      <c r="AW440" s="671"/>
      <c r="AX440" s="38"/>
      <c r="AY440" s="38"/>
      <c r="AZ440" s="38"/>
      <c r="BA440" s="475"/>
      <c r="BB440" s="475"/>
      <c r="BC440" s="475"/>
      <c r="BD440" s="475"/>
      <c r="BE440" s="475"/>
      <c r="BF440" s="475"/>
      <c r="BG440" s="475"/>
    </row>
    <row r="441" spans="1:59">
      <c r="A441" s="38"/>
      <c r="B441" s="38"/>
      <c r="C441" s="38"/>
      <c r="D441" s="38"/>
      <c r="E441" s="38"/>
      <c r="F441" s="38"/>
      <c r="G441" s="52"/>
      <c r="H441" s="38"/>
      <c r="I441" s="38"/>
      <c r="J441" s="52"/>
      <c r="K441" s="52"/>
      <c r="L441" s="38"/>
      <c r="M441" s="38"/>
      <c r="N441" s="38"/>
      <c r="O441" s="38"/>
      <c r="P441" s="38"/>
      <c r="Q441" s="38"/>
      <c r="R441" s="38"/>
      <c r="S441" s="38"/>
      <c r="T441" s="38"/>
      <c r="U441" s="38"/>
      <c r="V441" s="38"/>
      <c r="W441" s="38"/>
      <c r="X441" s="38"/>
      <c r="Y441" s="38"/>
      <c r="Z441" s="38"/>
      <c r="AA441" s="38"/>
      <c r="AB441" s="38"/>
      <c r="AC441" s="38"/>
      <c r="AD441" s="38"/>
      <c r="AE441" s="38"/>
      <c r="AF441" s="38"/>
      <c r="AG441" s="38"/>
      <c r="AH441" s="38"/>
      <c r="AI441" s="38"/>
      <c r="AJ441" s="38"/>
      <c r="AK441" s="38"/>
      <c r="AL441" s="38"/>
      <c r="AM441" s="38"/>
      <c r="AN441" s="38"/>
      <c r="AO441" s="38"/>
      <c r="AP441" s="38"/>
      <c r="AQ441" s="38"/>
      <c r="AR441" s="38"/>
      <c r="AS441" s="38"/>
      <c r="AT441" s="38"/>
      <c r="AU441" s="38"/>
      <c r="AV441" s="38"/>
      <c r="AW441" s="671"/>
      <c r="AX441" s="38"/>
      <c r="AY441" s="38"/>
      <c r="AZ441" s="38"/>
      <c r="BA441" s="475"/>
      <c r="BB441" s="475"/>
      <c r="BC441" s="475"/>
      <c r="BD441" s="475"/>
      <c r="BE441" s="475"/>
      <c r="BF441" s="475"/>
      <c r="BG441" s="475"/>
    </row>
    <row r="442" spans="1:59">
      <c r="A442" s="38"/>
      <c r="B442" s="38"/>
      <c r="C442" s="38"/>
      <c r="D442" s="38"/>
      <c r="E442" s="38"/>
      <c r="F442" s="38"/>
      <c r="G442" s="52"/>
      <c r="H442" s="38"/>
      <c r="I442" s="38"/>
      <c r="J442" s="52"/>
      <c r="K442" s="52"/>
      <c r="L442" s="38"/>
      <c r="M442" s="38"/>
      <c r="N442" s="38"/>
      <c r="O442" s="38"/>
      <c r="P442" s="38"/>
      <c r="Q442" s="38"/>
      <c r="R442" s="38"/>
      <c r="S442" s="38"/>
      <c r="T442" s="38"/>
      <c r="U442" s="38"/>
      <c r="V442" s="38"/>
      <c r="W442" s="38"/>
      <c r="X442" s="38"/>
      <c r="Y442" s="38"/>
      <c r="Z442" s="38"/>
      <c r="AA442" s="38"/>
      <c r="AB442" s="38"/>
      <c r="AC442" s="38"/>
      <c r="AD442" s="38"/>
      <c r="AE442" s="38"/>
      <c r="AF442" s="38"/>
      <c r="AG442" s="38"/>
      <c r="AH442" s="38"/>
      <c r="AI442" s="38"/>
      <c r="AJ442" s="38"/>
      <c r="AK442" s="38"/>
      <c r="AL442" s="38"/>
      <c r="AM442" s="38"/>
      <c r="AN442" s="38"/>
      <c r="AO442" s="38"/>
      <c r="AP442" s="38"/>
      <c r="AQ442" s="38"/>
      <c r="AR442" s="38"/>
      <c r="AS442" s="38"/>
      <c r="AT442" s="38"/>
      <c r="AU442" s="38"/>
      <c r="AV442" s="38"/>
      <c r="AW442" s="671"/>
      <c r="AX442" s="38"/>
      <c r="AY442" s="38"/>
      <c r="AZ442" s="38"/>
      <c r="BA442" s="475"/>
      <c r="BB442" s="475"/>
      <c r="BC442" s="475"/>
      <c r="BD442" s="475"/>
      <c r="BE442" s="475"/>
      <c r="BF442" s="475"/>
      <c r="BG442" s="475"/>
    </row>
    <row r="443" spans="1:59">
      <c r="A443" s="38"/>
      <c r="B443" s="38"/>
      <c r="C443" s="38"/>
      <c r="D443" s="38"/>
      <c r="E443" s="38"/>
      <c r="F443" s="38"/>
      <c r="G443" s="52"/>
      <c r="H443" s="38"/>
      <c r="I443" s="38"/>
      <c r="J443" s="52"/>
      <c r="K443" s="52"/>
      <c r="L443" s="38"/>
      <c r="M443" s="38"/>
      <c r="N443" s="38"/>
      <c r="O443" s="38"/>
      <c r="P443" s="38"/>
      <c r="Q443" s="38"/>
      <c r="R443" s="38"/>
      <c r="S443" s="38"/>
      <c r="T443" s="38"/>
      <c r="U443" s="38"/>
      <c r="V443" s="38"/>
      <c r="W443" s="38"/>
      <c r="X443" s="38"/>
      <c r="Y443" s="38"/>
      <c r="Z443" s="38"/>
      <c r="AA443" s="38"/>
      <c r="AB443" s="38"/>
      <c r="AC443" s="38"/>
      <c r="AD443" s="38"/>
      <c r="AE443" s="38"/>
      <c r="AF443" s="38"/>
      <c r="AG443" s="38"/>
      <c r="AH443" s="38"/>
      <c r="AI443" s="38"/>
      <c r="AJ443" s="38"/>
      <c r="AK443" s="38"/>
      <c r="AL443" s="38"/>
      <c r="AM443" s="38"/>
      <c r="AN443" s="38"/>
      <c r="AO443" s="38"/>
      <c r="AP443" s="38"/>
      <c r="AQ443" s="38"/>
      <c r="AR443" s="38"/>
      <c r="AS443" s="38"/>
      <c r="AT443" s="38"/>
      <c r="AU443" s="38"/>
      <c r="AV443" s="38"/>
      <c r="AW443" s="671"/>
      <c r="AX443" s="38"/>
      <c r="AY443" s="38"/>
      <c r="AZ443" s="38"/>
      <c r="BA443" s="475"/>
      <c r="BB443" s="475"/>
      <c r="BC443" s="475"/>
      <c r="BD443" s="475"/>
      <c r="BE443" s="475"/>
      <c r="BF443" s="475"/>
      <c r="BG443" s="475"/>
    </row>
    <row r="444" spans="1:59">
      <c r="A444" s="38"/>
      <c r="B444" s="38"/>
      <c r="C444" s="38"/>
      <c r="D444" s="38"/>
      <c r="E444" s="38"/>
      <c r="F444" s="38"/>
      <c r="G444" s="52"/>
      <c r="H444" s="38"/>
      <c r="I444" s="38"/>
      <c r="J444" s="52"/>
      <c r="K444" s="52"/>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c r="AL444" s="38"/>
      <c r="AM444" s="38"/>
      <c r="AN444" s="38"/>
      <c r="AO444" s="38"/>
      <c r="AP444" s="38"/>
      <c r="AQ444" s="38"/>
      <c r="AR444" s="38"/>
      <c r="AS444" s="38"/>
      <c r="AT444" s="38"/>
      <c r="AU444" s="38"/>
      <c r="AV444" s="38"/>
      <c r="AW444" s="671"/>
      <c r="AX444" s="38"/>
      <c r="AY444" s="38"/>
      <c r="AZ444" s="38"/>
      <c r="BA444" s="475"/>
      <c r="BB444" s="475"/>
      <c r="BC444" s="475"/>
      <c r="BD444" s="475"/>
      <c r="BE444" s="475"/>
      <c r="BF444" s="475"/>
      <c r="BG444" s="475"/>
    </row>
    <row r="445" spans="1:59">
      <c r="A445" s="38"/>
      <c r="B445" s="38"/>
      <c r="C445" s="38"/>
      <c r="D445" s="38"/>
      <c r="E445" s="38"/>
      <c r="F445" s="38"/>
      <c r="G445" s="52"/>
      <c r="H445" s="38"/>
      <c r="I445" s="38"/>
      <c r="J445" s="52"/>
      <c r="K445" s="52"/>
      <c r="L445" s="38"/>
      <c r="M445" s="38"/>
      <c r="N445" s="38"/>
      <c r="O445" s="38"/>
      <c r="P445" s="38"/>
      <c r="Q445" s="38"/>
      <c r="R445" s="38"/>
      <c r="S445" s="38"/>
      <c r="T445" s="38"/>
      <c r="U445" s="38"/>
      <c r="V445" s="38"/>
      <c r="W445" s="38"/>
      <c r="X445" s="38"/>
      <c r="Y445" s="38"/>
      <c r="Z445" s="38"/>
      <c r="AA445" s="38"/>
      <c r="AB445" s="38"/>
      <c r="AC445" s="38"/>
      <c r="AD445" s="38"/>
      <c r="AE445" s="38"/>
      <c r="AF445" s="38"/>
      <c r="AG445" s="38"/>
      <c r="AH445" s="38"/>
      <c r="AI445" s="38"/>
      <c r="AJ445" s="38"/>
      <c r="AK445" s="38"/>
      <c r="AL445" s="38"/>
      <c r="AM445" s="38"/>
      <c r="AN445" s="38"/>
      <c r="AO445" s="38"/>
      <c r="AP445" s="38"/>
      <c r="AQ445" s="38"/>
      <c r="AR445" s="38"/>
      <c r="AS445" s="38"/>
      <c r="AT445" s="38"/>
      <c r="AU445" s="38"/>
      <c r="AV445" s="38"/>
      <c r="AW445" s="671"/>
      <c r="AX445" s="38"/>
      <c r="AY445" s="38"/>
      <c r="AZ445" s="38"/>
      <c r="BA445" s="475"/>
      <c r="BB445" s="475"/>
      <c r="BC445" s="475"/>
      <c r="BD445" s="475"/>
      <c r="BE445" s="475"/>
      <c r="BF445" s="475"/>
      <c r="BG445" s="475"/>
    </row>
    <row r="446" spans="1:59">
      <c r="A446" s="38"/>
      <c r="B446" s="38"/>
      <c r="C446" s="38"/>
      <c r="D446" s="38"/>
      <c r="E446" s="38"/>
      <c r="F446" s="38"/>
      <c r="G446" s="52"/>
      <c r="H446" s="38"/>
      <c r="I446" s="38"/>
      <c r="J446" s="52"/>
      <c r="K446" s="52"/>
      <c r="L446" s="38"/>
      <c r="M446" s="38"/>
      <c r="N446" s="38"/>
      <c r="O446" s="38"/>
      <c r="P446" s="38"/>
      <c r="Q446" s="38"/>
      <c r="R446" s="38"/>
      <c r="S446" s="38"/>
      <c r="T446" s="38"/>
      <c r="U446" s="38"/>
      <c r="V446" s="38"/>
      <c r="W446" s="38"/>
      <c r="X446" s="38"/>
      <c r="Y446" s="38"/>
      <c r="Z446" s="38"/>
      <c r="AA446" s="38"/>
      <c r="AB446" s="38"/>
      <c r="AC446" s="38"/>
      <c r="AD446" s="38"/>
      <c r="AE446" s="38"/>
      <c r="AF446" s="38"/>
      <c r="AG446" s="38"/>
      <c r="AH446" s="38"/>
      <c r="AI446" s="38"/>
      <c r="AJ446" s="38"/>
      <c r="AK446" s="38"/>
      <c r="AL446" s="38"/>
      <c r="AM446" s="38"/>
      <c r="AN446" s="38"/>
      <c r="AO446" s="38"/>
      <c r="AP446" s="38"/>
      <c r="AQ446" s="38"/>
      <c r="AR446" s="38"/>
      <c r="AS446" s="38"/>
      <c r="AT446" s="38"/>
      <c r="AU446" s="38"/>
      <c r="AV446" s="38"/>
      <c r="AW446" s="671"/>
      <c r="AX446" s="38"/>
      <c r="AY446" s="38"/>
      <c r="AZ446" s="38"/>
      <c r="BA446" s="475"/>
      <c r="BB446" s="475"/>
      <c r="BC446" s="475"/>
      <c r="BD446" s="475"/>
      <c r="BE446" s="475"/>
      <c r="BF446" s="475"/>
      <c r="BG446" s="475"/>
    </row>
    <row r="447" spans="1:59">
      <c r="A447" s="38"/>
      <c r="B447" s="38"/>
      <c r="C447" s="38"/>
      <c r="D447" s="38"/>
      <c r="E447" s="38"/>
      <c r="F447" s="38"/>
      <c r="G447" s="52"/>
      <c r="H447" s="38"/>
      <c r="I447" s="38"/>
      <c r="J447" s="52"/>
      <c r="K447" s="52"/>
      <c r="L447" s="38"/>
      <c r="M447" s="38"/>
      <c r="N447" s="38"/>
      <c r="O447" s="38"/>
      <c r="P447" s="38"/>
      <c r="Q447" s="38"/>
      <c r="R447" s="38"/>
      <c r="S447" s="38"/>
      <c r="T447" s="38"/>
      <c r="U447" s="38"/>
      <c r="V447" s="38"/>
      <c r="W447" s="38"/>
      <c r="X447" s="38"/>
      <c r="Y447" s="38"/>
      <c r="Z447" s="38"/>
      <c r="AA447" s="38"/>
      <c r="AB447" s="38"/>
      <c r="AC447" s="38"/>
      <c r="AD447" s="38"/>
      <c r="AE447" s="38"/>
      <c r="AF447" s="38"/>
      <c r="AG447" s="38"/>
      <c r="AH447" s="38"/>
      <c r="AI447" s="38"/>
      <c r="AJ447" s="38"/>
      <c r="AK447" s="38"/>
      <c r="AL447" s="38"/>
      <c r="AM447" s="38"/>
      <c r="AN447" s="38"/>
      <c r="AO447" s="38"/>
      <c r="AP447" s="38"/>
      <c r="AQ447" s="38"/>
      <c r="AR447" s="38"/>
      <c r="AS447" s="38"/>
      <c r="AT447" s="38"/>
      <c r="AU447" s="38"/>
      <c r="AV447" s="38"/>
      <c r="AW447" s="671"/>
      <c r="AX447" s="38"/>
      <c r="AY447" s="38"/>
      <c r="AZ447" s="38"/>
      <c r="BA447" s="475"/>
      <c r="BB447" s="475"/>
      <c r="BC447" s="475"/>
      <c r="BD447" s="475"/>
      <c r="BE447" s="475"/>
      <c r="BF447" s="475"/>
      <c r="BG447" s="475"/>
    </row>
    <row r="448" spans="1:59">
      <c r="A448" s="38"/>
      <c r="B448" s="38"/>
      <c r="C448" s="38"/>
      <c r="D448" s="38"/>
      <c r="E448" s="38"/>
      <c r="F448" s="38"/>
      <c r="G448" s="52"/>
      <c r="H448" s="38"/>
      <c r="I448" s="38"/>
      <c r="J448" s="52"/>
      <c r="K448" s="52"/>
      <c r="L448" s="38"/>
      <c r="M448" s="38"/>
      <c r="N448" s="38"/>
      <c r="O448" s="38"/>
      <c r="P448" s="38"/>
      <c r="Q448" s="38"/>
      <c r="R448" s="38"/>
      <c r="S448" s="38"/>
      <c r="T448" s="38"/>
      <c r="U448" s="38"/>
      <c r="V448" s="38"/>
      <c r="W448" s="38"/>
      <c r="X448" s="38"/>
      <c r="Y448" s="38"/>
      <c r="Z448" s="38"/>
      <c r="AA448" s="38"/>
      <c r="AB448" s="38"/>
      <c r="AC448" s="38"/>
      <c r="AD448" s="38"/>
      <c r="AE448" s="38"/>
      <c r="AF448" s="38"/>
      <c r="AG448" s="38"/>
      <c r="AH448" s="38"/>
      <c r="AI448" s="38"/>
      <c r="AJ448" s="38"/>
      <c r="AK448" s="38"/>
      <c r="AL448" s="38"/>
      <c r="AM448" s="38"/>
      <c r="AN448" s="38"/>
      <c r="AO448" s="38"/>
      <c r="AP448" s="38"/>
      <c r="AQ448" s="38"/>
      <c r="AR448" s="38"/>
      <c r="AS448" s="38"/>
      <c r="AT448" s="38"/>
      <c r="AU448" s="38"/>
      <c r="AV448" s="38"/>
      <c r="AW448" s="671"/>
      <c r="AX448" s="38"/>
      <c r="AY448" s="38"/>
      <c r="AZ448" s="38"/>
      <c r="BA448" s="475"/>
      <c r="BB448" s="475"/>
      <c r="BC448" s="475"/>
      <c r="BD448" s="475"/>
      <c r="BE448" s="475"/>
      <c r="BF448" s="475"/>
      <c r="BG448" s="475"/>
    </row>
    <row r="449" spans="1:59">
      <c r="A449" s="38"/>
      <c r="B449" s="38"/>
      <c r="C449" s="38"/>
      <c r="D449" s="38"/>
      <c r="E449" s="38"/>
      <c r="F449" s="38"/>
      <c r="G449" s="52"/>
      <c r="H449" s="38"/>
      <c r="I449" s="38"/>
      <c r="J449" s="52"/>
      <c r="K449" s="52"/>
      <c r="L449" s="38"/>
      <c r="M449" s="38"/>
      <c r="N449" s="38"/>
      <c r="O449" s="38"/>
      <c r="P449" s="38"/>
      <c r="Q449" s="38"/>
      <c r="R449" s="38"/>
      <c r="S449" s="38"/>
      <c r="T449" s="38"/>
      <c r="U449" s="38"/>
      <c r="V449" s="38"/>
      <c r="W449" s="38"/>
      <c r="X449" s="38"/>
      <c r="Y449" s="38"/>
      <c r="Z449" s="38"/>
      <c r="AA449" s="38"/>
      <c r="AB449" s="38"/>
      <c r="AC449" s="38"/>
      <c r="AD449" s="38"/>
      <c r="AE449" s="38"/>
      <c r="AF449" s="38"/>
      <c r="AG449" s="38"/>
      <c r="AH449" s="38"/>
      <c r="AI449" s="38"/>
      <c r="AJ449" s="38"/>
      <c r="AK449" s="38"/>
      <c r="AL449" s="38"/>
      <c r="AM449" s="38"/>
      <c r="AN449" s="38"/>
      <c r="AO449" s="38"/>
      <c r="AP449" s="38"/>
      <c r="AQ449" s="38"/>
      <c r="AR449" s="38"/>
      <c r="AS449" s="38"/>
      <c r="AT449" s="38"/>
      <c r="AU449" s="38"/>
      <c r="AV449" s="38"/>
      <c r="AW449" s="671"/>
      <c r="AX449" s="38"/>
      <c r="AY449" s="38"/>
      <c r="AZ449" s="38"/>
      <c r="BA449" s="475"/>
      <c r="BB449" s="475"/>
      <c r="BC449" s="475"/>
      <c r="BD449" s="475"/>
      <c r="BE449" s="475"/>
      <c r="BF449" s="475"/>
      <c r="BG449" s="475"/>
    </row>
    <row r="450" spans="1:59">
      <c r="A450" s="38"/>
      <c r="B450" s="38"/>
      <c r="C450" s="38"/>
      <c r="D450" s="38"/>
      <c r="E450" s="38"/>
      <c r="F450" s="38"/>
      <c r="G450" s="52"/>
      <c r="H450" s="38"/>
      <c r="I450" s="38"/>
      <c r="J450" s="52"/>
      <c r="K450" s="52"/>
      <c r="L450" s="38"/>
      <c r="M450" s="38"/>
      <c r="N450" s="38"/>
      <c r="O450" s="38"/>
      <c r="P450" s="38"/>
      <c r="Q450" s="38"/>
      <c r="R450" s="38"/>
      <c r="S450" s="38"/>
      <c r="T450" s="38"/>
      <c r="U450" s="38"/>
      <c r="V450" s="38"/>
      <c r="W450" s="38"/>
      <c r="X450" s="38"/>
      <c r="Y450" s="38"/>
      <c r="Z450" s="38"/>
      <c r="AA450" s="38"/>
      <c r="AB450" s="38"/>
      <c r="AC450" s="38"/>
      <c r="AD450" s="38"/>
      <c r="AE450" s="38"/>
      <c r="AF450" s="38"/>
      <c r="AG450" s="38"/>
      <c r="AH450" s="38"/>
      <c r="AI450" s="38"/>
      <c r="AJ450" s="38"/>
      <c r="AK450" s="38"/>
      <c r="AL450" s="38"/>
      <c r="AM450" s="38"/>
      <c r="AN450" s="38"/>
      <c r="AO450" s="38"/>
      <c r="AP450" s="38"/>
      <c r="AQ450" s="38"/>
      <c r="AR450" s="38"/>
      <c r="AS450" s="38"/>
      <c r="AT450" s="38"/>
      <c r="AU450" s="38"/>
      <c r="AV450" s="38"/>
      <c r="AW450" s="671"/>
      <c r="AX450" s="38"/>
      <c r="AY450" s="38"/>
      <c r="AZ450" s="38"/>
      <c r="BA450" s="475"/>
      <c r="BB450" s="475"/>
      <c r="BC450" s="475"/>
      <c r="BD450" s="475"/>
      <c r="BE450" s="475"/>
      <c r="BF450" s="475"/>
      <c r="BG450" s="475"/>
    </row>
    <row r="451" spans="1:59">
      <c r="A451" s="38"/>
      <c r="B451" s="38"/>
      <c r="C451" s="38"/>
      <c r="D451" s="38"/>
      <c r="E451" s="38"/>
      <c r="F451" s="38"/>
      <c r="G451" s="52"/>
      <c r="H451" s="38"/>
      <c r="I451" s="38"/>
      <c r="J451" s="52"/>
      <c r="K451" s="52"/>
      <c r="L451" s="38"/>
      <c r="M451" s="38"/>
      <c r="N451" s="38"/>
      <c r="O451" s="38"/>
      <c r="P451" s="38"/>
      <c r="Q451" s="38"/>
      <c r="R451" s="38"/>
      <c r="S451" s="38"/>
      <c r="T451" s="38"/>
      <c r="U451" s="38"/>
      <c r="V451" s="38"/>
      <c r="W451" s="38"/>
      <c r="X451" s="38"/>
      <c r="Y451" s="38"/>
      <c r="Z451" s="38"/>
      <c r="AA451" s="38"/>
      <c r="AB451" s="38"/>
      <c r="AC451" s="38"/>
      <c r="AD451" s="38"/>
      <c r="AE451" s="38"/>
      <c r="AF451" s="38"/>
      <c r="AG451" s="38"/>
      <c r="AH451" s="38"/>
      <c r="AI451" s="38"/>
      <c r="AJ451" s="38"/>
      <c r="AK451" s="38"/>
      <c r="AL451" s="38"/>
      <c r="AM451" s="38"/>
      <c r="AN451" s="38"/>
      <c r="AO451" s="38"/>
      <c r="AP451" s="38"/>
      <c r="AQ451" s="38"/>
      <c r="AR451" s="38"/>
      <c r="AS451" s="38"/>
      <c r="AT451" s="38"/>
      <c r="AU451" s="38"/>
      <c r="AV451" s="38"/>
      <c r="AW451" s="671"/>
      <c r="AX451" s="38"/>
      <c r="AY451" s="38"/>
      <c r="AZ451" s="38"/>
      <c r="BA451" s="475"/>
      <c r="BB451" s="475"/>
      <c r="BC451" s="475"/>
      <c r="BD451" s="475"/>
      <c r="BE451" s="475"/>
      <c r="BF451" s="475"/>
      <c r="BG451" s="475"/>
    </row>
    <row r="452" spans="1:59">
      <c r="A452" s="38"/>
      <c r="B452" s="38"/>
      <c r="C452" s="38"/>
      <c r="D452" s="38"/>
      <c r="E452" s="38"/>
      <c r="F452" s="38"/>
      <c r="G452" s="52"/>
      <c r="H452" s="38"/>
      <c r="I452" s="38"/>
      <c r="J452" s="52"/>
      <c r="K452" s="52"/>
      <c r="L452" s="38"/>
      <c r="M452" s="38"/>
      <c r="N452" s="38"/>
      <c r="O452" s="38"/>
      <c r="P452" s="38"/>
      <c r="Q452" s="38"/>
      <c r="R452" s="38"/>
      <c r="S452" s="38"/>
      <c r="T452" s="38"/>
      <c r="U452" s="38"/>
      <c r="V452" s="38"/>
      <c r="W452" s="38"/>
      <c r="X452" s="38"/>
      <c r="Y452" s="38"/>
      <c r="Z452" s="38"/>
      <c r="AA452" s="38"/>
      <c r="AB452" s="38"/>
      <c r="AC452" s="38"/>
      <c r="AD452" s="38"/>
      <c r="AE452" s="38"/>
      <c r="AF452" s="38"/>
      <c r="AG452" s="38"/>
      <c r="AH452" s="38"/>
      <c r="AI452" s="38"/>
      <c r="AJ452" s="38"/>
      <c r="AK452" s="38"/>
      <c r="AL452" s="38"/>
      <c r="AM452" s="38"/>
      <c r="AN452" s="38"/>
      <c r="AO452" s="38"/>
      <c r="AP452" s="38"/>
      <c r="AQ452" s="38"/>
      <c r="AR452" s="38"/>
      <c r="AS452" s="38"/>
      <c r="AT452" s="38"/>
      <c r="AU452" s="38"/>
      <c r="AV452" s="38"/>
      <c r="AW452" s="671"/>
      <c r="AX452" s="38"/>
      <c r="AY452" s="38"/>
      <c r="AZ452" s="38"/>
      <c r="BA452" s="475"/>
      <c r="BB452" s="475"/>
      <c r="BC452" s="475"/>
      <c r="BD452" s="475"/>
      <c r="BE452" s="475"/>
      <c r="BF452" s="475"/>
      <c r="BG452" s="475"/>
    </row>
    <row r="453" spans="1:59">
      <c r="A453" s="38"/>
      <c r="B453" s="38"/>
      <c r="C453" s="38"/>
      <c r="D453" s="38"/>
      <c r="E453" s="38"/>
      <c r="F453" s="38"/>
      <c r="G453" s="52"/>
      <c r="H453" s="38"/>
      <c r="I453" s="38"/>
      <c r="J453" s="52"/>
      <c r="K453" s="52"/>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c r="AL453" s="38"/>
      <c r="AM453" s="38"/>
      <c r="AN453" s="38"/>
      <c r="AO453" s="38"/>
      <c r="AP453" s="38"/>
      <c r="AQ453" s="38"/>
      <c r="AR453" s="38"/>
      <c r="AS453" s="38"/>
      <c r="AT453" s="38"/>
      <c r="AU453" s="38"/>
      <c r="AV453" s="38"/>
      <c r="AW453" s="671"/>
      <c r="AX453" s="38"/>
      <c r="AY453" s="38"/>
      <c r="AZ453" s="38"/>
      <c r="BA453" s="475"/>
      <c r="BB453" s="475"/>
      <c r="BC453" s="475"/>
      <c r="BD453" s="475"/>
      <c r="BE453" s="475"/>
      <c r="BF453" s="475"/>
      <c r="BG453" s="475"/>
    </row>
    <row r="454" spans="1:59">
      <c r="A454" s="38"/>
      <c r="B454" s="38"/>
      <c r="C454" s="38"/>
      <c r="D454" s="38"/>
      <c r="E454" s="38"/>
      <c r="F454" s="38"/>
      <c r="G454" s="52"/>
      <c r="H454" s="38"/>
      <c r="I454" s="38"/>
      <c r="J454" s="52"/>
      <c r="K454" s="52"/>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c r="AL454" s="38"/>
      <c r="AM454" s="38"/>
      <c r="AN454" s="38"/>
      <c r="AO454" s="38"/>
      <c r="AP454" s="38"/>
      <c r="AQ454" s="38"/>
      <c r="AR454" s="38"/>
      <c r="AS454" s="38"/>
      <c r="AT454" s="38"/>
      <c r="AU454" s="38"/>
      <c r="AV454" s="38"/>
      <c r="AW454" s="671"/>
      <c r="AX454" s="38"/>
      <c r="AY454" s="38"/>
      <c r="AZ454" s="38"/>
      <c r="BA454" s="475"/>
      <c r="BB454" s="475"/>
      <c r="BC454" s="475"/>
      <c r="BD454" s="475"/>
      <c r="BE454" s="475"/>
      <c r="BF454" s="475"/>
      <c r="BG454" s="475"/>
    </row>
    <row r="455" spans="1:59">
      <c r="A455" s="38"/>
      <c r="B455" s="38"/>
      <c r="C455" s="38"/>
      <c r="D455" s="38"/>
      <c r="E455" s="38"/>
      <c r="F455" s="38"/>
      <c r="G455" s="52"/>
      <c r="H455" s="38"/>
      <c r="I455" s="38"/>
      <c r="J455" s="52"/>
      <c r="K455" s="52"/>
      <c r="L455" s="38"/>
      <c r="M455" s="38"/>
      <c r="N455" s="38"/>
      <c r="O455" s="38"/>
      <c r="P455" s="38"/>
      <c r="Q455" s="38"/>
      <c r="R455" s="38"/>
      <c r="S455" s="38"/>
      <c r="T455" s="38"/>
      <c r="U455" s="38"/>
      <c r="V455" s="38"/>
      <c r="W455" s="38"/>
      <c r="X455" s="38"/>
      <c r="Y455" s="38"/>
      <c r="Z455" s="38"/>
      <c r="AA455" s="38"/>
      <c r="AB455" s="38"/>
      <c r="AC455" s="38"/>
      <c r="AD455" s="38"/>
      <c r="AE455" s="38"/>
      <c r="AF455" s="38"/>
      <c r="AG455" s="38"/>
      <c r="AH455" s="38"/>
      <c r="AI455" s="38"/>
      <c r="AJ455" s="38"/>
      <c r="AK455" s="38"/>
      <c r="AL455" s="38"/>
      <c r="AM455" s="38"/>
      <c r="AN455" s="38"/>
      <c r="AO455" s="38"/>
      <c r="AP455" s="38"/>
      <c r="AQ455" s="38"/>
      <c r="AR455" s="38"/>
      <c r="AS455" s="38"/>
      <c r="AT455" s="38"/>
      <c r="AU455" s="38"/>
      <c r="AV455" s="38"/>
      <c r="AW455" s="671"/>
      <c r="AX455" s="38"/>
      <c r="AY455" s="38"/>
      <c r="AZ455" s="38"/>
      <c r="BA455" s="475"/>
      <c r="BB455" s="475"/>
      <c r="BC455" s="475"/>
      <c r="BD455" s="475"/>
      <c r="BE455" s="475"/>
      <c r="BF455" s="475"/>
      <c r="BG455" s="475"/>
    </row>
    <row r="456" spans="1:59">
      <c r="A456" s="38"/>
      <c r="B456" s="38"/>
      <c r="C456" s="38"/>
      <c r="D456" s="38"/>
      <c r="E456" s="38"/>
      <c r="F456" s="38"/>
      <c r="G456" s="52"/>
      <c r="H456" s="38"/>
      <c r="I456" s="38"/>
      <c r="J456" s="52"/>
      <c r="K456" s="52"/>
      <c r="L456" s="38"/>
      <c r="M456" s="38"/>
      <c r="N456" s="38"/>
      <c r="O456" s="38"/>
      <c r="P456" s="38"/>
      <c r="Q456" s="38"/>
      <c r="R456" s="38"/>
      <c r="S456" s="38"/>
      <c r="T456" s="38"/>
      <c r="U456" s="38"/>
      <c r="V456" s="38"/>
      <c r="W456" s="38"/>
      <c r="X456" s="38"/>
      <c r="Y456" s="38"/>
      <c r="Z456" s="38"/>
      <c r="AA456" s="38"/>
      <c r="AB456" s="38"/>
      <c r="AC456" s="38"/>
      <c r="AD456" s="38"/>
      <c r="AE456" s="38"/>
      <c r="AF456" s="38"/>
      <c r="AG456" s="38"/>
      <c r="AH456" s="38"/>
      <c r="AI456" s="38"/>
      <c r="AJ456" s="38"/>
      <c r="AK456" s="38"/>
      <c r="AL456" s="38"/>
      <c r="AM456" s="38"/>
      <c r="AN456" s="38"/>
      <c r="AO456" s="38"/>
      <c r="AP456" s="38"/>
      <c r="AQ456" s="38"/>
      <c r="AR456" s="38"/>
      <c r="AS456" s="38"/>
      <c r="AT456" s="38"/>
      <c r="AU456" s="38"/>
      <c r="AV456" s="38"/>
      <c r="AW456" s="671"/>
      <c r="AX456" s="38"/>
      <c r="AY456" s="38"/>
      <c r="AZ456" s="38"/>
      <c r="BA456" s="475"/>
      <c r="BB456" s="475"/>
      <c r="BC456" s="475"/>
      <c r="BD456" s="475"/>
      <c r="BE456" s="475"/>
      <c r="BF456" s="475"/>
      <c r="BG456" s="475"/>
    </row>
    <row r="457" spans="1:59">
      <c r="A457" s="38"/>
      <c r="B457" s="38"/>
      <c r="C457" s="38"/>
      <c r="D457" s="38"/>
      <c r="E457" s="38"/>
      <c r="F457" s="38"/>
      <c r="G457" s="52"/>
      <c r="H457" s="38"/>
      <c r="I457" s="38"/>
      <c r="J457" s="52"/>
      <c r="K457" s="52"/>
      <c r="L457" s="38"/>
      <c r="M457" s="38"/>
      <c r="N457" s="38"/>
      <c r="O457" s="38"/>
      <c r="P457" s="38"/>
      <c r="Q457" s="38"/>
      <c r="R457" s="38"/>
      <c r="S457" s="38"/>
      <c r="T457" s="38"/>
      <c r="U457" s="38"/>
      <c r="V457" s="38"/>
      <c r="W457" s="38"/>
      <c r="X457" s="38"/>
      <c r="Y457" s="38"/>
      <c r="Z457" s="38"/>
      <c r="AA457" s="38"/>
      <c r="AB457" s="38"/>
      <c r="AC457" s="38"/>
      <c r="AD457" s="38"/>
      <c r="AE457" s="38"/>
      <c r="AF457" s="38"/>
      <c r="AG457" s="38"/>
      <c r="AH457" s="38"/>
      <c r="AI457" s="38"/>
      <c r="AJ457" s="38"/>
      <c r="AK457" s="38"/>
      <c r="AL457" s="38"/>
      <c r="AM457" s="38"/>
      <c r="AN457" s="38"/>
      <c r="AO457" s="38"/>
      <c r="AP457" s="38"/>
      <c r="AQ457" s="38"/>
      <c r="AR457" s="38"/>
      <c r="AS457" s="38"/>
      <c r="AT457" s="38"/>
      <c r="AU457" s="38"/>
      <c r="AV457" s="38"/>
      <c r="AW457" s="671"/>
      <c r="AX457" s="38"/>
      <c r="AY457" s="38"/>
      <c r="AZ457" s="38"/>
      <c r="BA457" s="475"/>
      <c r="BB457" s="475"/>
      <c r="BC457" s="475"/>
      <c r="BD457" s="475"/>
      <c r="BE457" s="475"/>
      <c r="BF457" s="475"/>
      <c r="BG457" s="475"/>
    </row>
    <row r="458" spans="1:59">
      <c r="A458" s="38"/>
      <c r="B458" s="38"/>
      <c r="C458" s="38"/>
      <c r="D458" s="38"/>
      <c r="E458" s="38"/>
      <c r="F458" s="38"/>
      <c r="G458" s="52"/>
      <c r="H458" s="38"/>
      <c r="I458" s="38"/>
      <c r="J458" s="52"/>
      <c r="K458" s="52"/>
      <c r="L458" s="38"/>
      <c r="M458" s="38"/>
      <c r="N458" s="38"/>
      <c r="O458" s="38"/>
      <c r="P458" s="38"/>
      <c r="Q458" s="38"/>
      <c r="R458" s="38"/>
      <c r="S458" s="38"/>
      <c r="T458" s="38"/>
      <c r="U458" s="38"/>
      <c r="V458" s="38"/>
      <c r="W458" s="38"/>
      <c r="X458" s="38"/>
      <c r="Y458" s="38"/>
      <c r="Z458" s="38"/>
      <c r="AA458" s="38"/>
      <c r="AB458" s="38"/>
      <c r="AC458" s="38"/>
      <c r="AD458" s="38"/>
      <c r="AE458" s="38"/>
      <c r="AF458" s="38"/>
      <c r="AG458" s="38"/>
      <c r="AH458" s="38"/>
      <c r="AI458" s="38"/>
      <c r="AJ458" s="38"/>
      <c r="AK458" s="38"/>
      <c r="AL458" s="38"/>
      <c r="AM458" s="38"/>
      <c r="AN458" s="38"/>
      <c r="AO458" s="38"/>
      <c r="AP458" s="38"/>
      <c r="AQ458" s="38"/>
      <c r="AR458" s="38"/>
      <c r="AS458" s="38"/>
      <c r="AT458" s="38"/>
      <c r="AU458" s="38"/>
      <c r="AV458" s="38"/>
      <c r="AW458" s="671"/>
      <c r="AX458" s="38"/>
      <c r="AY458" s="38"/>
      <c r="AZ458" s="38"/>
      <c r="BA458" s="475"/>
      <c r="BB458" s="475"/>
      <c r="BC458" s="475"/>
      <c r="BD458" s="475"/>
      <c r="BE458" s="475"/>
      <c r="BF458" s="475"/>
      <c r="BG458" s="475"/>
    </row>
    <row r="459" spans="1:59">
      <c r="A459" s="38"/>
      <c r="B459" s="38"/>
      <c r="C459" s="38"/>
      <c r="D459" s="38"/>
      <c r="E459" s="38"/>
      <c r="F459" s="38"/>
      <c r="G459" s="52"/>
      <c r="H459" s="38"/>
      <c r="I459" s="38"/>
      <c r="J459" s="52"/>
      <c r="K459" s="52"/>
      <c r="L459" s="38"/>
      <c r="M459" s="38"/>
      <c r="N459" s="38"/>
      <c r="O459" s="38"/>
      <c r="P459" s="38"/>
      <c r="Q459" s="38"/>
      <c r="R459" s="38"/>
      <c r="S459" s="38"/>
      <c r="T459" s="38"/>
      <c r="U459" s="38"/>
      <c r="V459" s="38"/>
      <c r="W459" s="38"/>
      <c r="X459" s="38"/>
      <c r="Y459" s="38"/>
      <c r="Z459" s="38"/>
      <c r="AA459" s="38"/>
      <c r="AB459" s="38"/>
      <c r="AC459" s="38"/>
      <c r="AD459" s="38"/>
      <c r="AE459" s="38"/>
      <c r="AF459" s="38"/>
      <c r="AG459" s="38"/>
      <c r="AH459" s="38"/>
      <c r="AI459" s="38"/>
      <c r="AJ459" s="38"/>
      <c r="AK459" s="38"/>
      <c r="AL459" s="38"/>
      <c r="AM459" s="38"/>
      <c r="AN459" s="38"/>
      <c r="AO459" s="38"/>
      <c r="AP459" s="38"/>
      <c r="AQ459" s="38"/>
      <c r="AR459" s="38"/>
      <c r="AS459" s="38"/>
      <c r="AT459" s="38"/>
      <c r="AU459" s="38"/>
      <c r="AV459" s="38"/>
      <c r="AW459" s="671"/>
      <c r="AX459" s="38"/>
      <c r="AY459" s="38"/>
      <c r="AZ459" s="38"/>
      <c r="BA459" s="475"/>
      <c r="BB459" s="475"/>
      <c r="BC459" s="475"/>
      <c r="BD459" s="475"/>
      <c r="BE459" s="475"/>
      <c r="BF459" s="475"/>
      <c r="BG459" s="475"/>
    </row>
    <row r="460" spans="1:59">
      <c r="A460" s="38"/>
      <c r="B460" s="38"/>
      <c r="C460" s="38"/>
      <c r="D460" s="38"/>
      <c r="E460" s="38"/>
      <c r="F460" s="38"/>
      <c r="G460" s="52"/>
      <c r="H460" s="38"/>
      <c r="I460" s="38"/>
      <c r="J460" s="52"/>
      <c r="K460" s="52"/>
      <c r="L460" s="38"/>
      <c r="M460" s="38"/>
      <c r="N460" s="38"/>
      <c r="O460" s="38"/>
      <c r="P460" s="38"/>
      <c r="Q460" s="38"/>
      <c r="R460" s="38"/>
      <c r="S460" s="38"/>
      <c r="T460" s="38"/>
      <c r="U460" s="38"/>
      <c r="V460" s="38"/>
      <c r="W460" s="38"/>
      <c r="X460" s="38"/>
      <c r="Y460" s="38"/>
      <c r="Z460" s="38"/>
      <c r="AA460" s="38"/>
      <c r="AB460" s="38"/>
      <c r="AC460" s="38"/>
      <c r="AD460" s="38"/>
      <c r="AE460" s="38"/>
      <c r="AF460" s="38"/>
      <c r="AG460" s="38"/>
      <c r="AH460" s="38"/>
      <c r="AI460" s="38"/>
      <c r="AJ460" s="38"/>
      <c r="AK460" s="38"/>
      <c r="AL460" s="38"/>
      <c r="AM460" s="38"/>
      <c r="AN460" s="38"/>
      <c r="AO460" s="38"/>
      <c r="AP460" s="38"/>
      <c r="AQ460" s="38"/>
      <c r="AR460" s="38"/>
      <c r="AS460" s="38"/>
      <c r="AT460" s="38"/>
      <c r="AU460" s="38"/>
      <c r="AV460" s="38"/>
      <c r="AW460" s="671"/>
      <c r="AX460" s="38"/>
      <c r="AY460" s="38"/>
      <c r="AZ460" s="38"/>
      <c r="BA460" s="475"/>
      <c r="BB460" s="475"/>
      <c r="BC460" s="475"/>
      <c r="BD460" s="475"/>
      <c r="BE460" s="475"/>
      <c r="BF460" s="475"/>
      <c r="BG460" s="475"/>
    </row>
    <row r="461" spans="1:59">
      <c r="A461" s="38"/>
      <c r="B461" s="38"/>
      <c r="C461" s="38"/>
      <c r="D461" s="38"/>
      <c r="E461" s="38"/>
      <c r="F461" s="38"/>
      <c r="G461" s="52"/>
      <c r="H461" s="38"/>
      <c r="I461" s="38"/>
      <c r="J461" s="52"/>
      <c r="K461" s="52"/>
      <c r="L461" s="38"/>
      <c r="M461" s="38"/>
      <c r="N461" s="38"/>
      <c r="O461" s="38"/>
      <c r="P461" s="38"/>
      <c r="Q461" s="38"/>
      <c r="R461" s="38"/>
      <c r="S461" s="38"/>
      <c r="T461" s="38"/>
      <c r="U461" s="38"/>
      <c r="V461" s="38"/>
      <c r="W461" s="38"/>
      <c r="X461" s="38"/>
      <c r="Y461" s="38"/>
      <c r="Z461" s="38"/>
      <c r="AA461" s="38"/>
      <c r="AB461" s="38"/>
      <c r="AC461" s="38"/>
      <c r="AD461" s="38"/>
      <c r="AE461" s="38"/>
      <c r="AF461" s="38"/>
      <c r="AG461" s="38"/>
      <c r="AH461" s="38"/>
      <c r="AI461" s="38"/>
      <c r="AJ461" s="38"/>
      <c r="AK461" s="38"/>
      <c r="AL461" s="38"/>
      <c r="AM461" s="38"/>
      <c r="AN461" s="38"/>
      <c r="AO461" s="38"/>
      <c r="AP461" s="38"/>
      <c r="AQ461" s="38"/>
      <c r="AR461" s="38"/>
      <c r="AS461" s="38"/>
      <c r="AT461" s="38"/>
      <c r="AU461" s="38"/>
      <c r="AV461" s="38"/>
      <c r="AW461" s="671"/>
      <c r="AX461" s="38"/>
      <c r="AY461" s="38"/>
      <c r="AZ461" s="38"/>
      <c r="BA461" s="475"/>
      <c r="BB461" s="475"/>
      <c r="BC461" s="475"/>
      <c r="BD461" s="475"/>
      <c r="BE461" s="475"/>
      <c r="BF461" s="475"/>
      <c r="BG461" s="475"/>
    </row>
    <row r="462" spans="1:59">
      <c r="A462" s="47"/>
      <c r="B462" s="47"/>
      <c r="C462" s="47"/>
      <c r="D462" s="47"/>
      <c r="E462" s="47"/>
      <c r="F462" s="47"/>
      <c r="G462" s="501"/>
      <c r="H462" s="47"/>
      <c r="I462" s="47"/>
      <c r="J462" s="501"/>
      <c r="K462" s="501"/>
      <c r="L462" s="47"/>
      <c r="M462" s="47"/>
      <c r="N462" s="47"/>
      <c r="O462" s="47"/>
      <c r="P462" s="47"/>
      <c r="Q462" s="47"/>
      <c r="R462" s="47"/>
      <c r="S462" s="47"/>
      <c r="T462" s="47"/>
      <c r="U462" s="47"/>
      <c r="V462" s="47"/>
      <c r="W462" s="47"/>
      <c r="X462" s="47"/>
      <c r="Y462" s="47"/>
      <c r="Z462" s="47"/>
      <c r="AA462" s="47"/>
      <c r="AB462" s="47"/>
      <c r="AC462" s="47"/>
      <c r="AD462" s="47"/>
      <c r="AE462" s="47"/>
      <c r="AF462" s="47"/>
      <c r="AG462" s="47"/>
      <c r="AH462" s="47"/>
      <c r="AI462" s="47"/>
      <c r="AJ462" s="47"/>
      <c r="AK462" s="47"/>
      <c r="AL462" s="47"/>
      <c r="AM462" s="47"/>
      <c r="AN462" s="47"/>
      <c r="AO462" s="47"/>
      <c r="AP462" s="47"/>
      <c r="AQ462" s="47"/>
      <c r="AR462" s="47"/>
      <c r="AS462" s="47"/>
      <c r="AT462" s="47"/>
      <c r="AU462" s="47"/>
      <c r="AV462" s="47"/>
      <c r="AW462" s="697"/>
      <c r="AX462" s="47"/>
      <c r="AY462" s="47"/>
      <c r="AZ462" s="47"/>
      <c r="BA462" s="475"/>
      <c r="BB462" s="475"/>
      <c r="BC462" s="475"/>
      <c r="BD462" s="475"/>
      <c r="BE462" s="475"/>
      <c r="BF462" s="475"/>
      <c r="BG462" s="475"/>
    </row>
  </sheetData>
  <sheetProtection formatCells="0" formatColumns="0" formatRows="0" insertColumns="0" insertRows="0" insertHyperlinks="0" sort="0" autoFilter="0" pivotTables="0"/>
  <mergeCells count="5">
    <mergeCell ref="A1:B1"/>
    <mergeCell ref="C339:E339"/>
    <mergeCell ref="F339:H339"/>
    <mergeCell ref="G326:I326"/>
    <mergeCell ref="D326:F326"/>
  </mergeCells>
  <phoneticPr fontId="6" type="noConversion"/>
  <pageMargins left="0.75" right="0.75" top="1" bottom="1" header="0.5" footer="0.5"/>
  <pageSetup paperSize="9" orientation="portrait" r:id="rId1"/>
  <headerFooter alignWithMargins="0"/>
  <ignoredErrors>
    <ignoredError sqref="W14:AP14 AQ11 W218:AP218 AQ13:AQ14 W15:AQ22 W32:AQ49 W56:AO56 W55:AQ55 W210:AP210 W216:AR217 AR130:AR131 W211:AQ215 W161:AR175 W82:AR128 W176:AQ193 W194:AR209 W219:AR308 AV220:AV242 W50:AN51 W58:AQ81 W57:AM57 W28:AQ30 W129:AQ160 AV215 AR214:AR215 AR133:AS160 AR63:AR81 AR14:AR22 W24:AQ26 AQ56:AQ57 W54:AN54 AQ54 AR176:AS192 AS196:AS210 AV93 AV82:AV85 AP50:AR51 W52:AQ53 W31:AN31 AR41 W27:AN27 W23:AR23 AQ31 AP27:AQ27 AR24:AR39 BA41:BA46 AS53:AS56 AS93:AS131 AS58:AS85 AS14:AS21 W311:AR314 W309:AQ310 W317:AR324 W315:AQ316 AV125:AV127 AV94:AV124 AT94:AU124 AW94:AW124 AV128:AV152 AV153:AV160 AT128:AU131 AT153:AU160 AW153:AW160 AW128:AW152 AV176:AV192 AT176:AU192 AW176:AW192 AV196:AV214 AT196:AU210 AW196:AW214 AU212:AU214 AV53:AV57 AV14:AV20 AV61:AV81 AT22:AU22 AT61:AU81 AW61:AW81 AT14:AU21 AW14:AW21 AT58:AU60 AT53:AU56 AW53:AW57 AW58:AW60 AT48:AU49 AW48:AW52 AT25:AW26 AU23:AW23 AU24:AW24 AT28:AW30 AU27:AW27 AT32:AW40 AU31:AW31 AT42:AW47 AU41:AW41 AT52:AU52 AU50 AU51 AU57 AT133:AU152 AU132 AW22 AU211" unlockedFormula="1"/>
    <ignoredError sqref="AR54 AR56 AR59:AR62 AS212:AS214 AR40 AR42:AS49 AS22 AS25:AS26 AZ45 AS28:AS30 AS32:AS40 AR52:AS52 AS86:AS92 AT212:AT214 AV48:AV52 AV58:AV60 AV86:AV92 AW86:AW92 AT86:AU92" evalError="1" unlockedFormula="1"/>
    <ignoredError sqref="AR55 AR53 AR58" evalError="1"/>
  </ignoredError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2:V55"/>
  <sheetViews>
    <sheetView topLeftCell="A40" workbookViewId="0">
      <selection activeCell="O62" sqref="O62"/>
    </sheetView>
  </sheetViews>
  <sheetFormatPr defaultRowHeight="12.75"/>
  <cols>
    <col min="1" max="1" width="20.625" bestFit="1" customWidth="1"/>
    <col min="2" max="2" width="7.75" hidden="1" customWidth="1"/>
    <col min="3" max="9" width="9" hidden="1" customWidth="1"/>
    <col min="10" max="12" width="9" customWidth="1"/>
    <col min="13" max="13" width="9.875" bestFit="1" customWidth="1"/>
    <col min="14" max="14" width="9.125" customWidth="1"/>
    <col min="15" max="15" width="9" customWidth="1"/>
    <col min="22" max="22" width="10.625" customWidth="1"/>
  </cols>
  <sheetData>
    <row r="2" spans="1:22">
      <c r="A2" s="374" t="s">
        <v>229</v>
      </c>
      <c r="B2" s="375" t="str">
        <f>+Quarterly!AE7</f>
        <v>Q1FY14</v>
      </c>
      <c r="C2" s="375" t="str">
        <f>+Quarterly!AF7</f>
        <v>Q2FY14</v>
      </c>
      <c r="D2" s="375" t="str">
        <f>+Quarterly!AG7</f>
        <v>Q3FY14</v>
      </c>
      <c r="E2" s="375" t="str">
        <f>+Quarterly!AH7</f>
        <v>Q4FY14</v>
      </c>
      <c r="F2" s="375" t="str">
        <f>+Quarterly!AI7</f>
        <v>Q1FY15</v>
      </c>
      <c r="G2" s="375" t="str">
        <f>+Quarterly!AJ7</f>
        <v>Q2FY15</v>
      </c>
      <c r="H2" s="375" t="str">
        <f>+Quarterly!AK7</f>
        <v>Q3FY15</v>
      </c>
      <c r="I2" s="375" t="str">
        <f>+Quarterly!AL7</f>
        <v>Q4FY15</v>
      </c>
      <c r="J2" s="375" t="str">
        <f>+Quarterly!AM7</f>
        <v>Q1FY16</v>
      </c>
      <c r="K2" s="375" t="str">
        <f>+Quarterly!AN7</f>
        <v>Q2FY16</v>
      </c>
      <c r="L2" s="375" t="str">
        <f>+Quarterly!AO7</f>
        <v>Q3FY16</v>
      </c>
      <c r="M2" s="375" t="str">
        <f>+Quarterly!AP7</f>
        <v>Q4FY16</v>
      </c>
      <c r="N2" s="375" t="str">
        <f>+Quarterly!AQ7</f>
        <v>Q1FY17</v>
      </c>
      <c r="O2" s="375" t="str">
        <f>+Quarterly!AR7</f>
        <v>Q2FY17</v>
      </c>
      <c r="P2" s="375" t="str">
        <f>+Quarterly!AS7</f>
        <v>Q3FY17</v>
      </c>
      <c r="Q2" s="375" t="str">
        <f>+Quarterly!AT7</f>
        <v>Q4FY17</v>
      </c>
      <c r="R2" s="375" t="s">
        <v>1986</v>
      </c>
      <c r="S2" s="375" t="s">
        <v>1987</v>
      </c>
      <c r="T2" s="375" t="s">
        <v>2377</v>
      </c>
      <c r="U2" s="375" t="s">
        <v>1858</v>
      </c>
      <c r="V2" s="375" t="s">
        <v>1988</v>
      </c>
    </row>
    <row r="3" spans="1:22">
      <c r="A3" s="376" t="s">
        <v>504</v>
      </c>
      <c r="B3" s="376">
        <f>+Quarterly!AE14</f>
        <v>49110.9</v>
      </c>
      <c r="C3" s="376">
        <f>+Quarterly!AF14</f>
        <v>51748.9</v>
      </c>
      <c r="D3" s="376">
        <f>+Quarterly!AG14</f>
        <v>51312.4</v>
      </c>
      <c r="E3" s="376">
        <f>+Quarterly!AH14</f>
        <v>49322.9</v>
      </c>
      <c r="F3" s="376">
        <f>+Quarterly!AI14</f>
        <v>52524.1</v>
      </c>
      <c r="G3" s="376">
        <f>+Quarterly!AJ14</f>
        <v>59630.9</v>
      </c>
      <c r="H3" s="376">
        <f>+Quarterly!AK14</f>
        <v>56571.7</v>
      </c>
      <c r="I3" s="376">
        <f>+Quarterly!AL14</f>
        <v>47393.4</v>
      </c>
      <c r="J3" s="376">
        <f>+Quarterly!AM14</f>
        <v>55992.800000000003</v>
      </c>
      <c r="K3" s="376">
        <f>+Quarterly!AN14</f>
        <v>60799.4</v>
      </c>
      <c r="L3" s="376">
        <f>+Quarterly!AO14</f>
        <v>55478.3</v>
      </c>
      <c r="M3" s="376">
        <f>+Quarterly!AP14</f>
        <v>53594.9</v>
      </c>
      <c r="N3" s="376">
        <f>+Quarterly!AQ14</f>
        <v>57479.5</v>
      </c>
      <c r="O3" s="376">
        <f>+Quarterly!AR14</f>
        <v>60545.2</v>
      </c>
      <c r="P3" s="376">
        <f>+Quarterly!AS14</f>
        <v>50668.9</v>
      </c>
      <c r="Q3" s="376">
        <f>+Quarterly!AT14</f>
        <v>48973.200000000004</v>
      </c>
      <c r="R3" s="395">
        <f>+(Q3/M3-1)*100</f>
        <v>-8.6233951364775301</v>
      </c>
      <c r="S3" s="377">
        <f>+(Q3/P3-1)*100</f>
        <v>-3.3466287999147304</v>
      </c>
      <c r="T3" s="376">
        <f>SUM(N3:Q3)</f>
        <v>217666.80000000002</v>
      </c>
      <c r="U3" s="376">
        <f>+SUM(J3:M3)</f>
        <v>225865.4</v>
      </c>
      <c r="V3" s="395">
        <f>+(T3/U3-1)*100</f>
        <v>-3.6298609702946849</v>
      </c>
    </row>
    <row r="4" spans="1:22">
      <c r="A4" s="376" t="s">
        <v>1989</v>
      </c>
      <c r="B4" s="376">
        <f t="shared" ref="B4:G4" si="0">+B6+B8+B10</f>
        <v>39083.799999999996</v>
      </c>
      <c r="C4" s="376">
        <f t="shared" si="0"/>
        <v>40035.700000000004</v>
      </c>
      <c r="D4" s="376">
        <f t="shared" si="0"/>
        <v>40915.800000000003</v>
      </c>
      <c r="E4" s="376">
        <f t="shared" si="0"/>
        <v>39639.300000000003</v>
      </c>
      <c r="F4" s="376">
        <f t="shared" si="0"/>
        <v>42600.499999999993</v>
      </c>
      <c r="G4" s="376">
        <f t="shared" si="0"/>
        <v>47689</v>
      </c>
      <c r="H4" s="376">
        <f t="shared" ref="H4:M4" si="1">+H6+H8+H10</f>
        <v>45093.3</v>
      </c>
      <c r="I4" s="376">
        <f t="shared" si="1"/>
        <v>39069.600000000006</v>
      </c>
      <c r="J4" s="376">
        <f t="shared" si="1"/>
        <v>44590.400000000009</v>
      </c>
      <c r="K4" s="376">
        <f t="shared" si="1"/>
        <v>47632.100000000006</v>
      </c>
      <c r="L4" s="376">
        <f t="shared" si="1"/>
        <v>43762</v>
      </c>
      <c r="M4" s="376">
        <f t="shared" si="1"/>
        <v>42061.3</v>
      </c>
      <c r="N4" s="376">
        <f t="shared" ref="N4:O4" si="2">+N6+N8+N10</f>
        <v>45716.2</v>
      </c>
      <c r="O4" s="376">
        <f t="shared" si="2"/>
        <v>47583.899999999987</v>
      </c>
      <c r="P4" s="376">
        <f t="shared" ref="P4:Q4" si="3">+P6+P8+P10</f>
        <v>40229.799999999996</v>
      </c>
      <c r="Q4" s="376">
        <f t="shared" si="3"/>
        <v>39913.399999999994</v>
      </c>
      <c r="R4" s="395">
        <f>+(Q4/M4-1)*100</f>
        <v>-5.1065944229018339</v>
      </c>
      <c r="S4" s="377">
        <f>+(Q4/P4-1)*100</f>
        <v>-0.78648166284694954</v>
      </c>
      <c r="T4" s="376">
        <f t="shared" ref="T4:U4" si="4">+T6+T8+T10</f>
        <v>173443.30000000002</v>
      </c>
      <c r="U4" s="376">
        <f t="shared" si="4"/>
        <v>178045.80000000005</v>
      </c>
      <c r="V4" s="395">
        <f>+(T4/U4-1)*100</f>
        <v>-2.5850090257675484</v>
      </c>
    </row>
    <row r="5" spans="1:22">
      <c r="A5" s="378" t="s">
        <v>1990</v>
      </c>
      <c r="B5" s="379">
        <f t="shared" ref="B5:G5" si="5">+B4/B$3*100</f>
        <v>79.582740287797606</v>
      </c>
      <c r="C5" s="379">
        <f t="shared" si="5"/>
        <v>77.36531597773093</v>
      </c>
      <c r="D5" s="379">
        <f t="shared" si="5"/>
        <v>79.738620684279056</v>
      </c>
      <c r="E5" s="379">
        <f t="shared" si="5"/>
        <v>80.366928951866186</v>
      </c>
      <c r="F5" s="379">
        <f t="shared" si="5"/>
        <v>81.106577742407765</v>
      </c>
      <c r="G5" s="379">
        <f t="shared" si="5"/>
        <v>79.973637828709613</v>
      </c>
      <c r="H5" s="379">
        <f t="shared" ref="H5:M5" si="6">+H4/H$3*100</f>
        <v>79.709996340926665</v>
      </c>
      <c r="I5" s="379">
        <f t="shared" si="6"/>
        <v>82.43679499677171</v>
      </c>
      <c r="J5" s="379">
        <f t="shared" si="6"/>
        <v>79.63595319398209</v>
      </c>
      <c r="K5" s="379">
        <f t="shared" si="6"/>
        <v>78.343042858975593</v>
      </c>
      <c r="L5" s="379">
        <f t="shared" si="6"/>
        <v>78.881292325107282</v>
      </c>
      <c r="M5" s="379">
        <f t="shared" si="6"/>
        <v>78.480041944289482</v>
      </c>
      <c r="N5" s="379">
        <f t="shared" ref="N5:O5" si="7">+N4/N$3*100</f>
        <v>79.534790664497763</v>
      </c>
      <c r="O5" s="379">
        <f t="shared" si="7"/>
        <v>78.592357445346593</v>
      </c>
      <c r="P5" s="379">
        <f t="shared" ref="P5:Q5" si="8">+P4/P$3*100</f>
        <v>79.397421297876988</v>
      </c>
      <c r="Q5" s="379">
        <f t="shared" si="8"/>
        <v>81.500494147819609</v>
      </c>
      <c r="R5" s="396"/>
      <c r="S5" s="380"/>
      <c r="T5" s="379">
        <f>+T4/T$3*100</f>
        <v>79.682937407082761</v>
      </c>
      <c r="U5" s="379">
        <f>+U4/U$3*100</f>
        <v>78.828275601309471</v>
      </c>
      <c r="V5" s="396"/>
    </row>
    <row r="6" spans="1:22">
      <c r="A6" s="381" t="s">
        <v>1991</v>
      </c>
      <c r="B6" s="381">
        <f>+Quarterly!AE19</f>
        <v>34066.6</v>
      </c>
      <c r="C6" s="381">
        <f>+Quarterly!AF19</f>
        <v>34685.700000000004</v>
      </c>
      <c r="D6" s="381">
        <f>+Quarterly!AG19</f>
        <v>35662.700000000004</v>
      </c>
      <c r="E6" s="381">
        <f>+Quarterly!AH19</f>
        <v>34351.700000000004</v>
      </c>
      <c r="F6" s="381">
        <f>+Quarterly!AI19</f>
        <v>36802.199999999997</v>
      </c>
      <c r="G6" s="381">
        <f>+Quarterly!AJ19</f>
        <v>41100.5</v>
      </c>
      <c r="H6" s="381">
        <f>+Quarterly!AK19</f>
        <v>38619.800000000003</v>
      </c>
      <c r="I6" s="381">
        <f>+Quarterly!AL19</f>
        <v>31975.500000000004</v>
      </c>
      <c r="J6" s="381">
        <f>+Quarterly!AM19</f>
        <v>37727.500000000007</v>
      </c>
      <c r="K6" s="381">
        <f>+Quarterly!AN19</f>
        <v>40550.800000000003</v>
      </c>
      <c r="L6" s="381">
        <f>+Quarterly!AO19</f>
        <v>36957.700000000004</v>
      </c>
      <c r="M6" s="381">
        <f>+Quarterly!AP19</f>
        <v>35332.600000000006</v>
      </c>
      <c r="N6" s="381">
        <f>+Quarterly!AQ19</f>
        <v>38627.699999999997</v>
      </c>
      <c r="O6" s="381">
        <f>+Quarterly!AR19</f>
        <v>40570.599999999991</v>
      </c>
      <c r="P6" s="381">
        <f>+Quarterly!AS19</f>
        <v>33840.5</v>
      </c>
      <c r="Q6" s="381">
        <f>+Quarterly!AT19</f>
        <v>33202.699999999997</v>
      </c>
      <c r="R6" s="397">
        <f>+(Q6/M6-1)*100</f>
        <v>-6.0281439803467896</v>
      </c>
      <c r="S6" s="383">
        <f>+(Q6/P6-1)*100</f>
        <v>-1.884723925473919</v>
      </c>
      <c r="T6" s="381">
        <f>SUM(N6:Q6)</f>
        <v>146241.5</v>
      </c>
      <c r="U6" s="381">
        <f>+SUM(J6:M6)</f>
        <v>150568.60000000003</v>
      </c>
      <c r="V6" s="397">
        <f>+(T6/U6-1)*100</f>
        <v>-2.8738395654871129</v>
      </c>
    </row>
    <row r="7" spans="1:22">
      <c r="A7" s="378" t="s">
        <v>1990</v>
      </c>
      <c r="B7" s="379">
        <f t="shared" ref="B7:G7" si="9">+B6/B$3*100</f>
        <v>69.366678273051392</v>
      </c>
      <c r="C7" s="379">
        <f t="shared" si="9"/>
        <v>67.02693197343325</v>
      </c>
      <c r="D7" s="379">
        <f t="shared" si="9"/>
        <v>69.501134228763433</v>
      </c>
      <c r="E7" s="379">
        <f t="shared" si="9"/>
        <v>69.646553629247279</v>
      </c>
      <c r="F7" s="379">
        <f t="shared" si="9"/>
        <v>70.067264360550681</v>
      </c>
      <c r="G7" s="379">
        <f t="shared" si="9"/>
        <v>68.924835949147166</v>
      </c>
      <c r="H7" s="379">
        <f t="shared" ref="H7:M7" si="10">+H6/H$3*100</f>
        <v>68.266995688657062</v>
      </c>
      <c r="I7" s="379">
        <f t="shared" si="10"/>
        <v>67.468255073491264</v>
      </c>
      <c r="J7" s="379">
        <f t="shared" si="10"/>
        <v>67.379198754125539</v>
      </c>
      <c r="K7" s="379">
        <f t="shared" si="10"/>
        <v>66.696052921574889</v>
      </c>
      <c r="L7" s="379">
        <f t="shared" si="10"/>
        <v>66.616496900589965</v>
      </c>
      <c r="M7" s="379">
        <f t="shared" si="10"/>
        <v>65.925302594090113</v>
      </c>
      <c r="N7" s="379">
        <f t="shared" ref="N7:O7" si="11">+N6/N$3*100</f>
        <v>67.202567872023934</v>
      </c>
      <c r="O7" s="379">
        <f t="shared" si="11"/>
        <v>67.008780217093999</v>
      </c>
      <c r="P7" s="379">
        <f t="shared" ref="P7:Q7" si="12">+P6/P$3*100</f>
        <v>66.787516602886569</v>
      </c>
      <c r="Q7" s="379">
        <f t="shared" si="12"/>
        <v>67.797693432326241</v>
      </c>
      <c r="R7" s="396"/>
      <c r="S7" s="380"/>
      <c r="T7" s="379">
        <f>+T6/T$3*100</f>
        <v>67.18594659360086</v>
      </c>
      <c r="U7" s="379">
        <f>+U6/U$3*100</f>
        <v>66.662977153649933</v>
      </c>
      <c r="V7" s="396"/>
    </row>
    <row r="8" spans="1:22">
      <c r="A8" s="381" t="s">
        <v>839</v>
      </c>
      <c r="B8" s="381">
        <f>+Quarterly!AE27</f>
        <v>1836.5</v>
      </c>
      <c r="C8" s="381">
        <f>+Quarterly!AF27</f>
        <v>1833.8</v>
      </c>
      <c r="D8" s="381">
        <f>+Quarterly!AG27</f>
        <v>1847.9</v>
      </c>
      <c r="E8" s="381">
        <f>+Quarterly!AH27</f>
        <v>1747.6</v>
      </c>
      <c r="F8" s="381">
        <f>+Quarterly!AI27</f>
        <v>2145.6999999999998</v>
      </c>
      <c r="G8" s="381">
        <f>+Quarterly!AJ27</f>
        <v>2102.4</v>
      </c>
      <c r="H8" s="381">
        <f>+Quarterly!AK27</f>
        <v>2139.1999999999998</v>
      </c>
      <c r="I8" s="381">
        <f>+Quarterly!AL27</f>
        <v>2585.6999999999998</v>
      </c>
      <c r="J8" s="381">
        <f>+Quarterly!AM27</f>
        <v>2434.1</v>
      </c>
      <c r="K8" s="381">
        <f>+Quarterly!AN27</f>
        <v>2414</v>
      </c>
      <c r="L8" s="381">
        <f>+Quarterly!AO27</f>
        <v>2299.1</v>
      </c>
      <c r="M8" s="381">
        <f>+Quarterly!AP27</f>
        <v>2024</v>
      </c>
      <c r="N8" s="381">
        <f>+Quarterly!AQ27</f>
        <v>2683.1</v>
      </c>
      <c r="O8" s="381">
        <f>+Quarterly!AR27</f>
        <v>2587.1999999999998</v>
      </c>
      <c r="P8" s="381">
        <f>+Quarterly!AS27</f>
        <v>2427.1999999999998</v>
      </c>
      <c r="Q8" s="381">
        <f>+Quarterly!AT27</f>
        <v>2273.1999999999998</v>
      </c>
      <c r="R8" s="397">
        <f>+(Q8/M8-1)*100</f>
        <v>12.312252964426861</v>
      </c>
      <c r="S8" s="383">
        <f>+(Q8/P8-1)*100</f>
        <v>-6.3447593935398778</v>
      </c>
      <c r="T8" s="381">
        <f>SUM(N8:Q8)</f>
        <v>9970.6999999999989</v>
      </c>
      <c r="U8" s="381">
        <f>+SUM(J8:M8)</f>
        <v>9171.2000000000007</v>
      </c>
      <c r="V8" s="397">
        <f>+(T8/U8-1)*100</f>
        <v>8.7175069783670409</v>
      </c>
    </row>
    <row r="9" spans="1:22">
      <c r="A9" s="378" t="s">
        <v>1990</v>
      </c>
      <c r="B9" s="379">
        <f t="shared" ref="B9:G9" si="13">+B8/B$3*100</f>
        <v>3.7394957127643762</v>
      </c>
      <c r="C9" s="379">
        <f t="shared" si="13"/>
        <v>3.5436502031927248</v>
      </c>
      <c r="D9" s="379">
        <f t="shared" si="13"/>
        <v>3.6012737661851717</v>
      </c>
      <c r="E9" s="379">
        <f t="shared" si="13"/>
        <v>3.5431817674954229</v>
      </c>
      <c r="F9" s="379">
        <f t="shared" si="13"/>
        <v>4.0851723304159417</v>
      </c>
      <c r="G9" s="379">
        <f t="shared" si="13"/>
        <v>3.5256888626534226</v>
      </c>
      <c r="H9" s="379">
        <f t="shared" ref="H9:M9" si="14">+H8/H$3*100</f>
        <v>3.7813959983525334</v>
      </c>
      <c r="I9" s="379">
        <f t="shared" si="14"/>
        <v>5.4558229626910073</v>
      </c>
      <c r="J9" s="379">
        <f t="shared" si="14"/>
        <v>4.3471660642082552</v>
      </c>
      <c r="K9" s="379">
        <f t="shared" si="14"/>
        <v>3.9704339187557771</v>
      </c>
      <c r="L9" s="379">
        <f t="shared" si="14"/>
        <v>4.1441428450403128</v>
      </c>
      <c r="M9" s="379">
        <f t="shared" si="14"/>
        <v>3.7764787321181679</v>
      </c>
      <c r="N9" s="379">
        <f t="shared" ref="N9:O9" si="15">+N8/N$3*100</f>
        <v>4.6679250863351278</v>
      </c>
      <c r="O9" s="379">
        <f t="shared" si="15"/>
        <v>4.2731711184371344</v>
      </c>
      <c r="P9" s="379">
        <f t="shared" ref="P9:Q9" si="16">+P8/P$3*100</f>
        <v>4.7903151637394927</v>
      </c>
      <c r="Q9" s="379">
        <f t="shared" si="16"/>
        <v>4.6417224114413589</v>
      </c>
      <c r="R9" s="396"/>
      <c r="S9" s="380"/>
      <c r="T9" s="379">
        <f>+T8/T$3*100</f>
        <v>4.5807169490248389</v>
      </c>
      <c r="U9" s="379">
        <f>+U8/U$3*100</f>
        <v>4.0604714135055664</v>
      </c>
      <c r="V9" s="396"/>
    </row>
    <row r="10" spans="1:22">
      <c r="A10" s="381" t="s">
        <v>1992</v>
      </c>
      <c r="B10" s="381">
        <f>+Quarterly!AE31</f>
        <v>3180.7</v>
      </c>
      <c r="C10" s="381">
        <f>+Quarterly!AF31</f>
        <v>3516.2000000000003</v>
      </c>
      <c r="D10" s="381">
        <f>+Quarterly!AG31</f>
        <v>3405.2</v>
      </c>
      <c r="E10" s="381">
        <f>+Quarterly!AH31</f>
        <v>3540</v>
      </c>
      <c r="F10" s="381">
        <f>+Quarterly!AI31</f>
        <v>3652.6000000000004</v>
      </c>
      <c r="G10" s="381">
        <f>+Quarterly!AJ31</f>
        <v>4486.0999999999995</v>
      </c>
      <c r="H10" s="381">
        <f>+Quarterly!AK31</f>
        <v>4334.3</v>
      </c>
      <c r="I10" s="381">
        <f>+Quarterly!AL31</f>
        <v>4508.4000000000005</v>
      </c>
      <c r="J10" s="381">
        <f>+Quarterly!AM31</f>
        <v>4428.7999999999993</v>
      </c>
      <c r="K10" s="381">
        <f>+Quarterly!AN31</f>
        <v>4667.3</v>
      </c>
      <c r="L10" s="381">
        <f>+Quarterly!AO31</f>
        <v>4505.2</v>
      </c>
      <c r="M10" s="381">
        <f>+Quarterly!AP31</f>
        <v>4704.7</v>
      </c>
      <c r="N10" s="381">
        <f>+Quarterly!AQ31</f>
        <v>4405.3999999999996</v>
      </c>
      <c r="O10" s="381">
        <f>+Quarterly!AR31</f>
        <v>4426.1000000000004</v>
      </c>
      <c r="P10" s="381">
        <f>+Quarterly!AS31</f>
        <v>3962.1000000000004</v>
      </c>
      <c r="Q10" s="381">
        <f>+Quarterly!AT31</f>
        <v>4437.5</v>
      </c>
      <c r="R10" s="397">
        <f>+(Q10/M10-1)*100</f>
        <v>-5.6794269560226933</v>
      </c>
      <c r="S10" s="383">
        <f>+(Q10/P10-1)*100</f>
        <v>11.998687564675281</v>
      </c>
      <c r="T10" s="381">
        <f>SUM(N10:Q10)</f>
        <v>17231.099999999999</v>
      </c>
      <c r="U10" s="381">
        <f>+SUM(J10:M10)</f>
        <v>18306</v>
      </c>
      <c r="V10" s="397">
        <f>+(T10/U10-1)*100</f>
        <v>-5.871845296624068</v>
      </c>
    </row>
    <row r="11" spans="1:22">
      <c r="A11" s="378" t="s">
        <v>1990</v>
      </c>
      <c r="B11" s="379">
        <f t="shared" ref="B11:G11" si="17">+B10/B$3*100</f>
        <v>6.4765663019818414</v>
      </c>
      <c r="C11" s="379">
        <f t="shared" si="17"/>
        <v>6.7947338011049521</v>
      </c>
      <c r="D11" s="379">
        <f t="shared" si="17"/>
        <v>6.6362126893304536</v>
      </c>
      <c r="E11" s="379">
        <f t="shared" si="17"/>
        <v>7.1771935551234813</v>
      </c>
      <c r="F11" s="379">
        <f t="shared" si="17"/>
        <v>6.9541410514411481</v>
      </c>
      <c r="G11" s="379">
        <f t="shared" si="17"/>
        <v>7.5231130169090177</v>
      </c>
      <c r="H11" s="379">
        <f t="shared" ref="H11:M11" si="18">+H10/H$3*100</f>
        <v>7.661604653917065</v>
      </c>
      <c r="I11" s="379">
        <f t="shared" si="18"/>
        <v>9.512716960589449</v>
      </c>
      <c r="J11" s="379">
        <f t="shared" si="18"/>
        <v>7.9095883756482968</v>
      </c>
      <c r="K11" s="379">
        <f t="shared" si="18"/>
        <v>7.6765560186449218</v>
      </c>
      <c r="L11" s="379">
        <f t="shared" si="18"/>
        <v>8.120652579477019</v>
      </c>
      <c r="M11" s="379">
        <f t="shared" si="18"/>
        <v>8.7782606180811982</v>
      </c>
      <c r="N11" s="379">
        <f t="shared" ref="N11:O11" si="19">+N10/N$3*100</f>
        <v>7.6642977061387088</v>
      </c>
      <c r="O11" s="379">
        <f t="shared" si="19"/>
        <v>7.3104061098154771</v>
      </c>
      <c r="P11" s="379">
        <f t="shared" ref="P11:Q11" si="20">+P10/P$3*100</f>
        <v>7.8195895312509256</v>
      </c>
      <c r="Q11" s="379">
        <f t="shared" si="20"/>
        <v>9.0610783040520122</v>
      </c>
      <c r="R11" s="396"/>
      <c r="S11" s="380"/>
      <c r="T11" s="379">
        <f>+T10/T$3*100</f>
        <v>7.9162738644570494</v>
      </c>
      <c r="U11" s="379">
        <f>+U10/U$3*100</f>
        <v>8.1048270341539688</v>
      </c>
      <c r="V11" s="396"/>
    </row>
    <row r="12" spans="1:22">
      <c r="A12" s="376" t="s">
        <v>659</v>
      </c>
      <c r="B12" s="376">
        <f t="shared" ref="B12:G12" si="21">+B3-B4</f>
        <v>10027.100000000006</v>
      </c>
      <c r="C12" s="376">
        <f t="shared" si="21"/>
        <v>11713.199999999997</v>
      </c>
      <c r="D12" s="376">
        <f t="shared" si="21"/>
        <v>10396.599999999999</v>
      </c>
      <c r="E12" s="376">
        <f t="shared" si="21"/>
        <v>9683.5999999999985</v>
      </c>
      <c r="F12" s="376">
        <f t="shared" si="21"/>
        <v>9923.6000000000058</v>
      </c>
      <c r="G12" s="376">
        <f t="shared" si="21"/>
        <v>11941.900000000001</v>
      </c>
      <c r="H12" s="376">
        <f t="shared" ref="H12:M12" si="22">+H3-H4</f>
        <v>11478.399999999994</v>
      </c>
      <c r="I12" s="376">
        <f t="shared" si="22"/>
        <v>8323.7999999999956</v>
      </c>
      <c r="J12" s="376">
        <f t="shared" si="22"/>
        <v>11402.399999999994</v>
      </c>
      <c r="K12" s="376">
        <f t="shared" si="22"/>
        <v>13167.299999999996</v>
      </c>
      <c r="L12" s="376">
        <f t="shared" si="22"/>
        <v>11716.300000000003</v>
      </c>
      <c r="M12" s="376">
        <f t="shared" si="22"/>
        <v>11533.599999999999</v>
      </c>
      <c r="N12" s="376">
        <f t="shared" ref="N12:O12" si="23">+N3-N4</f>
        <v>11763.300000000003</v>
      </c>
      <c r="O12" s="376">
        <f t="shared" si="23"/>
        <v>12961.30000000001</v>
      </c>
      <c r="P12" s="376">
        <f t="shared" ref="P12:Q12" si="24">+P3-P4</f>
        <v>10439.100000000006</v>
      </c>
      <c r="Q12" s="376">
        <f t="shared" si="24"/>
        <v>9059.8000000000102</v>
      </c>
      <c r="R12" s="395">
        <f t="shared" ref="R12:R19" si="25">+(Q12/M12-1)*100</f>
        <v>-21.448637025733408</v>
      </c>
      <c r="S12" s="377">
        <f t="shared" ref="S12:S19" si="26">+(Q12/P12-1)*100</f>
        <v>-13.212824860380634</v>
      </c>
      <c r="T12" s="376">
        <f t="shared" ref="T12:U12" si="27">+T3-T4</f>
        <v>44223.5</v>
      </c>
      <c r="U12" s="376">
        <f t="shared" si="27"/>
        <v>47819.599999999948</v>
      </c>
      <c r="V12" s="395">
        <f>+(T12/U12-1)*100</f>
        <v>-7.5201381860156786</v>
      </c>
    </row>
    <row r="13" spans="1:22">
      <c r="A13" s="384" t="s">
        <v>660</v>
      </c>
      <c r="B13" s="384">
        <f>+Quarterly!AE41</f>
        <v>443.9</v>
      </c>
      <c r="C13" s="384">
        <f>+Quarterly!AF41</f>
        <v>442.9</v>
      </c>
      <c r="D13" s="384">
        <f>+Quarterly!AG41</f>
        <v>459.5</v>
      </c>
      <c r="E13" s="384">
        <f>+Quarterly!AH41</f>
        <v>444.8</v>
      </c>
      <c r="F13" s="384">
        <f>+Quarterly!AI41</f>
        <v>692</v>
      </c>
      <c r="G13" s="384">
        <f>+Quarterly!AJ41</f>
        <v>686.2</v>
      </c>
      <c r="H13" s="384">
        <f>+Quarterly!AK41</f>
        <v>657.7</v>
      </c>
      <c r="I13" s="384">
        <f>+Quarterly!AL41</f>
        <v>638.1</v>
      </c>
      <c r="J13" s="384">
        <f>+Quarterly!AM41</f>
        <v>784.1</v>
      </c>
      <c r="K13" s="384">
        <f>+Quarterly!AN41</f>
        <v>780.1</v>
      </c>
      <c r="L13" s="384">
        <f>+Quarterly!AO41</f>
        <v>746.4</v>
      </c>
      <c r="M13" s="384">
        <f>+Quarterly!AP41</f>
        <v>761</v>
      </c>
      <c r="N13" s="384">
        <f>+Quarterly!AQ41</f>
        <v>774.7</v>
      </c>
      <c r="O13" s="384">
        <f>+Quarterly!AR41</f>
        <v>769.5</v>
      </c>
      <c r="P13" s="384">
        <f>+Quarterly!AS41</f>
        <v>771.7</v>
      </c>
      <c r="Q13" s="384">
        <f>+Quarterly!AT41</f>
        <v>757</v>
      </c>
      <c r="R13" s="398">
        <f t="shared" si="25"/>
        <v>-0.52562417871222511</v>
      </c>
      <c r="S13" s="385">
        <f t="shared" si="26"/>
        <v>-1.9048853181288128</v>
      </c>
      <c r="T13" s="381">
        <f>SUM(N13:Q13)</f>
        <v>3072.9</v>
      </c>
      <c r="U13" s="381">
        <f>+SUM(J13:M13)</f>
        <v>3071.6</v>
      </c>
      <c r="V13" s="398">
        <f t="shared" ref="V13:V19" si="28">+(T13/U13-1)*100</f>
        <v>4.2323219169171367E-2</v>
      </c>
    </row>
    <row r="14" spans="1:22">
      <c r="A14" s="376" t="s">
        <v>663</v>
      </c>
      <c r="B14" s="376">
        <f t="shared" ref="B14:G14" si="29">+B12-B13</f>
        <v>9583.2000000000062</v>
      </c>
      <c r="C14" s="376">
        <f t="shared" si="29"/>
        <v>11270.299999999997</v>
      </c>
      <c r="D14" s="376">
        <f t="shared" si="29"/>
        <v>9937.0999999999985</v>
      </c>
      <c r="E14" s="376">
        <f t="shared" si="29"/>
        <v>9238.7999999999993</v>
      </c>
      <c r="F14" s="376">
        <f t="shared" si="29"/>
        <v>9231.6000000000058</v>
      </c>
      <c r="G14" s="376">
        <f t="shared" si="29"/>
        <v>11255.7</v>
      </c>
      <c r="H14" s="376">
        <f t="shared" ref="H14:M14" si="30">+H12-H13</f>
        <v>10820.699999999993</v>
      </c>
      <c r="I14" s="376">
        <f t="shared" si="30"/>
        <v>7685.6999999999953</v>
      </c>
      <c r="J14" s="376">
        <f t="shared" si="30"/>
        <v>10618.299999999994</v>
      </c>
      <c r="K14" s="376">
        <f t="shared" si="30"/>
        <v>12387.199999999995</v>
      </c>
      <c r="L14" s="376">
        <f t="shared" si="30"/>
        <v>10969.900000000003</v>
      </c>
      <c r="M14" s="376">
        <f t="shared" si="30"/>
        <v>10772.599999999999</v>
      </c>
      <c r="N14" s="376">
        <f t="shared" ref="N14:O14" si="31">+N12-N13</f>
        <v>10988.600000000002</v>
      </c>
      <c r="O14" s="376">
        <f t="shared" si="31"/>
        <v>12191.80000000001</v>
      </c>
      <c r="P14" s="376">
        <f t="shared" ref="P14:Q14" si="32">+P12-P13</f>
        <v>9667.4000000000051</v>
      </c>
      <c r="Q14" s="376">
        <f t="shared" si="32"/>
        <v>8302.8000000000102</v>
      </c>
      <c r="R14" s="395">
        <f t="shared" si="25"/>
        <v>-22.926684365891138</v>
      </c>
      <c r="S14" s="377">
        <f t="shared" si="26"/>
        <v>-14.115480894552768</v>
      </c>
      <c r="T14" s="376">
        <f t="shared" ref="T14:U14" si="33">+T12-T13</f>
        <v>41150.6</v>
      </c>
      <c r="U14" s="376">
        <f t="shared" si="33"/>
        <v>44747.999999999949</v>
      </c>
      <c r="V14" s="395">
        <f t="shared" si="28"/>
        <v>-8.0392419772949744</v>
      </c>
    </row>
    <row r="15" spans="1:22">
      <c r="A15" s="381" t="s">
        <v>367</v>
      </c>
      <c r="B15" s="381">
        <f>+Quarterly!AE51</f>
        <v>1756</v>
      </c>
      <c r="C15" s="381">
        <f>+Quarterly!AF51</f>
        <v>1241.5999999999999</v>
      </c>
      <c r="D15" s="381">
        <f>+Quarterly!AG51</f>
        <v>2218.4</v>
      </c>
      <c r="E15" s="381">
        <f>+Quarterly!AH51</f>
        <v>1848.1</v>
      </c>
      <c r="F15" s="381">
        <f>+Quarterly!AI51</f>
        <v>2192.6999999999998</v>
      </c>
      <c r="G15" s="381">
        <f>+Quarterly!AJ51</f>
        <v>1136.0999999999999</v>
      </c>
      <c r="H15" s="381">
        <f>+Quarterly!AK51</f>
        <v>952.7</v>
      </c>
      <c r="I15" s="381">
        <f>+Quarterly!AL51</f>
        <v>1542.7</v>
      </c>
      <c r="J15" s="381">
        <f>+Quarterly!AM51</f>
        <v>3062.6</v>
      </c>
      <c r="K15" s="381">
        <f>+Quarterly!AN51</f>
        <v>2679.8</v>
      </c>
      <c r="L15" s="381">
        <f>+Quarterly!AO51</f>
        <v>2424.6</v>
      </c>
      <c r="M15" s="381">
        <f>+Quarterly!AP51</f>
        <v>2568.9</v>
      </c>
      <c r="N15" s="381">
        <f>+Quarterly!AQ51</f>
        <v>2670.6</v>
      </c>
      <c r="O15" s="381">
        <f>+Quarterly!AR51</f>
        <v>3420.2</v>
      </c>
      <c r="P15" s="381">
        <f>+Quarterly!AS51</f>
        <v>3192.9</v>
      </c>
      <c r="Q15" s="381">
        <f>+Quarterly!AT51</f>
        <v>2936</v>
      </c>
      <c r="R15" s="397">
        <f t="shared" si="25"/>
        <v>14.290163104830867</v>
      </c>
      <c r="S15" s="383">
        <f t="shared" si="26"/>
        <v>-8.045977011494255</v>
      </c>
      <c r="T15" s="381">
        <f>SUM(N15:Q15)</f>
        <v>12219.699999999999</v>
      </c>
      <c r="U15" s="381">
        <f>+SUM(J15:M15)</f>
        <v>10735.9</v>
      </c>
      <c r="V15" s="397">
        <f t="shared" si="28"/>
        <v>13.820918600210508</v>
      </c>
    </row>
    <row r="16" spans="1:22">
      <c r="A16" s="381" t="s">
        <v>409</v>
      </c>
      <c r="B16" s="381">
        <f>+Quarterly!AE50</f>
        <v>0.9</v>
      </c>
      <c r="C16" s="381">
        <f>+Quarterly!AF50</f>
        <v>0.4</v>
      </c>
      <c r="D16" s="381">
        <f>+Quarterly!AG50</f>
        <v>1.9</v>
      </c>
      <c r="E16" s="381">
        <f>+Quarterly!AH50</f>
        <v>1.7</v>
      </c>
      <c r="F16" s="381">
        <f>+Quarterly!AI50</f>
        <v>1.1000000000000001</v>
      </c>
      <c r="G16" s="381">
        <f>+Quarterly!AJ50</f>
        <v>0.5</v>
      </c>
      <c r="H16" s="381">
        <f>+Quarterly!AK50</f>
        <v>0.7</v>
      </c>
      <c r="I16" s="381">
        <f>+Quarterly!AL50</f>
        <v>61.6</v>
      </c>
      <c r="J16" s="381">
        <f>+Quarterly!AM50</f>
        <v>1.1000000000000001</v>
      </c>
      <c r="K16" s="381">
        <f>+Quarterly!AN50</f>
        <v>3.4</v>
      </c>
      <c r="L16" s="381">
        <f>+Quarterly!AO50</f>
        <v>2.1</v>
      </c>
      <c r="M16" s="381">
        <f>+Quarterly!AP50</f>
        <v>3.9</v>
      </c>
      <c r="N16" s="381">
        <f>+Quarterly!AQ50</f>
        <v>2.2000000000000002</v>
      </c>
      <c r="O16" s="381">
        <f>+Quarterly!AR50</f>
        <v>6.8</v>
      </c>
      <c r="P16" s="381">
        <f>+Quarterly!AS50</f>
        <v>2.6</v>
      </c>
      <c r="Q16" s="381">
        <f>+Quarterly!AT50</f>
        <v>2.4</v>
      </c>
      <c r="R16" s="397">
        <f t="shared" si="25"/>
        <v>-38.46153846153846</v>
      </c>
      <c r="S16" s="383">
        <f t="shared" si="26"/>
        <v>-7.6923076923076987</v>
      </c>
      <c r="T16" s="381">
        <f>SUM(N16:Q16)</f>
        <v>14</v>
      </c>
      <c r="U16" s="381">
        <f>+SUM(J16:M16)</f>
        <v>10.5</v>
      </c>
      <c r="V16" s="397">
        <f t="shared" si="28"/>
        <v>33.333333333333329</v>
      </c>
    </row>
    <row r="17" spans="1:22">
      <c r="A17" s="376" t="s">
        <v>667</v>
      </c>
      <c r="B17" s="376">
        <f t="shared" ref="B17:G17" si="34">+B14+B15-B16</f>
        <v>11338.300000000007</v>
      </c>
      <c r="C17" s="376">
        <f t="shared" si="34"/>
        <v>12511.499999999998</v>
      </c>
      <c r="D17" s="376">
        <f t="shared" si="34"/>
        <v>12153.599999999999</v>
      </c>
      <c r="E17" s="376">
        <f t="shared" si="34"/>
        <v>11085.199999999999</v>
      </c>
      <c r="F17" s="376">
        <f t="shared" si="34"/>
        <v>11423.200000000006</v>
      </c>
      <c r="G17" s="376">
        <f t="shared" si="34"/>
        <v>12391.300000000001</v>
      </c>
      <c r="H17" s="376">
        <f t="shared" ref="H17:M17" si="35">+H14+H15-H16</f>
        <v>11772.699999999993</v>
      </c>
      <c r="I17" s="376">
        <f t="shared" si="35"/>
        <v>9166.7999999999956</v>
      </c>
      <c r="J17" s="376">
        <f t="shared" si="35"/>
        <v>13679.799999999994</v>
      </c>
      <c r="K17" s="376">
        <f t="shared" si="35"/>
        <v>15063.599999999997</v>
      </c>
      <c r="L17" s="376">
        <f t="shared" si="35"/>
        <v>13392.400000000003</v>
      </c>
      <c r="M17" s="376">
        <f t="shared" si="35"/>
        <v>13337.599999999999</v>
      </c>
      <c r="N17" s="376">
        <f t="shared" ref="N17:O17" si="36">+N14+N15-N16</f>
        <v>13657.000000000002</v>
      </c>
      <c r="O17" s="376">
        <f t="shared" si="36"/>
        <v>15605.200000000012</v>
      </c>
      <c r="P17" s="376">
        <f t="shared" ref="P17:Q17" si="37">+P14+P15-P16</f>
        <v>12857.700000000004</v>
      </c>
      <c r="Q17" s="376">
        <f t="shared" si="37"/>
        <v>11236.400000000011</v>
      </c>
      <c r="R17" s="395">
        <f t="shared" si="25"/>
        <v>-15.753958733205288</v>
      </c>
      <c r="S17" s="377">
        <f t="shared" si="26"/>
        <v>-12.609564696640874</v>
      </c>
      <c r="T17" s="376">
        <f t="shared" ref="T17:U17" si="38">+T14+T15-T16</f>
        <v>53356.299999999996</v>
      </c>
      <c r="U17" s="376">
        <f t="shared" si="38"/>
        <v>55473.399999999951</v>
      </c>
      <c r="V17" s="395">
        <f t="shared" si="28"/>
        <v>-3.8164237274080137</v>
      </c>
    </row>
    <row r="18" spans="1:22">
      <c r="A18" s="381" t="s">
        <v>1047</v>
      </c>
      <c r="B18" s="381">
        <f>+Quarterly!AE57-0.3*Quarterly!AE53</f>
        <v>3289.5</v>
      </c>
      <c r="C18" s="381">
        <f>+Quarterly!AF57-0.3*Quarterly!AF53</f>
        <v>3864.38</v>
      </c>
      <c r="D18" s="381">
        <f>+Quarterly!AG57-0.3*Quarterly!AG53</f>
        <v>3776.7400000000002</v>
      </c>
      <c r="E18" s="381">
        <f>+Quarterly!AH57-0.3*Quarterly!AH53</f>
        <v>3196.7000000000003</v>
      </c>
      <c r="F18" s="381">
        <f>+Quarterly!AI57-0.3*Quarterly!AI53</f>
        <v>3552.79</v>
      </c>
      <c r="G18" s="381">
        <f>+Quarterly!AJ57-0.3*Quarterly!AJ53</f>
        <v>3628.4</v>
      </c>
      <c r="H18" s="381">
        <f>+Quarterly!AK57-0.3*Quarterly!AK53</f>
        <v>3713.23</v>
      </c>
      <c r="I18" s="381">
        <f>+Quarterly!AL57-0.3*Quarterly!AL53</f>
        <v>2987.61</v>
      </c>
      <c r="J18" s="381">
        <f>+Quarterly!AM57-0.3*Quarterly!AM53</f>
        <v>4106.2</v>
      </c>
      <c r="K18" s="381">
        <f>+Quarterly!AN57-0.3*Quarterly!AN53</f>
        <v>4539.7</v>
      </c>
      <c r="L18" s="381">
        <f>+Quarterly!AO57-0.3*Quarterly!AO53</f>
        <v>3686.3</v>
      </c>
      <c r="M18" s="381">
        <f>+Quarterly!AP57-0.3*Quarterly!AP53</f>
        <v>3844.2999999999997</v>
      </c>
      <c r="N18" s="381">
        <f>+Quarterly!AQ57-0.3*Quarterly!AQ53</f>
        <v>3873.3</v>
      </c>
      <c r="O18" s="381">
        <f>+Quarterly!AR57-0.3*Quarterly!AR53</f>
        <v>4377.7</v>
      </c>
      <c r="P18" s="381">
        <f>+Quarterly!AS57-0.3*Quarterly!AS53</f>
        <v>3611.5</v>
      </c>
      <c r="Q18" s="381">
        <f>+Quarterly!AT57-0.3*Quarterly!AT53</f>
        <v>3218.2</v>
      </c>
      <c r="R18" s="397">
        <f t="shared" si="25"/>
        <v>-16.286450068933224</v>
      </c>
      <c r="S18" s="383">
        <f t="shared" si="26"/>
        <v>-10.89021182334211</v>
      </c>
      <c r="T18" s="381">
        <f>SUM(N18:Q18)</f>
        <v>15080.7</v>
      </c>
      <c r="U18" s="381">
        <f>+SUM(J18:M18)</f>
        <v>16176.5</v>
      </c>
      <c r="V18" s="397">
        <f t="shared" si="28"/>
        <v>-6.7740240472289992</v>
      </c>
    </row>
    <row r="19" spans="1:22">
      <c r="A19" s="376" t="s">
        <v>1993</v>
      </c>
      <c r="B19" s="376">
        <f t="shared" ref="B19:G19" si="39">+B17-B18</f>
        <v>8048.8000000000065</v>
      </c>
      <c r="C19" s="376">
        <f t="shared" si="39"/>
        <v>8647.119999999999</v>
      </c>
      <c r="D19" s="376">
        <f t="shared" si="39"/>
        <v>8376.8599999999988</v>
      </c>
      <c r="E19" s="376">
        <f t="shared" si="39"/>
        <v>7888.4999999999982</v>
      </c>
      <c r="F19" s="376">
        <f t="shared" si="39"/>
        <v>7870.4100000000062</v>
      </c>
      <c r="G19" s="376">
        <f t="shared" si="39"/>
        <v>8762.9000000000015</v>
      </c>
      <c r="H19" s="376">
        <f t="shared" ref="H19:M19" si="40">+H17-H18</f>
        <v>8059.4699999999939</v>
      </c>
      <c r="I19" s="376">
        <f t="shared" si="40"/>
        <v>6179.1899999999951</v>
      </c>
      <c r="J19" s="376">
        <f t="shared" si="40"/>
        <v>9573.5999999999949</v>
      </c>
      <c r="K19" s="376">
        <f t="shared" si="40"/>
        <v>10523.899999999998</v>
      </c>
      <c r="L19" s="376">
        <f t="shared" si="40"/>
        <v>9706.1000000000022</v>
      </c>
      <c r="M19" s="376">
        <f t="shared" si="40"/>
        <v>9493.2999999999993</v>
      </c>
      <c r="N19" s="376">
        <f t="shared" ref="N19:O19" si="41">+N17-N18</f>
        <v>9783.7000000000007</v>
      </c>
      <c r="O19" s="376">
        <f t="shared" si="41"/>
        <v>11227.500000000011</v>
      </c>
      <c r="P19" s="376">
        <f t="shared" ref="P19:Q19" si="42">+P17-P18</f>
        <v>9246.2000000000044</v>
      </c>
      <c r="Q19" s="376">
        <f t="shared" si="42"/>
        <v>8018.2000000000107</v>
      </c>
      <c r="R19" s="395">
        <f t="shared" si="25"/>
        <v>-15.53832703064254</v>
      </c>
      <c r="S19" s="377">
        <f t="shared" si="26"/>
        <v>-13.281131708161119</v>
      </c>
      <c r="T19" s="376">
        <f t="shared" ref="T19:U19" si="43">+T17-T18</f>
        <v>38275.599999999991</v>
      </c>
      <c r="U19" s="376">
        <f t="shared" si="43"/>
        <v>39296.899999999951</v>
      </c>
      <c r="V19" s="395">
        <f t="shared" si="28"/>
        <v>-2.5989327402414997</v>
      </c>
    </row>
    <row r="20" spans="1:22">
      <c r="A20" s="381" t="s">
        <v>1994</v>
      </c>
      <c r="B20" s="381">
        <f>-Quarterly!AE53-Quarterly!AE56+0.3*Quarterly!AE53</f>
        <v>672</v>
      </c>
      <c r="C20" s="381">
        <f>-Quarterly!AF53-Quarterly!AF56+0.3*Quarterly!AF53</f>
        <v>275.52000000000004</v>
      </c>
      <c r="D20" s="650">
        <f>-Quarterly!AG53-Quarterly!AG56+0.3*Quarterly!AG53</f>
        <v>-668.6400000000001</v>
      </c>
      <c r="E20" s="381">
        <f>-Quarterly!AH53-Quarterly!AH56+0.3*Quarterly!AH53</f>
        <v>249.2</v>
      </c>
      <c r="F20" s="381">
        <f>-Quarterly!AI53-Quarterly!AI56+0.3*Quarterly!AI53</f>
        <v>470.61</v>
      </c>
      <c r="G20" s="381">
        <f>-Quarterly!AJ53-Quarterly!AJ56+0.3*Quarterly!AJ53</f>
        <v>2853.9</v>
      </c>
      <c r="H20" s="381">
        <f>-Quarterly!AK53-Quarterly!AK56+0.3*Quarterly!AK53</f>
        <v>-552.93000000000006</v>
      </c>
      <c r="I20" s="381">
        <f>-Quarterly!AL53-Quarterly!AL56+0.3*Quarterly!AL53</f>
        <v>-38.01</v>
      </c>
      <c r="J20" s="381">
        <f>-Quarterly!AM53-Quarterly!AM56+0.3*Quarterly!AM53</f>
        <v>0</v>
      </c>
      <c r="K20" s="381">
        <f>-Quarterly!AN53-Quarterly!AN56+0.3*Quarterly!AN53</f>
        <v>0</v>
      </c>
      <c r="L20" s="381">
        <f>-Quarterly!AO53-Quarterly!AO56+0.3*Quarterly!AO53</f>
        <v>0</v>
      </c>
      <c r="M20" s="381">
        <f>-Quarterly!AP53-Quarterly!AP56+0.3*Quarterly!AP53</f>
        <v>0</v>
      </c>
      <c r="N20" s="381">
        <f>-Quarterly!AQ53-Quarterly!AQ56+0.3*Quarterly!AQ53</f>
        <v>0</v>
      </c>
      <c r="O20" s="381">
        <f>-Quarterly!AR53-Quarterly!AR56+0.3*Quarterly!AR53</f>
        <v>0</v>
      </c>
      <c r="P20" s="381">
        <f>-Quarterly!AS53-Quarterly!AS56+0.3*Quarterly!AS53</f>
        <v>0</v>
      </c>
      <c r="Q20" s="381">
        <f>-Quarterly!AT53-Quarterly!AT56+0.3*Quarterly!AT53</f>
        <v>0</v>
      </c>
      <c r="R20" s="397"/>
      <c r="S20" s="383"/>
      <c r="T20" s="381">
        <f>SUM(N20:Q20)</f>
        <v>0</v>
      </c>
      <c r="U20" s="381">
        <f>+SUM(J20:M20)</f>
        <v>0</v>
      </c>
      <c r="V20" s="397"/>
    </row>
    <row r="21" spans="1:22">
      <c r="A21" s="376" t="s">
        <v>169</v>
      </c>
      <c r="B21" s="376">
        <f t="shared" ref="B21:G21" si="44">+B19-B20</f>
        <v>7376.8000000000065</v>
      </c>
      <c r="C21" s="376">
        <f t="shared" si="44"/>
        <v>8371.5999999999985</v>
      </c>
      <c r="D21" s="376">
        <f t="shared" si="44"/>
        <v>9045.4999999999982</v>
      </c>
      <c r="E21" s="376">
        <f t="shared" si="44"/>
        <v>7639.2999999999984</v>
      </c>
      <c r="F21" s="376">
        <f t="shared" si="44"/>
        <v>7399.8000000000065</v>
      </c>
      <c r="G21" s="376">
        <f t="shared" si="44"/>
        <v>5909.0000000000018</v>
      </c>
      <c r="H21" s="376">
        <f t="shared" ref="H21:M21" si="45">+H19-H20</f>
        <v>8612.3999999999942</v>
      </c>
      <c r="I21" s="376">
        <f t="shared" si="45"/>
        <v>6217.1999999999953</v>
      </c>
      <c r="J21" s="376">
        <f t="shared" si="45"/>
        <v>9573.5999999999949</v>
      </c>
      <c r="K21" s="376">
        <f t="shared" si="45"/>
        <v>10523.899999999998</v>
      </c>
      <c r="L21" s="980">
        <f t="shared" si="45"/>
        <v>9706.1000000000022</v>
      </c>
      <c r="M21" s="376">
        <f t="shared" si="45"/>
        <v>9493.2999999999993</v>
      </c>
      <c r="N21" s="980">
        <f t="shared" ref="N21:O21" si="46">+N19-N20</f>
        <v>9783.7000000000007</v>
      </c>
      <c r="O21" s="980">
        <f t="shared" si="46"/>
        <v>11227.500000000011</v>
      </c>
      <c r="P21" s="980">
        <f t="shared" ref="P21:Q21" si="47">+P19-P20</f>
        <v>9246.2000000000044</v>
      </c>
      <c r="Q21" s="980">
        <f t="shared" si="47"/>
        <v>8018.2000000000107</v>
      </c>
      <c r="R21" s="395">
        <f t="shared" ref="R21:R22" si="48">+(Q21/M21-1)*100</f>
        <v>-15.53832703064254</v>
      </c>
      <c r="S21" s="377">
        <f t="shared" ref="S21:S22" si="49">+(Q21/P21-1)*100</f>
        <v>-13.281131708161119</v>
      </c>
      <c r="T21" s="980">
        <f t="shared" ref="T21:U21" si="50">+T19-T20</f>
        <v>38275.599999999991</v>
      </c>
      <c r="U21" s="980">
        <f t="shared" si="50"/>
        <v>39296.899999999951</v>
      </c>
      <c r="V21" s="395">
        <f>+(T21/U21-1)*100</f>
        <v>-2.5989327402414997</v>
      </c>
    </row>
    <row r="22" spans="1:22">
      <c r="A22" s="386" t="s">
        <v>1995</v>
      </c>
      <c r="B22" s="387">
        <f>+Quarterly!AE76</f>
        <v>27.815869505114744</v>
      </c>
      <c r="C22" s="387">
        <f>+Quarterly!AF76</f>
        <v>29.883605197677628</v>
      </c>
      <c r="D22" s="387">
        <f>+Quarterly!AG76</f>
        <v>28.94961293889963</v>
      </c>
      <c r="E22" s="387">
        <f>+Quarterly!AH76</f>
        <v>27.261888305225312</v>
      </c>
      <c r="F22" s="387">
        <f>+Quarterly!AI76</f>
        <v>27.199371025711919</v>
      </c>
      <c r="G22" s="387">
        <f>+Quarterly!AJ76</f>
        <v>30.283729610174181</v>
      </c>
      <c r="H22" s="387">
        <f>+Quarterly!AK76</f>
        <v>27.852743986729312</v>
      </c>
      <c r="I22" s="387">
        <f>+Quarterly!AL76</f>
        <v>21.354679292231118</v>
      </c>
      <c r="J22" s="387">
        <f>+Quarterly!AM76</f>
        <v>33.085429914293591</v>
      </c>
      <c r="K22" s="387">
        <f>+Quarterly!AN76</f>
        <v>36.369574232789596</v>
      </c>
      <c r="L22" s="387">
        <f>+Quarterly!AO76</f>
        <v>33.543337019629519</v>
      </c>
      <c r="M22" s="387">
        <f>+Quarterly!AP76</f>
        <v>32.807920928946622</v>
      </c>
      <c r="N22" s="387">
        <f>+Quarterly!AQ76</f>
        <v>33.811515067735691</v>
      </c>
      <c r="O22" s="387">
        <f>+Quarterly!AR76</f>
        <v>38.801147359690376</v>
      </c>
      <c r="P22" s="387">
        <f>+Quarterly!AS76</f>
        <v>31.953967376278683</v>
      </c>
      <c r="Q22" s="387">
        <f>+Quarterly!AT76</f>
        <v>27.710118883052278</v>
      </c>
      <c r="R22" s="399">
        <f t="shared" si="48"/>
        <v>-15.53832703064254</v>
      </c>
      <c r="S22" s="388">
        <f t="shared" si="49"/>
        <v>-13.281131708161109</v>
      </c>
      <c r="T22" s="393">
        <f>SUM(N22:Q22)</f>
        <v>132.27674868675703</v>
      </c>
      <c r="U22" s="393">
        <f>+SUM(J22:M22)</f>
        <v>135.80626209565932</v>
      </c>
      <c r="V22" s="399">
        <f>+(T22/U22-1)*100</f>
        <v>-2.5989327402415108</v>
      </c>
    </row>
    <row r="23" spans="1:22">
      <c r="A23" s="381"/>
      <c r="B23" s="381"/>
      <c r="C23" s="381"/>
      <c r="D23" s="381"/>
      <c r="E23" s="381"/>
      <c r="F23" s="381"/>
      <c r="G23" s="381"/>
      <c r="H23" s="381"/>
      <c r="I23" s="381"/>
      <c r="J23" s="381"/>
      <c r="K23" s="381"/>
      <c r="L23" s="381"/>
      <c r="M23" s="381"/>
      <c r="N23" s="381"/>
      <c r="O23" s="381"/>
      <c r="R23" s="381"/>
      <c r="S23" s="381"/>
      <c r="T23" s="381"/>
      <c r="U23" s="381"/>
      <c r="V23" s="381"/>
    </row>
    <row r="24" spans="1:22">
      <c r="A24" s="389" t="s">
        <v>1996</v>
      </c>
      <c r="B24" s="389"/>
      <c r="C24" s="389"/>
      <c r="D24" s="389"/>
      <c r="E24" s="389"/>
      <c r="F24" s="389"/>
      <c r="G24" s="389"/>
      <c r="H24" s="389"/>
      <c r="I24" s="389"/>
      <c r="J24" s="389"/>
      <c r="K24" s="389"/>
      <c r="L24" s="389"/>
      <c r="M24" s="389"/>
      <c r="N24" s="389"/>
      <c r="O24" s="389"/>
      <c r="P24" s="973"/>
      <c r="Q24" s="973"/>
      <c r="R24" s="511" t="s">
        <v>1997</v>
      </c>
      <c r="S24" s="390" t="s">
        <v>1997</v>
      </c>
      <c r="T24" s="390"/>
      <c r="U24" s="390"/>
      <c r="V24" s="390" t="s">
        <v>1997</v>
      </c>
    </row>
    <row r="25" spans="1:22">
      <c r="A25" s="381" t="s">
        <v>1998</v>
      </c>
      <c r="B25" s="382">
        <f t="shared" ref="B25:G25" si="51">+B12/B$3*100</f>
        <v>20.417259712202394</v>
      </c>
      <c r="C25" s="382">
        <f t="shared" si="51"/>
        <v>22.634684022269067</v>
      </c>
      <c r="D25" s="382">
        <f t="shared" si="51"/>
        <v>20.261379315720955</v>
      </c>
      <c r="E25" s="382">
        <f t="shared" si="51"/>
        <v>19.633071048133825</v>
      </c>
      <c r="F25" s="382">
        <f t="shared" si="51"/>
        <v>18.893422257592242</v>
      </c>
      <c r="G25" s="512">
        <f t="shared" si="51"/>
        <v>20.026362171290391</v>
      </c>
      <c r="H25" s="512">
        <f t="shared" ref="H25:M25" si="52">+H12/H$3*100</f>
        <v>20.290003659073346</v>
      </c>
      <c r="I25" s="512">
        <f t="shared" si="52"/>
        <v>17.563205003228287</v>
      </c>
      <c r="J25" s="512">
        <f t="shared" si="52"/>
        <v>20.364046806017903</v>
      </c>
      <c r="K25" s="512">
        <f t="shared" si="52"/>
        <v>21.65695714102441</v>
      </c>
      <c r="L25" s="512">
        <f t="shared" si="52"/>
        <v>21.118707674892708</v>
      </c>
      <c r="M25" s="512">
        <f t="shared" si="52"/>
        <v>21.519958055710521</v>
      </c>
      <c r="N25" s="512">
        <f t="shared" ref="N25:O25" si="53">+N12/N$3*100</f>
        <v>20.465209335502227</v>
      </c>
      <c r="O25" s="512">
        <f t="shared" si="53"/>
        <v>21.4076425546534</v>
      </c>
      <c r="P25" s="512">
        <f t="shared" ref="P25:Q25" si="54">+P12/P$3*100</f>
        <v>20.602578702123008</v>
      </c>
      <c r="Q25" s="512">
        <f t="shared" si="54"/>
        <v>18.499505852180395</v>
      </c>
      <c r="R25" s="513">
        <f>+(Q25-M25)*100</f>
        <v>-302.04522035301267</v>
      </c>
      <c r="S25" s="513">
        <f>+(Q25-P25)*100</f>
        <v>-210.30728499426132</v>
      </c>
      <c r="T25" s="382">
        <f>+T12/T$3*100</f>
        <v>20.317062592917246</v>
      </c>
      <c r="U25" s="382">
        <f>+U12/U$3*100</f>
        <v>21.171724398690525</v>
      </c>
      <c r="V25" s="391">
        <f>+(T25-U25)*100</f>
        <v>-85.466180577327933</v>
      </c>
    </row>
    <row r="26" spans="1:22">
      <c r="A26" s="381" t="s">
        <v>663</v>
      </c>
      <c r="B26" s="382">
        <f t="shared" ref="B26:G26" si="55">+B14/B$3*100</f>
        <v>19.513387048496377</v>
      </c>
      <c r="C26" s="382">
        <f t="shared" si="55"/>
        <v>21.778820419371229</v>
      </c>
      <c r="D26" s="382">
        <f t="shared" si="55"/>
        <v>19.365884269689197</v>
      </c>
      <c r="E26" s="382">
        <f t="shared" si="55"/>
        <v>18.731258705388367</v>
      </c>
      <c r="F26" s="382">
        <f t="shared" si="55"/>
        <v>17.575931810349925</v>
      </c>
      <c r="G26" s="514">
        <f t="shared" si="55"/>
        <v>18.875616500841009</v>
      </c>
      <c r="H26" s="514">
        <f t="shared" ref="H26:M26" si="56">+H14/H$3*100</f>
        <v>19.127408227081727</v>
      </c>
      <c r="I26" s="514">
        <f t="shared" si="56"/>
        <v>16.216814999556888</v>
      </c>
      <c r="J26" s="514">
        <f t="shared" si="56"/>
        <v>18.963688188481363</v>
      </c>
      <c r="K26" s="514">
        <f t="shared" si="56"/>
        <v>20.373885268604617</v>
      </c>
      <c r="L26" s="514">
        <f t="shared" si="56"/>
        <v>19.773316774306355</v>
      </c>
      <c r="M26" s="514">
        <f t="shared" si="56"/>
        <v>20.100046832814314</v>
      </c>
      <c r="N26" s="514">
        <f t="shared" ref="N26:O26" si="57">+N14/N$3*100</f>
        <v>19.117424473073015</v>
      </c>
      <c r="O26" s="514">
        <f t="shared" si="57"/>
        <v>20.1366912653687</v>
      </c>
      <c r="P26" s="514">
        <f t="shared" ref="P26:Q26" si="58">+P14/P$3*100</f>
        <v>19.079553730197429</v>
      </c>
      <c r="Q26" s="514">
        <f t="shared" si="58"/>
        <v>16.95376246600183</v>
      </c>
      <c r="R26" s="515">
        <f t="shared" ref="R26:R29" si="59">+(Q26-M26)*100</f>
        <v>-314.62843668124839</v>
      </c>
      <c r="S26" s="515">
        <f t="shared" ref="S26:S29" si="60">+(Q26-P26)*100</f>
        <v>-212.57912641955983</v>
      </c>
      <c r="T26" s="382">
        <f>+T14/T$3*100</f>
        <v>18.905317669024395</v>
      </c>
      <c r="U26" s="382">
        <f>+U14/U$3*100</f>
        <v>19.81179941682079</v>
      </c>
      <c r="V26" s="391">
        <f>+(T26-U26)*100</f>
        <v>-90.64817477963949</v>
      </c>
    </row>
    <row r="27" spans="1:22">
      <c r="A27" s="381" t="s">
        <v>458</v>
      </c>
      <c r="B27" s="382">
        <f t="shared" ref="B27:G27" si="61">+B17/B$3*100</f>
        <v>23.087135442437436</v>
      </c>
      <c r="C27" s="382">
        <f t="shared" si="61"/>
        <v>24.177325508368288</v>
      </c>
      <c r="D27" s="382">
        <f t="shared" si="61"/>
        <v>23.685502919372311</v>
      </c>
      <c r="E27" s="382">
        <f t="shared" si="61"/>
        <v>22.474753106569157</v>
      </c>
      <c r="F27" s="382">
        <f t="shared" si="61"/>
        <v>21.748492596731797</v>
      </c>
      <c r="G27" s="514">
        <f t="shared" si="61"/>
        <v>20.779998289477437</v>
      </c>
      <c r="H27" s="514">
        <f t="shared" ref="H27:M27" si="62">+H17/H$3*100</f>
        <v>20.810228435772647</v>
      </c>
      <c r="I27" s="514">
        <f t="shared" si="62"/>
        <v>19.341933686969064</v>
      </c>
      <c r="J27" s="514">
        <f t="shared" si="62"/>
        <v>24.431355459987699</v>
      </c>
      <c r="K27" s="514">
        <f t="shared" si="62"/>
        <v>24.775902393773617</v>
      </c>
      <c r="L27" s="514">
        <f t="shared" si="62"/>
        <v>24.139888929545432</v>
      </c>
      <c r="M27" s="514">
        <f t="shared" si="62"/>
        <v>24.885949969120194</v>
      </c>
      <c r="N27" s="514">
        <f t="shared" ref="N27:O27" si="63">+N17/N$3*100</f>
        <v>23.759775224210376</v>
      </c>
      <c r="O27" s="514">
        <f t="shared" si="63"/>
        <v>25.774462715458885</v>
      </c>
      <c r="P27" s="514">
        <f t="shared" ref="P27:Q27" si="64">+P17/P$3*100</f>
        <v>25.375920929801126</v>
      </c>
      <c r="Q27" s="514">
        <f t="shared" si="64"/>
        <v>22.943977522400026</v>
      </c>
      <c r="R27" s="515">
        <f t="shared" si="59"/>
        <v>-194.19724467201684</v>
      </c>
      <c r="S27" s="515">
        <f t="shared" si="60"/>
        <v>-243.19434074010999</v>
      </c>
      <c r="T27" s="382">
        <f>+T17/T$3*100</f>
        <v>24.5128333765186</v>
      </c>
      <c r="U27" s="382">
        <f>+U17/U$3*100</f>
        <v>24.560379766002207</v>
      </c>
      <c r="V27" s="391">
        <f>+(T27-U27)*100</f>
        <v>-4.7546389483606788</v>
      </c>
    </row>
    <row r="28" spans="1:22">
      <c r="A28" s="381" t="s">
        <v>2143</v>
      </c>
      <c r="B28" s="382">
        <f t="shared" ref="B28:G28" si="65">B19/B$3*100</f>
        <v>16.389029726598388</v>
      </c>
      <c r="C28" s="382">
        <f t="shared" si="65"/>
        <v>16.709765811447198</v>
      </c>
      <c r="D28" s="382">
        <f t="shared" si="65"/>
        <v>16.325215737326648</v>
      </c>
      <c r="E28" s="382">
        <f t="shared" si="65"/>
        <v>15.993585129828128</v>
      </c>
      <c r="F28" s="382">
        <f t="shared" si="65"/>
        <v>14.984378599538129</v>
      </c>
      <c r="G28" s="514">
        <f t="shared" si="65"/>
        <v>14.695233511484821</v>
      </c>
      <c r="H28" s="514">
        <f t="shared" ref="H28:M28" si="66">H19/H$3*100</f>
        <v>14.246469524514898</v>
      </c>
      <c r="I28" s="514">
        <f t="shared" si="66"/>
        <v>13.038081251819863</v>
      </c>
      <c r="J28" s="514">
        <f t="shared" si="66"/>
        <v>17.097912588761403</v>
      </c>
      <c r="K28" s="514">
        <f t="shared" si="66"/>
        <v>17.309216867271711</v>
      </c>
      <c r="L28" s="514">
        <f t="shared" si="66"/>
        <v>17.495308976662951</v>
      </c>
      <c r="M28" s="514">
        <f t="shared" si="66"/>
        <v>17.713065982024407</v>
      </c>
      <c r="N28" s="514">
        <f t="shared" ref="N28:O28" si="67">N19/N$3*100</f>
        <v>17.021198862203047</v>
      </c>
      <c r="O28" s="514">
        <f t="shared" si="67"/>
        <v>18.543996881668591</v>
      </c>
      <c r="P28" s="514">
        <f t="shared" ref="P28:Q28" si="68">P19/P$3*100</f>
        <v>18.248274582633535</v>
      </c>
      <c r="Q28" s="514">
        <f t="shared" si="68"/>
        <v>16.37262829465914</v>
      </c>
      <c r="R28" s="515">
        <f t="shared" si="59"/>
        <v>-134.04376873652666</v>
      </c>
      <c r="S28" s="515">
        <f t="shared" si="60"/>
        <v>-187.56462879743941</v>
      </c>
      <c r="T28" s="382">
        <f>T19/T$3*100</f>
        <v>17.584491525579455</v>
      </c>
      <c r="U28" s="382">
        <f>U19/U$3*100</f>
        <v>17.398370888148406</v>
      </c>
      <c r="V28" s="391">
        <f>+(T28-U28)*100</f>
        <v>18.612063743104912</v>
      </c>
    </row>
    <row r="29" spans="1:22">
      <c r="A29" s="392" t="s">
        <v>1999</v>
      </c>
      <c r="B29" s="393">
        <f t="shared" ref="B29:G29" si="69">+B18/B17*100</f>
        <v>29.012285792402725</v>
      </c>
      <c r="C29" s="393">
        <f t="shared" si="69"/>
        <v>30.886624305638815</v>
      </c>
      <c r="D29" s="393">
        <f t="shared" si="69"/>
        <v>31.075072406529756</v>
      </c>
      <c r="E29" s="393">
        <f t="shared" si="69"/>
        <v>28.837549164651971</v>
      </c>
      <c r="F29" s="393">
        <f t="shared" si="69"/>
        <v>31.10153021920301</v>
      </c>
      <c r="G29" s="516">
        <f t="shared" si="69"/>
        <v>29.281834835731519</v>
      </c>
      <c r="H29" s="516">
        <f t="shared" ref="H29:M29" si="70">+H18/H17*100</f>
        <v>31.541022874956486</v>
      </c>
      <c r="I29" s="516">
        <f t="shared" si="70"/>
        <v>32.591635030763207</v>
      </c>
      <c r="J29" s="516">
        <f t="shared" si="70"/>
        <v>30.016520709367107</v>
      </c>
      <c r="K29" s="516">
        <f t="shared" si="70"/>
        <v>30.136886268886592</v>
      </c>
      <c r="L29" s="516">
        <f t="shared" si="70"/>
        <v>27.52531286401242</v>
      </c>
      <c r="M29" s="516">
        <f t="shared" si="70"/>
        <v>28.823026631477926</v>
      </c>
      <c r="N29" s="516">
        <f t="shared" ref="N29:O29" si="71">+N18/N17*100</f>
        <v>28.361279929706374</v>
      </c>
      <c r="O29" s="516">
        <f t="shared" si="71"/>
        <v>28.052828544331355</v>
      </c>
      <c r="P29" s="516">
        <f t="shared" ref="P29:Q29" si="72">+P18/P17*100</f>
        <v>28.088227287928625</v>
      </c>
      <c r="Q29" s="516">
        <f t="shared" si="72"/>
        <v>28.640845822505401</v>
      </c>
      <c r="R29" s="517">
        <f t="shared" si="59"/>
        <v>-18.21808089725252</v>
      </c>
      <c r="S29" s="517">
        <f t="shared" si="60"/>
        <v>55.261853457677645</v>
      </c>
      <c r="T29" s="393">
        <f>+T18/T17*100</f>
        <v>28.264141254172426</v>
      </c>
      <c r="U29" s="393">
        <f>+U18/U17*100</f>
        <v>29.160823025089528</v>
      </c>
      <c r="V29" s="394">
        <f>+(T29-U29)*100</f>
        <v>-89.668177091710177</v>
      </c>
    </row>
    <row r="30" spans="1:22">
      <c r="A30" s="447"/>
      <c r="B30" s="447"/>
      <c r="C30" s="447"/>
      <c r="D30" s="447"/>
      <c r="E30" s="447"/>
      <c r="F30" s="447"/>
      <c r="G30" s="447"/>
      <c r="H30" s="447"/>
      <c r="I30" s="447"/>
    </row>
    <row r="31" spans="1:22">
      <c r="A31" s="716" t="s">
        <v>503</v>
      </c>
      <c r="B31" s="716"/>
      <c r="C31" s="716"/>
      <c r="D31" s="716"/>
      <c r="E31" s="716"/>
      <c r="F31" s="716"/>
      <c r="G31" s="716"/>
      <c r="H31" s="716"/>
      <c r="J31" s="717" t="str">
        <f>Quarterly!AW7</f>
        <v>Q4FY17</v>
      </c>
      <c r="K31" s="717" t="str">
        <f>+'Qtrly Tables'!K2</f>
        <v>Q2FY16</v>
      </c>
      <c r="L31" s="717" t="s">
        <v>579</v>
      </c>
      <c r="M31" s="717" t="str">
        <f>+'Qtrly Tables'!N2</f>
        <v>Q1FY17</v>
      </c>
      <c r="N31" s="717" t="str">
        <f>+'Qtrly Tables'!O2</f>
        <v>Q2FY17</v>
      </c>
      <c r="O31" s="717" t="s">
        <v>625</v>
      </c>
      <c r="P31" s="718" t="s">
        <v>2023</v>
      </c>
      <c r="Q31" s="717" t="s">
        <v>2024</v>
      </c>
    </row>
    <row r="32" spans="1:22">
      <c r="A32" s="192" t="s">
        <v>504</v>
      </c>
      <c r="B32" s="192"/>
      <c r="C32" s="192"/>
      <c r="D32" s="192"/>
      <c r="E32" s="192"/>
      <c r="F32" s="192"/>
      <c r="G32" s="192"/>
      <c r="H32" s="192"/>
      <c r="J32" s="591">
        <f>Quarterly!AW14</f>
        <v>46753.573853391747</v>
      </c>
      <c r="K32" s="591">
        <f>+'Qtrly Tables'!K3</f>
        <v>60799.4</v>
      </c>
      <c r="L32" s="453">
        <f>(J32/K32-1)*100</f>
        <v>-23.101915720563447</v>
      </c>
      <c r="M32" s="591">
        <f>+'Qtrly Tables'!N3</f>
        <v>57479.5</v>
      </c>
      <c r="N32" s="591">
        <f>+'Qtrly Tables'!O3</f>
        <v>60545.2</v>
      </c>
      <c r="O32" s="453">
        <f>(J32/N32-1)*100</f>
        <v>-22.779057871818498</v>
      </c>
      <c r="P32" s="591">
        <v>50555</v>
      </c>
      <c r="Q32" s="453">
        <f>(J32/P32-1)*100</f>
        <v>-7.5193870964459624</v>
      </c>
    </row>
    <row r="33" spans="1:21">
      <c r="A33" s="190" t="s">
        <v>659</v>
      </c>
      <c r="B33" s="190"/>
      <c r="C33" s="190"/>
      <c r="D33" s="190"/>
      <c r="E33" s="190"/>
      <c r="F33" s="190"/>
      <c r="G33" s="190"/>
      <c r="H33" s="190"/>
      <c r="J33" s="592">
        <f>Quarterly!AW36</f>
        <v>8976.6861798512127</v>
      </c>
      <c r="K33" s="592">
        <f>+'Qtrly Tables'!K12</f>
        <v>13167.299999999996</v>
      </c>
      <c r="L33" s="450">
        <f>(J33/K33-1)*100</f>
        <v>-31.82591586846798</v>
      </c>
      <c r="M33" s="592">
        <f>+'Qtrly Tables'!N12</f>
        <v>11763.300000000003</v>
      </c>
      <c r="N33" s="592">
        <f>+'Qtrly Tables'!O12</f>
        <v>12961.30000000001</v>
      </c>
      <c r="O33" s="450">
        <f>(J33/N33-1)*100</f>
        <v>-30.742393279600002</v>
      </c>
      <c r="P33" s="592">
        <v>10017</v>
      </c>
      <c r="Q33" s="449">
        <f>(J33/P33-1)*100</f>
        <v>-10.385482880590867</v>
      </c>
    </row>
    <row r="34" spans="1:21">
      <c r="A34" s="190" t="s">
        <v>2025</v>
      </c>
      <c r="B34" s="190"/>
      <c r="C34" s="190"/>
      <c r="D34" s="190"/>
      <c r="E34" s="190"/>
      <c r="F34" s="190"/>
      <c r="G34" s="190"/>
      <c r="H34" s="190"/>
      <c r="J34" s="449">
        <f>+J33/J32*100</f>
        <v>19.199999999999996</v>
      </c>
      <c r="K34" s="449">
        <f>+K33/K32*100</f>
        <v>21.65695714102441</v>
      </c>
      <c r="L34" s="593">
        <f>(J34-K34)*100</f>
        <v>-245.69571410244146</v>
      </c>
      <c r="M34" s="449">
        <f>+M33/M32*100</f>
        <v>20.465209335502227</v>
      </c>
      <c r="N34" s="449">
        <f>+N33/N32*100</f>
        <v>21.4076425546534</v>
      </c>
      <c r="O34" s="593">
        <f>(J34-M34)*100</f>
        <v>-126.52093355022309</v>
      </c>
      <c r="P34" s="449">
        <f>P33/P32*100</f>
        <v>19.814063890811987</v>
      </c>
      <c r="Q34" s="593">
        <f>(J34-P34)*100</f>
        <v>-61.406389081199109</v>
      </c>
    </row>
    <row r="35" spans="1:21">
      <c r="A35" s="190" t="s">
        <v>600</v>
      </c>
      <c r="B35" s="190"/>
      <c r="C35" s="190"/>
      <c r="D35" s="190"/>
      <c r="E35" s="190"/>
      <c r="F35" s="190"/>
      <c r="G35" s="190"/>
      <c r="H35" s="190"/>
      <c r="J35" s="592">
        <f>Quarterly!AW67</f>
        <v>8011.2803258958484</v>
      </c>
      <c r="K35" s="592">
        <f>+'Qtrly Tables'!K19</f>
        <v>10523.899999999998</v>
      </c>
      <c r="L35" s="450">
        <f>(J35/K35-1)*100</f>
        <v>-23.875366300555399</v>
      </c>
      <c r="M35" s="592">
        <f>+'Qtrly Tables'!N19</f>
        <v>9783.7000000000007</v>
      </c>
      <c r="N35" s="592">
        <f>+'Qtrly Tables'!O19</f>
        <v>11227.500000000011</v>
      </c>
      <c r="O35" s="450">
        <f>(J35/N35-1)*100</f>
        <v>-28.645911147665636</v>
      </c>
      <c r="P35" s="592">
        <v>8510</v>
      </c>
      <c r="Q35" s="449">
        <f>(J35/P35-1)*100</f>
        <v>-5.8603957004013107</v>
      </c>
    </row>
    <row r="36" spans="1:21">
      <c r="A36" s="454" t="s">
        <v>553</v>
      </c>
      <c r="B36" s="454"/>
      <c r="C36" s="454"/>
      <c r="D36" s="454"/>
      <c r="E36" s="454"/>
      <c r="F36" s="454"/>
      <c r="G36" s="454"/>
      <c r="H36" s="454"/>
      <c r="J36" s="455">
        <f>J35/Quarterly!AL80</f>
        <v>27.686205162758668</v>
      </c>
      <c r="K36" s="455">
        <f>+'Qtrly Tables'!K22</f>
        <v>36.369574232789596</v>
      </c>
      <c r="L36" s="456">
        <f>(J36/K36-1)*100</f>
        <v>-23.875366300555399</v>
      </c>
      <c r="M36" s="455">
        <f>+'Qtrly Tables'!N22</f>
        <v>33.811515067735691</v>
      </c>
      <c r="N36" s="455">
        <f>+'Qtrly Tables'!O22</f>
        <v>38.801147359690376</v>
      </c>
      <c r="O36" s="456">
        <f>(J36/N36-1)*100</f>
        <v>-28.645911147665615</v>
      </c>
      <c r="P36" s="455">
        <f>P35/Quarterly!AL80</f>
        <v>29.409731821951894</v>
      </c>
      <c r="Q36" s="455">
        <f>(J36/P36-1)*100</f>
        <v>-5.8603957004013107</v>
      </c>
    </row>
    <row r="37" spans="1:21">
      <c r="A37" s="361"/>
      <c r="B37" s="361"/>
      <c r="C37" s="361"/>
      <c r="D37" s="361"/>
      <c r="E37" s="361"/>
      <c r="F37" s="361"/>
      <c r="G37" s="361"/>
      <c r="H37" s="361"/>
      <c r="J37" s="361"/>
      <c r="K37" s="451"/>
      <c r="L37" s="441"/>
      <c r="M37" s="441"/>
      <c r="N37" s="442"/>
    </row>
    <row r="38" spans="1:21">
      <c r="A38" s="439"/>
      <c r="B38" s="439"/>
      <c r="C38" s="439"/>
      <c r="D38" s="439"/>
      <c r="E38" s="439"/>
      <c r="F38" s="439"/>
      <c r="G38" s="439"/>
      <c r="H38" s="439"/>
      <c r="J38" s="439"/>
      <c r="K38" s="440"/>
      <c r="L38" s="441"/>
      <c r="M38" s="441"/>
      <c r="N38" s="442"/>
    </row>
    <row r="39" spans="1:21">
      <c r="A39" s="457" t="s">
        <v>503</v>
      </c>
      <c r="B39" s="457"/>
      <c r="C39" s="457"/>
      <c r="D39" s="457"/>
      <c r="E39" s="457"/>
      <c r="F39" s="457"/>
      <c r="G39" s="457"/>
      <c r="H39" s="457"/>
      <c r="J39" s="458" t="s">
        <v>610</v>
      </c>
      <c r="K39" s="458" t="s">
        <v>611</v>
      </c>
      <c r="L39" s="458" t="s">
        <v>1972</v>
      </c>
      <c r="M39" s="457" t="s">
        <v>2023</v>
      </c>
      <c r="N39" s="458" t="s">
        <v>1972</v>
      </c>
      <c r="O39" s="441"/>
      <c r="P39" s="442"/>
    </row>
    <row r="40" spans="1:21">
      <c r="A40" s="459" t="s">
        <v>589</v>
      </c>
      <c r="B40" s="459"/>
      <c r="C40" s="459"/>
      <c r="D40" s="459"/>
      <c r="E40" s="459"/>
      <c r="F40" s="459"/>
      <c r="G40" s="459"/>
      <c r="H40" s="459"/>
      <c r="J40" s="459">
        <f>Q3</f>
        <v>48973.200000000004</v>
      </c>
      <c r="K40" s="459">
        <f>+Quarterly!AW14</f>
        <v>46753.573853391747</v>
      </c>
      <c r="L40" s="460">
        <f>+(J40/K40-1)*100</f>
        <v>4.7475004874889093</v>
      </c>
      <c r="M40" s="452">
        <v>48389.25</v>
      </c>
      <c r="N40" s="461">
        <f>(J40/M40-1)*100</f>
        <v>1.206776298454737</v>
      </c>
      <c r="O40" s="441"/>
      <c r="P40" s="442"/>
    </row>
    <row r="41" spans="1:21">
      <c r="A41" s="443" t="s">
        <v>659</v>
      </c>
      <c r="B41" s="443"/>
      <c r="C41" s="443"/>
      <c r="D41" s="443"/>
      <c r="E41" s="443"/>
      <c r="F41" s="443"/>
      <c r="G41" s="443"/>
      <c r="H41" s="443"/>
      <c r="J41" s="443">
        <f>Q12</f>
        <v>9059.8000000000102</v>
      </c>
      <c r="K41" s="443">
        <f>+Quarterly!AW36</f>
        <v>8976.6861798512127</v>
      </c>
      <c r="L41" s="444">
        <f>+(J41/K41-1)*100</f>
        <v>0.92588532654012123</v>
      </c>
      <c r="M41" s="448">
        <v>9727.0480000000007</v>
      </c>
      <c r="N41" s="445">
        <f>(J41/M41-1)*100</f>
        <v>-6.8597173572083836</v>
      </c>
      <c r="O41" s="441"/>
      <c r="P41" s="446"/>
    </row>
    <row r="42" spans="1:21">
      <c r="A42" s="444" t="s">
        <v>436</v>
      </c>
      <c r="B42" s="444"/>
      <c r="C42" s="444"/>
      <c r="D42" s="444"/>
      <c r="E42" s="444"/>
      <c r="F42" s="444"/>
      <c r="G42" s="444"/>
      <c r="H42" s="444"/>
      <c r="J42" s="444">
        <f>+J41/J40*100</f>
        <v>18.499505852180395</v>
      </c>
      <c r="K42" s="444">
        <f>+K41/K40*100</f>
        <v>19.199999999999996</v>
      </c>
      <c r="L42" s="593">
        <f>(J42-K42)*100</f>
        <v>-70.049414781960095</v>
      </c>
      <c r="M42" s="449">
        <f>P34</f>
        <v>19.814063890811987</v>
      </c>
      <c r="N42" s="593">
        <f>(J42-M42)*100</f>
        <v>-131.45580386315919</v>
      </c>
      <c r="O42" s="441"/>
      <c r="P42" s="442"/>
    </row>
    <row r="43" spans="1:21">
      <c r="A43" s="443" t="s">
        <v>600</v>
      </c>
      <c r="B43" s="443"/>
      <c r="C43" s="443"/>
      <c r="D43" s="443"/>
      <c r="E43" s="443"/>
      <c r="F43" s="443"/>
      <c r="G43" s="443"/>
      <c r="H43" s="443"/>
      <c r="J43" s="443">
        <f>Q19</f>
        <v>8018.2000000000107</v>
      </c>
      <c r="K43" s="443">
        <f>+Quarterly!AW67</f>
        <v>8011.2803258958484</v>
      </c>
      <c r="L43" s="444">
        <f>+(J43/K43-1)*100</f>
        <v>8.6374135252698103E-2</v>
      </c>
      <c r="M43" s="448">
        <v>8439.8260000000009</v>
      </c>
      <c r="N43" s="445">
        <f>(J43/M43-1)*100</f>
        <v>-4.995671711715266</v>
      </c>
      <c r="O43" s="441"/>
      <c r="P43" s="442"/>
    </row>
    <row r="44" spans="1:21">
      <c r="A44" s="462" t="s">
        <v>553</v>
      </c>
      <c r="B44" s="462"/>
      <c r="C44" s="462"/>
      <c r="D44" s="462"/>
      <c r="E44" s="462"/>
      <c r="F44" s="462"/>
      <c r="G44" s="462"/>
      <c r="H44" s="462"/>
      <c r="J44" s="463">
        <f>+Q22</f>
        <v>27.710118883052278</v>
      </c>
      <c r="K44" s="463">
        <f>+Quarterly!AW76</f>
        <v>27.686205162758668</v>
      </c>
      <c r="L44" s="463">
        <f>+(J44/K44-1)*100</f>
        <v>8.6374135252653694E-2</v>
      </c>
      <c r="M44" s="455">
        <v>29.151</v>
      </c>
      <c r="N44" s="464">
        <f>(J44/M44-1)*100</f>
        <v>-4.942818829363393</v>
      </c>
      <c r="O44" s="441"/>
      <c r="P44" s="446"/>
      <c r="Q44" s="605"/>
      <c r="R44" s="605"/>
      <c r="S44" s="605"/>
      <c r="T44" s="605"/>
    </row>
    <row r="45" spans="1:21">
      <c r="J45" s="165"/>
      <c r="O45" s="605"/>
      <c r="P45" s="605"/>
      <c r="Q45" s="605"/>
      <c r="R45" s="605"/>
    </row>
    <row r="46" spans="1:21">
      <c r="A46" s="368" t="s">
        <v>229</v>
      </c>
      <c r="B46" s="368"/>
      <c r="C46" s="368"/>
      <c r="D46" s="368"/>
      <c r="E46" s="368"/>
      <c r="F46" s="368"/>
      <c r="G46" s="368"/>
      <c r="H46" s="368"/>
      <c r="J46" s="1696" t="s">
        <v>1633</v>
      </c>
      <c r="K46" s="1699"/>
      <c r="L46" s="1699"/>
      <c r="M46" s="1700"/>
      <c r="N46" s="1696" t="s">
        <v>1634</v>
      </c>
      <c r="O46" s="1697"/>
      <c r="P46" s="1697"/>
      <c r="Q46" s="1698"/>
      <c r="R46" s="1696" t="s">
        <v>1635</v>
      </c>
      <c r="S46" s="1697"/>
      <c r="T46" s="1697"/>
      <c r="U46" s="1698"/>
    </row>
    <row r="47" spans="1:21">
      <c r="A47" s="370"/>
      <c r="B47" s="370"/>
      <c r="C47" s="370"/>
      <c r="D47" s="370"/>
      <c r="E47" s="370"/>
      <c r="F47" s="370"/>
      <c r="G47" s="370"/>
      <c r="H47" s="370"/>
      <c r="J47" s="436" t="s">
        <v>0</v>
      </c>
      <c r="K47" s="437" t="s">
        <v>8</v>
      </c>
      <c r="L47" s="437" t="s">
        <v>9</v>
      </c>
      <c r="M47" s="438" t="s">
        <v>579</v>
      </c>
      <c r="N47" s="436" t="s">
        <v>0</v>
      </c>
      <c r="O47" s="437" t="s">
        <v>8</v>
      </c>
      <c r="P47" s="437" t="s">
        <v>9</v>
      </c>
      <c r="Q47" s="604" t="s">
        <v>579</v>
      </c>
      <c r="R47" s="436" t="s">
        <v>0</v>
      </c>
      <c r="S47" s="437" t="s">
        <v>8</v>
      </c>
      <c r="T47" s="437" t="s">
        <v>9</v>
      </c>
      <c r="U47" s="604" t="s">
        <v>579</v>
      </c>
    </row>
    <row r="48" spans="1:21">
      <c r="A48" s="185" t="s">
        <v>2369</v>
      </c>
      <c r="B48" s="185"/>
      <c r="C48" s="185"/>
      <c r="D48" s="185"/>
      <c r="E48" s="185"/>
      <c r="F48" s="185"/>
      <c r="G48" s="185"/>
      <c r="H48" s="185"/>
      <c r="J48" s="518">
        <v>3752171.06</v>
      </c>
      <c r="K48" s="518">
        <f>+'Driver Sheet'!M59</f>
        <v>3639810</v>
      </c>
      <c r="L48" s="369">
        <f>+(K48/J48-1)*100</f>
        <v>-2.9945612341032213</v>
      </c>
      <c r="M48" s="519">
        <f>'Driver Sheet'!M60</f>
        <v>-5.9972495012299731</v>
      </c>
      <c r="N48" s="518">
        <v>4097197.6992000006</v>
      </c>
      <c r="O48" s="518">
        <f>+'Driver Sheet'!N59</f>
        <v>4095264.33</v>
      </c>
      <c r="P48" s="369">
        <f>+(O48/N48-1)*100</f>
        <v>-4.7187598498799055E-2</v>
      </c>
      <c r="Q48" s="519">
        <f>+(O48/K48-1)*100</f>
        <v>12.513134751539233</v>
      </c>
      <c r="R48" s="518">
        <v>4629108.4760440001</v>
      </c>
      <c r="S48" s="518">
        <f>+'Driver Sheet'!O59</f>
        <v>4631829.9597000005</v>
      </c>
      <c r="T48" s="369">
        <f>+(S48/R48-1)*100</f>
        <v>5.8790664986241303E-2</v>
      </c>
      <c r="U48" s="519">
        <f>+(S48/O48-1)*100</f>
        <v>13.10210004686072</v>
      </c>
    </row>
    <row r="49" spans="1:21">
      <c r="A49" s="185" t="s">
        <v>404</v>
      </c>
      <c r="B49" s="185"/>
      <c r="C49" s="185"/>
      <c r="D49" s="185"/>
      <c r="E49" s="185"/>
      <c r="F49" s="185"/>
      <c r="G49" s="185"/>
      <c r="H49" s="185"/>
      <c r="J49" s="366">
        <v>227339.77874299008</v>
      </c>
      <c r="K49" s="366">
        <f>+'Inc Stmt'!Q9</f>
        <v>217666.80000000002</v>
      </c>
      <c r="L49" s="186">
        <f>+(K49/J49-1)*100</f>
        <v>-4.2548553519643706</v>
      </c>
      <c r="M49" s="367">
        <f>'Summary Financials'!M20</f>
        <v>-3.6297756360873623</v>
      </c>
      <c r="N49" s="366">
        <v>257389.92997974285</v>
      </c>
      <c r="O49" s="366">
        <f>+'Inc Stmt'!R9</f>
        <v>262363.62891264667</v>
      </c>
      <c r="P49" s="186">
        <f>+(O49/N49-1)*100</f>
        <v>1.9323595656190795</v>
      </c>
      <c r="Q49" s="367">
        <f>+(O49/K49-1)*100</f>
        <v>20.534518315446661</v>
      </c>
      <c r="R49" s="366">
        <v>298473.47937048326</v>
      </c>
      <c r="S49" s="366">
        <f>+'Inc Stmt'!S9</f>
        <v>303817.245014577</v>
      </c>
      <c r="T49" s="186">
        <f>+(S49/R49-1)*100</f>
        <v>1.7903653133150677</v>
      </c>
      <c r="U49" s="367">
        <f>+(S49/O49-1)*100</f>
        <v>15.800062026025795</v>
      </c>
    </row>
    <row r="50" spans="1:21">
      <c r="A50" s="185" t="s">
        <v>659</v>
      </c>
      <c r="B50" s="185"/>
      <c r="C50" s="185"/>
      <c r="D50" s="185"/>
      <c r="E50" s="185"/>
      <c r="F50" s="185"/>
      <c r="G50" s="185"/>
      <c r="H50" s="185"/>
      <c r="J50" s="366">
        <v>46826.960913279428</v>
      </c>
      <c r="K50" s="366">
        <f>+'Inc Stmt'!Q21</f>
        <v>44223.499999999985</v>
      </c>
      <c r="L50" s="186">
        <f>+(K50/J50-1)*100</f>
        <v>-5.559747766037793</v>
      </c>
      <c r="M50" s="367">
        <f>'Summary Financials'!M22</f>
        <v>-7.5197513979682329</v>
      </c>
      <c r="N50" s="366">
        <v>51571.614940664869</v>
      </c>
      <c r="O50" s="366">
        <f>+'Inc Stmt'!R21</f>
        <v>51977.351072065219</v>
      </c>
      <c r="P50" s="186">
        <f>+(O50/N50-1)*100</f>
        <v>0.78674311802562347</v>
      </c>
      <c r="Q50" s="367">
        <f>+(O50/K50-1)*100</f>
        <v>17.533327466313686</v>
      </c>
      <c r="R50" s="366">
        <v>58922.348447405748</v>
      </c>
      <c r="S50" s="366">
        <f>+'Inc Stmt'!S21</f>
        <v>60460.231911464958</v>
      </c>
      <c r="T50" s="186">
        <f>+(S50/R50-1)*100</f>
        <v>2.6100172592949722</v>
      </c>
      <c r="U50" s="367">
        <f>+(S50/O50-1)*100</f>
        <v>16.320340810824408</v>
      </c>
    </row>
    <row r="51" spans="1:21">
      <c r="A51" s="185" t="s">
        <v>2025</v>
      </c>
      <c r="B51" s="185"/>
      <c r="C51" s="185"/>
      <c r="D51" s="185"/>
      <c r="E51" s="185"/>
      <c r="F51" s="185"/>
      <c r="G51" s="185"/>
      <c r="H51" s="185"/>
      <c r="J51" s="186">
        <v>20.597785909793544</v>
      </c>
      <c r="K51" s="186">
        <f>K50/K49*100</f>
        <v>20.317062592917239</v>
      </c>
      <c r="L51" s="432">
        <f>+(K51-J51)*100</f>
        <v>-28.072331687630481</v>
      </c>
      <c r="M51" s="520">
        <f>+('Summary Financials'!AA48-'Summary Financials'!Z48)*100</f>
        <v>-85.459200460376294</v>
      </c>
      <c r="N51" s="186">
        <v>20.036376304513414</v>
      </c>
      <c r="O51" s="186">
        <f>+O50/O49*100</f>
        <v>19.811187734932172</v>
      </c>
      <c r="P51" s="432">
        <f>+(O51-N51)*100</f>
        <v>-22.518856958124189</v>
      </c>
      <c r="Q51" s="520">
        <f>+(O51-K51)*100</f>
        <v>-50.587485798506648</v>
      </c>
      <c r="R51" s="186">
        <v>19.741234153091298</v>
      </c>
      <c r="S51" s="186">
        <f>+S50/S49*100</f>
        <v>19.90019753768885</v>
      </c>
      <c r="T51" s="432">
        <f>+(S51-R51)*100</f>
        <v>15.896338459755199</v>
      </c>
      <c r="U51" s="520">
        <f>+(S51-O51)*100</f>
        <v>8.9009802756677914</v>
      </c>
    </row>
    <row r="52" spans="1:21">
      <c r="A52" s="185" t="s">
        <v>398</v>
      </c>
      <c r="B52" s="185"/>
      <c r="C52" s="185"/>
      <c r="D52" s="185"/>
      <c r="E52" s="185"/>
      <c r="F52" s="185"/>
      <c r="G52" s="185"/>
      <c r="H52" s="185"/>
      <c r="J52" s="365">
        <v>39828.643292494788</v>
      </c>
      <c r="K52" s="365">
        <f>+'Inc Stmt'!Q40</f>
        <v>38275.599999999991</v>
      </c>
      <c r="L52" s="186">
        <f>+(K52/J52-1)*100</f>
        <v>-3.899312565305102</v>
      </c>
      <c r="M52" s="367">
        <f>'Summary Financials'!M36</f>
        <v>-2.5984370188845918</v>
      </c>
      <c r="N52" s="365">
        <v>43701.283655872059</v>
      </c>
      <c r="O52" s="365">
        <f>+'Inc Stmt'!R40</f>
        <v>43986.379989166307</v>
      </c>
      <c r="P52" s="186">
        <f>+(O52/N52-1)*100</f>
        <v>0.65237519231529095</v>
      </c>
      <c r="Q52" s="367">
        <f>+(O52/K52-1)*100</f>
        <v>14.920157983588279</v>
      </c>
      <c r="R52" s="365">
        <v>49857.632905958075</v>
      </c>
      <c r="S52" s="365">
        <f>+'Inc Stmt'!S40</f>
        <v>50946.966213440115</v>
      </c>
      <c r="T52" s="186">
        <f>+(S52/R52-1)*100</f>
        <v>2.1848877373234821</v>
      </c>
      <c r="U52" s="367">
        <f>+(S52/O52-1)*100</f>
        <v>15.824412524941067</v>
      </c>
    </row>
    <row r="53" spans="1:21">
      <c r="A53" s="370" t="s">
        <v>2370</v>
      </c>
      <c r="B53" s="370"/>
      <c r="C53" s="370"/>
      <c r="D53" s="370"/>
      <c r="E53" s="370"/>
      <c r="F53" s="370"/>
      <c r="G53" s="370"/>
      <c r="H53" s="370"/>
      <c r="J53" s="371">
        <v>137.64057594571346</v>
      </c>
      <c r="K53" s="371">
        <f>+'Inc Stmt'!Q53</f>
        <v>132.27353967290395</v>
      </c>
      <c r="L53" s="371">
        <f>+(K53/J53-1)*100</f>
        <v>-3.899312565305102</v>
      </c>
      <c r="M53" s="372">
        <f>'Summary Financials'!M39</f>
        <v>-2.5984370188845807</v>
      </c>
      <c r="N53" s="371">
        <v>151.023719482172</v>
      </c>
      <c r="O53" s="371">
        <f>+'Inc Stmt'!R53</f>
        <v>152.00896076258553</v>
      </c>
      <c r="P53" s="371">
        <f>+(O53/N53-1)*100</f>
        <v>0.65237519231529095</v>
      </c>
      <c r="Q53" s="372">
        <f>+(O53/K53-1)*100</f>
        <v>14.920157983588279</v>
      </c>
      <c r="R53" s="371">
        <v>172.29894721920303</v>
      </c>
      <c r="S53" s="371">
        <f>+'Inc Stmt'!S53</f>
        <v>176.06348578853289</v>
      </c>
      <c r="T53" s="371">
        <f>+(S53/R53-1)*100</f>
        <v>2.1848877373235043</v>
      </c>
      <c r="U53" s="372">
        <f>+(S53/O53-1)*100</f>
        <v>15.824412524941089</v>
      </c>
    </row>
    <row r="54" spans="1:21">
      <c r="K54" s="605"/>
      <c r="L54" s="605"/>
      <c r="M54" s="605"/>
      <c r="N54" s="605"/>
    </row>
    <row r="55" spans="1:21">
      <c r="K55" s="605"/>
      <c r="L55" s="605"/>
      <c r="M55" s="605"/>
      <c r="N55" s="970"/>
    </row>
  </sheetData>
  <mergeCells count="3">
    <mergeCell ref="N46:Q46"/>
    <mergeCell ref="J46:M46"/>
    <mergeCell ref="R46:U46"/>
  </mergeCells>
  <phoneticPr fontId="63" type="noConversion"/>
  <pageMargins left="0.75" right="0.75" top="1" bottom="1" header="0.5" footer="0.5"/>
  <pageSetup orientation="portrait" r:id="rId1"/>
  <headerFooter alignWithMargins="0"/>
  <ignoredErrors>
    <ignoredError sqref="A39:A44 J42:N42 L44 L43 N43 N44" formula="1" unlockedFormula="1"/>
    <ignoredError sqref="A23:A30 A45:A65536 A1 C23:F30 U31:JC36 A37:A38 G30:I30 W2:JB2 Q39:JC41 V46:JC53 H37:H38 C54:IW54 H45:I45 U30:IW30 C1:I1 C58:IW65536 C57:J57 L57:IW57 C45 C37:C38 C56:IW56 C55:I55 O55:IW55 Q37:JA38 L30:M30 P1 K1:N1 R42:JC44 R45:JA45 J45:Q45 Q42:Q44 J46:Q47 O42:P44 K48:M53 O48:Q53 K55:M55 W10:JB29 W4:JB4 W3:JB3 W5:JB5 W6:JB6 W7:JB7 W8:JB9 J22:N22 J26:N29 J25:N25 J20:N20 J23:N24 P23:P24 J21:N21 R1:IW1" formula="1"/>
    <ignoredError sqref="O5 O7 O6 O9 O8 O11 O10 O12 O13:O15 O16 O17:O19 P5 P13:P19" evalError="1"/>
    <ignoredError sqref="L41 L40 N40 N41" unlockedFormula="1"/>
    <ignoredError sqref="P6:P12 P20:P22 P25:P29 O22 O21 O23:O24 O20 O25 O26:O29" evalError="1" 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F100"/>
  <sheetViews>
    <sheetView workbookViewId="0">
      <pane xSplit="1" ySplit="1" topLeftCell="EQ2" activePane="bottomRight" state="frozen"/>
      <selection pane="topRight" activeCell="B1" sqref="B1"/>
      <selection pane="bottomLeft" activeCell="A2" sqref="A2"/>
      <selection pane="bottomRight" activeCell="EW28" sqref="EW28"/>
    </sheetView>
  </sheetViews>
  <sheetFormatPr defaultRowHeight="12.75"/>
  <cols>
    <col min="1" max="1" width="20.75" style="922" bestFit="1" customWidth="1"/>
    <col min="2" max="90" width="8.125" style="922" bestFit="1" customWidth="1"/>
    <col min="91" max="91" width="8.125" style="923" bestFit="1" customWidth="1"/>
    <col min="92" max="121" width="8.125" style="922" bestFit="1" customWidth="1"/>
    <col min="122" max="122" width="9" style="922" bestFit="1" customWidth="1"/>
    <col min="123" max="135" width="8.125" style="922" bestFit="1" customWidth="1"/>
    <col min="136" max="138" width="8.125" style="922" customWidth="1"/>
    <col min="139" max="139" width="9.625" style="922" bestFit="1" customWidth="1"/>
    <col min="140" max="140" width="8.75" style="922" bestFit="1" customWidth="1"/>
    <col min="141" max="147" width="8.75" style="922" customWidth="1"/>
    <col min="148" max="148" width="10" style="922" bestFit="1" customWidth="1"/>
    <col min="149" max="161" width="10" style="922" customWidth="1"/>
    <col min="162" max="162" width="9.75" style="926" customWidth="1"/>
    <col min="163" max="164" width="9.75" style="926" bestFit="1" customWidth="1"/>
    <col min="165" max="165" width="9.75" style="922" bestFit="1" customWidth="1"/>
    <col min="166" max="169" width="9.75" style="922" customWidth="1"/>
    <col min="170" max="171" width="10.5" style="922" customWidth="1"/>
    <col min="172" max="172" width="11.125" style="922" bestFit="1" customWidth="1"/>
    <col min="173" max="179" width="9" style="922"/>
    <col min="180" max="182" width="10.125" style="922" customWidth="1"/>
    <col min="183" max="186" width="9" style="922" customWidth="1"/>
    <col min="187" max="269" width="9" style="922"/>
    <col min="270" max="270" width="20.75" style="922" bestFit="1" customWidth="1"/>
    <col min="271" max="390" width="8.125" style="922" bestFit="1" customWidth="1"/>
    <col min="391" max="391" width="9" style="922" bestFit="1" customWidth="1"/>
    <col min="392" max="404" width="8.125" style="922" bestFit="1" customWidth="1"/>
    <col min="405" max="407" width="8.125" style="922" customWidth="1"/>
    <col min="408" max="408" width="9.625" style="922" bestFit="1" customWidth="1"/>
    <col min="409" max="409" width="8.75" style="922" bestFit="1" customWidth="1"/>
    <col min="410" max="416" width="8.75" style="922" customWidth="1"/>
    <col min="417" max="417" width="10" style="922" bestFit="1" customWidth="1"/>
    <col min="418" max="418" width="9.75" style="922" customWidth="1"/>
    <col min="419" max="421" width="9.75" style="922" bestFit="1" customWidth="1"/>
    <col min="422" max="425" width="9.75" style="922" customWidth="1"/>
    <col min="426" max="427" width="10.5" style="922" customWidth="1"/>
    <col min="428" max="428" width="11.125" style="922" bestFit="1" customWidth="1"/>
    <col min="429" max="435" width="9" style="922"/>
    <col min="436" max="438" width="10.125" style="922" customWidth="1"/>
    <col min="439" max="442" width="9" style="922" customWidth="1"/>
    <col min="443" max="525" width="9" style="922"/>
    <col min="526" max="526" width="20.75" style="922" bestFit="1" customWidth="1"/>
    <col min="527" max="646" width="8.125" style="922" bestFit="1" customWidth="1"/>
    <col min="647" max="647" width="9" style="922" bestFit="1" customWidth="1"/>
    <col min="648" max="660" width="8.125" style="922" bestFit="1" customWidth="1"/>
    <col min="661" max="663" width="8.125" style="922" customWidth="1"/>
    <col min="664" max="664" width="9.625" style="922" bestFit="1" customWidth="1"/>
    <col min="665" max="665" width="8.75" style="922" bestFit="1" customWidth="1"/>
    <col min="666" max="672" width="8.75" style="922" customWidth="1"/>
    <col min="673" max="673" width="10" style="922" bestFit="1" customWidth="1"/>
    <col min="674" max="674" width="9.75" style="922" customWidth="1"/>
    <col min="675" max="677" width="9.75" style="922" bestFit="1" customWidth="1"/>
    <col min="678" max="681" width="9.75" style="922" customWidth="1"/>
    <col min="682" max="683" width="10.5" style="922" customWidth="1"/>
    <col min="684" max="684" width="11.125" style="922" bestFit="1" customWidth="1"/>
    <col min="685" max="691" width="9" style="922"/>
    <col min="692" max="694" width="10.125" style="922" customWidth="1"/>
    <col min="695" max="698" width="9" style="922" customWidth="1"/>
    <col min="699" max="781" width="9" style="922"/>
    <col min="782" max="782" width="20.75" style="922" bestFit="1" customWidth="1"/>
    <col min="783" max="902" width="8.125" style="922" bestFit="1" customWidth="1"/>
    <col min="903" max="903" width="9" style="922" bestFit="1" customWidth="1"/>
    <col min="904" max="916" width="8.125" style="922" bestFit="1" customWidth="1"/>
    <col min="917" max="919" width="8.125" style="922" customWidth="1"/>
    <col min="920" max="920" width="9.625" style="922" bestFit="1" customWidth="1"/>
    <col min="921" max="921" width="8.75" style="922" bestFit="1" customWidth="1"/>
    <col min="922" max="928" width="8.75" style="922" customWidth="1"/>
    <col min="929" max="929" width="10" style="922" bestFit="1" customWidth="1"/>
    <col min="930" max="930" width="9.75" style="922" customWidth="1"/>
    <col min="931" max="933" width="9.75" style="922" bestFit="1" customWidth="1"/>
    <col min="934" max="937" width="9.75" style="922" customWidth="1"/>
    <col min="938" max="939" width="10.5" style="922" customWidth="1"/>
    <col min="940" max="940" width="11.125" style="922" bestFit="1" customWidth="1"/>
    <col min="941" max="947" width="9" style="922"/>
    <col min="948" max="950" width="10.125" style="922" customWidth="1"/>
    <col min="951" max="954" width="9" style="922" customWidth="1"/>
    <col min="955" max="1037" width="9" style="922"/>
    <col min="1038" max="1038" width="20.75" style="922" bestFit="1" customWidth="1"/>
    <col min="1039" max="1158" width="8.125" style="922" bestFit="1" customWidth="1"/>
    <col min="1159" max="1159" width="9" style="922" bestFit="1" customWidth="1"/>
    <col min="1160" max="1172" width="8.125" style="922" bestFit="1" customWidth="1"/>
    <col min="1173" max="1175" width="8.125" style="922" customWidth="1"/>
    <col min="1176" max="1176" width="9.625" style="922" bestFit="1" customWidth="1"/>
    <col min="1177" max="1177" width="8.75" style="922" bestFit="1" customWidth="1"/>
    <col min="1178" max="1184" width="8.75" style="922" customWidth="1"/>
    <col min="1185" max="1185" width="10" style="922" bestFit="1" customWidth="1"/>
    <col min="1186" max="1186" width="9.75" style="922" customWidth="1"/>
    <col min="1187" max="1189" width="9.75" style="922" bestFit="1" customWidth="1"/>
    <col min="1190" max="1193" width="9.75" style="922" customWidth="1"/>
    <col min="1194" max="1195" width="10.5" style="922" customWidth="1"/>
    <col min="1196" max="1196" width="11.125" style="922" bestFit="1" customWidth="1"/>
    <col min="1197" max="1203" width="9" style="922"/>
    <col min="1204" max="1206" width="10.125" style="922" customWidth="1"/>
    <col min="1207" max="1210" width="9" style="922" customWidth="1"/>
    <col min="1211" max="1293" width="9" style="922"/>
    <col min="1294" max="1294" width="20.75" style="922" bestFit="1" customWidth="1"/>
    <col min="1295" max="1414" width="8.125" style="922" bestFit="1" customWidth="1"/>
    <col min="1415" max="1415" width="9" style="922" bestFit="1" customWidth="1"/>
    <col min="1416" max="1428" width="8.125" style="922" bestFit="1" customWidth="1"/>
    <col min="1429" max="1431" width="8.125" style="922" customWidth="1"/>
    <col min="1432" max="1432" width="9.625" style="922" bestFit="1" customWidth="1"/>
    <col min="1433" max="1433" width="8.75" style="922" bestFit="1" customWidth="1"/>
    <col min="1434" max="1440" width="8.75" style="922" customWidth="1"/>
    <col min="1441" max="1441" width="10" style="922" bestFit="1" customWidth="1"/>
    <col min="1442" max="1442" width="9.75" style="922" customWidth="1"/>
    <col min="1443" max="1445" width="9.75" style="922" bestFit="1" customWidth="1"/>
    <col min="1446" max="1449" width="9.75" style="922" customWidth="1"/>
    <col min="1450" max="1451" width="10.5" style="922" customWidth="1"/>
    <col min="1452" max="1452" width="11.125" style="922" bestFit="1" customWidth="1"/>
    <col min="1453" max="1459" width="9" style="922"/>
    <col min="1460" max="1462" width="10.125" style="922" customWidth="1"/>
    <col min="1463" max="1466" width="9" style="922" customWidth="1"/>
    <col min="1467" max="1549" width="9" style="922"/>
    <col min="1550" max="1550" width="20.75" style="922" bestFit="1" customWidth="1"/>
    <col min="1551" max="1670" width="8.125" style="922" bestFit="1" customWidth="1"/>
    <col min="1671" max="1671" width="9" style="922" bestFit="1" customWidth="1"/>
    <col min="1672" max="1684" width="8.125" style="922" bestFit="1" customWidth="1"/>
    <col min="1685" max="1687" width="8.125" style="922" customWidth="1"/>
    <col min="1688" max="1688" width="9.625" style="922" bestFit="1" customWidth="1"/>
    <col min="1689" max="1689" width="8.75" style="922" bestFit="1" customWidth="1"/>
    <col min="1690" max="1696" width="8.75" style="922" customWidth="1"/>
    <col min="1697" max="1697" width="10" style="922" bestFit="1" customWidth="1"/>
    <col min="1698" max="1698" width="9.75" style="922" customWidth="1"/>
    <col min="1699" max="1701" width="9.75" style="922" bestFit="1" customWidth="1"/>
    <col min="1702" max="1705" width="9.75" style="922" customWidth="1"/>
    <col min="1706" max="1707" width="10.5" style="922" customWidth="1"/>
    <col min="1708" max="1708" width="11.125" style="922" bestFit="1" customWidth="1"/>
    <col min="1709" max="1715" width="9" style="922"/>
    <col min="1716" max="1718" width="10.125" style="922" customWidth="1"/>
    <col min="1719" max="1722" width="9" style="922" customWidth="1"/>
    <col min="1723" max="1805" width="9" style="922"/>
    <col min="1806" max="1806" width="20.75" style="922" bestFit="1" customWidth="1"/>
    <col min="1807" max="1926" width="8.125" style="922" bestFit="1" customWidth="1"/>
    <col min="1927" max="1927" width="9" style="922" bestFit="1" customWidth="1"/>
    <col min="1928" max="1940" width="8.125" style="922" bestFit="1" customWidth="1"/>
    <col min="1941" max="1943" width="8.125" style="922" customWidth="1"/>
    <col min="1944" max="1944" width="9.625" style="922" bestFit="1" customWidth="1"/>
    <col min="1945" max="1945" width="8.75" style="922" bestFit="1" customWidth="1"/>
    <col min="1946" max="1952" width="8.75" style="922" customWidth="1"/>
    <col min="1953" max="1953" width="10" style="922" bestFit="1" customWidth="1"/>
    <col min="1954" max="1954" width="9.75" style="922" customWidth="1"/>
    <col min="1955" max="1957" width="9.75" style="922" bestFit="1" customWidth="1"/>
    <col min="1958" max="1961" width="9.75" style="922" customWidth="1"/>
    <col min="1962" max="1963" width="10.5" style="922" customWidth="1"/>
    <col min="1964" max="1964" width="11.125" style="922" bestFit="1" customWidth="1"/>
    <col min="1965" max="1971" width="9" style="922"/>
    <col min="1972" max="1974" width="10.125" style="922" customWidth="1"/>
    <col min="1975" max="1978" width="9" style="922" customWidth="1"/>
    <col min="1979" max="2061" width="9" style="922"/>
    <col min="2062" max="2062" width="20.75" style="922" bestFit="1" customWidth="1"/>
    <col min="2063" max="2182" width="8.125" style="922" bestFit="1" customWidth="1"/>
    <col min="2183" max="2183" width="9" style="922" bestFit="1" customWidth="1"/>
    <col min="2184" max="2196" width="8.125" style="922" bestFit="1" customWidth="1"/>
    <col min="2197" max="2199" width="8.125" style="922" customWidth="1"/>
    <col min="2200" max="2200" width="9.625" style="922" bestFit="1" customWidth="1"/>
    <col min="2201" max="2201" width="8.75" style="922" bestFit="1" customWidth="1"/>
    <col min="2202" max="2208" width="8.75" style="922" customWidth="1"/>
    <col min="2209" max="2209" width="10" style="922" bestFit="1" customWidth="1"/>
    <col min="2210" max="2210" width="9.75" style="922" customWidth="1"/>
    <col min="2211" max="2213" width="9.75" style="922" bestFit="1" customWidth="1"/>
    <col min="2214" max="2217" width="9.75" style="922" customWidth="1"/>
    <col min="2218" max="2219" width="10.5" style="922" customWidth="1"/>
    <col min="2220" max="2220" width="11.125" style="922" bestFit="1" customWidth="1"/>
    <col min="2221" max="2227" width="9" style="922"/>
    <col min="2228" max="2230" width="10.125" style="922" customWidth="1"/>
    <col min="2231" max="2234" width="9" style="922" customWidth="1"/>
    <col min="2235" max="2317" width="9" style="922"/>
    <col min="2318" max="2318" width="20.75" style="922" bestFit="1" customWidth="1"/>
    <col min="2319" max="2438" width="8.125" style="922" bestFit="1" customWidth="1"/>
    <col min="2439" max="2439" width="9" style="922" bestFit="1" customWidth="1"/>
    <col min="2440" max="2452" width="8.125" style="922" bestFit="1" customWidth="1"/>
    <col min="2453" max="2455" width="8.125" style="922" customWidth="1"/>
    <col min="2456" max="2456" width="9.625" style="922" bestFit="1" customWidth="1"/>
    <col min="2457" max="2457" width="8.75" style="922" bestFit="1" customWidth="1"/>
    <col min="2458" max="2464" width="8.75" style="922" customWidth="1"/>
    <col min="2465" max="2465" width="10" style="922" bestFit="1" customWidth="1"/>
    <col min="2466" max="2466" width="9.75" style="922" customWidth="1"/>
    <col min="2467" max="2469" width="9.75" style="922" bestFit="1" customWidth="1"/>
    <col min="2470" max="2473" width="9.75" style="922" customWidth="1"/>
    <col min="2474" max="2475" width="10.5" style="922" customWidth="1"/>
    <col min="2476" max="2476" width="11.125" style="922" bestFit="1" customWidth="1"/>
    <col min="2477" max="2483" width="9" style="922"/>
    <col min="2484" max="2486" width="10.125" style="922" customWidth="1"/>
    <col min="2487" max="2490" width="9" style="922" customWidth="1"/>
    <col min="2491" max="2573" width="9" style="922"/>
    <col min="2574" max="2574" width="20.75" style="922" bestFit="1" customWidth="1"/>
    <col min="2575" max="2694" width="8.125" style="922" bestFit="1" customWidth="1"/>
    <col min="2695" max="2695" width="9" style="922" bestFit="1" customWidth="1"/>
    <col min="2696" max="2708" width="8.125" style="922" bestFit="1" customWidth="1"/>
    <col min="2709" max="2711" width="8.125" style="922" customWidth="1"/>
    <col min="2712" max="2712" width="9.625" style="922" bestFit="1" customWidth="1"/>
    <col min="2713" max="2713" width="8.75" style="922" bestFit="1" customWidth="1"/>
    <col min="2714" max="2720" width="8.75" style="922" customWidth="1"/>
    <col min="2721" max="2721" width="10" style="922" bestFit="1" customWidth="1"/>
    <col min="2722" max="2722" width="9.75" style="922" customWidth="1"/>
    <col min="2723" max="2725" width="9.75" style="922" bestFit="1" customWidth="1"/>
    <col min="2726" max="2729" width="9.75" style="922" customWidth="1"/>
    <col min="2730" max="2731" width="10.5" style="922" customWidth="1"/>
    <col min="2732" max="2732" width="11.125" style="922" bestFit="1" customWidth="1"/>
    <col min="2733" max="2739" width="9" style="922"/>
    <col min="2740" max="2742" width="10.125" style="922" customWidth="1"/>
    <col min="2743" max="2746" width="9" style="922" customWidth="1"/>
    <col min="2747" max="2829" width="9" style="922"/>
    <col min="2830" max="2830" width="20.75" style="922" bestFit="1" customWidth="1"/>
    <col min="2831" max="2950" width="8.125" style="922" bestFit="1" customWidth="1"/>
    <col min="2951" max="2951" width="9" style="922" bestFit="1" customWidth="1"/>
    <col min="2952" max="2964" width="8.125" style="922" bestFit="1" customWidth="1"/>
    <col min="2965" max="2967" width="8.125" style="922" customWidth="1"/>
    <col min="2968" max="2968" width="9.625" style="922" bestFit="1" customWidth="1"/>
    <col min="2969" max="2969" width="8.75" style="922" bestFit="1" customWidth="1"/>
    <col min="2970" max="2976" width="8.75" style="922" customWidth="1"/>
    <col min="2977" max="2977" width="10" style="922" bestFit="1" customWidth="1"/>
    <col min="2978" max="2978" width="9.75" style="922" customWidth="1"/>
    <col min="2979" max="2981" width="9.75" style="922" bestFit="1" customWidth="1"/>
    <col min="2982" max="2985" width="9.75" style="922" customWidth="1"/>
    <col min="2986" max="2987" width="10.5" style="922" customWidth="1"/>
    <col min="2988" max="2988" width="11.125" style="922" bestFit="1" customWidth="1"/>
    <col min="2989" max="2995" width="9" style="922"/>
    <col min="2996" max="2998" width="10.125" style="922" customWidth="1"/>
    <col min="2999" max="3002" width="9" style="922" customWidth="1"/>
    <col min="3003" max="3085" width="9" style="922"/>
    <col min="3086" max="3086" width="20.75" style="922" bestFit="1" customWidth="1"/>
    <col min="3087" max="3206" width="8.125" style="922" bestFit="1" customWidth="1"/>
    <col min="3207" max="3207" width="9" style="922" bestFit="1" customWidth="1"/>
    <col min="3208" max="3220" width="8.125" style="922" bestFit="1" customWidth="1"/>
    <col min="3221" max="3223" width="8.125" style="922" customWidth="1"/>
    <col min="3224" max="3224" width="9.625" style="922" bestFit="1" customWidth="1"/>
    <col min="3225" max="3225" width="8.75" style="922" bestFit="1" customWidth="1"/>
    <col min="3226" max="3232" width="8.75" style="922" customWidth="1"/>
    <col min="3233" max="3233" width="10" style="922" bestFit="1" customWidth="1"/>
    <col min="3234" max="3234" width="9.75" style="922" customWidth="1"/>
    <col min="3235" max="3237" width="9.75" style="922" bestFit="1" customWidth="1"/>
    <col min="3238" max="3241" width="9.75" style="922" customWidth="1"/>
    <col min="3242" max="3243" width="10.5" style="922" customWidth="1"/>
    <col min="3244" max="3244" width="11.125" style="922" bestFit="1" customWidth="1"/>
    <col min="3245" max="3251" width="9" style="922"/>
    <col min="3252" max="3254" width="10.125" style="922" customWidth="1"/>
    <col min="3255" max="3258" width="9" style="922" customWidth="1"/>
    <col min="3259" max="3341" width="9" style="922"/>
    <col min="3342" max="3342" width="20.75" style="922" bestFit="1" customWidth="1"/>
    <col min="3343" max="3462" width="8.125" style="922" bestFit="1" customWidth="1"/>
    <col min="3463" max="3463" width="9" style="922" bestFit="1" customWidth="1"/>
    <col min="3464" max="3476" width="8.125" style="922" bestFit="1" customWidth="1"/>
    <col min="3477" max="3479" width="8.125" style="922" customWidth="1"/>
    <col min="3480" max="3480" width="9.625" style="922" bestFit="1" customWidth="1"/>
    <col min="3481" max="3481" width="8.75" style="922" bestFit="1" customWidth="1"/>
    <col min="3482" max="3488" width="8.75" style="922" customWidth="1"/>
    <col min="3489" max="3489" width="10" style="922" bestFit="1" customWidth="1"/>
    <col min="3490" max="3490" width="9.75" style="922" customWidth="1"/>
    <col min="3491" max="3493" width="9.75" style="922" bestFit="1" customWidth="1"/>
    <col min="3494" max="3497" width="9.75" style="922" customWidth="1"/>
    <col min="3498" max="3499" width="10.5" style="922" customWidth="1"/>
    <col min="3500" max="3500" width="11.125" style="922" bestFit="1" customWidth="1"/>
    <col min="3501" max="3507" width="9" style="922"/>
    <col min="3508" max="3510" width="10.125" style="922" customWidth="1"/>
    <col min="3511" max="3514" width="9" style="922" customWidth="1"/>
    <col min="3515" max="3597" width="9" style="922"/>
    <col min="3598" max="3598" width="20.75" style="922" bestFit="1" customWidth="1"/>
    <col min="3599" max="3718" width="8.125" style="922" bestFit="1" customWidth="1"/>
    <col min="3719" max="3719" width="9" style="922" bestFit="1" customWidth="1"/>
    <col min="3720" max="3732" width="8.125" style="922" bestFit="1" customWidth="1"/>
    <col min="3733" max="3735" width="8.125" style="922" customWidth="1"/>
    <col min="3736" max="3736" width="9.625" style="922" bestFit="1" customWidth="1"/>
    <col min="3737" max="3737" width="8.75" style="922" bestFit="1" customWidth="1"/>
    <col min="3738" max="3744" width="8.75" style="922" customWidth="1"/>
    <col min="3745" max="3745" width="10" style="922" bestFit="1" customWidth="1"/>
    <col min="3746" max="3746" width="9.75" style="922" customWidth="1"/>
    <col min="3747" max="3749" width="9.75" style="922" bestFit="1" customWidth="1"/>
    <col min="3750" max="3753" width="9.75" style="922" customWidth="1"/>
    <col min="3754" max="3755" width="10.5" style="922" customWidth="1"/>
    <col min="3756" max="3756" width="11.125" style="922" bestFit="1" customWidth="1"/>
    <col min="3757" max="3763" width="9" style="922"/>
    <col min="3764" max="3766" width="10.125" style="922" customWidth="1"/>
    <col min="3767" max="3770" width="9" style="922" customWidth="1"/>
    <col min="3771" max="3853" width="9" style="922"/>
    <col min="3854" max="3854" width="20.75" style="922" bestFit="1" customWidth="1"/>
    <col min="3855" max="3974" width="8.125" style="922" bestFit="1" customWidth="1"/>
    <col min="3975" max="3975" width="9" style="922" bestFit="1" customWidth="1"/>
    <col min="3976" max="3988" width="8.125" style="922" bestFit="1" customWidth="1"/>
    <col min="3989" max="3991" width="8.125" style="922" customWidth="1"/>
    <col min="3992" max="3992" width="9.625" style="922" bestFit="1" customWidth="1"/>
    <col min="3993" max="3993" width="8.75" style="922" bestFit="1" customWidth="1"/>
    <col min="3994" max="4000" width="8.75" style="922" customWidth="1"/>
    <col min="4001" max="4001" width="10" style="922" bestFit="1" customWidth="1"/>
    <col min="4002" max="4002" width="9.75" style="922" customWidth="1"/>
    <col min="4003" max="4005" width="9.75" style="922" bestFit="1" customWidth="1"/>
    <col min="4006" max="4009" width="9.75" style="922" customWidth="1"/>
    <col min="4010" max="4011" width="10.5" style="922" customWidth="1"/>
    <col min="4012" max="4012" width="11.125" style="922" bestFit="1" customWidth="1"/>
    <col min="4013" max="4019" width="9" style="922"/>
    <col min="4020" max="4022" width="10.125" style="922" customWidth="1"/>
    <col min="4023" max="4026" width="9" style="922" customWidth="1"/>
    <col min="4027" max="4109" width="9" style="922"/>
    <col min="4110" max="4110" width="20.75" style="922" bestFit="1" customWidth="1"/>
    <col min="4111" max="4230" width="8.125" style="922" bestFit="1" customWidth="1"/>
    <col min="4231" max="4231" width="9" style="922" bestFit="1" customWidth="1"/>
    <col min="4232" max="4244" width="8.125" style="922" bestFit="1" customWidth="1"/>
    <col min="4245" max="4247" width="8.125" style="922" customWidth="1"/>
    <col min="4248" max="4248" width="9.625" style="922" bestFit="1" customWidth="1"/>
    <col min="4249" max="4249" width="8.75" style="922" bestFit="1" customWidth="1"/>
    <col min="4250" max="4256" width="8.75" style="922" customWidth="1"/>
    <col min="4257" max="4257" width="10" style="922" bestFit="1" customWidth="1"/>
    <col min="4258" max="4258" width="9.75" style="922" customWidth="1"/>
    <col min="4259" max="4261" width="9.75" style="922" bestFit="1" customWidth="1"/>
    <col min="4262" max="4265" width="9.75" style="922" customWidth="1"/>
    <col min="4266" max="4267" width="10.5" style="922" customWidth="1"/>
    <col min="4268" max="4268" width="11.125" style="922" bestFit="1" customWidth="1"/>
    <col min="4269" max="4275" width="9" style="922"/>
    <col min="4276" max="4278" width="10.125" style="922" customWidth="1"/>
    <col min="4279" max="4282" width="9" style="922" customWidth="1"/>
    <col min="4283" max="4365" width="9" style="922"/>
    <col min="4366" max="4366" width="20.75" style="922" bestFit="1" customWidth="1"/>
    <col min="4367" max="4486" width="8.125" style="922" bestFit="1" customWidth="1"/>
    <col min="4487" max="4487" width="9" style="922" bestFit="1" customWidth="1"/>
    <col min="4488" max="4500" width="8.125" style="922" bestFit="1" customWidth="1"/>
    <col min="4501" max="4503" width="8.125" style="922" customWidth="1"/>
    <col min="4504" max="4504" width="9.625" style="922" bestFit="1" customWidth="1"/>
    <col min="4505" max="4505" width="8.75" style="922" bestFit="1" customWidth="1"/>
    <col min="4506" max="4512" width="8.75" style="922" customWidth="1"/>
    <col min="4513" max="4513" width="10" style="922" bestFit="1" customWidth="1"/>
    <col min="4514" max="4514" width="9.75" style="922" customWidth="1"/>
    <col min="4515" max="4517" width="9.75" style="922" bestFit="1" customWidth="1"/>
    <col min="4518" max="4521" width="9.75" style="922" customWidth="1"/>
    <col min="4522" max="4523" width="10.5" style="922" customWidth="1"/>
    <col min="4524" max="4524" width="11.125" style="922" bestFit="1" customWidth="1"/>
    <col min="4525" max="4531" width="9" style="922"/>
    <col min="4532" max="4534" width="10.125" style="922" customWidth="1"/>
    <col min="4535" max="4538" width="9" style="922" customWidth="1"/>
    <col min="4539" max="4621" width="9" style="922"/>
    <col min="4622" max="4622" width="20.75" style="922" bestFit="1" customWidth="1"/>
    <col min="4623" max="4742" width="8.125" style="922" bestFit="1" customWidth="1"/>
    <col min="4743" max="4743" width="9" style="922" bestFit="1" customWidth="1"/>
    <col min="4744" max="4756" width="8.125" style="922" bestFit="1" customWidth="1"/>
    <col min="4757" max="4759" width="8.125" style="922" customWidth="1"/>
    <col min="4760" max="4760" width="9.625" style="922" bestFit="1" customWidth="1"/>
    <col min="4761" max="4761" width="8.75" style="922" bestFit="1" customWidth="1"/>
    <col min="4762" max="4768" width="8.75" style="922" customWidth="1"/>
    <col min="4769" max="4769" width="10" style="922" bestFit="1" customWidth="1"/>
    <col min="4770" max="4770" width="9.75" style="922" customWidth="1"/>
    <col min="4771" max="4773" width="9.75" style="922" bestFit="1" customWidth="1"/>
    <col min="4774" max="4777" width="9.75" style="922" customWidth="1"/>
    <col min="4778" max="4779" width="10.5" style="922" customWidth="1"/>
    <col min="4780" max="4780" width="11.125" style="922" bestFit="1" customWidth="1"/>
    <col min="4781" max="4787" width="9" style="922"/>
    <col min="4788" max="4790" width="10.125" style="922" customWidth="1"/>
    <col min="4791" max="4794" width="9" style="922" customWidth="1"/>
    <col min="4795" max="4877" width="9" style="922"/>
    <col min="4878" max="4878" width="20.75" style="922" bestFit="1" customWidth="1"/>
    <col min="4879" max="4998" width="8.125" style="922" bestFit="1" customWidth="1"/>
    <col min="4999" max="4999" width="9" style="922" bestFit="1" customWidth="1"/>
    <col min="5000" max="5012" width="8.125" style="922" bestFit="1" customWidth="1"/>
    <col min="5013" max="5015" width="8.125" style="922" customWidth="1"/>
    <col min="5016" max="5016" width="9.625" style="922" bestFit="1" customWidth="1"/>
    <col min="5017" max="5017" width="8.75" style="922" bestFit="1" customWidth="1"/>
    <col min="5018" max="5024" width="8.75" style="922" customWidth="1"/>
    <col min="5025" max="5025" width="10" style="922" bestFit="1" customWidth="1"/>
    <col min="5026" max="5026" width="9.75" style="922" customWidth="1"/>
    <col min="5027" max="5029" width="9.75" style="922" bestFit="1" customWidth="1"/>
    <col min="5030" max="5033" width="9.75" style="922" customWidth="1"/>
    <col min="5034" max="5035" width="10.5" style="922" customWidth="1"/>
    <col min="5036" max="5036" width="11.125" style="922" bestFit="1" customWidth="1"/>
    <col min="5037" max="5043" width="9" style="922"/>
    <col min="5044" max="5046" width="10.125" style="922" customWidth="1"/>
    <col min="5047" max="5050" width="9" style="922" customWidth="1"/>
    <col min="5051" max="5133" width="9" style="922"/>
    <col min="5134" max="5134" width="20.75" style="922" bestFit="1" customWidth="1"/>
    <col min="5135" max="5254" width="8.125" style="922" bestFit="1" customWidth="1"/>
    <col min="5255" max="5255" width="9" style="922" bestFit="1" customWidth="1"/>
    <col min="5256" max="5268" width="8.125" style="922" bestFit="1" customWidth="1"/>
    <col min="5269" max="5271" width="8.125" style="922" customWidth="1"/>
    <col min="5272" max="5272" width="9.625" style="922" bestFit="1" customWidth="1"/>
    <col min="5273" max="5273" width="8.75" style="922" bestFit="1" customWidth="1"/>
    <col min="5274" max="5280" width="8.75" style="922" customWidth="1"/>
    <col min="5281" max="5281" width="10" style="922" bestFit="1" customWidth="1"/>
    <col min="5282" max="5282" width="9.75" style="922" customWidth="1"/>
    <col min="5283" max="5285" width="9.75" style="922" bestFit="1" customWidth="1"/>
    <col min="5286" max="5289" width="9.75" style="922" customWidth="1"/>
    <col min="5290" max="5291" width="10.5" style="922" customWidth="1"/>
    <col min="5292" max="5292" width="11.125" style="922" bestFit="1" customWidth="1"/>
    <col min="5293" max="5299" width="9" style="922"/>
    <col min="5300" max="5302" width="10.125" style="922" customWidth="1"/>
    <col min="5303" max="5306" width="9" style="922" customWidth="1"/>
    <col min="5307" max="5389" width="9" style="922"/>
    <col min="5390" max="5390" width="20.75" style="922" bestFit="1" customWidth="1"/>
    <col min="5391" max="5510" width="8.125" style="922" bestFit="1" customWidth="1"/>
    <col min="5511" max="5511" width="9" style="922" bestFit="1" customWidth="1"/>
    <col min="5512" max="5524" width="8.125" style="922" bestFit="1" customWidth="1"/>
    <col min="5525" max="5527" width="8.125" style="922" customWidth="1"/>
    <col min="5528" max="5528" width="9.625" style="922" bestFit="1" customWidth="1"/>
    <col min="5529" max="5529" width="8.75" style="922" bestFit="1" customWidth="1"/>
    <col min="5530" max="5536" width="8.75" style="922" customWidth="1"/>
    <col min="5537" max="5537" width="10" style="922" bestFit="1" customWidth="1"/>
    <col min="5538" max="5538" width="9.75" style="922" customWidth="1"/>
    <col min="5539" max="5541" width="9.75" style="922" bestFit="1" customWidth="1"/>
    <col min="5542" max="5545" width="9.75" style="922" customWidth="1"/>
    <col min="5546" max="5547" width="10.5" style="922" customWidth="1"/>
    <col min="5548" max="5548" width="11.125" style="922" bestFit="1" customWidth="1"/>
    <col min="5549" max="5555" width="9" style="922"/>
    <col min="5556" max="5558" width="10.125" style="922" customWidth="1"/>
    <col min="5559" max="5562" width="9" style="922" customWidth="1"/>
    <col min="5563" max="5645" width="9" style="922"/>
    <col min="5646" max="5646" width="20.75" style="922" bestFit="1" customWidth="1"/>
    <col min="5647" max="5766" width="8.125" style="922" bestFit="1" customWidth="1"/>
    <col min="5767" max="5767" width="9" style="922" bestFit="1" customWidth="1"/>
    <col min="5768" max="5780" width="8.125" style="922" bestFit="1" customWidth="1"/>
    <col min="5781" max="5783" width="8.125" style="922" customWidth="1"/>
    <col min="5784" max="5784" width="9.625" style="922" bestFit="1" customWidth="1"/>
    <col min="5785" max="5785" width="8.75" style="922" bestFit="1" customWidth="1"/>
    <col min="5786" max="5792" width="8.75" style="922" customWidth="1"/>
    <col min="5793" max="5793" width="10" style="922" bestFit="1" customWidth="1"/>
    <col min="5794" max="5794" width="9.75" style="922" customWidth="1"/>
    <col min="5795" max="5797" width="9.75" style="922" bestFit="1" customWidth="1"/>
    <col min="5798" max="5801" width="9.75" style="922" customWidth="1"/>
    <col min="5802" max="5803" width="10.5" style="922" customWidth="1"/>
    <col min="5804" max="5804" width="11.125" style="922" bestFit="1" customWidth="1"/>
    <col min="5805" max="5811" width="9" style="922"/>
    <col min="5812" max="5814" width="10.125" style="922" customWidth="1"/>
    <col min="5815" max="5818" width="9" style="922" customWidth="1"/>
    <col min="5819" max="5901" width="9" style="922"/>
    <col min="5902" max="5902" width="20.75" style="922" bestFit="1" customWidth="1"/>
    <col min="5903" max="6022" width="8.125" style="922" bestFit="1" customWidth="1"/>
    <col min="6023" max="6023" width="9" style="922" bestFit="1" customWidth="1"/>
    <col min="6024" max="6036" width="8.125" style="922" bestFit="1" customWidth="1"/>
    <col min="6037" max="6039" width="8.125" style="922" customWidth="1"/>
    <col min="6040" max="6040" width="9.625" style="922" bestFit="1" customWidth="1"/>
    <col min="6041" max="6041" width="8.75" style="922" bestFit="1" customWidth="1"/>
    <col min="6042" max="6048" width="8.75" style="922" customWidth="1"/>
    <col min="6049" max="6049" width="10" style="922" bestFit="1" customWidth="1"/>
    <col min="6050" max="6050" width="9.75" style="922" customWidth="1"/>
    <col min="6051" max="6053" width="9.75" style="922" bestFit="1" customWidth="1"/>
    <col min="6054" max="6057" width="9.75" style="922" customWidth="1"/>
    <col min="6058" max="6059" width="10.5" style="922" customWidth="1"/>
    <col min="6060" max="6060" width="11.125" style="922" bestFit="1" customWidth="1"/>
    <col min="6061" max="6067" width="9" style="922"/>
    <col min="6068" max="6070" width="10.125" style="922" customWidth="1"/>
    <col min="6071" max="6074" width="9" style="922" customWidth="1"/>
    <col min="6075" max="6157" width="9" style="922"/>
    <col min="6158" max="6158" width="20.75" style="922" bestFit="1" customWidth="1"/>
    <col min="6159" max="6278" width="8.125" style="922" bestFit="1" customWidth="1"/>
    <col min="6279" max="6279" width="9" style="922" bestFit="1" customWidth="1"/>
    <col min="6280" max="6292" width="8.125" style="922" bestFit="1" customWidth="1"/>
    <col min="6293" max="6295" width="8.125" style="922" customWidth="1"/>
    <col min="6296" max="6296" width="9.625" style="922" bestFit="1" customWidth="1"/>
    <col min="6297" max="6297" width="8.75" style="922" bestFit="1" customWidth="1"/>
    <col min="6298" max="6304" width="8.75" style="922" customWidth="1"/>
    <col min="6305" max="6305" width="10" style="922" bestFit="1" customWidth="1"/>
    <col min="6306" max="6306" width="9.75" style="922" customWidth="1"/>
    <col min="6307" max="6309" width="9.75" style="922" bestFit="1" customWidth="1"/>
    <col min="6310" max="6313" width="9.75" style="922" customWidth="1"/>
    <col min="6314" max="6315" width="10.5" style="922" customWidth="1"/>
    <col min="6316" max="6316" width="11.125" style="922" bestFit="1" customWidth="1"/>
    <col min="6317" max="6323" width="9" style="922"/>
    <col min="6324" max="6326" width="10.125" style="922" customWidth="1"/>
    <col min="6327" max="6330" width="9" style="922" customWidth="1"/>
    <col min="6331" max="6413" width="9" style="922"/>
    <col min="6414" max="6414" width="20.75" style="922" bestFit="1" customWidth="1"/>
    <col min="6415" max="6534" width="8.125" style="922" bestFit="1" customWidth="1"/>
    <col min="6535" max="6535" width="9" style="922" bestFit="1" customWidth="1"/>
    <col min="6536" max="6548" width="8.125" style="922" bestFit="1" customWidth="1"/>
    <col min="6549" max="6551" width="8.125" style="922" customWidth="1"/>
    <col min="6552" max="6552" width="9.625" style="922" bestFit="1" customWidth="1"/>
    <col min="6553" max="6553" width="8.75" style="922" bestFit="1" customWidth="1"/>
    <col min="6554" max="6560" width="8.75" style="922" customWidth="1"/>
    <col min="6561" max="6561" width="10" style="922" bestFit="1" customWidth="1"/>
    <col min="6562" max="6562" width="9.75" style="922" customWidth="1"/>
    <col min="6563" max="6565" width="9.75" style="922" bestFit="1" customWidth="1"/>
    <col min="6566" max="6569" width="9.75" style="922" customWidth="1"/>
    <col min="6570" max="6571" width="10.5" style="922" customWidth="1"/>
    <col min="6572" max="6572" width="11.125" style="922" bestFit="1" customWidth="1"/>
    <col min="6573" max="6579" width="9" style="922"/>
    <col min="6580" max="6582" width="10.125" style="922" customWidth="1"/>
    <col min="6583" max="6586" width="9" style="922" customWidth="1"/>
    <col min="6587" max="6669" width="9" style="922"/>
    <col min="6670" max="6670" width="20.75" style="922" bestFit="1" customWidth="1"/>
    <col min="6671" max="6790" width="8.125" style="922" bestFit="1" customWidth="1"/>
    <col min="6791" max="6791" width="9" style="922" bestFit="1" customWidth="1"/>
    <col min="6792" max="6804" width="8.125" style="922" bestFit="1" customWidth="1"/>
    <col min="6805" max="6807" width="8.125" style="922" customWidth="1"/>
    <col min="6808" max="6808" width="9.625" style="922" bestFit="1" customWidth="1"/>
    <col min="6809" max="6809" width="8.75" style="922" bestFit="1" customWidth="1"/>
    <col min="6810" max="6816" width="8.75" style="922" customWidth="1"/>
    <col min="6817" max="6817" width="10" style="922" bestFit="1" customWidth="1"/>
    <col min="6818" max="6818" width="9.75" style="922" customWidth="1"/>
    <col min="6819" max="6821" width="9.75" style="922" bestFit="1" customWidth="1"/>
    <col min="6822" max="6825" width="9.75" style="922" customWidth="1"/>
    <col min="6826" max="6827" width="10.5" style="922" customWidth="1"/>
    <col min="6828" max="6828" width="11.125" style="922" bestFit="1" customWidth="1"/>
    <col min="6829" max="6835" width="9" style="922"/>
    <col min="6836" max="6838" width="10.125" style="922" customWidth="1"/>
    <col min="6839" max="6842" width="9" style="922" customWidth="1"/>
    <col min="6843" max="6925" width="9" style="922"/>
    <col min="6926" max="6926" width="20.75" style="922" bestFit="1" customWidth="1"/>
    <col min="6927" max="7046" width="8.125" style="922" bestFit="1" customWidth="1"/>
    <col min="7047" max="7047" width="9" style="922" bestFit="1" customWidth="1"/>
    <col min="7048" max="7060" width="8.125" style="922" bestFit="1" customWidth="1"/>
    <col min="7061" max="7063" width="8.125" style="922" customWidth="1"/>
    <col min="7064" max="7064" width="9.625" style="922" bestFit="1" customWidth="1"/>
    <col min="7065" max="7065" width="8.75" style="922" bestFit="1" customWidth="1"/>
    <col min="7066" max="7072" width="8.75" style="922" customWidth="1"/>
    <col min="7073" max="7073" width="10" style="922" bestFit="1" customWidth="1"/>
    <col min="7074" max="7074" width="9.75" style="922" customWidth="1"/>
    <col min="7075" max="7077" width="9.75" style="922" bestFit="1" customWidth="1"/>
    <col min="7078" max="7081" width="9.75" style="922" customWidth="1"/>
    <col min="7082" max="7083" width="10.5" style="922" customWidth="1"/>
    <col min="7084" max="7084" width="11.125" style="922" bestFit="1" customWidth="1"/>
    <col min="7085" max="7091" width="9" style="922"/>
    <col min="7092" max="7094" width="10.125" style="922" customWidth="1"/>
    <col min="7095" max="7098" width="9" style="922" customWidth="1"/>
    <col min="7099" max="7181" width="9" style="922"/>
    <col min="7182" max="7182" width="20.75" style="922" bestFit="1" customWidth="1"/>
    <col min="7183" max="7302" width="8.125" style="922" bestFit="1" customWidth="1"/>
    <col min="7303" max="7303" width="9" style="922" bestFit="1" customWidth="1"/>
    <col min="7304" max="7316" width="8.125" style="922" bestFit="1" customWidth="1"/>
    <col min="7317" max="7319" width="8.125" style="922" customWidth="1"/>
    <col min="7320" max="7320" width="9.625" style="922" bestFit="1" customWidth="1"/>
    <col min="7321" max="7321" width="8.75" style="922" bestFit="1" customWidth="1"/>
    <col min="7322" max="7328" width="8.75" style="922" customWidth="1"/>
    <col min="7329" max="7329" width="10" style="922" bestFit="1" customWidth="1"/>
    <col min="7330" max="7330" width="9.75" style="922" customWidth="1"/>
    <col min="7331" max="7333" width="9.75" style="922" bestFit="1" customWidth="1"/>
    <col min="7334" max="7337" width="9.75" style="922" customWidth="1"/>
    <col min="7338" max="7339" width="10.5" style="922" customWidth="1"/>
    <col min="7340" max="7340" width="11.125" style="922" bestFit="1" customWidth="1"/>
    <col min="7341" max="7347" width="9" style="922"/>
    <col min="7348" max="7350" width="10.125" style="922" customWidth="1"/>
    <col min="7351" max="7354" width="9" style="922" customWidth="1"/>
    <col min="7355" max="7437" width="9" style="922"/>
    <col min="7438" max="7438" width="20.75" style="922" bestFit="1" customWidth="1"/>
    <col min="7439" max="7558" width="8.125" style="922" bestFit="1" customWidth="1"/>
    <col min="7559" max="7559" width="9" style="922" bestFit="1" customWidth="1"/>
    <col min="7560" max="7572" width="8.125" style="922" bestFit="1" customWidth="1"/>
    <col min="7573" max="7575" width="8.125" style="922" customWidth="1"/>
    <col min="7576" max="7576" width="9.625" style="922" bestFit="1" customWidth="1"/>
    <col min="7577" max="7577" width="8.75" style="922" bestFit="1" customWidth="1"/>
    <col min="7578" max="7584" width="8.75" style="922" customWidth="1"/>
    <col min="7585" max="7585" width="10" style="922" bestFit="1" customWidth="1"/>
    <col min="7586" max="7586" width="9.75" style="922" customWidth="1"/>
    <col min="7587" max="7589" width="9.75" style="922" bestFit="1" customWidth="1"/>
    <col min="7590" max="7593" width="9.75" style="922" customWidth="1"/>
    <col min="7594" max="7595" width="10.5" style="922" customWidth="1"/>
    <col min="7596" max="7596" width="11.125" style="922" bestFit="1" customWidth="1"/>
    <col min="7597" max="7603" width="9" style="922"/>
    <col min="7604" max="7606" width="10.125" style="922" customWidth="1"/>
    <col min="7607" max="7610" width="9" style="922" customWidth="1"/>
    <col min="7611" max="7693" width="9" style="922"/>
    <col min="7694" max="7694" width="20.75" style="922" bestFit="1" customWidth="1"/>
    <col min="7695" max="7814" width="8.125" style="922" bestFit="1" customWidth="1"/>
    <col min="7815" max="7815" width="9" style="922" bestFit="1" customWidth="1"/>
    <col min="7816" max="7828" width="8.125" style="922" bestFit="1" customWidth="1"/>
    <col min="7829" max="7831" width="8.125" style="922" customWidth="1"/>
    <col min="7832" max="7832" width="9.625" style="922" bestFit="1" customWidth="1"/>
    <col min="7833" max="7833" width="8.75" style="922" bestFit="1" customWidth="1"/>
    <col min="7834" max="7840" width="8.75" style="922" customWidth="1"/>
    <col min="7841" max="7841" width="10" style="922" bestFit="1" customWidth="1"/>
    <col min="7842" max="7842" width="9.75" style="922" customWidth="1"/>
    <col min="7843" max="7845" width="9.75" style="922" bestFit="1" customWidth="1"/>
    <col min="7846" max="7849" width="9.75" style="922" customWidth="1"/>
    <col min="7850" max="7851" width="10.5" style="922" customWidth="1"/>
    <col min="7852" max="7852" width="11.125" style="922" bestFit="1" customWidth="1"/>
    <col min="7853" max="7859" width="9" style="922"/>
    <col min="7860" max="7862" width="10.125" style="922" customWidth="1"/>
    <col min="7863" max="7866" width="9" style="922" customWidth="1"/>
    <col min="7867" max="7949" width="9" style="922"/>
    <col min="7950" max="7950" width="20.75" style="922" bestFit="1" customWidth="1"/>
    <col min="7951" max="8070" width="8.125" style="922" bestFit="1" customWidth="1"/>
    <col min="8071" max="8071" width="9" style="922" bestFit="1" customWidth="1"/>
    <col min="8072" max="8084" width="8.125" style="922" bestFit="1" customWidth="1"/>
    <col min="8085" max="8087" width="8.125" style="922" customWidth="1"/>
    <col min="8088" max="8088" width="9.625" style="922" bestFit="1" customWidth="1"/>
    <col min="8089" max="8089" width="8.75" style="922" bestFit="1" customWidth="1"/>
    <col min="8090" max="8096" width="8.75" style="922" customWidth="1"/>
    <col min="8097" max="8097" width="10" style="922" bestFit="1" customWidth="1"/>
    <col min="8098" max="8098" width="9.75" style="922" customWidth="1"/>
    <col min="8099" max="8101" width="9.75" style="922" bestFit="1" customWidth="1"/>
    <col min="8102" max="8105" width="9.75" style="922" customWidth="1"/>
    <col min="8106" max="8107" width="10.5" style="922" customWidth="1"/>
    <col min="8108" max="8108" width="11.125" style="922" bestFit="1" customWidth="1"/>
    <col min="8109" max="8115" width="9" style="922"/>
    <col min="8116" max="8118" width="10.125" style="922" customWidth="1"/>
    <col min="8119" max="8122" width="9" style="922" customWidth="1"/>
    <col min="8123" max="8205" width="9" style="922"/>
    <col min="8206" max="8206" width="20.75" style="922" bestFit="1" customWidth="1"/>
    <col min="8207" max="8326" width="8.125" style="922" bestFit="1" customWidth="1"/>
    <col min="8327" max="8327" width="9" style="922" bestFit="1" customWidth="1"/>
    <col min="8328" max="8340" width="8.125" style="922" bestFit="1" customWidth="1"/>
    <col min="8341" max="8343" width="8.125" style="922" customWidth="1"/>
    <col min="8344" max="8344" width="9.625" style="922" bestFit="1" customWidth="1"/>
    <col min="8345" max="8345" width="8.75" style="922" bestFit="1" customWidth="1"/>
    <col min="8346" max="8352" width="8.75" style="922" customWidth="1"/>
    <col min="8353" max="8353" width="10" style="922" bestFit="1" customWidth="1"/>
    <col min="8354" max="8354" width="9.75" style="922" customWidth="1"/>
    <col min="8355" max="8357" width="9.75" style="922" bestFit="1" customWidth="1"/>
    <col min="8358" max="8361" width="9.75" style="922" customWidth="1"/>
    <col min="8362" max="8363" width="10.5" style="922" customWidth="1"/>
    <col min="8364" max="8364" width="11.125" style="922" bestFit="1" customWidth="1"/>
    <col min="8365" max="8371" width="9" style="922"/>
    <col min="8372" max="8374" width="10.125" style="922" customWidth="1"/>
    <col min="8375" max="8378" width="9" style="922" customWidth="1"/>
    <col min="8379" max="8461" width="9" style="922"/>
    <col min="8462" max="8462" width="20.75" style="922" bestFit="1" customWidth="1"/>
    <col min="8463" max="8582" width="8.125" style="922" bestFit="1" customWidth="1"/>
    <col min="8583" max="8583" width="9" style="922" bestFit="1" customWidth="1"/>
    <col min="8584" max="8596" width="8.125" style="922" bestFit="1" customWidth="1"/>
    <col min="8597" max="8599" width="8.125" style="922" customWidth="1"/>
    <col min="8600" max="8600" width="9.625" style="922" bestFit="1" customWidth="1"/>
    <col min="8601" max="8601" width="8.75" style="922" bestFit="1" customWidth="1"/>
    <col min="8602" max="8608" width="8.75" style="922" customWidth="1"/>
    <col min="8609" max="8609" width="10" style="922" bestFit="1" customWidth="1"/>
    <col min="8610" max="8610" width="9.75" style="922" customWidth="1"/>
    <col min="8611" max="8613" width="9.75" style="922" bestFit="1" customWidth="1"/>
    <col min="8614" max="8617" width="9.75" style="922" customWidth="1"/>
    <col min="8618" max="8619" width="10.5" style="922" customWidth="1"/>
    <col min="8620" max="8620" width="11.125" style="922" bestFit="1" customWidth="1"/>
    <col min="8621" max="8627" width="9" style="922"/>
    <col min="8628" max="8630" width="10.125" style="922" customWidth="1"/>
    <col min="8631" max="8634" width="9" style="922" customWidth="1"/>
    <col min="8635" max="8717" width="9" style="922"/>
    <col min="8718" max="8718" width="20.75" style="922" bestFit="1" customWidth="1"/>
    <col min="8719" max="8838" width="8.125" style="922" bestFit="1" customWidth="1"/>
    <col min="8839" max="8839" width="9" style="922" bestFit="1" customWidth="1"/>
    <col min="8840" max="8852" width="8.125" style="922" bestFit="1" customWidth="1"/>
    <col min="8853" max="8855" width="8.125" style="922" customWidth="1"/>
    <col min="8856" max="8856" width="9.625" style="922" bestFit="1" customWidth="1"/>
    <col min="8857" max="8857" width="8.75" style="922" bestFit="1" customWidth="1"/>
    <col min="8858" max="8864" width="8.75" style="922" customWidth="1"/>
    <col min="8865" max="8865" width="10" style="922" bestFit="1" customWidth="1"/>
    <col min="8866" max="8866" width="9.75" style="922" customWidth="1"/>
    <col min="8867" max="8869" width="9.75" style="922" bestFit="1" customWidth="1"/>
    <col min="8870" max="8873" width="9.75" style="922" customWidth="1"/>
    <col min="8874" max="8875" width="10.5" style="922" customWidth="1"/>
    <col min="8876" max="8876" width="11.125" style="922" bestFit="1" customWidth="1"/>
    <col min="8877" max="8883" width="9" style="922"/>
    <col min="8884" max="8886" width="10.125" style="922" customWidth="1"/>
    <col min="8887" max="8890" width="9" style="922" customWidth="1"/>
    <col min="8891" max="8973" width="9" style="922"/>
    <col min="8974" max="8974" width="20.75" style="922" bestFit="1" customWidth="1"/>
    <col min="8975" max="9094" width="8.125" style="922" bestFit="1" customWidth="1"/>
    <col min="9095" max="9095" width="9" style="922" bestFit="1" customWidth="1"/>
    <col min="9096" max="9108" width="8.125" style="922" bestFit="1" customWidth="1"/>
    <col min="9109" max="9111" width="8.125" style="922" customWidth="1"/>
    <col min="9112" max="9112" width="9.625" style="922" bestFit="1" customWidth="1"/>
    <col min="9113" max="9113" width="8.75" style="922" bestFit="1" customWidth="1"/>
    <col min="9114" max="9120" width="8.75" style="922" customWidth="1"/>
    <col min="9121" max="9121" width="10" style="922" bestFit="1" customWidth="1"/>
    <col min="9122" max="9122" width="9.75" style="922" customWidth="1"/>
    <col min="9123" max="9125" width="9.75" style="922" bestFit="1" customWidth="1"/>
    <col min="9126" max="9129" width="9.75" style="922" customWidth="1"/>
    <col min="9130" max="9131" width="10.5" style="922" customWidth="1"/>
    <col min="9132" max="9132" width="11.125" style="922" bestFit="1" customWidth="1"/>
    <col min="9133" max="9139" width="9" style="922"/>
    <col min="9140" max="9142" width="10.125" style="922" customWidth="1"/>
    <col min="9143" max="9146" width="9" style="922" customWidth="1"/>
    <col min="9147" max="9229" width="9" style="922"/>
    <col min="9230" max="9230" width="20.75" style="922" bestFit="1" customWidth="1"/>
    <col min="9231" max="9350" width="8.125" style="922" bestFit="1" customWidth="1"/>
    <col min="9351" max="9351" width="9" style="922" bestFit="1" customWidth="1"/>
    <col min="9352" max="9364" width="8.125" style="922" bestFit="1" customWidth="1"/>
    <col min="9365" max="9367" width="8.125" style="922" customWidth="1"/>
    <col min="9368" max="9368" width="9.625" style="922" bestFit="1" customWidth="1"/>
    <col min="9369" max="9369" width="8.75" style="922" bestFit="1" customWidth="1"/>
    <col min="9370" max="9376" width="8.75" style="922" customWidth="1"/>
    <col min="9377" max="9377" width="10" style="922" bestFit="1" customWidth="1"/>
    <col min="9378" max="9378" width="9.75" style="922" customWidth="1"/>
    <col min="9379" max="9381" width="9.75" style="922" bestFit="1" customWidth="1"/>
    <col min="9382" max="9385" width="9.75" style="922" customWidth="1"/>
    <col min="9386" max="9387" width="10.5" style="922" customWidth="1"/>
    <col min="9388" max="9388" width="11.125" style="922" bestFit="1" customWidth="1"/>
    <col min="9389" max="9395" width="9" style="922"/>
    <col min="9396" max="9398" width="10.125" style="922" customWidth="1"/>
    <col min="9399" max="9402" width="9" style="922" customWidth="1"/>
    <col min="9403" max="9485" width="9" style="922"/>
    <col min="9486" max="9486" width="20.75" style="922" bestFit="1" customWidth="1"/>
    <col min="9487" max="9606" width="8.125" style="922" bestFit="1" customWidth="1"/>
    <col min="9607" max="9607" width="9" style="922" bestFit="1" customWidth="1"/>
    <col min="9608" max="9620" width="8.125" style="922" bestFit="1" customWidth="1"/>
    <col min="9621" max="9623" width="8.125" style="922" customWidth="1"/>
    <col min="9624" max="9624" width="9.625" style="922" bestFit="1" customWidth="1"/>
    <col min="9625" max="9625" width="8.75" style="922" bestFit="1" customWidth="1"/>
    <col min="9626" max="9632" width="8.75" style="922" customWidth="1"/>
    <col min="9633" max="9633" width="10" style="922" bestFit="1" customWidth="1"/>
    <col min="9634" max="9634" width="9.75" style="922" customWidth="1"/>
    <col min="9635" max="9637" width="9.75" style="922" bestFit="1" customWidth="1"/>
    <col min="9638" max="9641" width="9.75" style="922" customWidth="1"/>
    <col min="9642" max="9643" width="10.5" style="922" customWidth="1"/>
    <col min="9644" max="9644" width="11.125" style="922" bestFit="1" customWidth="1"/>
    <col min="9645" max="9651" width="9" style="922"/>
    <col min="9652" max="9654" width="10.125" style="922" customWidth="1"/>
    <col min="9655" max="9658" width="9" style="922" customWidth="1"/>
    <col min="9659" max="9741" width="9" style="922"/>
    <col min="9742" max="9742" width="20.75" style="922" bestFit="1" customWidth="1"/>
    <col min="9743" max="9862" width="8.125" style="922" bestFit="1" customWidth="1"/>
    <col min="9863" max="9863" width="9" style="922" bestFit="1" customWidth="1"/>
    <col min="9864" max="9876" width="8.125" style="922" bestFit="1" customWidth="1"/>
    <col min="9877" max="9879" width="8.125" style="922" customWidth="1"/>
    <col min="9880" max="9880" width="9.625" style="922" bestFit="1" customWidth="1"/>
    <col min="9881" max="9881" width="8.75" style="922" bestFit="1" customWidth="1"/>
    <col min="9882" max="9888" width="8.75" style="922" customWidth="1"/>
    <col min="9889" max="9889" width="10" style="922" bestFit="1" customWidth="1"/>
    <col min="9890" max="9890" width="9.75" style="922" customWidth="1"/>
    <col min="9891" max="9893" width="9.75" style="922" bestFit="1" customWidth="1"/>
    <col min="9894" max="9897" width="9.75" style="922" customWidth="1"/>
    <col min="9898" max="9899" width="10.5" style="922" customWidth="1"/>
    <col min="9900" max="9900" width="11.125" style="922" bestFit="1" customWidth="1"/>
    <col min="9901" max="9907" width="9" style="922"/>
    <col min="9908" max="9910" width="10.125" style="922" customWidth="1"/>
    <col min="9911" max="9914" width="9" style="922" customWidth="1"/>
    <col min="9915" max="9997" width="9" style="922"/>
    <col min="9998" max="9998" width="20.75" style="922" bestFit="1" customWidth="1"/>
    <col min="9999" max="10118" width="8.125" style="922" bestFit="1" customWidth="1"/>
    <col min="10119" max="10119" width="9" style="922" bestFit="1" customWidth="1"/>
    <col min="10120" max="10132" width="8.125" style="922" bestFit="1" customWidth="1"/>
    <col min="10133" max="10135" width="8.125" style="922" customWidth="1"/>
    <col min="10136" max="10136" width="9.625" style="922" bestFit="1" customWidth="1"/>
    <col min="10137" max="10137" width="8.75" style="922" bestFit="1" customWidth="1"/>
    <col min="10138" max="10144" width="8.75" style="922" customWidth="1"/>
    <col min="10145" max="10145" width="10" style="922" bestFit="1" customWidth="1"/>
    <col min="10146" max="10146" width="9.75" style="922" customWidth="1"/>
    <col min="10147" max="10149" width="9.75" style="922" bestFit="1" customWidth="1"/>
    <col min="10150" max="10153" width="9.75" style="922" customWidth="1"/>
    <col min="10154" max="10155" width="10.5" style="922" customWidth="1"/>
    <col min="10156" max="10156" width="11.125" style="922" bestFit="1" customWidth="1"/>
    <col min="10157" max="10163" width="9" style="922"/>
    <col min="10164" max="10166" width="10.125" style="922" customWidth="1"/>
    <col min="10167" max="10170" width="9" style="922" customWidth="1"/>
    <col min="10171" max="10253" width="9" style="922"/>
    <col min="10254" max="10254" width="20.75" style="922" bestFit="1" customWidth="1"/>
    <col min="10255" max="10374" width="8.125" style="922" bestFit="1" customWidth="1"/>
    <col min="10375" max="10375" width="9" style="922" bestFit="1" customWidth="1"/>
    <col min="10376" max="10388" width="8.125" style="922" bestFit="1" customWidth="1"/>
    <col min="10389" max="10391" width="8.125" style="922" customWidth="1"/>
    <col min="10392" max="10392" width="9.625" style="922" bestFit="1" customWidth="1"/>
    <col min="10393" max="10393" width="8.75" style="922" bestFit="1" customWidth="1"/>
    <col min="10394" max="10400" width="8.75" style="922" customWidth="1"/>
    <col min="10401" max="10401" width="10" style="922" bestFit="1" customWidth="1"/>
    <col min="10402" max="10402" width="9.75" style="922" customWidth="1"/>
    <col min="10403" max="10405" width="9.75" style="922" bestFit="1" customWidth="1"/>
    <col min="10406" max="10409" width="9.75" style="922" customWidth="1"/>
    <col min="10410" max="10411" width="10.5" style="922" customWidth="1"/>
    <col min="10412" max="10412" width="11.125" style="922" bestFit="1" customWidth="1"/>
    <col min="10413" max="10419" width="9" style="922"/>
    <col min="10420" max="10422" width="10.125" style="922" customWidth="1"/>
    <col min="10423" max="10426" width="9" style="922" customWidth="1"/>
    <col min="10427" max="10509" width="9" style="922"/>
    <col min="10510" max="10510" width="20.75" style="922" bestFit="1" customWidth="1"/>
    <col min="10511" max="10630" width="8.125" style="922" bestFit="1" customWidth="1"/>
    <col min="10631" max="10631" width="9" style="922" bestFit="1" customWidth="1"/>
    <col min="10632" max="10644" width="8.125" style="922" bestFit="1" customWidth="1"/>
    <col min="10645" max="10647" width="8.125" style="922" customWidth="1"/>
    <col min="10648" max="10648" width="9.625" style="922" bestFit="1" customWidth="1"/>
    <col min="10649" max="10649" width="8.75" style="922" bestFit="1" customWidth="1"/>
    <col min="10650" max="10656" width="8.75" style="922" customWidth="1"/>
    <col min="10657" max="10657" width="10" style="922" bestFit="1" customWidth="1"/>
    <col min="10658" max="10658" width="9.75" style="922" customWidth="1"/>
    <col min="10659" max="10661" width="9.75" style="922" bestFit="1" customWidth="1"/>
    <col min="10662" max="10665" width="9.75" style="922" customWidth="1"/>
    <col min="10666" max="10667" width="10.5" style="922" customWidth="1"/>
    <col min="10668" max="10668" width="11.125" style="922" bestFit="1" customWidth="1"/>
    <col min="10669" max="10675" width="9" style="922"/>
    <col min="10676" max="10678" width="10.125" style="922" customWidth="1"/>
    <col min="10679" max="10682" width="9" style="922" customWidth="1"/>
    <col min="10683" max="10765" width="9" style="922"/>
    <col min="10766" max="10766" width="20.75" style="922" bestFit="1" customWidth="1"/>
    <col min="10767" max="10886" width="8.125" style="922" bestFit="1" customWidth="1"/>
    <col min="10887" max="10887" width="9" style="922" bestFit="1" customWidth="1"/>
    <col min="10888" max="10900" width="8.125" style="922" bestFit="1" customWidth="1"/>
    <col min="10901" max="10903" width="8.125" style="922" customWidth="1"/>
    <col min="10904" max="10904" width="9.625" style="922" bestFit="1" customWidth="1"/>
    <col min="10905" max="10905" width="8.75" style="922" bestFit="1" customWidth="1"/>
    <col min="10906" max="10912" width="8.75" style="922" customWidth="1"/>
    <col min="10913" max="10913" width="10" style="922" bestFit="1" customWidth="1"/>
    <col min="10914" max="10914" width="9.75" style="922" customWidth="1"/>
    <col min="10915" max="10917" width="9.75" style="922" bestFit="1" customWidth="1"/>
    <col min="10918" max="10921" width="9.75" style="922" customWidth="1"/>
    <col min="10922" max="10923" width="10.5" style="922" customWidth="1"/>
    <col min="10924" max="10924" width="11.125" style="922" bestFit="1" customWidth="1"/>
    <col min="10925" max="10931" width="9" style="922"/>
    <col min="10932" max="10934" width="10.125" style="922" customWidth="1"/>
    <col min="10935" max="10938" width="9" style="922" customWidth="1"/>
    <col min="10939" max="11021" width="9" style="922"/>
    <col min="11022" max="11022" width="20.75" style="922" bestFit="1" customWidth="1"/>
    <col min="11023" max="11142" width="8.125" style="922" bestFit="1" customWidth="1"/>
    <col min="11143" max="11143" width="9" style="922" bestFit="1" customWidth="1"/>
    <col min="11144" max="11156" width="8.125" style="922" bestFit="1" customWidth="1"/>
    <col min="11157" max="11159" width="8.125" style="922" customWidth="1"/>
    <col min="11160" max="11160" width="9.625" style="922" bestFit="1" customWidth="1"/>
    <col min="11161" max="11161" width="8.75" style="922" bestFit="1" customWidth="1"/>
    <col min="11162" max="11168" width="8.75" style="922" customWidth="1"/>
    <col min="11169" max="11169" width="10" style="922" bestFit="1" customWidth="1"/>
    <col min="11170" max="11170" width="9.75" style="922" customWidth="1"/>
    <col min="11171" max="11173" width="9.75" style="922" bestFit="1" customWidth="1"/>
    <col min="11174" max="11177" width="9.75" style="922" customWidth="1"/>
    <col min="11178" max="11179" width="10.5" style="922" customWidth="1"/>
    <col min="11180" max="11180" width="11.125" style="922" bestFit="1" customWidth="1"/>
    <col min="11181" max="11187" width="9" style="922"/>
    <col min="11188" max="11190" width="10.125" style="922" customWidth="1"/>
    <col min="11191" max="11194" width="9" style="922" customWidth="1"/>
    <col min="11195" max="11277" width="9" style="922"/>
    <col min="11278" max="11278" width="20.75" style="922" bestFit="1" customWidth="1"/>
    <col min="11279" max="11398" width="8.125" style="922" bestFit="1" customWidth="1"/>
    <col min="11399" max="11399" width="9" style="922" bestFit="1" customWidth="1"/>
    <col min="11400" max="11412" width="8.125" style="922" bestFit="1" customWidth="1"/>
    <col min="11413" max="11415" width="8.125" style="922" customWidth="1"/>
    <col min="11416" max="11416" width="9.625" style="922" bestFit="1" customWidth="1"/>
    <col min="11417" max="11417" width="8.75" style="922" bestFit="1" customWidth="1"/>
    <col min="11418" max="11424" width="8.75" style="922" customWidth="1"/>
    <col min="11425" max="11425" width="10" style="922" bestFit="1" customWidth="1"/>
    <col min="11426" max="11426" width="9.75" style="922" customWidth="1"/>
    <col min="11427" max="11429" width="9.75" style="922" bestFit="1" customWidth="1"/>
    <col min="11430" max="11433" width="9.75" style="922" customWidth="1"/>
    <col min="11434" max="11435" width="10.5" style="922" customWidth="1"/>
    <col min="11436" max="11436" width="11.125" style="922" bestFit="1" customWidth="1"/>
    <col min="11437" max="11443" width="9" style="922"/>
    <col min="11444" max="11446" width="10.125" style="922" customWidth="1"/>
    <col min="11447" max="11450" width="9" style="922" customWidth="1"/>
    <col min="11451" max="11533" width="9" style="922"/>
    <col min="11534" max="11534" width="20.75" style="922" bestFit="1" customWidth="1"/>
    <col min="11535" max="11654" width="8.125" style="922" bestFit="1" customWidth="1"/>
    <col min="11655" max="11655" width="9" style="922" bestFit="1" customWidth="1"/>
    <col min="11656" max="11668" width="8.125" style="922" bestFit="1" customWidth="1"/>
    <col min="11669" max="11671" width="8.125" style="922" customWidth="1"/>
    <col min="11672" max="11672" width="9.625" style="922" bestFit="1" customWidth="1"/>
    <col min="11673" max="11673" width="8.75" style="922" bestFit="1" customWidth="1"/>
    <col min="11674" max="11680" width="8.75" style="922" customWidth="1"/>
    <col min="11681" max="11681" width="10" style="922" bestFit="1" customWidth="1"/>
    <col min="11682" max="11682" width="9.75" style="922" customWidth="1"/>
    <col min="11683" max="11685" width="9.75" style="922" bestFit="1" customWidth="1"/>
    <col min="11686" max="11689" width="9.75" style="922" customWidth="1"/>
    <col min="11690" max="11691" width="10.5" style="922" customWidth="1"/>
    <col min="11692" max="11692" width="11.125" style="922" bestFit="1" customWidth="1"/>
    <col min="11693" max="11699" width="9" style="922"/>
    <col min="11700" max="11702" width="10.125" style="922" customWidth="1"/>
    <col min="11703" max="11706" width="9" style="922" customWidth="1"/>
    <col min="11707" max="11789" width="9" style="922"/>
    <col min="11790" max="11790" width="20.75" style="922" bestFit="1" customWidth="1"/>
    <col min="11791" max="11910" width="8.125" style="922" bestFit="1" customWidth="1"/>
    <col min="11911" max="11911" width="9" style="922" bestFit="1" customWidth="1"/>
    <col min="11912" max="11924" width="8.125" style="922" bestFit="1" customWidth="1"/>
    <col min="11925" max="11927" width="8.125" style="922" customWidth="1"/>
    <col min="11928" max="11928" width="9.625" style="922" bestFit="1" customWidth="1"/>
    <col min="11929" max="11929" width="8.75" style="922" bestFit="1" customWidth="1"/>
    <col min="11930" max="11936" width="8.75" style="922" customWidth="1"/>
    <col min="11937" max="11937" width="10" style="922" bestFit="1" customWidth="1"/>
    <col min="11938" max="11938" width="9.75" style="922" customWidth="1"/>
    <col min="11939" max="11941" width="9.75" style="922" bestFit="1" customWidth="1"/>
    <col min="11942" max="11945" width="9.75" style="922" customWidth="1"/>
    <col min="11946" max="11947" width="10.5" style="922" customWidth="1"/>
    <col min="11948" max="11948" width="11.125" style="922" bestFit="1" customWidth="1"/>
    <col min="11949" max="11955" width="9" style="922"/>
    <col min="11956" max="11958" width="10.125" style="922" customWidth="1"/>
    <col min="11959" max="11962" width="9" style="922" customWidth="1"/>
    <col min="11963" max="12045" width="9" style="922"/>
    <col min="12046" max="12046" width="20.75" style="922" bestFit="1" customWidth="1"/>
    <col min="12047" max="12166" width="8.125" style="922" bestFit="1" customWidth="1"/>
    <col min="12167" max="12167" width="9" style="922" bestFit="1" customWidth="1"/>
    <col min="12168" max="12180" width="8.125" style="922" bestFit="1" customWidth="1"/>
    <col min="12181" max="12183" width="8.125" style="922" customWidth="1"/>
    <col min="12184" max="12184" width="9.625" style="922" bestFit="1" customWidth="1"/>
    <col min="12185" max="12185" width="8.75" style="922" bestFit="1" customWidth="1"/>
    <col min="12186" max="12192" width="8.75" style="922" customWidth="1"/>
    <col min="12193" max="12193" width="10" style="922" bestFit="1" customWidth="1"/>
    <col min="12194" max="12194" width="9.75" style="922" customWidth="1"/>
    <col min="12195" max="12197" width="9.75" style="922" bestFit="1" customWidth="1"/>
    <col min="12198" max="12201" width="9.75" style="922" customWidth="1"/>
    <col min="12202" max="12203" width="10.5" style="922" customWidth="1"/>
    <col min="12204" max="12204" width="11.125" style="922" bestFit="1" customWidth="1"/>
    <col min="12205" max="12211" width="9" style="922"/>
    <col min="12212" max="12214" width="10.125" style="922" customWidth="1"/>
    <col min="12215" max="12218" width="9" style="922" customWidth="1"/>
    <col min="12219" max="12301" width="9" style="922"/>
    <col min="12302" max="12302" width="20.75" style="922" bestFit="1" customWidth="1"/>
    <col min="12303" max="12422" width="8.125" style="922" bestFit="1" customWidth="1"/>
    <col min="12423" max="12423" width="9" style="922" bestFit="1" customWidth="1"/>
    <col min="12424" max="12436" width="8.125" style="922" bestFit="1" customWidth="1"/>
    <col min="12437" max="12439" width="8.125" style="922" customWidth="1"/>
    <col min="12440" max="12440" width="9.625" style="922" bestFit="1" customWidth="1"/>
    <col min="12441" max="12441" width="8.75" style="922" bestFit="1" customWidth="1"/>
    <col min="12442" max="12448" width="8.75" style="922" customWidth="1"/>
    <col min="12449" max="12449" width="10" style="922" bestFit="1" customWidth="1"/>
    <col min="12450" max="12450" width="9.75" style="922" customWidth="1"/>
    <col min="12451" max="12453" width="9.75" style="922" bestFit="1" customWidth="1"/>
    <col min="12454" max="12457" width="9.75" style="922" customWidth="1"/>
    <col min="12458" max="12459" width="10.5" style="922" customWidth="1"/>
    <col min="12460" max="12460" width="11.125" style="922" bestFit="1" customWidth="1"/>
    <col min="12461" max="12467" width="9" style="922"/>
    <col min="12468" max="12470" width="10.125" style="922" customWidth="1"/>
    <col min="12471" max="12474" width="9" style="922" customWidth="1"/>
    <col min="12475" max="12557" width="9" style="922"/>
    <col min="12558" max="12558" width="20.75" style="922" bestFit="1" customWidth="1"/>
    <col min="12559" max="12678" width="8.125" style="922" bestFit="1" customWidth="1"/>
    <col min="12679" max="12679" width="9" style="922" bestFit="1" customWidth="1"/>
    <col min="12680" max="12692" width="8.125" style="922" bestFit="1" customWidth="1"/>
    <col min="12693" max="12695" width="8.125" style="922" customWidth="1"/>
    <col min="12696" max="12696" width="9.625" style="922" bestFit="1" customWidth="1"/>
    <col min="12697" max="12697" width="8.75" style="922" bestFit="1" customWidth="1"/>
    <col min="12698" max="12704" width="8.75" style="922" customWidth="1"/>
    <col min="12705" max="12705" width="10" style="922" bestFit="1" customWidth="1"/>
    <col min="12706" max="12706" width="9.75" style="922" customWidth="1"/>
    <col min="12707" max="12709" width="9.75" style="922" bestFit="1" customWidth="1"/>
    <col min="12710" max="12713" width="9.75" style="922" customWidth="1"/>
    <col min="12714" max="12715" width="10.5" style="922" customWidth="1"/>
    <col min="12716" max="12716" width="11.125" style="922" bestFit="1" customWidth="1"/>
    <col min="12717" max="12723" width="9" style="922"/>
    <col min="12724" max="12726" width="10.125" style="922" customWidth="1"/>
    <col min="12727" max="12730" width="9" style="922" customWidth="1"/>
    <col min="12731" max="12813" width="9" style="922"/>
    <col min="12814" max="12814" width="20.75" style="922" bestFit="1" customWidth="1"/>
    <col min="12815" max="12934" width="8.125" style="922" bestFit="1" customWidth="1"/>
    <col min="12935" max="12935" width="9" style="922" bestFit="1" customWidth="1"/>
    <col min="12936" max="12948" width="8.125" style="922" bestFit="1" customWidth="1"/>
    <col min="12949" max="12951" width="8.125" style="922" customWidth="1"/>
    <col min="12952" max="12952" width="9.625" style="922" bestFit="1" customWidth="1"/>
    <col min="12953" max="12953" width="8.75" style="922" bestFit="1" customWidth="1"/>
    <col min="12954" max="12960" width="8.75" style="922" customWidth="1"/>
    <col min="12961" max="12961" width="10" style="922" bestFit="1" customWidth="1"/>
    <col min="12962" max="12962" width="9.75" style="922" customWidth="1"/>
    <col min="12963" max="12965" width="9.75" style="922" bestFit="1" customWidth="1"/>
    <col min="12966" max="12969" width="9.75" style="922" customWidth="1"/>
    <col min="12970" max="12971" width="10.5" style="922" customWidth="1"/>
    <col min="12972" max="12972" width="11.125" style="922" bestFit="1" customWidth="1"/>
    <col min="12973" max="12979" width="9" style="922"/>
    <col min="12980" max="12982" width="10.125" style="922" customWidth="1"/>
    <col min="12983" max="12986" width="9" style="922" customWidth="1"/>
    <col min="12987" max="13069" width="9" style="922"/>
    <col min="13070" max="13070" width="20.75" style="922" bestFit="1" customWidth="1"/>
    <col min="13071" max="13190" width="8.125" style="922" bestFit="1" customWidth="1"/>
    <col min="13191" max="13191" width="9" style="922" bestFit="1" customWidth="1"/>
    <col min="13192" max="13204" width="8.125" style="922" bestFit="1" customWidth="1"/>
    <col min="13205" max="13207" width="8.125" style="922" customWidth="1"/>
    <col min="13208" max="13208" width="9.625" style="922" bestFit="1" customWidth="1"/>
    <col min="13209" max="13209" width="8.75" style="922" bestFit="1" customWidth="1"/>
    <col min="13210" max="13216" width="8.75" style="922" customWidth="1"/>
    <col min="13217" max="13217" width="10" style="922" bestFit="1" customWidth="1"/>
    <col min="13218" max="13218" width="9.75" style="922" customWidth="1"/>
    <col min="13219" max="13221" width="9.75" style="922" bestFit="1" customWidth="1"/>
    <col min="13222" max="13225" width="9.75" style="922" customWidth="1"/>
    <col min="13226" max="13227" width="10.5" style="922" customWidth="1"/>
    <col min="13228" max="13228" width="11.125" style="922" bestFit="1" customWidth="1"/>
    <col min="13229" max="13235" width="9" style="922"/>
    <col min="13236" max="13238" width="10.125" style="922" customWidth="1"/>
    <col min="13239" max="13242" width="9" style="922" customWidth="1"/>
    <col min="13243" max="13325" width="9" style="922"/>
    <col min="13326" max="13326" width="20.75" style="922" bestFit="1" customWidth="1"/>
    <col min="13327" max="13446" width="8.125" style="922" bestFit="1" customWidth="1"/>
    <col min="13447" max="13447" width="9" style="922" bestFit="1" customWidth="1"/>
    <col min="13448" max="13460" width="8.125" style="922" bestFit="1" customWidth="1"/>
    <col min="13461" max="13463" width="8.125" style="922" customWidth="1"/>
    <col min="13464" max="13464" width="9.625" style="922" bestFit="1" customWidth="1"/>
    <col min="13465" max="13465" width="8.75" style="922" bestFit="1" customWidth="1"/>
    <col min="13466" max="13472" width="8.75" style="922" customWidth="1"/>
    <col min="13473" max="13473" width="10" style="922" bestFit="1" customWidth="1"/>
    <col min="13474" max="13474" width="9.75" style="922" customWidth="1"/>
    <col min="13475" max="13477" width="9.75" style="922" bestFit="1" customWidth="1"/>
    <col min="13478" max="13481" width="9.75" style="922" customWidth="1"/>
    <col min="13482" max="13483" width="10.5" style="922" customWidth="1"/>
    <col min="13484" max="13484" width="11.125" style="922" bestFit="1" customWidth="1"/>
    <col min="13485" max="13491" width="9" style="922"/>
    <col min="13492" max="13494" width="10.125" style="922" customWidth="1"/>
    <col min="13495" max="13498" width="9" style="922" customWidth="1"/>
    <col min="13499" max="13581" width="9" style="922"/>
    <col min="13582" max="13582" width="20.75" style="922" bestFit="1" customWidth="1"/>
    <col min="13583" max="13702" width="8.125" style="922" bestFit="1" customWidth="1"/>
    <col min="13703" max="13703" width="9" style="922" bestFit="1" customWidth="1"/>
    <col min="13704" max="13716" width="8.125" style="922" bestFit="1" customWidth="1"/>
    <col min="13717" max="13719" width="8.125" style="922" customWidth="1"/>
    <col min="13720" max="13720" width="9.625" style="922" bestFit="1" customWidth="1"/>
    <col min="13721" max="13721" width="8.75" style="922" bestFit="1" customWidth="1"/>
    <col min="13722" max="13728" width="8.75" style="922" customWidth="1"/>
    <col min="13729" max="13729" width="10" style="922" bestFit="1" customWidth="1"/>
    <col min="13730" max="13730" width="9.75" style="922" customWidth="1"/>
    <col min="13731" max="13733" width="9.75" style="922" bestFit="1" customWidth="1"/>
    <col min="13734" max="13737" width="9.75" style="922" customWidth="1"/>
    <col min="13738" max="13739" width="10.5" style="922" customWidth="1"/>
    <col min="13740" max="13740" width="11.125" style="922" bestFit="1" customWidth="1"/>
    <col min="13741" max="13747" width="9" style="922"/>
    <col min="13748" max="13750" width="10.125" style="922" customWidth="1"/>
    <col min="13751" max="13754" width="9" style="922" customWidth="1"/>
    <col min="13755" max="13837" width="9" style="922"/>
    <col min="13838" max="13838" width="20.75" style="922" bestFit="1" customWidth="1"/>
    <col min="13839" max="13958" width="8.125" style="922" bestFit="1" customWidth="1"/>
    <col min="13959" max="13959" width="9" style="922" bestFit="1" customWidth="1"/>
    <col min="13960" max="13972" width="8.125" style="922" bestFit="1" customWidth="1"/>
    <col min="13973" max="13975" width="8.125" style="922" customWidth="1"/>
    <col min="13976" max="13976" width="9.625" style="922" bestFit="1" customWidth="1"/>
    <col min="13977" max="13977" width="8.75" style="922" bestFit="1" customWidth="1"/>
    <col min="13978" max="13984" width="8.75" style="922" customWidth="1"/>
    <col min="13985" max="13985" width="10" style="922" bestFit="1" customWidth="1"/>
    <col min="13986" max="13986" width="9.75" style="922" customWidth="1"/>
    <col min="13987" max="13989" width="9.75" style="922" bestFit="1" customWidth="1"/>
    <col min="13990" max="13993" width="9.75" style="922" customWidth="1"/>
    <col min="13994" max="13995" width="10.5" style="922" customWidth="1"/>
    <col min="13996" max="13996" width="11.125" style="922" bestFit="1" customWidth="1"/>
    <col min="13997" max="14003" width="9" style="922"/>
    <col min="14004" max="14006" width="10.125" style="922" customWidth="1"/>
    <col min="14007" max="14010" width="9" style="922" customWidth="1"/>
    <col min="14011" max="14093" width="9" style="922"/>
    <col min="14094" max="14094" width="20.75" style="922" bestFit="1" customWidth="1"/>
    <col min="14095" max="14214" width="8.125" style="922" bestFit="1" customWidth="1"/>
    <col min="14215" max="14215" width="9" style="922" bestFit="1" customWidth="1"/>
    <col min="14216" max="14228" width="8.125" style="922" bestFit="1" customWidth="1"/>
    <col min="14229" max="14231" width="8.125" style="922" customWidth="1"/>
    <col min="14232" max="14232" width="9.625" style="922" bestFit="1" customWidth="1"/>
    <col min="14233" max="14233" width="8.75" style="922" bestFit="1" customWidth="1"/>
    <col min="14234" max="14240" width="8.75" style="922" customWidth="1"/>
    <col min="14241" max="14241" width="10" style="922" bestFit="1" customWidth="1"/>
    <col min="14242" max="14242" width="9.75" style="922" customWidth="1"/>
    <col min="14243" max="14245" width="9.75" style="922" bestFit="1" customWidth="1"/>
    <col min="14246" max="14249" width="9.75" style="922" customWidth="1"/>
    <col min="14250" max="14251" width="10.5" style="922" customWidth="1"/>
    <col min="14252" max="14252" width="11.125" style="922" bestFit="1" customWidth="1"/>
    <col min="14253" max="14259" width="9" style="922"/>
    <col min="14260" max="14262" width="10.125" style="922" customWidth="1"/>
    <col min="14263" max="14266" width="9" style="922" customWidth="1"/>
    <col min="14267" max="14349" width="9" style="922"/>
    <col min="14350" max="14350" width="20.75" style="922" bestFit="1" customWidth="1"/>
    <col min="14351" max="14470" width="8.125" style="922" bestFit="1" customWidth="1"/>
    <col min="14471" max="14471" width="9" style="922" bestFit="1" customWidth="1"/>
    <col min="14472" max="14484" width="8.125" style="922" bestFit="1" customWidth="1"/>
    <col min="14485" max="14487" width="8.125" style="922" customWidth="1"/>
    <col min="14488" max="14488" width="9.625" style="922" bestFit="1" customWidth="1"/>
    <col min="14489" max="14489" width="8.75" style="922" bestFit="1" customWidth="1"/>
    <col min="14490" max="14496" width="8.75" style="922" customWidth="1"/>
    <col min="14497" max="14497" width="10" style="922" bestFit="1" customWidth="1"/>
    <col min="14498" max="14498" width="9.75" style="922" customWidth="1"/>
    <col min="14499" max="14501" width="9.75" style="922" bestFit="1" customWidth="1"/>
    <col min="14502" max="14505" width="9.75" style="922" customWidth="1"/>
    <col min="14506" max="14507" width="10.5" style="922" customWidth="1"/>
    <col min="14508" max="14508" width="11.125" style="922" bestFit="1" customWidth="1"/>
    <col min="14509" max="14515" width="9" style="922"/>
    <col min="14516" max="14518" width="10.125" style="922" customWidth="1"/>
    <col min="14519" max="14522" width="9" style="922" customWidth="1"/>
    <col min="14523" max="14605" width="9" style="922"/>
    <col min="14606" max="14606" width="20.75" style="922" bestFit="1" customWidth="1"/>
    <col min="14607" max="14726" width="8.125" style="922" bestFit="1" customWidth="1"/>
    <col min="14727" max="14727" width="9" style="922" bestFit="1" customWidth="1"/>
    <col min="14728" max="14740" width="8.125" style="922" bestFit="1" customWidth="1"/>
    <col min="14741" max="14743" width="8.125" style="922" customWidth="1"/>
    <col min="14744" max="14744" width="9.625" style="922" bestFit="1" customWidth="1"/>
    <col min="14745" max="14745" width="8.75" style="922" bestFit="1" customWidth="1"/>
    <col min="14746" max="14752" width="8.75" style="922" customWidth="1"/>
    <col min="14753" max="14753" width="10" style="922" bestFit="1" customWidth="1"/>
    <col min="14754" max="14754" width="9.75" style="922" customWidth="1"/>
    <col min="14755" max="14757" width="9.75" style="922" bestFit="1" customWidth="1"/>
    <col min="14758" max="14761" width="9.75" style="922" customWidth="1"/>
    <col min="14762" max="14763" width="10.5" style="922" customWidth="1"/>
    <col min="14764" max="14764" width="11.125" style="922" bestFit="1" customWidth="1"/>
    <col min="14765" max="14771" width="9" style="922"/>
    <col min="14772" max="14774" width="10.125" style="922" customWidth="1"/>
    <col min="14775" max="14778" width="9" style="922" customWidth="1"/>
    <col min="14779" max="14861" width="9" style="922"/>
    <col min="14862" max="14862" width="20.75" style="922" bestFit="1" customWidth="1"/>
    <col min="14863" max="14982" width="8.125" style="922" bestFit="1" customWidth="1"/>
    <col min="14983" max="14983" width="9" style="922" bestFit="1" customWidth="1"/>
    <col min="14984" max="14996" width="8.125" style="922" bestFit="1" customWidth="1"/>
    <col min="14997" max="14999" width="8.125" style="922" customWidth="1"/>
    <col min="15000" max="15000" width="9.625" style="922" bestFit="1" customWidth="1"/>
    <col min="15001" max="15001" width="8.75" style="922" bestFit="1" customWidth="1"/>
    <col min="15002" max="15008" width="8.75" style="922" customWidth="1"/>
    <col min="15009" max="15009" width="10" style="922" bestFit="1" customWidth="1"/>
    <col min="15010" max="15010" width="9.75" style="922" customWidth="1"/>
    <col min="15011" max="15013" width="9.75" style="922" bestFit="1" customWidth="1"/>
    <col min="15014" max="15017" width="9.75" style="922" customWidth="1"/>
    <col min="15018" max="15019" width="10.5" style="922" customWidth="1"/>
    <col min="15020" max="15020" width="11.125" style="922" bestFit="1" customWidth="1"/>
    <col min="15021" max="15027" width="9" style="922"/>
    <col min="15028" max="15030" width="10.125" style="922" customWidth="1"/>
    <col min="15031" max="15034" width="9" style="922" customWidth="1"/>
    <col min="15035" max="15117" width="9" style="922"/>
    <col min="15118" max="15118" width="20.75" style="922" bestFit="1" customWidth="1"/>
    <col min="15119" max="15238" width="8.125" style="922" bestFit="1" customWidth="1"/>
    <col min="15239" max="15239" width="9" style="922" bestFit="1" customWidth="1"/>
    <col min="15240" max="15252" width="8.125" style="922" bestFit="1" customWidth="1"/>
    <col min="15253" max="15255" width="8.125" style="922" customWidth="1"/>
    <col min="15256" max="15256" width="9.625" style="922" bestFit="1" customWidth="1"/>
    <col min="15257" max="15257" width="8.75" style="922" bestFit="1" customWidth="1"/>
    <col min="15258" max="15264" width="8.75" style="922" customWidth="1"/>
    <col min="15265" max="15265" width="10" style="922" bestFit="1" customWidth="1"/>
    <col min="15266" max="15266" width="9.75" style="922" customWidth="1"/>
    <col min="15267" max="15269" width="9.75" style="922" bestFit="1" customWidth="1"/>
    <col min="15270" max="15273" width="9.75" style="922" customWidth="1"/>
    <col min="15274" max="15275" width="10.5" style="922" customWidth="1"/>
    <col min="15276" max="15276" width="11.125" style="922" bestFit="1" customWidth="1"/>
    <col min="15277" max="15283" width="9" style="922"/>
    <col min="15284" max="15286" width="10.125" style="922" customWidth="1"/>
    <col min="15287" max="15290" width="9" style="922" customWidth="1"/>
    <col min="15291" max="15373" width="9" style="922"/>
    <col min="15374" max="15374" width="20.75" style="922" bestFit="1" customWidth="1"/>
    <col min="15375" max="15494" width="8.125" style="922" bestFit="1" customWidth="1"/>
    <col min="15495" max="15495" width="9" style="922" bestFit="1" customWidth="1"/>
    <col min="15496" max="15508" width="8.125" style="922" bestFit="1" customWidth="1"/>
    <col min="15509" max="15511" width="8.125" style="922" customWidth="1"/>
    <col min="15512" max="15512" width="9.625" style="922" bestFit="1" customWidth="1"/>
    <col min="15513" max="15513" width="8.75" style="922" bestFit="1" customWidth="1"/>
    <col min="15514" max="15520" width="8.75" style="922" customWidth="1"/>
    <col min="15521" max="15521" width="10" style="922" bestFit="1" customWidth="1"/>
    <col min="15522" max="15522" width="9.75" style="922" customWidth="1"/>
    <col min="15523" max="15525" width="9.75" style="922" bestFit="1" customWidth="1"/>
    <col min="15526" max="15529" width="9.75" style="922" customWidth="1"/>
    <col min="15530" max="15531" width="10.5" style="922" customWidth="1"/>
    <col min="15532" max="15532" width="11.125" style="922" bestFit="1" customWidth="1"/>
    <col min="15533" max="15539" width="9" style="922"/>
    <col min="15540" max="15542" width="10.125" style="922" customWidth="1"/>
    <col min="15543" max="15546" width="9" style="922" customWidth="1"/>
    <col min="15547" max="15629" width="9" style="922"/>
    <col min="15630" max="15630" width="20.75" style="922" bestFit="1" customWidth="1"/>
    <col min="15631" max="15750" width="8.125" style="922" bestFit="1" customWidth="1"/>
    <col min="15751" max="15751" width="9" style="922" bestFit="1" customWidth="1"/>
    <col min="15752" max="15764" width="8.125" style="922" bestFit="1" customWidth="1"/>
    <col min="15765" max="15767" width="8.125" style="922" customWidth="1"/>
    <col min="15768" max="15768" width="9.625" style="922" bestFit="1" customWidth="1"/>
    <col min="15769" max="15769" width="8.75" style="922" bestFit="1" customWidth="1"/>
    <col min="15770" max="15776" width="8.75" style="922" customWidth="1"/>
    <col min="15777" max="15777" width="10" style="922" bestFit="1" customWidth="1"/>
    <col min="15778" max="15778" width="9.75" style="922" customWidth="1"/>
    <col min="15779" max="15781" width="9.75" style="922" bestFit="1" customWidth="1"/>
    <col min="15782" max="15785" width="9.75" style="922" customWidth="1"/>
    <col min="15786" max="15787" width="10.5" style="922" customWidth="1"/>
    <col min="15788" max="15788" width="11.125" style="922" bestFit="1" customWidth="1"/>
    <col min="15789" max="15795" width="9" style="922"/>
    <col min="15796" max="15798" width="10.125" style="922" customWidth="1"/>
    <col min="15799" max="15802" width="9" style="922" customWidth="1"/>
    <col min="15803" max="15885" width="9" style="922"/>
    <col min="15886" max="15886" width="20.75" style="922" bestFit="1" customWidth="1"/>
    <col min="15887" max="16006" width="8.125" style="922" bestFit="1" customWidth="1"/>
    <col min="16007" max="16007" width="9" style="922" bestFit="1" customWidth="1"/>
    <col min="16008" max="16020" width="8.125" style="922" bestFit="1" customWidth="1"/>
    <col min="16021" max="16023" width="8.125" style="922" customWidth="1"/>
    <col min="16024" max="16024" width="9.625" style="922" bestFit="1" customWidth="1"/>
    <col min="16025" max="16025" width="8.75" style="922" bestFit="1" customWidth="1"/>
    <col min="16026" max="16032" width="8.75" style="922" customWidth="1"/>
    <col min="16033" max="16033" width="10" style="922" bestFit="1" customWidth="1"/>
    <col min="16034" max="16034" width="9.75" style="922" customWidth="1"/>
    <col min="16035" max="16037" width="9.75" style="922" bestFit="1" customWidth="1"/>
    <col min="16038" max="16041" width="9.75" style="922" customWidth="1"/>
    <col min="16042" max="16043" width="10.5" style="922" customWidth="1"/>
    <col min="16044" max="16044" width="11.125" style="922" bestFit="1" customWidth="1"/>
    <col min="16045" max="16051" width="9" style="922"/>
    <col min="16052" max="16054" width="10.125" style="922" customWidth="1"/>
    <col min="16055" max="16058" width="9" style="922" customWidth="1"/>
    <col min="16059" max="16141" width="9" style="922"/>
    <col min="16142" max="16142" width="20.75" style="922" bestFit="1" customWidth="1"/>
    <col min="16143" max="16262" width="8.125" style="922" bestFit="1" customWidth="1"/>
    <col min="16263" max="16263" width="9" style="922" bestFit="1" customWidth="1"/>
    <col min="16264" max="16276" width="8.125" style="922" bestFit="1" customWidth="1"/>
    <col min="16277" max="16279" width="8.125" style="922" customWidth="1"/>
    <col min="16280" max="16280" width="9.625" style="922" bestFit="1" customWidth="1"/>
    <col min="16281" max="16281" width="8.75" style="922" bestFit="1" customWidth="1"/>
    <col min="16282" max="16288" width="8.75" style="922" customWidth="1"/>
    <col min="16289" max="16289" width="10" style="922" bestFit="1" customWidth="1"/>
    <col min="16290" max="16290" width="9.75" style="922" customWidth="1"/>
    <col min="16291" max="16293" width="9.75" style="922" bestFit="1" customWidth="1"/>
    <col min="16294" max="16297" width="9.75" style="922" customWidth="1"/>
    <col min="16298" max="16299" width="10.5" style="922" customWidth="1"/>
    <col min="16300" max="16300" width="11.125" style="922" bestFit="1" customWidth="1"/>
    <col min="16301" max="16307" width="9" style="922"/>
    <col min="16308" max="16310" width="10.125" style="922" customWidth="1"/>
    <col min="16311" max="16314" width="9" style="922" customWidth="1"/>
    <col min="16315" max="16384" width="9" style="922"/>
  </cols>
  <sheetData>
    <row r="1" spans="1:188" s="921" customFormat="1">
      <c r="A1" s="917"/>
      <c r="B1" s="918">
        <v>38107</v>
      </c>
      <c r="C1" s="918">
        <v>38138</v>
      </c>
      <c r="D1" s="918">
        <v>38168</v>
      </c>
      <c r="E1" s="918">
        <v>38199</v>
      </c>
      <c r="F1" s="918">
        <v>38230</v>
      </c>
      <c r="G1" s="918">
        <v>38260</v>
      </c>
      <c r="H1" s="918">
        <v>38291</v>
      </c>
      <c r="I1" s="918">
        <v>38321</v>
      </c>
      <c r="J1" s="918">
        <v>38352</v>
      </c>
      <c r="K1" s="918">
        <v>38383</v>
      </c>
      <c r="L1" s="918">
        <v>38411</v>
      </c>
      <c r="M1" s="918">
        <v>38442</v>
      </c>
      <c r="N1" s="918">
        <v>38472</v>
      </c>
      <c r="O1" s="918">
        <v>38503</v>
      </c>
      <c r="P1" s="918">
        <v>38533</v>
      </c>
      <c r="Q1" s="918">
        <v>38564</v>
      </c>
      <c r="R1" s="918">
        <v>38595</v>
      </c>
      <c r="S1" s="918">
        <v>38625</v>
      </c>
      <c r="T1" s="918">
        <v>38656</v>
      </c>
      <c r="U1" s="918">
        <v>38686</v>
      </c>
      <c r="V1" s="918">
        <v>38717</v>
      </c>
      <c r="W1" s="918">
        <v>38748</v>
      </c>
      <c r="X1" s="918">
        <v>38776</v>
      </c>
      <c r="Y1" s="918">
        <v>38807</v>
      </c>
      <c r="Z1" s="918">
        <v>38837</v>
      </c>
      <c r="AA1" s="918">
        <v>38868</v>
      </c>
      <c r="AB1" s="918">
        <v>38898</v>
      </c>
      <c r="AC1" s="918">
        <v>38929</v>
      </c>
      <c r="AD1" s="918">
        <v>38960</v>
      </c>
      <c r="AE1" s="918">
        <v>38990</v>
      </c>
      <c r="AF1" s="918">
        <v>39021</v>
      </c>
      <c r="AG1" s="918">
        <v>39051</v>
      </c>
      <c r="AH1" s="918">
        <v>39082</v>
      </c>
      <c r="AI1" s="918">
        <v>39113</v>
      </c>
      <c r="AJ1" s="918">
        <v>39141</v>
      </c>
      <c r="AK1" s="918">
        <v>39172</v>
      </c>
      <c r="AL1" s="918">
        <v>39202</v>
      </c>
      <c r="AM1" s="918">
        <v>39233</v>
      </c>
      <c r="AN1" s="918">
        <v>39263</v>
      </c>
      <c r="AO1" s="918">
        <v>39294</v>
      </c>
      <c r="AP1" s="918">
        <v>39325</v>
      </c>
      <c r="AQ1" s="918">
        <v>39355</v>
      </c>
      <c r="AR1" s="918">
        <v>39386</v>
      </c>
      <c r="AS1" s="918">
        <v>39416</v>
      </c>
      <c r="AT1" s="918">
        <v>39447</v>
      </c>
      <c r="AU1" s="918">
        <v>39478</v>
      </c>
      <c r="AV1" s="918">
        <v>39507</v>
      </c>
      <c r="AW1" s="918">
        <v>39538</v>
      </c>
      <c r="AX1" s="918">
        <v>39568</v>
      </c>
      <c r="AY1" s="918">
        <v>39599</v>
      </c>
      <c r="AZ1" s="918">
        <v>39629</v>
      </c>
      <c r="BA1" s="918">
        <v>39660</v>
      </c>
      <c r="BB1" s="918">
        <v>39691</v>
      </c>
      <c r="BC1" s="918">
        <v>39721</v>
      </c>
      <c r="BD1" s="918">
        <v>39752</v>
      </c>
      <c r="BE1" s="918">
        <v>39782</v>
      </c>
      <c r="BF1" s="918">
        <v>39813</v>
      </c>
      <c r="BG1" s="918">
        <v>39844</v>
      </c>
      <c r="BH1" s="918">
        <v>39872</v>
      </c>
      <c r="BI1" s="918">
        <v>39903</v>
      </c>
      <c r="BJ1" s="918">
        <v>39933</v>
      </c>
      <c r="BK1" s="918">
        <v>39964</v>
      </c>
      <c r="BL1" s="918">
        <v>39994</v>
      </c>
      <c r="BM1" s="918">
        <v>40025</v>
      </c>
      <c r="BN1" s="918">
        <v>40056</v>
      </c>
      <c r="BO1" s="918">
        <v>40086</v>
      </c>
      <c r="BP1" s="918">
        <v>40117</v>
      </c>
      <c r="BQ1" s="918">
        <v>40147</v>
      </c>
      <c r="BR1" s="918">
        <v>40178</v>
      </c>
      <c r="BS1" s="918">
        <v>40209</v>
      </c>
      <c r="BT1" s="918">
        <v>40237</v>
      </c>
      <c r="BU1" s="918">
        <v>40268</v>
      </c>
      <c r="BV1" s="918">
        <v>40298</v>
      </c>
      <c r="BW1" s="918">
        <v>40329</v>
      </c>
      <c r="BX1" s="918">
        <v>40359</v>
      </c>
      <c r="BY1" s="918">
        <v>40390</v>
      </c>
      <c r="BZ1" s="918">
        <v>40421</v>
      </c>
      <c r="CA1" s="918">
        <v>40451</v>
      </c>
      <c r="CB1" s="918">
        <v>40482</v>
      </c>
      <c r="CC1" s="918">
        <v>40512</v>
      </c>
      <c r="CD1" s="918">
        <v>40543</v>
      </c>
      <c r="CE1" s="918">
        <v>40574</v>
      </c>
      <c r="CF1" s="918">
        <v>40602</v>
      </c>
      <c r="CG1" s="918">
        <v>40633</v>
      </c>
      <c r="CH1" s="918">
        <v>40663</v>
      </c>
      <c r="CI1" s="918">
        <v>40694</v>
      </c>
      <c r="CJ1" s="918">
        <v>40724</v>
      </c>
      <c r="CK1" s="918">
        <v>40755</v>
      </c>
      <c r="CL1" s="918">
        <v>40786</v>
      </c>
      <c r="CM1" s="919">
        <v>40816</v>
      </c>
      <c r="CN1" s="918">
        <v>40847</v>
      </c>
      <c r="CO1" s="918">
        <v>40877</v>
      </c>
      <c r="CP1" s="918">
        <v>40908</v>
      </c>
      <c r="CQ1" s="918">
        <v>40909</v>
      </c>
      <c r="CR1" s="918">
        <v>40941</v>
      </c>
      <c r="CS1" s="918">
        <v>40969</v>
      </c>
      <c r="CT1" s="918">
        <v>41028</v>
      </c>
      <c r="CU1" s="918">
        <v>41041</v>
      </c>
      <c r="CV1" s="918">
        <v>41085</v>
      </c>
      <c r="CW1" s="918">
        <v>41115</v>
      </c>
      <c r="CX1" s="918">
        <v>41145</v>
      </c>
      <c r="CY1" s="918">
        <v>41153</v>
      </c>
      <c r="CZ1" s="918">
        <v>41184</v>
      </c>
      <c r="DA1" s="918">
        <v>41215</v>
      </c>
      <c r="DB1" s="918">
        <v>41246</v>
      </c>
      <c r="DC1" s="918">
        <f>DB1+31</f>
        <v>41277</v>
      </c>
      <c r="DD1" s="918">
        <f>DC1+31</f>
        <v>41308</v>
      </c>
      <c r="DE1" s="918">
        <f>DD1+31</f>
        <v>41339</v>
      </c>
      <c r="DF1" s="918">
        <f>DE1+31</f>
        <v>41370</v>
      </c>
      <c r="DG1" s="918">
        <v>41395</v>
      </c>
      <c r="DH1" s="918">
        <v>41426</v>
      </c>
      <c r="DI1" s="918">
        <f>DH1+30</f>
        <v>41456</v>
      </c>
      <c r="DJ1" s="918">
        <f>DI1+31</f>
        <v>41487</v>
      </c>
      <c r="DK1" s="918">
        <f>DJ1+31</f>
        <v>41518</v>
      </c>
      <c r="DL1" s="918">
        <f t="shared" ref="DL1:ER1" si="0">DK1+31</f>
        <v>41549</v>
      </c>
      <c r="DM1" s="918">
        <f t="shared" si="0"/>
        <v>41580</v>
      </c>
      <c r="DN1" s="918">
        <f t="shared" si="0"/>
        <v>41611</v>
      </c>
      <c r="DO1" s="918">
        <f t="shared" si="0"/>
        <v>41642</v>
      </c>
      <c r="DP1" s="918">
        <f t="shared" si="0"/>
        <v>41673</v>
      </c>
      <c r="DQ1" s="918">
        <f t="shared" si="0"/>
        <v>41704</v>
      </c>
      <c r="DR1" s="918">
        <f t="shared" si="0"/>
        <v>41735</v>
      </c>
      <c r="DS1" s="918">
        <f t="shared" si="0"/>
        <v>41766</v>
      </c>
      <c r="DT1" s="918">
        <f t="shared" si="0"/>
        <v>41797</v>
      </c>
      <c r="DU1" s="918">
        <f t="shared" si="0"/>
        <v>41828</v>
      </c>
      <c r="DV1" s="918">
        <f t="shared" si="0"/>
        <v>41859</v>
      </c>
      <c r="DW1" s="918">
        <f t="shared" si="0"/>
        <v>41890</v>
      </c>
      <c r="DX1" s="918">
        <f t="shared" si="0"/>
        <v>41921</v>
      </c>
      <c r="DY1" s="918">
        <f t="shared" si="0"/>
        <v>41952</v>
      </c>
      <c r="DZ1" s="918">
        <f t="shared" si="0"/>
        <v>41983</v>
      </c>
      <c r="EA1" s="918">
        <f t="shared" si="0"/>
        <v>42014</v>
      </c>
      <c r="EB1" s="918">
        <f t="shared" si="0"/>
        <v>42045</v>
      </c>
      <c r="EC1" s="918">
        <f t="shared" si="0"/>
        <v>42076</v>
      </c>
      <c r="ED1" s="918">
        <f t="shared" si="0"/>
        <v>42107</v>
      </c>
      <c r="EE1" s="918">
        <f t="shared" si="0"/>
        <v>42138</v>
      </c>
      <c r="EF1" s="918">
        <f t="shared" si="0"/>
        <v>42169</v>
      </c>
      <c r="EG1" s="918">
        <f t="shared" si="0"/>
        <v>42200</v>
      </c>
      <c r="EH1" s="918">
        <f t="shared" si="0"/>
        <v>42231</v>
      </c>
      <c r="EI1" s="918">
        <f t="shared" si="0"/>
        <v>42262</v>
      </c>
      <c r="EJ1" s="918">
        <f t="shared" si="0"/>
        <v>42293</v>
      </c>
      <c r="EK1" s="918">
        <f t="shared" si="0"/>
        <v>42324</v>
      </c>
      <c r="EL1" s="918">
        <f t="shared" si="0"/>
        <v>42355</v>
      </c>
      <c r="EM1" s="918">
        <f t="shared" si="0"/>
        <v>42386</v>
      </c>
      <c r="EN1" s="918">
        <f t="shared" si="0"/>
        <v>42417</v>
      </c>
      <c r="EO1" s="918">
        <f t="shared" si="0"/>
        <v>42448</v>
      </c>
      <c r="EP1" s="918">
        <f t="shared" si="0"/>
        <v>42479</v>
      </c>
      <c r="EQ1" s="918">
        <f t="shared" si="0"/>
        <v>42510</v>
      </c>
      <c r="ER1" s="918">
        <f t="shared" si="0"/>
        <v>42541</v>
      </c>
      <c r="ES1" s="918">
        <f t="shared" ref="ES1" si="1">ER1+31</f>
        <v>42572</v>
      </c>
      <c r="ET1" s="918">
        <f t="shared" ref="ET1" si="2">ES1+31</f>
        <v>42603</v>
      </c>
      <c r="EU1" s="918">
        <f t="shared" ref="EU1" si="3">ET1+31</f>
        <v>42634</v>
      </c>
      <c r="EV1" s="918">
        <f t="shared" ref="EV1" si="4">EU1+31</f>
        <v>42665</v>
      </c>
      <c r="EW1" s="918">
        <f t="shared" ref="EW1" si="5">EV1+31</f>
        <v>42696</v>
      </c>
      <c r="EX1" s="918">
        <f t="shared" ref="EX1" si="6">EW1+31</f>
        <v>42727</v>
      </c>
      <c r="EY1" s="918">
        <f t="shared" ref="EY1" si="7">EX1+31</f>
        <v>42758</v>
      </c>
      <c r="EZ1" s="918">
        <f t="shared" ref="EZ1" si="8">EY1+31</f>
        <v>42789</v>
      </c>
      <c r="FA1" s="918">
        <f t="shared" ref="FA1:FB1" si="9">EZ1+31</f>
        <v>42820</v>
      </c>
      <c r="FB1" s="918">
        <f t="shared" si="9"/>
        <v>42851</v>
      </c>
      <c r="FC1" s="918">
        <f t="shared" ref="FC1" si="10">FB1+31</f>
        <v>42882</v>
      </c>
      <c r="FD1" s="918">
        <f t="shared" ref="FD1" si="11">FC1+31</f>
        <v>42913</v>
      </c>
      <c r="FE1" s="918"/>
      <c r="FF1" s="920" t="s">
        <v>2377</v>
      </c>
      <c r="FG1" s="969" t="s">
        <v>1858</v>
      </c>
      <c r="FH1" s="925" t="s">
        <v>2540</v>
      </c>
      <c r="FI1" s="920"/>
      <c r="FJ1" s="920"/>
      <c r="FK1" s="918"/>
      <c r="FL1" s="918"/>
      <c r="FM1" s="918"/>
      <c r="FN1" s="918"/>
      <c r="FO1" s="918"/>
      <c r="FP1" s="918"/>
      <c r="FQ1" s="918"/>
    </row>
    <row r="2" spans="1:188">
      <c r="EK2" s="939"/>
      <c r="EL2" s="939"/>
      <c r="EM2" s="939"/>
      <c r="EN2" s="939"/>
      <c r="EO2" s="939"/>
      <c r="FF2" s="922"/>
      <c r="FG2" s="924"/>
      <c r="FH2" s="922"/>
      <c r="FI2" s="926" t="s">
        <v>2541</v>
      </c>
      <c r="FJ2" s="926" t="s">
        <v>2542</v>
      </c>
      <c r="FL2" s="925" t="s">
        <v>2417</v>
      </c>
      <c r="FM2" s="925" t="s">
        <v>2504</v>
      </c>
      <c r="FN2" s="925" t="s">
        <v>2531</v>
      </c>
      <c r="FO2" s="925"/>
      <c r="FZ2" s="922" t="s">
        <v>2543</v>
      </c>
      <c r="GA2" s="922" t="s">
        <v>2544</v>
      </c>
      <c r="GB2" s="922" t="s">
        <v>163</v>
      </c>
      <c r="GD2" s="922" t="s">
        <v>279</v>
      </c>
      <c r="GE2" s="922" t="s">
        <v>395</v>
      </c>
      <c r="GF2" s="922" t="s">
        <v>163</v>
      </c>
    </row>
    <row r="3" spans="1:188">
      <c r="A3" s="927" t="s">
        <v>576</v>
      </c>
      <c r="FF3" s="922"/>
      <c r="FG3" s="924"/>
      <c r="FH3" s="928"/>
      <c r="FI3" s="929"/>
      <c r="FJ3" s="929"/>
      <c r="FK3" s="930"/>
      <c r="FL3" s="930"/>
      <c r="FM3" s="930"/>
      <c r="FN3" s="930"/>
      <c r="FO3" s="930"/>
      <c r="FP3" s="930"/>
      <c r="FQ3" s="930"/>
      <c r="FR3" s="123"/>
      <c r="FS3" s="624" t="str">
        <f>FN2</f>
        <v>Q1FY17</v>
      </c>
      <c r="FT3" s="624" t="str">
        <f>FL2</f>
        <v>Q1FY16</v>
      </c>
      <c r="FU3" s="624" t="s">
        <v>2545</v>
      </c>
      <c r="FV3" s="624" t="str">
        <f>FM2</f>
        <v>Q4FY16</v>
      </c>
      <c r="FW3" s="624" t="s">
        <v>2546</v>
      </c>
      <c r="FX3" s="624" t="s">
        <v>2540</v>
      </c>
    </row>
    <row r="4" spans="1:188">
      <c r="A4" s="931" t="s">
        <v>230</v>
      </c>
      <c r="B4" s="965">
        <f t="shared" ref="B4:BM4" si="12">SUM(B5:B6)</f>
        <v>92556</v>
      </c>
      <c r="C4" s="965">
        <f t="shared" si="12"/>
        <v>89285</v>
      </c>
      <c r="D4" s="965">
        <f t="shared" si="12"/>
        <v>99568</v>
      </c>
      <c r="E4" s="965">
        <f t="shared" si="12"/>
        <v>104981</v>
      </c>
      <c r="F4" s="965">
        <f t="shared" si="12"/>
        <v>108044</v>
      </c>
      <c r="G4" s="965">
        <f t="shared" si="12"/>
        <v>128410</v>
      </c>
      <c r="H4" s="965">
        <f t="shared" si="12"/>
        <v>145168</v>
      </c>
      <c r="I4" s="965">
        <f t="shared" si="12"/>
        <v>155386</v>
      </c>
      <c r="J4" s="965">
        <f t="shared" si="12"/>
        <v>144976</v>
      </c>
      <c r="K4" s="965">
        <f t="shared" si="12"/>
        <v>133414</v>
      </c>
      <c r="L4" s="965">
        <f t="shared" si="12"/>
        <v>131250</v>
      </c>
      <c r="M4" s="965">
        <f t="shared" si="12"/>
        <v>135834</v>
      </c>
      <c r="N4" s="965">
        <f t="shared" si="12"/>
        <v>138699</v>
      </c>
      <c r="O4" s="965">
        <f t="shared" si="12"/>
        <v>154004</v>
      </c>
      <c r="P4" s="965">
        <f t="shared" si="12"/>
        <v>130710</v>
      </c>
      <c r="Q4" s="965">
        <f t="shared" si="12"/>
        <v>115216</v>
      </c>
      <c r="R4" s="965">
        <f t="shared" si="12"/>
        <v>149415</v>
      </c>
      <c r="S4" s="965">
        <f t="shared" si="12"/>
        <v>180926</v>
      </c>
      <c r="T4" s="965">
        <f t="shared" si="12"/>
        <v>205012</v>
      </c>
      <c r="U4" s="965">
        <f t="shared" si="12"/>
        <v>157831</v>
      </c>
      <c r="V4" s="965">
        <f t="shared" si="12"/>
        <v>148263</v>
      </c>
      <c r="W4" s="965">
        <f t="shared" si="12"/>
        <v>173835</v>
      </c>
      <c r="X4" s="965">
        <f t="shared" si="12"/>
        <v>175256</v>
      </c>
      <c r="Y4" s="965">
        <f t="shared" si="12"/>
        <v>183927</v>
      </c>
      <c r="Z4" s="965">
        <f t="shared" si="12"/>
        <v>188518</v>
      </c>
      <c r="AA4" s="965">
        <f t="shared" si="12"/>
        <v>196120</v>
      </c>
      <c r="AB4" s="965">
        <f t="shared" si="12"/>
        <v>183549</v>
      </c>
      <c r="AC4" s="965">
        <f t="shared" si="12"/>
        <v>171115</v>
      </c>
      <c r="AD4" s="965">
        <f t="shared" si="12"/>
        <v>180570</v>
      </c>
      <c r="AE4" s="965">
        <f t="shared" si="12"/>
        <v>271377</v>
      </c>
      <c r="AF4" s="965">
        <f t="shared" si="12"/>
        <v>251022</v>
      </c>
      <c r="AG4" s="965">
        <f t="shared" si="12"/>
        <v>214321</v>
      </c>
      <c r="AH4" s="965">
        <f t="shared" si="12"/>
        <v>187063</v>
      </c>
      <c r="AI4" s="965">
        <f t="shared" si="12"/>
        <v>195560</v>
      </c>
      <c r="AJ4" s="965">
        <f t="shared" si="12"/>
        <v>171780</v>
      </c>
      <c r="AK4" s="965">
        <f t="shared" si="12"/>
        <v>165524</v>
      </c>
      <c r="AL4" s="965">
        <f t="shared" si="12"/>
        <v>164304</v>
      </c>
      <c r="AM4" s="965">
        <f t="shared" si="12"/>
        <v>167008</v>
      </c>
      <c r="AN4" s="965">
        <f t="shared" si="12"/>
        <v>162730</v>
      </c>
      <c r="AO4" s="965">
        <f t="shared" si="12"/>
        <v>159881</v>
      </c>
      <c r="AP4" s="965">
        <f t="shared" si="12"/>
        <v>167483</v>
      </c>
      <c r="AQ4" s="965">
        <f t="shared" si="12"/>
        <v>204152</v>
      </c>
      <c r="AR4" s="965">
        <f t="shared" si="12"/>
        <v>248307</v>
      </c>
      <c r="AS4" s="965">
        <f t="shared" si="12"/>
        <v>209876</v>
      </c>
      <c r="AT4" s="965">
        <f t="shared" si="12"/>
        <v>176441</v>
      </c>
      <c r="AU4" s="965">
        <f t="shared" si="12"/>
        <v>166492</v>
      </c>
      <c r="AV4" s="965">
        <f t="shared" si="12"/>
        <v>158662</v>
      </c>
      <c r="AW4" s="965">
        <f t="shared" si="12"/>
        <v>154297</v>
      </c>
      <c r="AX4" s="965">
        <f t="shared" si="12"/>
        <v>203081</v>
      </c>
      <c r="AY4" s="965">
        <f t="shared" si="12"/>
        <v>179649</v>
      </c>
      <c r="AZ4" s="965">
        <f t="shared" si="12"/>
        <v>175903</v>
      </c>
      <c r="BA4" s="965">
        <f t="shared" si="12"/>
        <v>168836</v>
      </c>
      <c r="BB4" s="965">
        <f t="shared" si="12"/>
        <v>175274</v>
      </c>
      <c r="BC4" s="965">
        <f t="shared" si="12"/>
        <v>217365</v>
      </c>
      <c r="BD4" s="965">
        <f t="shared" si="12"/>
        <v>163850</v>
      </c>
      <c r="BE4" s="965">
        <f t="shared" si="12"/>
        <v>131681</v>
      </c>
      <c r="BF4" s="965">
        <f t="shared" si="12"/>
        <v>118510</v>
      </c>
      <c r="BG4" s="965">
        <f t="shared" si="12"/>
        <v>109666</v>
      </c>
      <c r="BH4" s="965">
        <f t="shared" si="12"/>
        <v>131785</v>
      </c>
      <c r="BI4" s="965">
        <f t="shared" si="12"/>
        <v>132210</v>
      </c>
      <c r="BJ4" s="965">
        <f t="shared" si="12"/>
        <v>149733</v>
      </c>
      <c r="BK4" s="965">
        <f t="shared" si="12"/>
        <v>165049</v>
      </c>
      <c r="BL4" s="965">
        <f t="shared" si="12"/>
        <v>167945</v>
      </c>
      <c r="BM4" s="965">
        <f t="shared" si="12"/>
        <v>168163</v>
      </c>
      <c r="BN4" s="965">
        <f t="shared" ref="BN4:DN4" si="13">SUM(BN5:BN6)</f>
        <v>182441</v>
      </c>
      <c r="BO4" s="965">
        <f t="shared" si="13"/>
        <v>249133</v>
      </c>
      <c r="BP4" s="965">
        <f t="shared" si="13"/>
        <v>249681</v>
      </c>
      <c r="BQ4" s="965">
        <f t="shared" si="13"/>
        <v>242390</v>
      </c>
      <c r="BR4" s="965">
        <f t="shared" si="13"/>
        <v>219920</v>
      </c>
      <c r="BS4" s="965">
        <f t="shared" si="13"/>
        <v>232939</v>
      </c>
      <c r="BT4" s="965">
        <f t="shared" si="13"/>
        <v>234623</v>
      </c>
      <c r="BU4" s="965">
        <f t="shared" si="13"/>
        <v>244848</v>
      </c>
      <c r="BV4" s="965">
        <f t="shared" si="13"/>
        <v>276095</v>
      </c>
      <c r="BW4" s="965">
        <f t="shared" si="13"/>
        <v>269488</v>
      </c>
      <c r="BX4" s="965">
        <f t="shared" si="13"/>
        <v>282808</v>
      </c>
      <c r="BY4" s="965">
        <f t="shared" si="13"/>
        <v>279781</v>
      </c>
      <c r="BZ4" s="965">
        <f t="shared" si="13"/>
        <v>289176</v>
      </c>
      <c r="CA4" s="965">
        <f t="shared" si="13"/>
        <v>314515</v>
      </c>
      <c r="CB4" s="965">
        <f t="shared" si="13"/>
        <v>329798</v>
      </c>
      <c r="CC4" s="965">
        <f t="shared" si="13"/>
        <v>265036</v>
      </c>
      <c r="CD4" s="965">
        <f t="shared" si="13"/>
        <v>243675</v>
      </c>
      <c r="CE4" s="965">
        <f t="shared" si="13"/>
        <v>275622</v>
      </c>
      <c r="CF4" s="965">
        <f t="shared" si="13"/>
        <v>286657</v>
      </c>
      <c r="CG4" s="965">
        <f t="shared" si="13"/>
        <v>274389</v>
      </c>
      <c r="CH4" s="965">
        <f t="shared" si="13"/>
        <v>322235</v>
      </c>
      <c r="CI4" s="965">
        <f t="shared" si="13"/>
        <v>317989</v>
      </c>
      <c r="CJ4" s="965">
        <f t="shared" si="13"/>
        <v>322827</v>
      </c>
      <c r="CK4" s="965">
        <f t="shared" si="13"/>
        <v>318095</v>
      </c>
      <c r="CL4" s="965">
        <f t="shared" si="13"/>
        <v>338054</v>
      </c>
      <c r="CM4" s="966">
        <f t="shared" si="13"/>
        <v>371208</v>
      </c>
      <c r="CN4" s="965">
        <f t="shared" si="13"/>
        <v>351083</v>
      </c>
      <c r="CO4" s="965">
        <f t="shared" si="13"/>
        <v>331967</v>
      </c>
      <c r="CP4" s="965">
        <f t="shared" si="13"/>
        <v>263699</v>
      </c>
      <c r="CQ4" s="965">
        <f t="shared" si="13"/>
        <v>294439</v>
      </c>
      <c r="CR4" s="965">
        <f t="shared" si="13"/>
        <v>301961</v>
      </c>
      <c r="CS4" s="965">
        <f t="shared" si="13"/>
        <v>300848</v>
      </c>
      <c r="CT4" s="965">
        <f t="shared" si="13"/>
        <v>342324</v>
      </c>
      <c r="CU4" s="965">
        <f t="shared" si="13"/>
        <v>321922</v>
      </c>
      <c r="CV4" s="965">
        <f t="shared" si="13"/>
        <v>318377</v>
      </c>
      <c r="CW4" s="965">
        <f t="shared" si="13"/>
        <v>308858</v>
      </c>
      <c r="CX4" s="965">
        <f t="shared" si="13"/>
        <v>304352</v>
      </c>
      <c r="CY4" s="965">
        <f t="shared" si="13"/>
        <v>315314</v>
      </c>
      <c r="CZ4" s="965">
        <f t="shared" si="13"/>
        <v>361186</v>
      </c>
      <c r="DA4" s="965">
        <f t="shared" si="13"/>
        <v>326727</v>
      </c>
      <c r="DB4" s="965">
        <f t="shared" si="13"/>
        <v>298350</v>
      </c>
      <c r="DC4" s="965">
        <f t="shared" si="13"/>
        <v>301361</v>
      </c>
      <c r="DD4" s="965">
        <f t="shared" si="13"/>
        <v>291297</v>
      </c>
      <c r="DE4" s="965">
        <f t="shared" si="13"/>
        <v>267026</v>
      </c>
      <c r="DF4" s="965">
        <f t="shared" si="13"/>
        <v>300827</v>
      </c>
      <c r="DG4" s="965">
        <f t="shared" si="13"/>
        <v>304780</v>
      </c>
      <c r="DH4" s="965">
        <f t="shared" si="13"/>
        <v>254544</v>
      </c>
      <c r="DI4" s="965">
        <f t="shared" si="13"/>
        <v>246828</v>
      </c>
      <c r="DJ4" s="965">
        <f t="shared" si="13"/>
        <v>278583</v>
      </c>
      <c r="DK4" s="965">
        <f t="shared" si="13"/>
        <v>323879</v>
      </c>
      <c r="DL4" s="965">
        <f t="shared" si="13"/>
        <v>348323</v>
      </c>
      <c r="DM4" s="965">
        <f t="shared" si="13"/>
        <v>278703</v>
      </c>
      <c r="DN4" s="965">
        <f t="shared" si="13"/>
        <v>260645</v>
      </c>
      <c r="DO4" s="965">
        <f t="shared" ref="DO4:FG4" si="14">+DO5+DO6</f>
        <v>281390</v>
      </c>
      <c r="DP4" s="965">
        <f t="shared" si="14"/>
        <v>273323</v>
      </c>
      <c r="DQ4" s="965">
        <f t="shared" si="14"/>
        <v>270578</v>
      </c>
      <c r="DR4" s="965">
        <f t="shared" si="14"/>
        <v>299636</v>
      </c>
      <c r="DS4" s="965">
        <f t="shared" si="14"/>
        <v>313020</v>
      </c>
      <c r="DT4" s="965">
        <f t="shared" si="14"/>
        <v>262202</v>
      </c>
      <c r="DU4" s="965">
        <f t="shared" si="14"/>
        <v>267841</v>
      </c>
      <c r="DV4" s="965">
        <f t="shared" si="14"/>
        <v>284302</v>
      </c>
      <c r="DW4" s="965">
        <f t="shared" si="14"/>
        <v>347010</v>
      </c>
      <c r="DX4" s="965">
        <f t="shared" si="14"/>
        <v>336923</v>
      </c>
      <c r="DY4" s="965">
        <f t="shared" si="14"/>
        <v>261948</v>
      </c>
      <c r="DZ4" s="965">
        <f t="shared" si="14"/>
        <v>246233</v>
      </c>
      <c r="EA4" s="965">
        <f t="shared" si="14"/>
        <v>246955</v>
      </c>
      <c r="EB4" s="965">
        <f t="shared" si="14"/>
        <v>216077</v>
      </c>
      <c r="EC4" s="965">
        <f t="shared" si="14"/>
        <v>209937</v>
      </c>
      <c r="ED4" s="965">
        <f t="shared" si="14"/>
        <v>285791</v>
      </c>
      <c r="EE4" s="965">
        <f t="shared" si="14"/>
        <v>301862</v>
      </c>
      <c r="EF4" s="965">
        <f t="shared" si="14"/>
        <v>287582</v>
      </c>
      <c r="EG4" s="965">
        <f t="shared" si="14"/>
        <v>282433</v>
      </c>
      <c r="EH4" s="965">
        <f t="shared" si="14"/>
        <v>290436</v>
      </c>
      <c r="EI4" s="965">
        <f t="shared" si="14"/>
        <v>330228</v>
      </c>
      <c r="EJ4" s="965">
        <f t="shared" si="14"/>
        <v>308733</v>
      </c>
      <c r="EK4" s="965">
        <f t="shared" si="14"/>
        <v>270886</v>
      </c>
      <c r="EL4" s="965">
        <f t="shared" si="14"/>
        <v>247782</v>
      </c>
      <c r="EM4" s="965">
        <f t="shared" si="14"/>
        <v>252988</v>
      </c>
      <c r="EN4" s="965">
        <f t="shared" si="14"/>
        <v>235282</v>
      </c>
      <c r="EO4" s="965">
        <f t="shared" si="14"/>
        <v>264249</v>
      </c>
      <c r="EP4" s="965">
        <f t="shared" si="14"/>
        <v>291898</v>
      </c>
      <c r="EQ4" s="965">
        <f t="shared" si="14"/>
        <v>307344</v>
      </c>
      <c r="ER4" s="965">
        <f t="shared" si="14"/>
        <v>273298</v>
      </c>
      <c r="ES4" s="965">
        <f t="shared" si="14"/>
        <v>285527</v>
      </c>
      <c r="ET4" s="965">
        <f t="shared" si="14"/>
        <v>279911</v>
      </c>
      <c r="EU4" s="965">
        <f t="shared" si="14"/>
        <v>331976</v>
      </c>
      <c r="EV4" s="965">
        <f t="shared" si="14"/>
        <v>307892</v>
      </c>
      <c r="EW4" s="965">
        <f t="shared" si="14"/>
        <v>237757</v>
      </c>
      <c r="EX4" s="965">
        <f t="shared" si="14"/>
        <v>203312</v>
      </c>
      <c r="EY4" s="965">
        <f t="shared" si="14"/>
        <v>211824</v>
      </c>
      <c r="EZ4" s="965">
        <f t="shared" si="14"/>
        <v>244958</v>
      </c>
      <c r="FA4" s="965">
        <f t="shared" si="14"/>
        <v>244235</v>
      </c>
      <c r="FB4" s="965">
        <f t="shared" ref="FB4:FD4" si="15">+FB5+FB6</f>
        <v>293932</v>
      </c>
      <c r="FC4" s="965">
        <f t="shared" si="15"/>
        <v>0</v>
      </c>
      <c r="FD4" s="965">
        <f t="shared" si="15"/>
        <v>0</v>
      </c>
      <c r="FE4" s="965"/>
      <c r="FF4" s="957">
        <f t="shared" si="14"/>
        <v>2518915</v>
      </c>
      <c r="FG4" s="984">
        <f t="shared" si="14"/>
        <v>2605733</v>
      </c>
      <c r="FH4" s="967">
        <f>(FF4/FG4-1)*100</f>
        <v>-3.331807211253035</v>
      </c>
      <c r="FI4" s="934">
        <f>SUM(DR4:EC4)/SUM(DF4:DQ4)*100-100</f>
        <v>-3.8078215803340498</v>
      </c>
      <c r="FJ4" s="935">
        <f>SUM(DF4:DQ4)/SUM(CT4:DE4)*100-100</f>
        <v>-8.9082413162939247</v>
      </c>
      <c r="FK4" s="930"/>
      <c r="FL4" s="936">
        <f>SUM(ED4:EF4)</f>
        <v>875235</v>
      </c>
      <c r="FM4" s="936">
        <f>SUM(EM4:EO4)</f>
        <v>752519</v>
      </c>
      <c r="FN4" s="936">
        <f>SUM(EP4:ER4)</f>
        <v>872540</v>
      </c>
      <c r="FO4" s="930"/>
      <c r="FP4" s="937">
        <f>+FN4/FL4*100-100</f>
        <v>-0.30791730221025659</v>
      </c>
      <c r="FQ4" s="930"/>
      <c r="FR4" s="123" t="s">
        <v>576</v>
      </c>
      <c r="FS4" s="126">
        <f>SUM(FS5:FS6)</f>
        <v>872540</v>
      </c>
      <c r="FT4" s="126">
        <f>SUM(FT5:FT6)</f>
        <v>875235</v>
      </c>
      <c r="FU4" s="938">
        <f t="shared" ref="FU4:FU12" si="16">FS4/FT4*100-100</f>
        <v>-0.30791730221025659</v>
      </c>
      <c r="FV4" s="126">
        <f>SUM(FV5:FV6)</f>
        <v>752519</v>
      </c>
      <c r="FW4" s="938">
        <f>FS4/FV4*100-100</f>
        <v>15.949231846637772</v>
      </c>
      <c r="FX4" s="938">
        <f>FH4</f>
        <v>-3.331807211253035</v>
      </c>
      <c r="FZ4" s="939">
        <f>SUM(CT4:DE4)</f>
        <v>3757094</v>
      </c>
      <c r="GA4" s="939">
        <f>SUM(CH4:CS4)</f>
        <v>3834405</v>
      </c>
      <c r="GB4" s="940">
        <f>FZ4/GA4*100-100</f>
        <v>-2.0162450236738181</v>
      </c>
      <c r="GD4" s="939">
        <f>SUM(CT4:DE4)</f>
        <v>3757094</v>
      </c>
      <c r="GE4" s="939">
        <f>SUM(CH4:CS4)</f>
        <v>3834405</v>
      </c>
      <c r="GF4" s="940">
        <f>GD4/GE4*100-100</f>
        <v>-2.0162450236738181</v>
      </c>
    </row>
    <row r="5" spans="1:188">
      <c r="A5" s="931" t="s">
        <v>744</v>
      </c>
      <c r="B5" s="930">
        <v>83200</v>
      </c>
      <c r="C5" s="930">
        <v>78066</v>
      </c>
      <c r="D5" s="930">
        <v>90402</v>
      </c>
      <c r="E5" s="930">
        <v>96202</v>
      </c>
      <c r="F5" s="930">
        <v>101081</v>
      </c>
      <c r="G5" s="930">
        <v>119079</v>
      </c>
      <c r="H5" s="930">
        <v>134673</v>
      </c>
      <c r="I5" s="930">
        <v>145058</v>
      </c>
      <c r="J5" s="930">
        <v>137713</v>
      </c>
      <c r="K5" s="930">
        <v>123012</v>
      </c>
      <c r="L5" s="930">
        <v>117947</v>
      </c>
      <c r="M5" s="930">
        <v>118489</v>
      </c>
      <c r="N5" s="930">
        <v>127551</v>
      </c>
      <c r="O5" s="930">
        <v>143696</v>
      </c>
      <c r="P5" s="930">
        <v>121448</v>
      </c>
      <c r="Q5" s="930">
        <v>108005</v>
      </c>
      <c r="R5" s="930">
        <v>133685</v>
      </c>
      <c r="S5" s="930">
        <v>165632</v>
      </c>
      <c r="T5" s="930">
        <v>189169</v>
      </c>
      <c r="U5" s="930">
        <v>141083</v>
      </c>
      <c r="V5" s="930">
        <v>137028</v>
      </c>
      <c r="W5" s="930">
        <v>161513</v>
      </c>
      <c r="X5" s="930">
        <v>157386</v>
      </c>
      <c r="Y5" s="930">
        <v>161610</v>
      </c>
      <c r="Z5" s="930">
        <v>165811</v>
      </c>
      <c r="AA5" s="930">
        <v>172847</v>
      </c>
      <c r="AB5" s="930">
        <v>158758</v>
      </c>
      <c r="AC5" s="930">
        <v>140465</v>
      </c>
      <c r="AD5" s="930">
        <v>158636</v>
      </c>
      <c r="AE5" s="930">
        <v>245759</v>
      </c>
      <c r="AF5" s="930">
        <v>223642</v>
      </c>
      <c r="AG5" s="930">
        <v>192182</v>
      </c>
      <c r="AH5" s="930">
        <v>162441</v>
      </c>
      <c r="AI5" s="930">
        <v>172217</v>
      </c>
      <c r="AJ5" s="930">
        <v>146642</v>
      </c>
      <c r="AK5" s="930">
        <v>139460</v>
      </c>
      <c r="AL5" s="930">
        <v>126494</v>
      </c>
      <c r="AM5" s="930">
        <v>129724</v>
      </c>
      <c r="AN5" s="930">
        <v>123273</v>
      </c>
      <c r="AO5" s="930">
        <v>116305</v>
      </c>
      <c r="AP5" s="930">
        <v>121369</v>
      </c>
      <c r="AQ5" s="930">
        <v>166870</v>
      </c>
      <c r="AR5" s="930">
        <v>205004</v>
      </c>
      <c r="AS5" s="930">
        <v>174936</v>
      </c>
      <c r="AT5" s="930">
        <v>137980</v>
      </c>
      <c r="AU5" s="930">
        <v>134704</v>
      </c>
      <c r="AV5" s="930">
        <v>107768</v>
      </c>
      <c r="AW5" s="930">
        <v>113657</v>
      </c>
      <c r="AX5" s="930">
        <v>138117</v>
      </c>
      <c r="AY5" s="930">
        <v>130068</v>
      </c>
      <c r="AZ5" s="930">
        <v>120143</v>
      </c>
      <c r="BA5" s="930">
        <v>113440</v>
      </c>
      <c r="BB5" s="930">
        <v>116887</v>
      </c>
      <c r="BC5" s="930">
        <v>162074</v>
      </c>
      <c r="BD5" s="930">
        <v>102242</v>
      </c>
      <c r="BE5" s="930">
        <v>82283</v>
      </c>
      <c r="BF5" s="930">
        <v>61546</v>
      </c>
      <c r="BG5" s="930">
        <v>66207</v>
      </c>
      <c r="BH5" s="930">
        <v>90473</v>
      </c>
      <c r="BI5" s="930">
        <v>92947</v>
      </c>
      <c r="BJ5" s="930">
        <v>106516</v>
      </c>
      <c r="BK5" s="930">
        <v>113630</v>
      </c>
      <c r="BL5" s="930">
        <v>110048</v>
      </c>
      <c r="BM5" s="930">
        <v>109161</v>
      </c>
      <c r="BN5" s="930">
        <v>121644</v>
      </c>
      <c r="BO5" s="930">
        <v>182902</v>
      </c>
      <c r="BP5" s="930">
        <v>179111</v>
      </c>
      <c r="BQ5" s="930">
        <v>162773</v>
      </c>
      <c r="BR5" s="930">
        <v>146262</v>
      </c>
      <c r="BS5" s="930">
        <v>179212</v>
      </c>
      <c r="BT5" s="930">
        <v>175725</v>
      </c>
      <c r="BU5" s="930">
        <v>194784</v>
      </c>
      <c r="BV5" s="930">
        <v>187994</v>
      </c>
      <c r="BW5" s="930">
        <v>191726</v>
      </c>
      <c r="BX5" s="930">
        <v>186401</v>
      </c>
      <c r="BY5" s="930">
        <v>192138</v>
      </c>
      <c r="BZ5" s="930">
        <v>209567</v>
      </c>
      <c r="CA5" s="930">
        <v>230945</v>
      </c>
      <c r="CB5" s="930">
        <v>239936</v>
      </c>
      <c r="CC5" s="930">
        <v>193174</v>
      </c>
      <c r="CD5" s="930">
        <v>165470</v>
      </c>
      <c r="CE5" s="930">
        <v>192026</v>
      </c>
      <c r="CF5" s="930">
        <v>205145</v>
      </c>
      <c r="CG5" s="930">
        <v>220081</v>
      </c>
      <c r="CH5" s="930">
        <v>195971</v>
      </c>
      <c r="CI5" s="930">
        <v>218321</v>
      </c>
      <c r="CJ5" s="930">
        <v>208883</v>
      </c>
      <c r="CK5" s="930">
        <v>202326</v>
      </c>
      <c r="CL5" s="930">
        <v>226559</v>
      </c>
      <c r="CM5" s="932">
        <v>255786</v>
      </c>
      <c r="CN5" s="930">
        <v>244503</v>
      </c>
      <c r="CO5" s="930">
        <v>228407</v>
      </c>
      <c r="CP5" s="930">
        <v>169485</v>
      </c>
      <c r="CQ5" s="930">
        <v>202214</v>
      </c>
      <c r="CR5" s="930">
        <v>203919</v>
      </c>
      <c r="CS5" s="930">
        <v>210383</v>
      </c>
      <c r="CT5" s="930">
        <v>200228</v>
      </c>
      <c r="CU5" s="930">
        <v>206751</v>
      </c>
      <c r="CV5" s="930">
        <v>211510</v>
      </c>
      <c r="CW5" s="930">
        <v>200535</v>
      </c>
      <c r="CX5" s="930">
        <v>195093</v>
      </c>
      <c r="CY5" s="930">
        <v>206248</v>
      </c>
      <c r="CZ5" s="930">
        <v>261771</v>
      </c>
      <c r="DA5" s="930">
        <v>227186</v>
      </c>
      <c r="DB5" s="930">
        <v>198394</v>
      </c>
      <c r="DC5" s="930">
        <v>196023</v>
      </c>
      <c r="DD5" s="930">
        <v>178632</v>
      </c>
      <c r="DE5" s="930">
        <v>181492</v>
      </c>
      <c r="DF5" s="930">
        <v>199838</v>
      </c>
      <c r="DG5" s="930">
        <v>212129</v>
      </c>
      <c r="DH5" s="930">
        <v>159688</v>
      </c>
      <c r="DI5" s="930">
        <v>153173</v>
      </c>
      <c r="DJ5" s="930">
        <v>150989</v>
      </c>
      <c r="DK5" s="930">
        <v>202310</v>
      </c>
      <c r="DL5" s="930">
        <v>228998</v>
      </c>
      <c r="DM5" s="930">
        <v>162616</v>
      </c>
      <c r="DN5" s="930">
        <v>135567</v>
      </c>
      <c r="DO5" s="930">
        <v>167869</v>
      </c>
      <c r="DP5" s="930">
        <v>156184</v>
      </c>
      <c r="DQ5" s="930">
        <v>169869</v>
      </c>
      <c r="DR5" s="930">
        <v>166874</v>
      </c>
      <c r="DS5" s="930">
        <v>176277</v>
      </c>
      <c r="DT5" s="930">
        <v>147690</v>
      </c>
      <c r="DU5" s="930">
        <v>125053</v>
      </c>
      <c r="DV5" s="930">
        <v>137347</v>
      </c>
      <c r="DW5" s="930">
        <v>199251</v>
      </c>
      <c r="DX5" s="930">
        <v>204281</v>
      </c>
      <c r="DY5" s="930">
        <v>127649</v>
      </c>
      <c r="DZ5" s="930">
        <v>106919</v>
      </c>
      <c r="EA5" s="930">
        <v>128937</v>
      </c>
      <c r="EB5" s="930">
        <v>115840</v>
      </c>
      <c r="EC5" s="930">
        <v>134660</v>
      </c>
      <c r="ED5" s="930">
        <v>160554</v>
      </c>
      <c r="EE5" s="930">
        <v>170668</v>
      </c>
      <c r="EF5" s="930">
        <v>154596</v>
      </c>
      <c r="EG5" s="930">
        <v>143671</v>
      </c>
      <c r="EH5" s="930">
        <v>137948</v>
      </c>
      <c r="EI5" s="930">
        <v>187711</v>
      </c>
      <c r="EJ5" s="930">
        <v>202042</v>
      </c>
      <c r="EK5" s="930">
        <v>152663</v>
      </c>
      <c r="EL5" s="930">
        <v>120322</v>
      </c>
      <c r="EM5" s="930">
        <v>140853</v>
      </c>
      <c r="EN5" s="930">
        <v>151141</v>
      </c>
      <c r="EO5" s="930">
        <v>176788</v>
      </c>
      <c r="EP5" s="930">
        <v>200433</v>
      </c>
      <c r="EQ5" s="930">
        <v>179822</v>
      </c>
      <c r="ER5" s="930">
        <v>168625</v>
      </c>
      <c r="ES5" s="930">
        <v>174324</v>
      </c>
      <c r="ET5" s="930">
        <v>174719</v>
      </c>
      <c r="EU5" s="930">
        <v>230502</v>
      </c>
      <c r="EV5" s="930">
        <v>212997</v>
      </c>
      <c r="EW5" s="930">
        <v>139765</v>
      </c>
      <c r="EX5" s="930">
        <v>106665</v>
      </c>
      <c r="EY5" s="930">
        <v>119803</v>
      </c>
      <c r="EZ5" s="930">
        <v>142287</v>
      </c>
      <c r="FA5" s="930">
        <v>151449</v>
      </c>
      <c r="FB5" s="930">
        <v>161930</v>
      </c>
      <c r="FC5" s="930"/>
      <c r="FD5" s="930"/>
      <c r="FE5" s="930"/>
      <c r="FF5" s="939">
        <f t="shared" ref="FF5:FF6" si="17">+SUM(EP5:EX5)</f>
        <v>1587852</v>
      </c>
      <c r="FG5" s="941">
        <f t="shared" ref="FG5:FG6" si="18">+SUM(ED5:EL5)</f>
        <v>1430175</v>
      </c>
      <c r="FH5" s="967">
        <f>(FF5/FG5-1)*100</f>
        <v>11.025014421312074</v>
      </c>
      <c r="FI5" s="934">
        <f>SUM(DR5:EC5)/SUM(DF5:DQ5)*100-100</f>
        <v>-15.646308408321147</v>
      </c>
      <c r="FJ5" s="935">
        <f>SUM(DF5:DQ5)/SUM(CT5:DE5)*100-100</f>
        <v>-14.79924005514917</v>
      </c>
      <c r="FK5" s="930"/>
      <c r="FL5" s="936">
        <f>SUM(ED5:EF5)</f>
        <v>485818</v>
      </c>
      <c r="FM5" s="936">
        <f>SUM(EM5:EO5)</f>
        <v>468782</v>
      </c>
      <c r="FN5" s="936">
        <f>SUM(EP5:ER5)</f>
        <v>548880</v>
      </c>
      <c r="FO5" s="930"/>
      <c r="FP5" s="930"/>
      <c r="FQ5" s="930"/>
      <c r="FR5" s="123" t="s">
        <v>744</v>
      </c>
      <c r="FS5" s="126">
        <f>FN5</f>
        <v>548880</v>
      </c>
      <c r="FT5" s="126">
        <f>FL5</f>
        <v>485818</v>
      </c>
      <c r="FU5" s="938">
        <f t="shared" si="16"/>
        <v>12.980581205307345</v>
      </c>
      <c r="FV5" s="126">
        <f>FM5</f>
        <v>468782</v>
      </c>
      <c r="FW5" s="938">
        <f t="shared" ref="FW5:FW12" si="19">FS5/FV5*100-100</f>
        <v>17.086406901288868</v>
      </c>
      <c r="FX5" s="938">
        <f>FH5</f>
        <v>11.025014421312074</v>
      </c>
      <c r="FZ5" s="939">
        <f>SUM(CT5:DE5)</f>
        <v>2463863</v>
      </c>
      <c r="GA5" s="939">
        <f>SUM(CH5:CS5)</f>
        <v>2566757</v>
      </c>
      <c r="GB5" s="940">
        <f t="shared" ref="GB5:GB25" si="20">FZ5/GA5*100-100</f>
        <v>-4.0087160568764375</v>
      </c>
      <c r="GD5" s="939">
        <f>SUM(CT5:DE5)</f>
        <v>2463863</v>
      </c>
      <c r="GE5" s="939">
        <f>SUM(CH5:CS5)</f>
        <v>2566757</v>
      </c>
      <c r="GF5" s="940">
        <f t="shared" ref="GF5:GF25" si="21">GD5/GE5*100-100</f>
        <v>-4.0087160568764375</v>
      </c>
    </row>
    <row r="6" spans="1:188">
      <c r="A6" s="931" t="s">
        <v>2547</v>
      </c>
      <c r="B6" s="930">
        <v>9356</v>
      </c>
      <c r="C6" s="930">
        <v>11219</v>
      </c>
      <c r="D6" s="930">
        <v>9166</v>
      </c>
      <c r="E6" s="930">
        <v>8779</v>
      </c>
      <c r="F6" s="930">
        <v>6963</v>
      </c>
      <c r="G6" s="930">
        <v>9331</v>
      </c>
      <c r="H6" s="930">
        <v>10495</v>
      </c>
      <c r="I6" s="930">
        <v>10328</v>
      </c>
      <c r="J6" s="930">
        <v>7263</v>
      </c>
      <c r="K6" s="930">
        <v>10402</v>
      </c>
      <c r="L6" s="930">
        <v>13303</v>
      </c>
      <c r="M6" s="930">
        <v>17345</v>
      </c>
      <c r="N6" s="930">
        <v>11148</v>
      </c>
      <c r="O6" s="930">
        <v>10308</v>
      </c>
      <c r="P6" s="930">
        <v>9262</v>
      </c>
      <c r="Q6" s="930">
        <v>7211</v>
      </c>
      <c r="R6" s="930">
        <v>15730</v>
      </c>
      <c r="S6" s="930">
        <v>15294</v>
      </c>
      <c r="T6" s="930">
        <v>15843</v>
      </c>
      <c r="U6" s="930">
        <v>16748</v>
      </c>
      <c r="V6" s="930">
        <v>11235</v>
      </c>
      <c r="W6" s="930">
        <v>12322</v>
      </c>
      <c r="X6" s="930">
        <v>17870</v>
      </c>
      <c r="Y6" s="930">
        <v>22317</v>
      </c>
      <c r="Z6" s="930">
        <v>22707</v>
      </c>
      <c r="AA6" s="930">
        <v>23273</v>
      </c>
      <c r="AB6" s="930">
        <v>24791</v>
      </c>
      <c r="AC6" s="930">
        <v>30650</v>
      </c>
      <c r="AD6" s="930">
        <v>21934</v>
      </c>
      <c r="AE6" s="930">
        <v>25618</v>
      </c>
      <c r="AF6" s="930">
        <v>27380</v>
      </c>
      <c r="AG6" s="930">
        <v>22139</v>
      </c>
      <c r="AH6" s="930">
        <v>24622</v>
      </c>
      <c r="AI6" s="930">
        <v>23343</v>
      </c>
      <c r="AJ6" s="930">
        <v>25138</v>
      </c>
      <c r="AK6" s="930">
        <v>26064</v>
      </c>
      <c r="AL6" s="930">
        <v>37810</v>
      </c>
      <c r="AM6" s="930">
        <v>37284</v>
      </c>
      <c r="AN6" s="930">
        <v>39457</v>
      </c>
      <c r="AO6" s="930">
        <v>43576</v>
      </c>
      <c r="AP6" s="930">
        <v>46114</v>
      </c>
      <c r="AQ6" s="930">
        <v>37282</v>
      </c>
      <c r="AR6" s="930">
        <v>43303</v>
      </c>
      <c r="AS6" s="930">
        <v>34940</v>
      </c>
      <c r="AT6" s="930">
        <v>38461</v>
      </c>
      <c r="AU6" s="930">
        <v>31788</v>
      </c>
      <c r="AV6" s="930">
        <v>50894</v>
      </c>
      <c r="AW6" s="930">
        <v>40640</v>
      </c>
      <c r="AX6" s="930">
        <v>64964</v>
      </c>
      <c r="AY6" s="930">
        <v>49581</v>
      </c>
      <c r="AZ6" s="930">
        <v>55760</v>
      </c>
      <c r="BA6" s="930">
        <v>55396</v>
      </c>
      <c r="BB6" s="930">
        <v>58387</v>
      </c>
      <c r="BC6" s="930">
        <v>55291</v>
      </c>
      <c r="BD6" s="930">
        <v>61608</v>
      </c>
      <c r="BE6" s="930">
        <v>49398</v>
      </c>
      <c r="BF6" s="930">
        <v>56964</v>
      </c>
      <c r="BG6" s="930">
        <v>43459</v>
      </c>
      <c r="BH6" s="930">
        <v>41312</v>
      </c>
      <c r="BI6" s="930">
        <v>39263</v>
      </c>
      <c r="BJ6" s="930">
        <v>43217</v>
      </c>
      <c r="BK6" s="930">
        <v>51419</v>
      </c>
      <c r="BL6" s="930">
        <v>57897</v>
      </c>
      <c r="BM6" s="930">
        <v>59002</v>
      </c>
      <c r="BN6" s="930">
        <v>60797</v>
      </c>
      <c r="BO6" s="930">
        <v>66231</v>
      </c>
      <c r="BP6" s="930">
        <v>70570</v>
      </c>
      <c r="BQ6" s="930">
        <v>79617</v>
      </c>
      <c r="BR6" s="930">
        <v>73658</v>
      </c>
      <c r="BS6" s="930">
        <v>53727</v>
      </c>
      <c r="BT6" s="930">
        <v>58898</v>
      </c>
      <c r="BU6" s="930">
        <v>50064</v>
      </c>
      <c r="BV6" s="930">
        <v>88101</v>
      </c>
      <c r="BW6" s="930">
        <v>77762</v>
      </c>
      <c r="BX6" s="930">
        <v>96407</v>
      </c>
      <c r="BY6" s="930">
        <v>87643</v>
      </c>
      <c r="BZ6" s="930">
        <v>79609</v>
      </c>
      <c r="CA6" s="930">
        <v>83570</v>
      </c>
      <c r="CB6" s="930">
        <v>89862</v>
      </c>
      <c r="CC6" s="930">
        <v>71862</v>
      </c>
      <c r="CD6" s="930">
        <v>78205</v>
      </c>
      <c r="CE6" s="930">
        <v>83596</v>
      </c>
      <c r="CF6" s="930">
        <v>81512</v>
      </c>
      <c r="CG6" s="930">
        <v>54308</v>
      </c>
      <c r="CH6" s="930">
        <v>126264</v>
      </c>
      <c r="CI6" s="930">
        <v>99668</v>
      </c>
      <c r="CJ6" s="930">
        <v>113944</v>
      </c>
      <c r="CK6" s="930">
        <v>115769</v>
      </c>
      <c r="CL6" s="930">
        <v>111495</v>
      </c>
      <c r="CM6" s="932">
        <v>115422</v>
      </c>
      <c r="CN6" s="930">
        <v>106580</v>
      </c>
      <c r="CO6" s="930">
        <v>103560</v>
      </c>
      <c r="CP6" s="930">
        <v>94214</v>
      </c>
      <c r="CQ6" s="930">
        <v>92225</v>
      </c>
      <c r="CR6" s="930">
        <v>98042</v>
      </c>
      <c r="CS6" s="930">
        <v>90465</v>
      </c>
      <c r="CT6" s="930">
        <v>142096</v>
      </c>
      <c r="CU6" s="930">
        <v>115171</v>
      </c>
      <c r="CV6" s="930">
        <v>106867</v>
      </c>
      <c r="CW6" s="930">
        <v>108323</v>
      </c>
      <c r="CX6" s="930">
        <v>109259</v>
      </c>
      <c r="CY6" s="930">
        <v>109066</v>
      </c>
      <c r="CZ6" s="930">
        <v>99415</v>
      </c>
      <c r="DA6" s="930">
        <v>99541</v>
      </c>
      <c r="DB6" s="930">
        <v>99956</v>
      </c>
      <c r="DC6" s="930">
        <v>105338</v>
      </c>
      <c r="DD6" s="930">
        <v>112665</v>
      </c>
      <c r="DE6" s="930">
        <v>85534</v>
      </c>
      <c r="DF6" s="930">
        <v>100989</v>
      </c>
      <c r="DG6" s="930">
        <v>92651</v>
      </c>
      <c r="DH6" s="930">
        <v>94856</v>
      </c>
      <c r="DI6" s="930">
        <v>93655</v>
      </c>
      <c r="DJ6" s="930">
        <v>127594</v>
      </c>
      <c r="DK6" s="930">
        <v>121569</v>
      </c>
      <c r="DL6" s="930">
        <v>119325</v>
      </c>
      <c r="DM6" s="930">
        <v>116087</v>
      </c>
      <c r="DN6" s="930">
        <v>125078</v>
      </c>
      <c r="DO6" s="930">
        <v>113521</v>
      </c>
      <c r="DP6" s="930">
        <v>117139</v>
      </c>
      <c r="DQ6" s="930">
        <v>100709</v>
      </c>
      <c r="DR6" s="930">
        <v>132762</v>
      </c>
      <c r="DS6" s="930">
        <v>136743</v>
      </c>
      <c r="DT6" s="930">
        <v>114512</v>
      </c>
      <c r="DU6" s="930">
        <v>142788</v>
      </c>
      <c r="DV6" s="930">
        <v>146955</v>
      </c>
      <c r="DW6" s="930">
        <v>147759</v>
      </c>
      <c r="DX6" s="930">
        <v>132642</v>
      </c>
      <c r="DY6" s="930">
        <v>134299</v>
      </c>
      <c r="DZ6" s="930">
        <v>139314</v>
      </c>
      <c r="EA6" s="930">
        <v>118018</v>
      </c>
      <c r="EB6" s="930">
        <v>100237</v>
      </c>
      <c r="EC6" s="930">
        <v>75277</v>
      </c>
      <c r="ED6" s="930">
        <v>125237</v>
      </c>
      <c r="EE6" s="930">
        <v>131194</v>
      </c>
      <c r="EF6" s="930">
        <v>132986</v>
      </c>
      <c r="EG6" s="930">
        <v>138762</v>
      </c>
      <c r="EH6" s="930">
        <v>152488</v>
      </c>
      <c r="EI6" s="930">
        <v>142517</v>
      </c>
      <c r="EJ6" s="930">
        <v>106691</v>
      </c>
      <c r="EK6" s="930">
        <v>118223</v>
      </c>
      <c r="EL6" s="930">
        <v>127460</v>
      </c>
      <c r="EM6" s="930">
        <v>112135</v>
      </c>
      <c r="EN6" s="930">
        <v>84141</v>
      </c>
      <c r="EO6" s="930">
        <v>87461</v>
      </c>
      <c r="EP6" s="930">
        <v>91465</v>
      </c>
      <c r="EQ6" s="930">
        <v>127522</v>
      </c>
      <c r="ER6" s="930">
        <v>104673</v>
      </c>
      <c r="ES6" s="930">
        <v>111203</v>
      </c>
      <c r="ET6" s="930">
        <v>105192</v>
      </c>
      <c r="EU6" s="930">
        <v>101474</v>
      </c>
      <c r="EV6" s="930">
        <v>94895</v>
      </c>
      <c r="EW6" s="930">
        <v>97992</v>
      </c>
      <c r="EX6" s="930">
        <v>96647</v>
      </c>
      <c r="EY6" s="930">
        <v>92021</v>
      </c>
      <c r="EZ6" s="930">
        <v>102671</v>
      </c>
      <c r="FA6" s="930">
        <v>92786</v>
      </c>
      <c r="FB6" s="930">
        <v>132002</v>
      </c>
      <c r="FC6" s="930"/>
      <c r="FD6" s="930"/>
      <c r="FE6" s="930"/>
      <c r="FF6" s="939">
        <f t="shared" si="17"/>
        <v>931063</v>
      </c>
      <c r="FG6" s="941">
        <f t="shared" si="18"/>
        <v>1175558</v>
      </c>
      <c r="FH6" s="967">
        <f>(FF6/FG6-1)*100</f>
        <v>-20.798208170077526</v>
      </c>
      <c r="FI6" s="934">
        <f>SUM(DR6:EC6)/SUM(DF6:DQ6)*100-100</f>
        <v>14.974081242588838</v>
      </c>
      <c r="FJ6" s="935">
        <f>SUM(DF6:DQ6)/SUM(CT6:DE6)*100-100</f>
        <v>2.3152862868273303</v>
      </c>
      <c r="FL6" s="936">
        <f>SUM(ED6:EF6)</f>
        <v>389417</v>
      </c>
      <c r="FM6" s="936">
        <f>SUM(EM6:EO6)</f>
        <v>283737</v>
      </c>
      <c r="FN6" s="936">
        <f>SUM(EP6:ER6)</f>
        <v>323660</v>
      </c>
      <c r="FO6" s="930"/>
      <c r="FR6" s="123" t="s">
        <v>2547</v>
      </c>
      <c r="FS6" s="126">
        <f>FN6</f>
        <v>323660</v>
      </c>
      <c r="FT6" s="126">
        <f>FL6</f>
        <v>389417</v>
      </c>
      <c r="FU6" s="938">
        <f t="shared" si="16"/>
        <v>-16.886011653317652</v>
      </c>
      <c r="FV6" s="126">
        <f>FM6</f>
        <v>283737</v>
      </c>
      <c r="FW6" s="938">
        <f t="shared" si="19"/>
        <v>14.070424371865499</v>
      </c>
      <c r="FX6" s="938">
        <f>FH6</f>
        <v>-20.798208170077526</v>
      </c>
      <c r="FZ6" s="939">
        <f>SUM(CT6:DE6)</f>
        <v>1293231</v>
      </c>
      <c r="GA6" s="939">
        <f>SUM(CH6:CS6)</f>
        <v>1267648</v>
      </c>
      <c r="GB6" s="940">
        <f t="shared" si="20"/>
        <v>2.0181469934871501</v>
      </c>
      <c r="GD6" s="939">
        <f>SUM(CT6:DE6)</f>
        <v>1293231</v>
      </c>
      <c r="GE6" s="939">
        <f>SUM(CH6:CS6)</f>
        <v>1267648</v>
      </c>
      <c r="GF6" s="940">
        <f t="shared" si="21"/>
        <v>2.0181469934871501</v>
      </c>
    </row>
    <row r="7" spans="1:188">
      <c r="DF7" s="942"/>
      <c r="DG7" s="942"/>
      <c r="DH7" s="942"/>
      <c r="DI7" s="942"/>
      <c r="DJ7" s="942"/>
      <c r="DK7" s="942"/>
      <c r="DL7" s="942"/>
      <c r="DM7" s="942"/>
      <c r="DN7" s="942"/>
      <c r="DO7" s="942"/>
      <c r="DP7" s="942"/>
      <c r="DQ7" s="942"/>
      <c r="DR7" s="942"/>
      <c r="DS7" s="942"/>
      <c r="DT7" s="942"/>
      <c r="DU7" s="942"/>
      <c r="DV7" s="942"/>
      <c r="DW7" s="942"/>
      <c r="DX7" s="942"/>
      <c r="DY7" s="942"/>
      <c r="DZ7" s="942"/>
      <c r="EA7" s="942"/>
      <c r="EB7" s="942"/>
      <c r="EC7" s="942"/>
      <c r="ED7" s="942"/>
      <c r="EE7" s="942"/>
      <c r="EF7" s="943">
        <f>+SUM(ED5:EF5)</f>
        <v>485818</v>
      </c>
      <c r="EG7" s="942"/>
      <c r="EH7" s="942"/>
      <c r="EI7" s="943">
        <f>+SUM(EG5:EI5)</f>
        <v>469330</v>
      </c>
      <c r="EJ7" s="942"/>
      <c r="EK7" s="942"/>
      <c r="EL7" s="943">
        <f>+SUM(EJ5:EL5)</f>
        <v>475027</v>
      </c>
      <c r="EM7" s="942"/>
      <c r="EN7" s="942"/>
      <c r="EO7" s="943">
        <f>+SUM(EM5:EO5)</f>
        <v>468782</v>
      </c>
      <c r="EP7" s="942"/>
      <c r="EQ7" s="942"/>
      <c r="ER7" s="943">
        <f>+SUM(EP5:ER5)</f>
        <v>548880</v>
      </c>
      <c r="ES7" s="943"/>
      <c r="ET7" s="943"/>
      <c r="EU7" s="943"/>
      <c r="EV7" s="943"/>
      <c r="EW7" s="943"/>
      <c r="EX7" s="943"/>
      <c r="EY7" s="943"/>
      <c r="EZ7" s="943"/>
      <c r="FA7" s="943"/>
      <c r="FB7" s="943"/>
      <c r="FC7" s="943"/>
      <c r="FD7" s="943"/>
      <c r="FE7" s="943"/>
      <c r="FF7" s="942"/>
      <c r="FG7" s="944"/>
      <c r="FH7" s="925"/>
      <c r="FI7" s="934"/>
      <c r="FJ7" s="934"/>
      <c r="FR7" s="123" t="s">
        <v>2392</v>
      </c>
      <c r="FS7" s="126">
        <f>SUM(FS8:FS9)</f>
        <v>119289</v>
      </c>
      <c r="FT7" s="126">
        <f>SUM(FT8:FT9)</f>
        <v>137794</v>
      </c>
      <c r="FU7" s="938">
        <f t="shared" si="16"/>
        <v>-13.429467175639004</v>
      </c>
      <c r="FV7" s="126">
        <f>SUM(FV8:FV9)</f>
        <v>118396</v>
      </c>
      <c r="FW7" s="938">
        <f t="shared" si="19"/>
        <v>0.75424845433967391</v>
      </c>
      <c r="FX7" s="938">
        <f>FH9</f>
        <v>-15.708423835828878</v>
      </c>
      <c r="GB7" s="940"/>
      <c r="GF7" s="940"/>
    </row>
    <row r="8" spans="1:188">
      <c r="A8" s="927" t="s">
        <v>2548</v>
      </c>
      <c r="DN8" s="945"/>
      <c r="DO8" s="945"/>
      <c r="DP8" s="945"/>
      <c r="DQ8" s="945"/>
      <c r="DR8" s="945"/>
      <c r="DS8" s="945"/>
      <c r="DT8" s="945"/>
      <c r="DU8" s="945"/>
      <c r="DV8" s="945"/>
      <c r="DW8" s="945"/>
      <c r="DX8" s="945"/>
      <c r="DY8" s="945"/>
      <c r="DZ8" s="945"/>
      <c r="EA8" s="945"/>
      <c r="EB8" s="945"/>
      <c r="EC8" s="945"/>
      <c r="ED8" s="945"/>
      <c r="EE8" s="945"/>
      <c r="EF8" s="945"/>
      <c r="EG8" s="945"/>
      <c r="EH8" s="945"/>
      <c r="EI8" s="945"/>
      <c r="EJ8" s="945"/>
      <c r="EK8" s="945"/>
      <c r="EL8" s="945"/>
      <c r="EM8" s="945"/>
      <c r="EN8" s="945"/>
      <c r="EO8" s="945"/>
      <c r="EP8" s="945"/>
      <c r="EQ8" s="945"/>
      <c r="ER8" s="945"/>
      <c r="ES8" s="945"/>
      <c r="ET8" s="945"/>
      <c r="EU8" s="945"/>
      <c r="EV8" s="945"/>
      <c r="EW8" s="945"/>
      <c r="EX8" s="945"/>
      <c r="EY8" s="945"/>
      <c r="EZ8" s="945"/>
      <c r="FA8" s="945"/>
      <c r="FB8" s="945"/>
      <c r="FC8" s="945"/>
      <c r="FD8" s="945"/>
      <c r="FE8" s="945"/>
      <c r="FF8" s="945"/>
      <c r="FG8" s="944"/>
      <c r="FH8" s="925"/>
      <c r="FI8" s="934"/>
      <c r="FJ8" s="934"/>
      <c r="FM8" s="946"/>
      <c r="FN8" s="946"/>
      <c r="FR8" s="123" t="s">
        <v>744</v>
      </c>
      <c r="FS8" s="126">
        <f>FN10</f>
        <v>73190</v>
      </c>
      <c r="FT8" s="126">
        <f>FL10</f>
        <v>50715</v>
      </c>
      <c r="FU8" s="938">
        <f t="shared" si="16"/>
        <v>44.316277235531885</v>
      </c>
      <c r="FV8" s="126">
        <f>FM10</f>
        <v>69804</v>
      </c>
      <c r="FW8" s="938">
        <f t="shared" si="19"/>
        <v>4.850724886825958</v>
      </c>
      <c r="FX8" s="938">
        <f>FH10</f>
        <v>6.2991526437731871</v>
      </c>
      <c r="GB8" s="940"/>
      <c r="GF8" s="940"/>
    </row>
    <row r="9" spans="1:188">
      <c r="A9" s="931" t="s">
        <v>230</v>
      </c>
      <c r="B9" s="965">
        <f t="shared" ref="B9:BM9" si="22">SUM(B10:B11)</f>
        <v>14028</v>
      </c>
      <c r="C9" s="965">
        <f t="shared" si="22"/>
        <v>14036</v>
      </c>
      <c r="D9" s="965">
        <f t="shared" si="22"/>
        <v>19226</v>
      </c>
      <c r="E9" s="965">
        <f t="shared" si="22"/>
        <v>18870</v>
      </c>
      <c r="F9" s="965">
        <f t="shared" si="22"/>
        <v>17145</v>
      </c>
      <c r="G9" s="965">
        <f t="shared" si="22"/>
        <v>19739</v>
      </c>
      <c r="H9" s="965">
        <f t="shared" si="22"/>
        <v>15708</v>
      </c>
      <c r="I9" s="965">
        <f t="shared" si="22"/>
        <v>12962</v>
      </c>
      <c r="J9" s="965">
        <f t="shared" si="22"/>
        <v>12224</v>
      </c>
      <c r="K9" s="965">
        <f t="shared" si="22"/>
        <v>13351</v>
      </c>
      <c r="L9" s="965">
        <f t="shared" si="22"/>
        <v>15496</v>
      </c>
      <c r="M9" s="965">
        <f t="shared" si="22"/>
        <v>15740</v>
      </c>
      <c r="N9" s="965">
        <f t="shared" si="22"/>
        <v>15043</v>
      </c>
      <c r="O9" s="965">
        <f t="shared" si="22"/>
        <v>13538</v>
      </c>
      <c r="P9" s="965">
        <f t="shared" si="22"/>
        <v>17424</v>
      </c>
      <c r="Q9" s="965">
        <f t="shared" si="22"/>
        <v>20148</v>
      </c>
      <c r="R9" s="965">
        <f t="shared" si="22"/>
        <v>19931</v>
      </c>
      <c r="S9" s="965">
        <f t="shared" si="22"/>
        <v>20192</v>
      </c>
      <c r="T9" s="965">
        <f t="shared" si="22"/>
        <v>18764</v>
      </c>
      <c r="U9" s="965">
        <f t="shared" si="22"/>
        <v>14200</v>
      </c>
      <c r="V9" s="965">
        <f t="shared" si="22"/>
        <v>15541</v>
      </c>
      <c r="W9" s="965">
        <f t="shared" si="22"/>
        <v>18405</v>
      </c>
      <c r="X9" s="965">
        <f t="shared" si="22"/>
        <v>22079</v>
      </c>
      <c r="Y9" s="965">
        <f t="shared" si="22"/>
        <v>20711</v>
      </c>
      <c r="Z9" s="965">
        <f t="shared" si="22"/>
        <v>18221</v>
      </c>
      <c r="AA9" s="965">
        <f t="shared" si="22"/>
        <v>20594</v>
      </c>
      <c r="AB9" s="965">
        <f t="shared" si="22"/>
        <v>22105</v>
      </c>
      <c r="AC9" s="965">
        <f t="shared" si="22"/>
        <v>23085</v>
      </c>
      <c r="AD9" s="965">
        <f t="shared" si="22"/>
        <v>22082</v>
      </c>
      <c r="AE9" s="965">
        <f t="shared" si="22"/>
        <v>23160</v>
      </c>
      <c r="AF9" s="965">
        <f t="shared" si="22"/>
        <v>24418</v>
      </c>
      <c r="AG9" s="965">
        <f t="shared" si="22"/>
        <v>25771</v>
      </c>
      <c r="AH9" s="965">
        <f t="shared" si="22"/>
        <v>24249</v>
      </c>
      <c r="AI9" s="965">
        <f t="shared" si="22"/>
        <v>28931</v>
      </c>
      <c r="AJ9" s="965">
        <f t="shared" si="22"/>
        <v>24961</v>
      </c>
      <c r="AK9" s="965">
        <f t="shared" si="22"/>
        <v>21738</v>
      </c>
      <c r="AL9" s="965">
        <f t="shared" si="22"/>
        <v>22107</v>
      </c>
      <c r="AM9" s="965">
        <f t="shared" si="22"/>
        <v>21795</v>
      </c>
      <c r="AN9" s="965">
        <f t="shared" si="22"/>
        <v>20243</v>
      </c>
      <c r="AO9" s="965">
        <f t="shared" si="22"/>
        <v>21213</v>
      </c>
      <c r="AP9" s="965">
        <f t="shared" si="22"/>
        <v>22168</v>
      </c>
      <c r="AQ9" s="965">
        <f t="shared" si="22"/>
        <v>23524</v>
      </c>
      <c r="AR9" s="965">
        <f t="shared" si="22"/>
        <v>25167</v>
      </c>
      <c r="AS9" s="965">
        <f t="shared" si="22"/>
        <v>21769</v>
      </c>
      <c r="AT9" s="965">
        <f t="shared" si="22"/>
        <v>20623</v>
      </c>
      <c r="AU9" s="965">
        <f t="shared" si="22"/>
        <v>22785</v>
      </c>
      <c r="AV9" s="965">
        <f t="shared" si="22"/>
        <v>22706</v>
      </c>
      <c r="AW9" s="965">
        <f t="shared" si="22"/>
        <v>19494</v>
      </c>
      <c r="AX9" s="965">
        <f t="shared" si="22"/>
        <v>16710</v>
      </c>
      <c r="AY9" s="965">
        <f t="shared" si="22"/>
        <v>19428</v>
      </c>
      <c r="AZ9" s="965">
        <f t="shared" si="22"/>
        <v>18712</v>
      </c>
      <c r="BA9" s="965">
        <f t="shared" si="22"/>
        <v>22641</v>
      </c>
      <c r="BB9" s="965">
        <f t="shared" si="22"/>
        <v>23354</v>
      </c>
      <c r="BC9" s="965">
        <f t="shared" si="22"/>
        <v>25910</v>
      </c>
      <c r="BD9" s="965">
        <f t="shared" si="22"/>
        <v>25328</v>
      </c>
      <c r="BE9" s="965">
        <f t="shared" si="22"/>
        <v>26863</v>
      </c>
      <c r="BF9" s="965">
        <f t="shared" si="22"/>
        <v>22605</v>
      </c>
      <c r="BG9" s="965">
        <f t="shared" si="22"/>
        <v>21386</v>
      </c>
      <c r="BH9" s="965">
        <f t="shared" si="22"/>
        <v>20681</v>
      </c>
      <c r="BI9" s="965">
        <f t="shared" si="22"/>
        <v>20711</v>
      </c>
      <c r="BJ9" s="965">
        <f t="shared" si="22"/>
        <v>18185</v>
      </c>
      <c r="BK9" s="965">
        <f t="shared" si="22"/>
        <v>18836</v>
      </c>
      <c r="BL9" s="965">
        <f t="shared" si="22"/>
        <v>23942</v>
      </c>
      <c r="BM9" s="965">
        <f t="shared" si="22"/>
        <v>23276</v>
      </c>
      <c r="BN9" s="965">
        <f t="shared" ref="BN9:DY9" si="23">SUM(BN10:BN11)</f>
        <v>29391</v>
      </c>
      <c r="BO9" s="965">
        <f t="shared" si="23"/>
        <v>30197</v>
      </c>
      <c r="BP9" s="965">
        <f t="shared" si="23"/>
        <v>29525</v>
      </c>
      <c r="BQ9" s="965">
        <f t="shared" si="23"/>
        <v>33262</v>
      </c>
      <c r="BR9" s="965">
        <f t="shared" si="23"/>
        <v>30952</v>
      </c>
      <c r="BS9" s="965">
        <f t="shared" si="23"/>
        <v>32435</v>
      </c>
      <c r="BT9" s="965">
        <f t="shared" si="23"/>
        <v>31761</v>
      </c>
      <c r="BU9" s="965">
        <f t="shared" si="23"/>
        <v>27649</v>
      </c>
      <c r="BV9" s="965">
        <f t="shared" si="23"/>
        <v>37036</v>
      </c>
      <c r="BW9" s="965">
        <f t="shared" si="23"/>
        <v>29671</v>
      </c>
      <c r="BX9" s="965">
        <f t="shared" si="23"/>
        <v>32248</v>
      </c>
      <c r="BY9" s="965">
        <f t="shared" si="23"/>
        <v>38343</v>
      </c>
      <c r="BZ9" s="965">
        <f t="shared" si="23"/>
        <v>39886</v>
      </c>
      <c r="CA9" s="965">
        <f t="shared" si="23"/>
        <v>38105</v>
      </c>
      <c r="CB9" s="965">
        <f t="shared" si="23"/>
        <v>40834</v>
      </c>
      <c r="CC9" s="965">
        <f t="shared" si="23"/>
        <v>33990</v>
      </c>
      <c r="CD9" s="965">
        <f t="shared" si="23"/>
        <v>32663</v>
      </c>
      <c r="CE9" s="965">
        <f t="shared" si="23"/>
        <v>37334</v>
      </c>
      <c r="CF9" s="965">
        <f t="shared" si="23"/>
        <v>39539</v>
      </c>
      <c r="CG9" s="965">
        <f t="shared" si="23"/>
        <v>32704</v>
      </c>
      <c r="CH9" s="965">
        <f t="shared" si="23"/>
        <v>44549</v>
      </c>
      <c r="CI9" s="965">
        <f t="shared" si="23"/>
        <v>40384</v>
      </c>
      <c r="CJ9" s="965">
        <f t="shared" si="23"/>
        <v>43198</v>
      </c>
      <c r="CK9" s="965">
        <f t="shared" si="23"/>
        <v>44942</v>
      </c>
      <c r="CL9" s="965">
        <f t="shared" si="23"/>
        <v>44055</v>
      </c>
      <c r="CM9" s="966">
        <f t="shared" si="23"/>
        <v>45899</v>
      </c>
      <c r="CN9" s="965">
        <f t="shared" si="23"/>
        <v>43368</v>
      </c>
      <c r="CO9" s="965">
        <f t="shared" si="23"/>
        <v>41808</v>
      </c>
      <c r="CP9" s="965">
        <f t="shared" si="23"/>
        <v>41457</v>
      </c>
      <c r="CQ9" s="965">
        <f t="shared" si="23"/>
        <v>42667</v>
      </c>
      <c r="CR9" s="965">
        <f t="shared" si="23"/>
        <v>41082</v>
      </c>
      <c r="CS9" s="965">
        <f t="shared" si="23"/>
        <v>33908</v>
      </c>
      <c r="CT9" s="965">
        <f t="shared" si="23"/>
        <v>38911</v>
      </c>
      <c r="CU9" s="965">
        <f t="shared" si="23"/>
        <v>29831</v>
      </c>
      <c r="CV9" s="965">
        <f t="shared" si="23"/>
        <v>26507</v>
      </c>
      <c r="CW9" s="965">
        <f t="shared" si="23"/>
        <v>34918</v>
      </c>
      <c r="CX9" s="965">
        <f t="shared" si="23"/>
        <v>40243</v>
      </c>
      <c r="CY9" s="965">
        <f t="shared" si="23"/>
        <v>44619</v>
      </c>
      <c r="CZ9" s="965">
        <f t="shared" si="23"/>
        <v>49993</v>
      </c>
      <c r="DA9" s="965">
        <f t="shared" si="23"/>
        <v>45365</v>
      </c>
      <c r="DB9" s="965">
        <f t="shared" si="23"/>
        <v>45445</v>
      </c>
      <c r="DC9" s="965">
        <f t="shared" si="23"/>
        <v>46190</v>
      </c>
      <c r="DD9" s="965">
        <f t="shared" si="23"/>
        <v>41043</v>
      </c>
      <c r="DE9" s="965">
        <f t="shared" si="23"/>
        <v>34148</v>
      </c>
      <c r="DF9" s="965">
        <f t="shared" si="23"/>
        <v>43324</v>
      </c>
      <c r="DG9" s="965">
        <f t="shared" si="23"/>
        <v>34546</v>
      </c>
      <c r="DH9" s="965">
        <f t="shared" si="23"/>
        <v>41201</v>
      </c>
      <c r="DI9" s="965">
        <f t="shared" si="23"/>
        <v>34497</v>
      </c>
      <c r="DJ9" s="965">
        <f t="shared" si="23"/>
        <v>33605</v>
      </c>
      <c r="DK9" s="965">
        <f t="shared" si="23"/>
        <v>43936</v>
      </c>
      <c r="DL9" s="965">
        <f t="shared" si="23"/>
        <v>37000</v>
      </c>
      <c r="DM9" s="965">
        <f t="shared" si="23"/>
        <v>31887</v>
      </c>
      <c r="DN9" s="965">
        <v>37131</v>
      </c>
      <c r="DO9" s="965">
        <f t="shared" si="23"/>
        <v>36781</v>
      </c>
      <c r="DP9" s="965">
        <f t="shared" si="23"/>
        <v>39971</v>
      </c>
      <c r="DQ9" s="965">
        <f t="shared" si="23"/>
        <v>33739</v>
      </c>
      <c r="DR9" s="965">
        <f t="shared" si="23"/>
        <v>31893</v>
      </c>
      <c r="DS9" s="965">
        <f t="shared" si="23"/>
        <v>38416</v>
      </c>
      <c r="DT9" s="965">
        <f t="shared" si="23"/>
        <v>43263</v>
      </c>
      <c r="DU9" s="965">
        <f t="shared" si="23"/>
        <v>51451</v>
      </c>
      <c r="DV9" s="965">
        <f t="shared" si="23"/>
        <v>52538</v>
      </c>
      <c r="DW9" s="965">
        <f t="shared" si="23"/>
        <v>52440</v>
      </c>
      <c r="DX9" s="965">
        <f t="shared" si="23"/>
        <v>49094</v>
      </c>
      <c r="DY9" s="965">
        <f t="shared" si="23"/>
        <v>47311</v>
      </c>
      <c r="DZ9" s="965">
        <f t="shared" ref="DZ9:EC9" si="24">SUM(DZ10:DZ11)</f>
        <v>43011</v>
      </c>
      <c r="EA9" s="965">
        <f t="shared" si="24"/>
        <v>41791</v>
      </c>
      <c r="EB9" s="965">
        <f t="shared" si="24"/>
        <v>27242</v>
      </c>
      <c r="EC9" s="965">
        <f t="shared" si="24"/>
        <v>40667</v>
      </c>
      <c r="ED9" s="965">
        <v>50483</v>
      </c>
      <c r="EE9" s="965">
        <v>43576</v>
      </c>
      <c r="EF9" s="965">
        <v>43735</v>
      </c>
      <c r="EG9" s="965">
        <v>47798</v>
      </c>
      <c r="EH9" s="965">
        <v>51529</v>
      </c>
      <c r="EI9" s="965">
        <v>54172</v>
      </c>
      <c r="EJ9" s="965">
        <v>44053</v>
      </c>
      <c r="EK9" s="965">
        <v>38721</v>
      </c>
      <c r="EL9" s="965">
        <v>41207</v>
      </c>
      <c r="EM9" s="965">
        <v>40867</v>
      </c>
      <c r="EN9" s="965">
        <v>36781</v>
      </c>
      <c r="EO9" s="965">
        <f>+EO10+EO11</f>
        <v>40748</v>
      </c>
      <c r="EP9" s="965">
        <f>+EP10+EP11</f>
        <v>37308</v>
      </c>
      <c r="EQ9" s="965">
        <f>+EQ10+EQ11</f>
        <v>39140</v>
      </c>
      <c r="ER9" s="965">
        <f>+ER10+ER11</f>
        <v>42841</v>
      </c>
      <c r="ES9" s="965">
        <f t="shared" ref="ES9:FG9" si="25">+ES10+ES11</f>
        <v>43116</v>
      </c>
      <c r="ET9" s="965">
        <f t="shared" si="25"/>
        <v>44403</v>
      </c>
      <c r="EU9" s="965">
        <f t="shared" si="25"/>
        <v>43835</v>
      </c>
      <c r="EV9" s="965">
        <f t="shared" si="25"/>
        <v>46884</v>
      </c>
      <c r="EW9" s="965">
        <f t="shared" si="25"/>
        <v>31175</v>
      </c>
      <c r="EX9" s="965">
        <f t="shared" si="25"/>
        <v>21339</v>
      </c>
      <c r="EY9" s="965">
        <f t="shared" si="25"/>
        <v>28000</v>
      </c>
      <c r="EZ9" s="965">
        <f t="shared" si="25"/>
        <v>26791</v>
      </c>
      <c r="FA9" s="965">
        <f t="shared" si="25"/>
        <v>26103</v>
      </c>
      <c r="FB9" s="965">
        <f t="shared" ref="FB9:FD9" si="26">+FB10+FB11</f>
        <v>34442</v>
      </c>
      <c r="FC9" s="965">
        <f t="shared" si="26"/>
        <v>0</v>
      </c>
      <c r="FD9" s="965">
        <f t="shared" si="26"/>
        <v>0</v>
      </c>
      <c r="FE9" s="965"/>
      <c r="FF9" s="957">
        <f t="shared" si="25"/>
        <v>350041</v>
      </c>
      <c r="FG9" s="941">
        <f t="shared" si="25"/>
        <v>415274</v>
      </c>
      <c r="FH9" s="967">
        <f t="shared" ref="FH9:FH11" si="27">(FF9/FG9-1)*100</f>
        <v>-15.708423835828878</v>
      </c>
      <c r="FI9" s="934">
        <f>SUM(DR9:EC9)/SUM(DF9:DQ9)*100-100</f>
        <v>15.973218235191624</v>
      </c>
      <c r="FJ9" s="935">
        <f>SUM(DF9:DQ9)/SUM(CT9:DE9)*100-100</f>
        <v>-6.2016332329588693</v>
      </c>
      <c r="FL9" s="936">
        <f>SUM(ED9:EF9)</f>
        <v>137794</v>
      </c>
      <c r="FM9" s="936">
        <f>SUM(EM9:EO9)</f>
        <v>118396</v>
      </c>
      <c r="FN9" s="936">
        <f>SUM(EP9:ER9)</f>
        <v>119289</v>
      </c>
      <c r="FO9" s="930"/>
      <c r="FP9" s="937">
        <f>+FN9/FL9*100-100</f>
        <v>-13.429467175639004</v>
      </c>
      <c r="FR9" s="123" t="s">
        <v>2547</v>
      </c>
      <c r="FS9" s="126">
        <f>FN11</f>
        <v>46099</v>
      </c>
      <c r="FT9" s="126">
        <f>FL11</f>
        <v>87079</v>
      </c>
      <c r="FU9" s="938">
        <f t="shared" si="16"/>
        <v>-47.060714982946514</v>
      </c>
      <c r="FV9" s="126">
        <f>FM11</f>
        <v>48592</v>
      </c>
      <c r="FW9" s="938">
        <f t="shared" si="19"/>
        <v>-5.13047415212381</v>
      </c>
      <c r="FX9" s="938">
        <f>FH11</f>
        <v>-33.194617299315496</v>
      </c>
      <c r="FZ9" s="939">
        <f>SUM(CT9:DE9)</f>
        <v>477213</v>
      </c>
      <c r="GA9" s="939">
        <f>SUM(CH9:CS9)</f>
        <v>507317</v>
      </c>
      <c r="GB9" s="940">
        <f t="shared" si="20"/>
        <v>-5.9339623943214974</v>
      </c>
      <c r="GD9" s="939">
        <f>SUM(CT9:DE9)</f>
        <v>477213</v>
      </c>
      <c r="GE9" s="939">
        <f>SUM(CH9:CS9)</f>
        <v>507317</v>
      </c>
      <c r="GF9" s="940">
        <f t="shared" si="21"/>
        <v>-5.9339623943214974</v>
      </c>
    </row>
    <row r="10" spans="1:188">
      <c r="A10" s="931" t="s">
        <v>744</v>
      </c>
      <c r="B10" s="930">
        <v>7267</v>
      </c>
      <c r="C10" s="930">
        <v>9232</v>
      </c>
      <c r="D10" s="930">
        <v>13073</v>
      </c>
      <c r="E10" s="930">
        <v>12933</v>
      </c>
      <c r="F10" s="930">
        <v>11015</v>
      </c>
      <c r="G10" s="930">
        <v>12335</v>
      </c>
      <c r="H10" s="930">
        <v>11265</v>
      </c>
      <c r="I10" s="930">
        <v>8041</v>
      </c>
      <c r="J10" s="930">
        <v>8476</v>
      </c>
      <c r="K10" s="930">
        <v>9856</v>
      </c>
      <c r="L10" s="930">
        <v>10497</v>
      </c>
      <c r="M10" s="930">
        <v>9804</v>
      </c>
      <c r="N10" s="930">
        <v>8537</v>
      </c>
      <c r="O10" s="930">
        <v>9243</v>
      </c>
      <c r="P10" s="930">
        <v>11492</v>
      </c>
      <c r="Q10" s="930">
        <v>13255</v>
      </c>
      <c r="R10" s="930">
        <v>12716</v>
      </c>
      <c r="S10" s="930">
        <v>13136</v>
      </c>
      <c r="T10" s="930">
        <v>12826</v>
      </c>
      <c r="U10" s="930">
        <v>8730</v>
      </c>
      <c r="V10" s="930">
        <v>9703</v>
      </c>
      <c r="W10" s="930">
        <v>13957</v>
      </c>
      <c r="X10" s="930">
        <v>13726</v>
      </c>
      <c r="Y10" s="930">
        <v>14030</v>
      </c>
      <c r="Z10" s="930">
        <v>9213</v>
      </c>
      <c r="AA10" s="930">
        <v>11688</v>
      </c>
      <c r="AB10" s="930">
        <v>12933</v>
      </c>
      <c r="AC10" s="930">
        <v>11955</v>
      </c>
      <c r="AD10" s="930">
        <v>11734</v>
      </c>
      <c r="AE10" s="930">
        <v>11690</v>
      </c>
      <c r="AF10" s="930">
        <v>11650</v>
      </c>
      <c r="AG10" s="930">
        <v>11825</v>
      </c>
      <c r="AH10" s="930">
        <v>9526</v>
      </c>
      <c r="AI10" s="930">
        <v>12478</v>
      </c>
      <c r="AJ10" s="930">
        <v>11877</v>
      </c>
      <c r="AK10" s="930">
        <v>12190</v>
      </c>
      <c r="AL10" s="930">
        <v>8003</v>
      </c>
      <c r="AM10" s="930">
        <v>9880</v>
      </c>
      <c r="AN10" s="930">
        <v>11057</v>
      </c>
      <c r="AO10" s="930">
        <v>11072</v>
      </c>
      <c r="AP10" s="930">
        <v>11887</v>
      </c>
      <c r="AQ10" s="930">
        <v>12758</v>
      </c>
      <c r="AR10" s="930">
        <v>12900</v>
      </c>
      <c r="AS10" s="930">
        <v>10518</v>
      </c>
      <c r="AT10" s="930">
        <v>8487</v>
      </c>
      <c r="AU10" s="930">
        <v>11040</v>
      </c>
      <c r="AV10" s="930">
        <v>10418</v>
      </c>
      <c r="AW10" s="930">
        <v>9359</v>
      </c>
      <c r="AX10" s="930">
        <v>8206</v>
      </c>
      <c r="AY10" s="930">
        <v>9054</v>
      </c>
      <c r="AZ10" s="930">
        <v>9750</v>
      </c>
      <c r="BA10" s="930">
        <v>10940</v>
      </c>
      <c r="BB10" s="930">
        <v>10896</v>
      </c>
      <c r="BC10" s="930">
        <v>12785</v>
      </c>
      <c r="BD10" s="930">
        <v>12052</v>
      </c>
      <c r="BE10" s="930">
        <v>8968</v>
      </c>
      <c r="BF10" s="930">
        <v>7033</v>
      </c>
      <c r="BG10" s="930">
        <v>11026</v>
      </c>
      <c r="BH10" s="930">
        <v>11463</v>
      </c>
      <c r="BI10" s="930">
        <v>13100</v>
      </c>
      <c r="BJ10" s="930">
        <v>9515</v>
      </c>
      <c r="BK10" s="930">
        <v>11729</v>
      </c>
      <c r="BL10" s="930">
        <v>14113</v>
      </c>
      <c r="BM10" s="930">
        <v>13745</v>
      </c>
      <c r="BN10" s="930">
        <v>15180</v>
      </c>
      <c r="BO10" s="930">
        <v>16007</v>
      </c>
      <c r="BP10" s="930">
        <v>16083</v>
      </c>
      <c r="BQ10" s="930">
        <v>14462</v>
      </c>
      <c r="BR10" s="930">
        <v>13605</v>
      </c>
      <c r="BS10" s="930">
        <v>14467</v>
      </c>
      <c r="BT10" s="930">
        <v>13017</v>
      </c>
      <c r="BU10" s="930">
        <v>12579</v>
      </c>
      <c r="BV10" s="930">
        <v>11226</v>
      </c>
      <c r="BW10" s="930">
        <v>11469</v>
      </c>
      <c r="BX10" s="930">
        <v>14732</v>
      </c>
      <c r="BY10" s="930">
        <v>19193</v>
      </c>
      <c r="BZ10" s="930">
        <v>20989</v>
      </c>
      <c r="CA10" s="930">
        <v>19715</v>
      </c>
      <c r="CB10" s="930">
        <v>20309</v>
      </c>
      <c r="CC10" s="930">
        <v>14983</v>
      </c>
      <c r="CD10" s="930">
        <v>15480</v>
      </c>
      <c r="CE10" s="930">
        <v>17404</v>
      </c>
      <c r="CF10" s="930">
        <v>18618</v>
      </c>
      <c r="CG10" s="930">
        <v>17128</v>
      </c>
      <c r="CH10" s="930">
        <v>12391</v>
      </c>
      <c r="CI10" s="930">
        <v>13234</v>
      </c>
      <c r="CJ10" s="930">
        <v>15018</v>
      </c>
      <c r="CK10" s="930">
        <v>16715</v>
      </c>
      <c r="CL10" s="930">
        <v>17325</v>
      </c>
      <c r="CM10" s="932">
        <v>19408</v>
      </c>
      <c r="CN10" s="930">
        <v>18000</v>
      </c>
      <c r="CO10" s="930">
        <v>16112</v>
      </c>
      <c r="CP10" s="930">
        <v>15963</v>
      </c>
      <c r="CQ10" s="930">
        <v>17896</v>
      </c>
      <c r="CR10" s="930">
        <v>16397</v>
      </c>
      <c r="CS10" s="930">
        <v>16682</v>
      </c>
      <c r="CT10" s="930">
        <v>11997</v>
      </c>
      <c r="CU10" s="947">
        <v>14429</v>
      </c>
      <c r="CV10" s="947">
        <v>17312</v>
      </c>
      <c r="CW10" s="947">
        <v>17740</v>
      </c>
      <c r="CX10" s="947">
        <v>17940</v>
      </c>
      <c r="CY10" s="947">
        <v>20463</v>
      </c>
      <c r="CZ10" s="947">
        <v>23317</v>
      </c>
      <c r="DA10" s="947">
        <v>20791</v>
      </c>
      <c r="DB10" s="948">
        <v>19385</v>
      </c>
      <c r="DC10" s="947">
        <v>23046</v>
      </c>
      <c r="DD10" s="947">
        <v>18559</v>
      </c>
      <c r="DE10" s="947">
        <v>18308</v>
      </c>
      <c r="DF10" s="947">
        <v>13984</v>
      </c>
      <c r="DG10" s="947">
        <v>15362</v>
      </c>
      <c r="DH10" s="947">
        <v>15658</v>
      </c>
      <c r="DI10" s="947">
        <v>18129</v>
      </c>
      <c r="DJ10" s="947">
        <v>17039</v>
      </c>
      <c r="DK10" s="947">
        <v>18658</v>
      </c>
      <c r="DL10" s="947">
        <v>18303</v>
      </c>
      <c r="DM10" s="947">
        <v>14243</v>
      </c>
      <c r="DN10" s="947">
        <v>11456</v>
      </c>
      <c r="DO10" s="947">
        <v>12658</v>
      </c>
      <c r="DP10" s="947">
        <v>15101</v>
      </c>
      <c r="DQ10" s="947">
        <v>16265</v>
      </c>
      <c r="DR10" s="947">
        <v>13941</v>
      </c>
      <c r="DS10" s="947">
        <v>18980</v>
      </c>
      <c r="DT10" s="947">
        <v>22701</v>
      </c>
      <c r="DU10" s="947">
        <v>24484</v>
      </c>
      <c r="DV10" s="947">
        <v>24366</v>
      </c>
      <c r="DW10" s="947">
        <v>25988</v>
      </c>
      <c r="DX10" s="947">
        <v>23189</v>
      </c>
      <c r="DY10" s="947">
        <v>15877</v>
      </c>
      <c r="DZ10" s="947">
        <v>16191</v>
      </c>
      <c r="EA10" s="947">
        <v>16817</v>
      </c>
      <c r="EB10" s="947">
        <v>14570</v>
      </c>
      <c r="EC10" s="947">
        <v>17241</v>
      </c>
      <c r="ED10" s="947">
        <v>14122</v>
      </c>
      <c r="EE10" s="947">
        <v>15946</v>
      </c>
      <c r="EF10" s="947">
        <v>20647</v>
      </c>
      <c r="EG10" s="947">
        <v>21870</v>
      </c>
      <c r="EH10" s="947">
        <v>22359</v>
      </c>
      <c r="EI10" s="947">
        <v>22888</v>
      </c>
      <c r="EJ10" s="947">
        <v>23135</v>
      </c>
      <c r="EK10" s="947">
        <v>19695</v>
      </c>
      <c r="EL10" s="947">
        <v>23204</v>
      </c>
      <c r="EM10" s="947">
        <v>20973</v>
      </c>
      <c r="EN10" s="947">
        <v>22011</v>
      </c>
      <c r="EO10" s="947">
        <v>26820</v>
      </c>
      <c r="EP10" s="947">
        <v>25010</v>
      </c>
      <c r="EQ10" s="947">
        <v>23762</v>
      </c>
      <c r="ER10" s="947">
        <v>24418</v>
      </c>
      <c r="ES10" s="947">
        <v>22724</v>
      </c>
      <c r="ET10" s="947">
        <v>24674</v>
      </c>
      <c r="EU10" s="947">
        <v>24222</v>
      </c>
      <c r="EV10" s="947">
        <v>24497</v>
      </c>
      <c r="EW10" s="947">
        <v>13890</v>
      </c>
      <c r="EX10" s="947">
        <v>12251</v>
      </c>
      <c r="EY10" s="947">
        <v>13336</v>
      </c>
      <c r="EZ10" s="947">
        <v>15126</v>
      </c>
      <c r="FA10" s="947">
        <v>16075</v>
      </c>
      <c r="FB10" s="947">
        <v>14693</v>
      </c>
      <c r="FC10" s="947"/>
      <c r="FD10" s="947"/>
      <c r="FE10" s="947"/>
      <c r="FF10" s="957">
        <f t="shared" ref="FF10:FF11" si="28">+SUM(EP10:EX10)</f>
        <v>195448</v>
      </c>
      <c r="FG10" s="941">
        <f t="shared" ref="FG10:FG11" si="29">+SUM(ED10:EL10)</f>
        <v>183866</v>
      </c>
      <c r="FH10" s="967">
        <f t="shared" si="27"/>
        <v>6.2991526437731871</v>
      </c>
      <c r="FI10" s="934">
        <f>SUM(DR10:EC10)/SUM(DF10:DQ10)*100-100</f>
        <v>25.414757888427445</v>
      </c>
      <c r="FJ10" s="935">
        <f>SUM(DF10:DQ10)/SUM(CT10:DE10)*100-100</f>
        <v>-16.315772973796058</v>
      </c>
      <c r="FL10" s="936">
        <f>SUM(ED10:EF10)</f>
        <v>50715</v>
      </c>
      <c r="FM10" s="936">
        <f>SUM(EM10:EO10)</f>
        <v>69804</v>
      </c>
      <c r="FN10" s="936">
        <f>SUM(EP10:ER10)</f>
        <v>73190</v>
      </c>
      <c r="FO10" s="930"/>
      <c r="FR10" s="123" t="s">
        <v>230</v>
      </c>
      <c r="FS10" s="126">
        <f>SUM(FS11:FS12)</f>
        <v>992653</v>
      </c>
      <c r="FT10" s="126">
        <f>SUM(FT11:FT12)</f>
        <v>1013029</v>
      </c>
      <c r="FU10" s="938">
        <f t="shared" si="16"/>
        <v>-2.0113935533928498</v>
      </c>
      <c r="FV10" s="126">
        <f>SUM(FV11:FV12)</f>
        <v>871133</v>
      </c>
      <c r="FW10" s="938">
        <f t="shared" si="19"/>
        <v>13.949649479470992</v>
      </c>
      <c r="FX10" s="938">
        <f>FH23</f>
        <v>-4.7719187674838182</v>
      </c>
      <c r="FZ10" s="939">
        <f>SUM(CT10:DE10)</f>
        <v>223287</v>
      </c>
      <c r="GA10" s="939">
        <f>SUM(CH10:CS10)</f>
        <v>195141</v>
      </c>
      <c r="GB10" s="940">
        <f t="shared" si="20"/>
        <v>14.423416913923774</v>
      </c>
      <c r="GD10" s="939">
        <f>SUM(CT10:DE10)</f>
        <v>223287</v>
      </c>
      <c r="GE10" s="939">
        <f>SUM(CH10:CS10)</f>
        <v>195141</v>
      </c>
      <c r="GF10" s="940">
        <f t="shared" si="21"/>
        <v>14.423416913923774</v>
      </c>
    </row>
    <row r="11" spans="1:188">
      <c r="A11" s="931" t="s">
        <v>2547</v>
      </c>
      <c r="B11" s="930">
        <v>6761</v>
      </c>
      <c r="C11" s="930">
        <v>4804</v>
      </c>
      <c r="D11" s="930">
        <v>6153</v>
      </c>
      <c r="E11" s="930">
        <v>5937</v>
      </c>
      <c r="F11" s="930">
        <v>6130</v>
      </c>
      <c r="G11" s="930">
        <v>7404</v>
      </c>
      <c r="H11" s="930">
        <v>4443</v>
      </c>
      <c r="I11" s="930">
        <v>4921</v>
      </c>
      <c r="J11" s="930">
        <v>3748</v>
      </c>
      <c r="K11" s="930">
        <v>3495</v>
      </c>
      <c r="L11" s="930">
        <v>4999</v>
      </c>
      <c r="M11" s="930">
        <v>5936</v>
      </c>
      <c r="N11" s="930">
        <v>6506</v>
      </c>
      <c r="O11" s="930">
        <v>4295</v>
      </c>
      <c r="P11" s="930">
        <v>5932</v>
      </c>
      <c r="Q11" s="930">
        <v>6893</v>
      </c>
      <c r="R11" s="930">
        <v>7215</v>
      </c>
      <c r="S11" s="930">
        <v>7056</v>
      </c>
      <c r="T11" s="930">
        <v>5938</v>
      </c>
      <c r="U11" s="930">
        <v>5470</v>
      </c>
      <c r="V11" s="930">
        <v>5838</v>
      </c>
      <c r="W11" s="930">
        <v>4448</v>
      </c>
      <c r="X11" s="930">
        <v>8353</v>
      </c>
      <c r="Y11" s="930">
        <v>6681</v>
      </c>
      <c r="Z11" s="930">
        <v>9008</v>
      </c>
      <c r="AA11" s="930">
        <v>8906</v>
      </c>
      <c r="AB11" s="930">
        <v>9172</v>
      </c>
      <c r="AC11" s="930">
        <v>11130</v>
      </c>
      <c r="AD11" s="930">
        <v>10348</v>
      </c>
      <c r="AE11" s="930">
        <v>11470</v>
      </c>
      <c r="AF11" s="930">
        <v>12768</v>
      </c>
      <c r="AG11" s="930">
        <v>13946</v>
      </c>
      <c r="AH11" s="930">
        <v>14723</v>
      </c>
      <c r="AI11" s="930">
        <v>16453</v>
      </c>
      <c r="AJ11" s="930">
        <v>13084</v>
      </c>
      <c r="AK11" s="930">
        <v>9548</v>
      </c>
      <c r="AL11" s="930">
        <v>14104</v>
      </c>
      <c r="AM11" s="930">
        <v>11915</v>
      </c>
      <c r="AN11" s="930">
        <v>9186</v>
      </c>
      <c r="AO11" s="930">
        <v>10141</v>
      </c>
      <c r="AP11" s="930">
        <v>10281</v>
      </c>
      <c r="AQ11" s="930">
        <v>10766</v>
      </c>
      <c r="AR11" s="930">
        <v>12267</v>
      </c>
      <c r="AS11" s="930">
        <v>11251</v>
      </c>
      <c r="AT11" s="930">
        <v>12136</v>
      </c>
      <c r="AU11" s="930">
        <v>11745</v>
      </c>
      <c r="AV11" s="930">
        <v>12288</v>
      </c>
      <c r="AW11" s="930">
        <v>10135</v>
      </c>
      <c r="AX11" s="930">
        <v>8504</v>
      </c>
      <c r="AY11" s="930">
        <v>10374</v>
      </c>
      <c r="AZ11" s="930">
        <v>8962</v>
      </c>
      <c r="BA11" s="930">
        <v>11701</v>
      </c>
      <c r="BB11" s="930">
        <v>12458</v>
      </c>
      <c r="BC11" s="930">
        <v>13125</v>
      </c>
      <c r="BD11" s="930">
        <v>13276</v>
      </c>
      <c r="BE11" s="930">
        <v>17895</v>
      </c>
      <c r="BF11" s="930">
        <v>15572</v>
      </c>
      <c r="BG11" s="930">
        <v>10360</v>
      </c>
      <c r="BH11" s="930">
        <v>9218</v>
      </c>
      <c r="BI11" s="930">
        <v>7611</v>
      </c>
      <c r="BJ11" s="930">
        <v>8670</v>
      </c>
      <c r="BK11" s="930">
        <v>7107</v>
      </c>
      <c r="BL11" s="930">
        <v>9829</v>
      </c>
      <c r="BM11" s="930">
        <v>9531</v>
      </c>
      <c r="BN11" s="930">
        <v>14211</v>
      </c>
      <c r="BO11" s="930">
        <v>14190</v>
      </c>
      <c r="BP11" s="930">
        <v>13442</v>
      </c>
      <c r="BQ11" s="930">
        <v>18800</v>
      </c>
      <c r="BR11" s="930">
        <v>17347</v>
      </c>
      <c r="BS11" s="930">
        <v>17968</v>
      </c>
      <c r="BT11" s="930">
        <v>18744</v>
      </c>
      <c r="BU11" s="930">
        <v>15070</v>
      </c>
      <c r="BV11" s="930">
        <v>25810</v>
      </c>
      <c r="BW11" s="930">
        <v>18202</v>
      </c>
      <c r="BX11" s="930">
        <v>17516</v>
      </c>
      <c r="BY11" s="930">
        <v>19150</v>
      </c>
      <c r="BZ11" s="930">
        <v>18897</v>
      </c>
      <c r="CA11" s="930">
        <v>18390</v>
      </c>
      <c r="CB11" s="930">
        <v>20525</v>
      </c>
      <c r="CC11" s="930">
        <v>19007</v>
      </c>
      <c r="CD11" s="930">
        <v>17183</v>
      </c>
      <c r="CE11" s="930">
        <v>19930</v>
      </c>
      <c r="CF11" s="930">
        <v>20921</v>
      </c>
      <c r="CG11" s="930">
        <v>15576</v>
      </c>
      <c r="CH11" s="930">
        <v>32158</v>
      </c>
      <c r="CI11" s="930">
        <v>27150</v>
      </c>
      <c r="CJ11" s="930">
        <v>28180</v>
      </c>
      <c r="CK11" s="930">
        <v>28227</v>
      </c>
      <c r="CL11" s="930">
        <v>26730</v>
      </c>
      <c r="CM11" s="932">
        <v>26491</v>
      </c>
      <c r="CN11" s="930">
        <v>25368</v>
      </c>
      <c r="CO11" s="930">
        <v>25696</v>
      </c>
      <c r="CP11" s="930">
        <v>25494</v>
      </c>
      <c r="CQ11" s="930">
        <v>24771</v>
      </c>
      <c r="CR11" s="930">
        <v>24685</v>
      </c>
      <c r="CS11" s="930">
        <v>17226</v>
      </c>
      <c r="CT11" s="930">
        <v>26914</v>
      </c>
      <c r="CU11" s="922">
        <v>15402</v>
      </c>
      <c r="CV11" s="930">
        <v>9195</v>
      </c>
      <c r="CW11" s="930">
        <v>17178</v>
      </c>
      <c r="CX11" s="930">
        <v>22303</v>
      </c>
      <c r="CY11" s="930">
        <v>24156</v>
      </c>
      <c r="CZ11" s="930">
        <v>26676</v>
      </c>
      <c r="DA11" s="930">
        <v>24574</v>
      </c>
      <c r="DB11" s="949">
        <v>26060</v>
      </c>
      <c r="DC11" s="930">
        <v>23144</v>
      </c>
      <c r="DD11" s="930">
        <v>22484</v>
      </c>
      <c r="DE11" s="930">
        <v>15840</v>
      </c>
      <c r="DF11" s="930">
        <v>29340</v>
      </c>
      <c r="DG11" s="930">
        <v>19184</v>
      </c>
      <c r="DH11" s="930">
        <v>25543</v>
      </c>
      <c r="DI11" s="930">
        <v>16368</v>
      </c>
      <c r="DJ11" s="930">
        <v>16566</v>
      </c>
      <c r="DK11" s="930">
        <v>25278</v>
      </c>
      <c r="DL11" s="930">
        <v>18697</v>
      </c>
      <c r="DM11" s="930">
        <v>17644</v>
      </c>
      <c r="DN11" s="930">
        <v>25675</v>
      </c>
      <c r="DO11" s="930">
        <v>24123</v>
      </c>
      <c r="DP11" s="930">
        <v>24870</v>
      </c>
      <c r="DQ11" s="930">
        <v>17474</v>
      </c>
      <c r="DR11" s="930">
        <v>17952</v>
      </c>
      <c r="DS11" s="930">
        <v>19436</v>
      </c>
      <c r="DT11" s="930">
        <v>20562</v>
      </c>
      <c r="DU11" s="930">
        <v>26967</v>
      </c>
      <c r="DV11" s="930">
        <v>28172</v>
      </c>
      <c r="DW11" s="930">
        <v>26452</v>
      </c>
      <c r="DX11" s="930">
        <v>25905</v>
      </c>
      <c r="DY11" s="930">
        <v>31434</v>
      </c>
      <c r="DZ11" s="930">
        <v>26820</v>
      </c>
      <c r="EA11" s="930">
        <v>24974</v>
      </c>
      <c r="EB11" s="930">
        <v>12672</v>
      </c>
      <c r="EC11" s="930">
        <v>23426</v>
      </c>
      <c r="ED11" s="930">
        <v>36361</v>
      </c>
      <c r="EE11" s="930">
        <v>27630</v>
      </c>
      <c r="EF11" s="930">
        <v>23088</v>
      </c>
      <c r="EG11" s="930">
        <v>25928</v>
      </c>
      <c r="EH11" s="930">
        <v>29170</v>
      </c>
      <c r="EI11" s="930">
        <v>31284</v>
      </c>
      <c r="EJ11" s="930">
        <v>20918</v>
      </c>
      <c r="EK11" s="930">
        <v>19026</v>
      </c>
      <c r="EL11" s="930">
        <v>18003</v>
      </c>
      <c r="EM11" s="930">
        <v>19894</v>
      </c>
      <c r="EN11" s="930">
        <v>14770</v>
      </c>
      <c r="EO11" s="930">
        <v>13928</v>
      </c>
      <c r="EP11" s="930">
        <v>12298</v>
      </c>
      <c r="EQ11" s="930">
        <v>15378</v>
      </c>
      <c r="ER11" s="930">
        <v>18423</v>
      </c>
      <c r="ES11" s="930">
        <v>20392</v>
      </c>
      <c r="ET11" s="930">
        <v>19729</v>
      </c>
      <c r="EU11" s="930">
        <v>19613</v>
      </c>
      <c r="EV11" s="930">
        <v>22387</v>
      </c>
      <c r="EW11" s="930">
        <v>17285</v>
      </c>
      <c r="EX11" s="930">
        <v>9088</v>
      </c>
      <c r="EY11" s="930">
        <v>14664</v>
      </c>
      <c r="EZ11" s="930">
        <v>11665</v>
      </c>
      <c r="FA11" s="930">
        <v>10028</v>
      </c>
      <c r="FB11" s="930">
        <v>19749</v>
      </c>
      <c r="FC11" s="930"/>
      <c r="FD11" s="930"/>
      <c r="FE11" s="930"/>
      <c r="FF11" s="957">
        <f t="shared" si="28"/>
        <v>154593</v>
      </c>
      <c r="FG11" s="941">
        <f t="shared" si="29"/>
        <v>231408</v>
      </c>
      <c r="FH11" s="967">
        <f t="shared" si="27"/>
        <v>-33.194617299315496</v>
      </c>
      <c r="FI11" s="934">
        <f>SUM(DR11:EC11)/SUM(DF11:DQ11)*100-100</f>
        <v>9.2076299460811128</v>
      </c>
      <c r="FJ11" s="935">
        <f>SUM(DF11:DQ11)/SUM(CT11:DE11)*100-100</f>
        <v>2.6921229019477977</v>
      </c>
      <c r="FL11" s="936">
        <f>SUM(ED11:EF11)</f>
        <v>87079</v>
      </c>
      <c r="FM11" s="936">
        <f>SUM(EM11:EO11)</f>
        <v>48592</v>
      </c>
      <c r="FN11" s="936">
        <f>SUM(EP11:ER11)</f>
        <v>46099</v>
      </c>
      <c r="FO11" s="930"/>
      <c r="FR11" s="123" t="s">
        <v>744</v>
      </c>
      <c r="FS11" s="126">
        <f>FS8+FS5</f>
        <v>622070</v>
      </c>
      <c r="FT11" s="126">
        <f>FT8+FT5</f>
        <v>536533</v>
      </c>
      <c r="FU11" s="938">
        <f t="shared" si="16"/>
        <v>15.942542210823945</v>
      </c>
      <c r="FV11" s="126">
        <f>FV8+FV5</f>
        <v>538586</v>
      </c>
      <c r="FW11" s="938">
        <f t="shared" si="19"/>
        <v>15.500588578240055</v>
      </c>
      <c r="FX11" s="938">
        <f>FH24</f>
        <v>10.966264177923613</v>
      </c>
      <c r="FZ11" s="939">
        <f>SUM(CT11:DE11)</f>
        <v>253926</v>
      </c>
      <c r="GA11" s="939">
        <f>SUM(CH11:CS11)</f>
        <v>312176</v>
      </c>
      <c r="GB11" s="940">
        <f t="shared" si="20"/>
        <v>-18.659346009943107</v>
      </c>
      <c r="GD11" s="939">
        <f>SUM(CT11:DE11)</f>
        <v>253926</v>
      </c>
      <c r="GE11" s="939">
        <f>SUM(CH11:CS11)</f>
        <v>312176</v>
      </c>
      <c r="GF11" s="940">
        <f t="shared" si="21"/>
        <v>-18.659346009943107</v>
      </c>
    </row>
    <row r="12" spans="1:188">
      <c r="DE12" s="939"/>
      <c r="DQ12" s="939"/>
      <c r="DR12" s="939"/>
      <c r="DS12" s="939"/>
      <c r="DT12" s="939"/>
      <c r="DU12" s="939"/>
      <c r="DV12" s="939"/>
      <c r="DW12" s="939"/>
      <c r="DX12" s="939"/>
      <c r="DY12" s="939"/>
      <c r="DZ12" s="939"/>
      <c r="EA12" s="939"/>
      <c r="EB12" s="939"/>
      <c r="EC12" s="939"/>
      <c r="ED12" s="939"/>
      <c r="EE12" s="939"/>
      <c r="EF12" s="939"/>
      <c r="EG12" s="939"/>
      <c r="EH12" s="939"/>
      <c r="EI12" s="939"/>
      <c r="EJ12" s="939"/>
      <c r="EK12" s="939"/>
      <c r="EL12" s="939"/>
      <c r="EM12" s="939"/>
      <c r="EN12" s="939"/>
      <c r="EO12" s="939"/>
      <c r="EP12" s="939"/>
      <c r="EQ12" s="939"/>
      <c r="ER12" s="939"/>
      <c r="ES12" s="939"/>
      <c r="ET12" s="939"/>
      <c r="EU12" s="939"/>
      <c r="EV12" s="939"/>
      <c r="EW12" s="939"/>
      <c r="EX12" s="939"/>
      <c r="EY12" s="939"/>
      <c r="EZ12" s="939"/>
      <c r="FA12" s="939"/>
      <c r="FB12" s="939"/>
      <c r="FC12" s="939"/>
      <c r="FD12" s="939"/>
      <c r="FE12" s="939"/>
      <c r="FF12" s="939"/>
      <c r="FG12" s="950"/>
      <c r="FH12" s="925"/>
      <c r="FI12" s="934"/>
      <c r="FJ12" s="934"/>
      <c r="FR12" s="123" t="s">
        <v>2547</v>
      </c>
      <c r="FS12" s="126">
        <f>FS9+FS6+FN17</f>
        <v>370583</v>
      </c>
      <c r="FT12" s="126">
        <f>FT9+FT6+FL17</f>
        <v>476496</v>
      </c>
      <c r="FU12" s="938">
        <f t="shared" si="16"/>
        <v>-22.227468855981996</v>
      </c>
      <c r="FV12" s="126">
        <f>FV9+FV6+FM17</f>
        <v>332547</v>
      </c>
      <c r="FW12" s="938">
        <f t="shared" si="19"/>
        <v>11.437781727094219</v>
      </c>
      <c r="FX12" s="938">
        <f>FH25</f>
        <v>-22.826422244745071</v>
      </c>
      <c r="GB12" s="940"/>
      <c r="GF12" s="940"/>
    </row>
    <row r="13" spans="1:188">
      <c r="A13" s="927" t="s">
        <v>2549</v>
      </c>
      <c r="DE13" s="939"/>
      <c r="DQ13" s="939"/>
      <c r="DR13" s="939"/>
      <c r="DS13" s="939"/>
      <c r="DT13" s="939"/>
      <c r="DU13" s="939"/>
      <c r="DV13" s="939"/>
      <c r="DW13" s="939"/>
      <c r="DX13" s="939"/>
      <c r="DY13" s="939"/>
      <c r="DZ13" s="939"/>
      <c r="EA13" s="939"/>
      <c r="EB13" s="939"/>
      <c r="EC13" s="939"/>
      <c r="ED13" s="939"/>
      <c r="EE13" s="939"/>
      <c r="EF13" s="939"/>
      <c r="EG13" s="939"/>
      <c r="EH13" s="939"/>
      <c r="EI13" s="939"/>
      <c r="EJ13" s="939"/>
      <c r="EK13" s="939"/>
      <c r="EL13" s="939"/>
      <c r="EM13" s="939"/>
      <c r="EN13" s="939"/>
      <c r="EO13" s="939"/>
      <c r="EP13" s="939"/>
      <c r="EQ13" s="939"/>
      <c r="ER13" s="939"/>
      <c r="ES13" s="939"/>
      <c r="ET13" s="939"/>
      <c r="EU13" s="939"/>
      <c r="EV13" s="939"/>
      <c r="EW13" s="939"/>
      <c r="EX13" s="939"/>
      <c r="EY13" s="939"/>
      <c r="EZ13" s="939"/>
      <c r="FA13" s="939"/>
      <c r="FB13" s="939"/>
      <c r="FC13" s="939"/>
      <c r="FD13" s="939"/>
      <c r="FE13" s="939"/>
      <c r="FF13" s="939"/>
      <c r="FG13" s="950"/>
      <c r="FH13" s="925"/>
      <c r="FI13" s="934"/>
      <c r="FJ13" s="934"/>
      <c r="FR13" s="123" t="s">
        <v>2550</v>
      </c>
      <c r="FS13" s="126"/>
      <c r="FT13" s="126"/>
      <c r="FU13" s="938"/>
      <c r="FV13" s="126"/>
      <c r="FW13" s="938"/>
      <c r="FX13" s="938"/>
      <c r="GB13" s="940"/>
      <c r="GF13" s="940"/>
    </row>
    <row r="14" spans="1:188">
      <c r="A14" s="931" t="s">
        <v>230</v>
      </c>
      <c r="B14" s="943">
        <f t="shared" ref="B14:BM14" si="30">SUM(B15:B16)</f>
        <v>2124</v>
      </c>
      <c r="C14" s="943">
        <f t="shared" si="30"/>
        <v>2142</v>
      </c>
      <c r="D14" s="943">
        <f t="shared" si="30"/>
        <v>2524</v>
      </c>
      <c r="E14" s="943">
        <f t="shared" si="30"/>
        <v>2781</v>
      </c>
      <c r="F14" s="943">
        <f t="shared" si="30"/>
        <v>2703</v>
      </c>
      <c r="G14" s="943">
        <f t="shared" si="30"/>
        <v>3443</v>
      </c>
      <c r="H14" s="943">
        <f t="shared" si="30"/>
        <v>3354</v>
      </c>
      <c r="I14" s="943">
        <f t="shared" si="30"/>
        <v>2772</v>
      </c>
      <c r="J14" s="943">
        <f t="shared" si="30"/>
        <v>2481</v>
      </c>
      <c r="K14" s="943">
        <f t="shared" si="30"/>
        <v>3064</v>
      </c>
      <c r="L14" s="943">
        <f t="shared" si="30"/>
        <v>3060</v>
      </c>
      <c r="M14" s="943">
        <f t="shared" si="30"/>
        <v>3014</v>
      </c>
      <c r="N14" s="943">
        <f t="shared" si="30"/>
        <v>2410</v>
      </c>
      <c r="O14" s="943">
        <f t="shared" si="30"/>
        <v>2354</v>
      </c>
      <c r="P14" s="943">
        <f t="shared" si="30"/>
        <v>2542</v>
      </c>
      <c r="Q14" s="943">
        <f t="shared" si="30"/>
        <v>2437</v>
      </c>
      <c r="R14" s="943">
        <f t="shared" si="30"/>
        <v>2851</v>
      </c>
      <c r="S14" s="943">
        <f t="shared" si="30"/>
        <v>2926</v>
      </c>
      <c r="T14" s="943">
        <f t="shared" si="30"/>
        <v>3117</v>
      </c>
      <c r="U14" s="943">
        <f t="shared" si="30"/>
        <v>2957</v>
      </c>
      <c r="V14" s="943">
        <f t="shared" si="30"/>
        <v>2993</v>
      </c>
      <c r="W14" s="943">
        <f t="shared" si="30"/>
        <v>3614</v>
      </c>
      <c r="X14" s="943">
        <f t="shared" si="30"/>
        <v>3817</v>
      </c>
      <c r="Y14" s="943">
        <f t="shared" si="30"/>
        <v>4012</v>
      </c>
      <c r="Z14" s="943">
        <f t="shared" si="30"/>
        <v>2938</v>
      </c>
      <c r="AA14" s="943">
        <f t="shared" si="30"/>
        <v>3435</v>
      </c>
      <c r="AB14" s="943">
        <f t="shared" si="30"/>
        <v>3582</v>
      </c>
      <c r="AC14" s="943">
        <f t="shared" si="30"/>
        <v>3578</v>
      </c>
      <c r="AD14" s="943">
        <f t="shared" si="30"/>
        <v>4068</v>
      </c>
      <c r="AE14" s="943">
        <f t="shared" si="30"/>
        <v>4710</v>
      </c>
      <c r="AF14" s="943">
        <f t="shared" si="30"/>
        <v>4089</v>
      </c>
      <c r="AG14" s="943">
        <f t="shared" si="30"/>
        <v>3613</v>
      </c>
      <c r="AH14" s="943">
        <f t="shared" si="30"/>
        <v>3500</v>
      </c>
      <c r="AI14" s="943">
        <f t="shared" si="30"/>
        <v>3099</v>
      </c>
      <c r="AJ14" s="943">
        <f t="shared" si="30"/>
        <v>3031</v>
      </c>
      <c r="AK14" s="943">
        <f t="shared" si="30"/>
        <v>2838</v>
      </c>
      <c r="AL14" s="943">
        <f t="shared" si="30"/>
        <v>2253</v>
      </c>
      <c r="AM14" s="943">
        <f t="shared" si="30"/>
        <v>2315</v>
      </c>
      <c r="AN14" s="943">
        <f t="shared" si="30"/>
        <v>2623</v>
      </c>
      <c r="AO14" s="943">
        <f t="shared" si="30"/>
        <v>1876</v>
      </c>
      <c r="AP14" s="943">
        <f t="shared" si="30"/>
        <v>3336</v>
      </c>
      <c r="AQ14" s="943">
        <f t="shared" si="30"/>
        <v>2764</v>
      </c>
      <c r="AR14" s="943">
        <f t="shared" si="30"/>
        <v>2834</v>
      </c>
      <c r="AS14" s="943">
        <f t="shared" si="30"/>
        <v>2428</v>
      </c>
      <c r="AT14" s="943">
        <f t="shared" si="30"/>
        <v>1598</v>
      </c>
      <c r="AU14" s="943">
        <f t="shared" si="30"/>
        <v>1816</v>
      </c>
      <c r="AV14" s="943">
        <f t="shared" si="30"/>
        <v>1593</v>
      </c>
      <c r="AW14" s="943">
        <f t="shared" si="30"/>
        <v>1271</v>
      </c>
      <c r="AX14" s="943">
        <f t="shared" si="30"/>
        <v>1203</v>
      </c>
      <c r="AY14" s="943">
        <f t="shared" si="30"/>
        <v>1148</v>
      </c>
      <c r="AZ14" s="943">
        <f t="shared" si="30"/>
        <v>917</v>
      </c>
      <c r="BA14" s="943">
        <f t="shared" si="30"/>
        <v>1092</v>
      </c>
      <c r="BB14" s="943">
        <f t="shared" si="30"/>
        <v>970</v>
      </c>
      <c r="BC14" s="943">
        <f t="shared" si="30"/>
        <v>977</v>
      </c>
      <c r="BD14" s="943">
        <f t="shared" si="30"/>
        <v>1035</v>
      </c>
      <c r="BE14" s="943">
        <f t="shared" si="30"/>
        <v>463</v>
      </c>
      <c r="BF14" s="943">
        <f t="shared" si="30"/>
        <v>343</v>
      </c>
      <c r="BG14" s="943">
        <f t="shared" si="30"/>
        <v>599</v>
      </c>
      <c r="BH14" s="943">
        <f t="shared" si="30"/>
        <v>708</v>
      </c>
      <c r="BI14" s="943">
        <f t="shared" si="30"/>
        <v>742</v>
      </c>
      <c r="BJ14" s="943">
        <f t="shared" si="30"/>
        <v>682</v>
      </c>
      <c r="BK14" s="943">
        <f t="shared" si="30"/>
        <v>808</v>
      </c>
      <c r="BL14" s="943">
        <f t="shared" si="30"/>
        <v>789</v>
      </c>
      <c r="BM14" s="943">
        <f t="shared" si="30"/>
        <v>828</v>
      </c>
      <c r="BN14" s="943">
        <f t="shared" ref="BN14:DJ14" si="31">SUM(BN15:BN16)</f>
        <v>630</v>
      </c>
      <c r="BO14" s="943">
        <f t="shared" si="31"/>
        <v>924</v>
      </c>
      <c r="BP14" s="943">
        <f t="shared" si="31"/>
        <v>956</v>
      </c>
      <c r="BQ14" s="943">
        <f t="shared" si="31"/>
        <v>849</v>
      </c>
      <c r="BR14" s="943">
        <f t="shared" si="31"/>
        <v>623</v>
      </c>
      <c r="BS14" s="943">
        <f t="shared" si="31"/>
        <v>534</v>
      </c>
      <c r="BT14" s="943">
        <f t="shared" si="31"/>
        <v>2207</v>
      </c>
      <c r="BU14" s="943">
        <f t="shared" si="31"/>
        <v>1718</v>
      </c>
      <c r="BV14" s="943">
        <f t="shared" si="31"/>
        <v>314</v>
      </c>
      <c r="BW14" s="943">
        <f t="shared" si="31"/>
        <v>283</v>
      </c>
      <c r="BX14" s="943">
        <f t="shared" si="31"/>
        <v>366</v>
      </c>
      <c r="BY14" s="943">
        <f t="shared" si="31"/>
        <v>291</v>
      </c>
      <c r="BZ14" s="943">
        <f t="shared" si="31"/>
        <v>302</v>
      </c>
      <c r="CA14" s="943">
        <f t="shared" si="31"/>
        <v>149</v>
      </c>
      <c r="CB14" s="943">
        <f t="shared" si="31"/>
        <v>206</v>
      </c>
      <c r="CC14" s="943">
        <f t="shared" si="31"/>
        <v>205</v>
      </c>
      <c r="CD14" s="943">
        <f t="shared" si="31"/>
        <v>465</v>
      </c>
      <c r="CE14" s="943">
        <f t="shared" si="31"/>
        <v>627</v>
      </c>
      <c r="CF14" s="943">
        <f t="shared" si="31"/>
        <v>678</v>
      </c>
      <c r="CG14" s="943">
        <f t="shared" si="31"/>
        <v>645</v>
      </c>
      <c r="CH14" s="943">
        <f t="shared" si="31"/>
        <v>525</v>
      </c>
      <c r="CI14" s="943">
        <f t="shared" si="31"/>
        <v>476</v>
      </c>
      <c r="CJ14" s="943">
        <f t="shared" si="31"/>
        <v>632</v>
      </c>
      <c r="CK14" s="943">
        <f t="shared" si="31"/>
        <v>675</v>
      </c>
      <c r="CL14" s="943">
        <f t="shared" si="31"/>
        <v>630</v>
      </c>
      <c r="CM14" s="943">
        <f t="shared" si="31"/>
        <v>579</v>
      </c>
      <c r="CN14" s="943">
        <f t="shared" si="31"/>
        <v>823</v>
      </c>
      <c r="CO14" s="943">
        <f t="shared" si="31"/>
        <v>702</v>
      </c>
      <c r="CP14" s="943">
        <f t="shared" si="31"/>
        <v>534</v>
      </c>
      <c r="CQ14" s="943">
        <f t="shared" si="31"/>
        <v>769</v>
      </c>
      <c r="CR14" s="943">
        <f t="shared" si="31"/>
        <v>734</v>
      </c>
      <c r="CS14" s="943">
        <f t="shared" si="31"/>
        <v>759</v>
      </c>
      <c r="CT14" s="943">
        <f t="shared" si="31"/>
        <v>355</v>
      </c>
      <c r="CU14" s="943">
        <f t="shared" si="31"/>
        <v>466</v>
      </c>
      <c r="CV14" s="943">
        <f t="shared" si="31"/>
        <v>278</v>
      </c>
      <c r="CW14" s="943">
        <f t="shared" si="31"/>
        <v>374</v>
      </c>
      <c r="CX14" s="943">
        <f t="shared" si="31"/>
        <v>311</v>
      </c>
      <c r="CY14" s="943">
        <f t="shared" si="31"/>
        <v>219</v>
      </c>
      <c r="CZ14" s="943">
        <f t="shared" si="31"/>
        <v>323</v>
      </c>
      <c r="DA14" s="943">
        <f t="shared" si="31"/>
        <v>201</v>
      </c>
      <c r="DB14" s="943">
        <f t="shared" si="31"/>
        <v>151</v>
      </c>
      <c r="DC14" s="943">
        <f t="shared" si="31"/>
        <v>73</v>
      </c>
      <c r="DD14" s="943">
        <f t="shared" si="31"/>
        <v>47</v>
      </c>
      <c r="DE14" s="943">
        <f t="shared" si="31"/>
        <v>46</v>
      </c>
      <c r="DF14" s="943">
        <f t="shared" si="31"/>
        <v>27</v>
      </c>
      <c r="DG14" s="943">
        <f t="shared" si="31"/>
        <v>22</v>
      </c>
      <c r="DH14" s="943">
        <f t="shared" si="31"/>
        <v>4</v>
      </c>
      <c r="DI14" s="943">
        <f t="shared" si="31"/>
        <v>2</v>
      </c>
      <c r="DJ14" s="943">
        <f t="shared" si="31"/>
        <v>0</v>
      </c>
      <c r="DK14" s="943"/>
      <c r="DL14" s="943"/>
      <c r="DM14" s="943"/>
      <c r="DN14" s="943"/>
      <c r="DO14" s="943"/>
      <c r="DP14" s="943"/>
      <c r="DR14" s="945"/>
      <c r="DS14" s="945"/>
      <c r="DT14" s="945"/>
      <c r="DU14" s="945"/>
      <c r="DV14" s="945"/>
      <c r="DW14" s="945"/>
      <c r="DX14" s="945"/>
      <c r="DY14" s="945"/>
      <c r="DZ14" s="945"/>
      <c r="EA14" s="945"/>
      <c r="EB14" s="945"/>
      <c r="EC14" s="945"/>
      <c r="ED14" s="957">
        <f t="shared" ref="ED14:EL14" si="32">+ED15+ED16</f>
        <v>0</v>
      </c>
      <c r="EE14" s="957">
        <f t="shared" si="32"/>
        <v>0</v>
      </c>
      <c r="EF14" s="957">
        <f t="shared" si="32"/>
        <v>0</v>
      </c>
      <c r="EG14" s="957">
        <f t="shared" si="32"/>
        <v>0</v>
      </c>
      <c r="EH14" s="957">
        <f t="shared" si="32"/>
        <v>0</v>
      </c>
      <c r="EI14" s="957">
        <f t="shared" si="32"/>
        <v>0</v>
      </c>
      <c r="EJ14" s="957">
        <f t="shared" si="32"/>
        <v>0</v>
      </c>
      <c r="EK14" s="957">
        <f t="shared" si="32"/>
        <v>0</v>
      </c>
      <c r="EL14" s="957">
        <f t="shared" si="32"/>
        <v>0</v>
      </c>
      <c r="EM14" s="957">
        <f t="shared" ref="EM14:FG14" si="33">+EM15+EM16</f>
        <v>44</v>
      </c>
      <c r="EN14" s="957">
        <f t="shared" si="33"/>
        <v>608</v>
      </c>
      <c r="EO14" s="957">
        <f t="shared" si="33"/>
        <v>673</v>
      </c>
      <c r="EP14" s="957">
        <f t="shared" si="33"/>
        <v>691</v>
      </c>
      <c r="EQ14" s="957">
        <f t="shared" si="33"/>
        <v>651</v>
      </c>
      <c r="ER14" s="957">
        <f t="shared" si="33"/>
        <v>738</v>
      </c>
      <c r="ES14" s="957">
        <f t="shared" si="33"/>
        <v>975</v>
      </c>
      <c r="ET14" s="957">
        <f t="shared" si="33"/>
        <v>937</v>
      </c>
      <c r="EU14" s="957">
        <f t="shared" si="33"/>
        <v>868</v>
      </c>
      <c r="EV14" s="957">
        <f t="shared" si="33"/>
        <v>1288</v>
      </c>
      <c r="EW14" s="957">
        <f t="shared" si="33"/>
        <v>902</v>
      </c>
      <c r="EX14" s="957">
        <f t="shared" si="33"/>
        <v>841</v>
      </c>
      <c r="EY14" s="957">
        <f t="shared" si="33"/>
        <v>2065</v>
      </c>
      <c r="EZ14" s="957">
        <f t="shared" si="33"/>
        <v>1712</v>
      </c>
      <c r="FA14" s="957">
        <f t="shared" si="33"/>
        <v>1780</v>
      </c>
      <c r="FB14" s="957">
        <f t="shared" ref="FB14:FD14" si="34">+FB15+FB16</f>
        <v>1382</v>
      </c>
      <c r="FC14" s="957">
        <f t="shared" si="34"/>
        <v>0</v>
      </c>
      <c r="FD14" s="957">
        <f t="shared" si="34"/>
        <v>0</v>
      </c>
      <c r="FE14" s="957"/>
      <c r="FF14" s="957">
        <f t="shared" si="33"/>
        <v>7891</v>
      </c>
      <c r="FG14" s="941">
        <f t="shared" si="33"/>
        <v>0</v>
      </c>
      <c r="FH14" s="967" t="e">
        <f t="shared" ref="FH14:FH17" si="35">(FF14/FG14-1)*100</f>
        <v>#DIV/0!</v>
      </c>
      <c r="FI14" s="934"/>
      <c r="FJ14" s="935"/>
      <c r="FL14" s="936">
        <f>SUM(ED14:EF14)</f>
        <v>0</v>
      </c>
      <c r="FM14" s="936">
        <f>SUM(EM14:EO14)</f>
        <v>1325</v>
      </c>
      <c r="FN14" s="936">
        <f>SUM(EP14:ER14)</f>
        <v>2080</v>
      </c>
      <c r="FO14" s="930"/>
      <c r="FR14" s="123" t="s">
        <v>1244</v>
      </c>
      <c r="FS14" s="126">
        <v>57711.556735024547</v>
      </c>
      <c r="FT14" s="126">
        <v>56491.016330327722</v>
      </c>
      <c r="FU14" s="938">
        <f>FS14/FT14*100-100</f>
        <v>2.1605920445116169</v>
      </c>
      <c r="FV14" s="126">
        <v>55272.652609155317</v>
      </c>
      <c r="FW14" s="938">
        <f>FS14/FV14*100-100</f>
        <v>4.4124969776921006</v>
      </c>
      <c r="FX14" s="938"/>
      <c r="FZ14" s="939">
        <f>SUM(CT14:DE14)</f>
        <v>2844</v>
      </c>
      <c r="GA14" s="939">
        <f>SUM(CH14:CS14)</f>
        <v>7838</v>
      </c>
      <c r="GB14" s="940">
        <f t="shared" si="20"/>
        <v>-63.715233477928038</v>
      </c>
      <c r="GD14" s="939">
        <f>SUM(CT14:DE14)</f>
        <v>2844</v>
      </c>
      <c r="GE14" s="939">
        <f>SUM(CH14:CS14)</f>
        <v>7838</v>
      </c>
      <c r="GF14" s="940">
        <f t="shared" si="21"/>
        <v>-63.715233477928038</v>
      </c>
    </row>
    <row r="15" spans="1:188">
      <c r="A15" s="931" t="s">
        <v>744</v>
      </c>
      <c r="B15" s="943">
        <v>2062</v>
      </c>
      <c r="C15" s="943">
        <v>2073</v>
      </c>
      <c r="D15" s="943">
        <v>2439</v>
      </c>
      <c r="E15" s="943">
        <v>2758</v>
      </c>
      <c r="F15" s="943">
        <v>2675</v>
      </c>
      <c r="G15" s="943">
        <v>3321</v>
      </c>
      <c r="H15" s="943">
        <v>3216</v>
      </c>
      <c r="I15" s="943">
        <v>2712</v>
      </c>
      <c r="J15" s="943">
        <v>2436</v>
      </c>
      <c r="K15" s="943">
        <v>2809</v>
      </c>
      <c r="L15" s="943">
        <v>3042</v>
      </c>
      <c r="M15" s="943">
        <v>2903</v>
      </c>
      <c r="N15" s="943">
        <v>2262</v>
      </c>
      <c r="O15" s="943">
        <v>2334</v>
      </c>
      <c r="P15" s="943">
        <v>2462</v>
      </c>
      <c r="Q15" s="943">
        <v>2423</v>
      </c>
      <c r="R15" s="943">
        <v>2636</v>
      </c>
      <c r="S15" s="943">
        <v>2860</v>
      </c>
      <c r="T15" s="943">
        <v>3091</v>
      </c>
      <c r="U15" s="943">
        <v>2931</v>
      </c>
      <c r="V15" s="943">
        <v>2972</v>
      </c>
      <c r="W15" s="943">
        <v>3608</v>
      </c>
      <c r="X15" s="943">
        <v>3803</v>
      </c>
      <c r="Y15" s="943">
        <v>4012</v>
      </c>
      <c r="Z15" s="943">
        <v>2938</v>
      </c>
      <c r="AA15" s="943">
        <v>3435</v>
      </c>
      <c r="AB15" s="943">
        <v>3582</v>
      </c>
      <c r="AC15" s="943">
        <v>3578</v>
      </c>
      <c r="AD15" s="943">
        <v>4068</v>
      </c>
      <c r="AE15" s="943">
        <v>4710</v>
      </c>
      <c r="AF15" s="943">
        <v>4089</v>
      </c>
      <c r="AG15" s="943">
        <v>3612</v>
      </c>
      <c r="AH15" s="943">
        <v>3460</v>
      </c>
      <c r="AI15" s="943">
        <v>3083</v>
      </c>
      <c r="AJ15" s="943">
        <v>3025</v>
      </c>
      <c r="AK15" s="943">
        <v>2794</v>
      </c>
      <c r="AL15" s="943">
        <v>2241</v>
      </c>
      <c r="AM15" s="943">
        <v>2315</v>
      </c>
      <c r="AN15" s="943">
        <v>2591</v>
      </c>
      <c r="AO15" s="943">
        <v>1875</v>
      </c>
      <c r="AP15" s="943">
        <v>3281</v>
      </c>
      <c r="AQ15" s="943">
        <v>2764</v>
      </c>
      <c r="AR15" s="943">
        <v>2834</v>
      </c>
      <c r="AS15" s="943">
        <v>2428</v>
      </c>
      <c r="AT15" s="943">
        <v>1598</v>
      </c>
      <c r="AU15" s="943">
        <v>1816</v>
      </c>
      <c r="AV15" s="943">
        <v>1593</v>
      </c>
      <c r="AW15" s="943">
        <v>1271</v>
      </c>
      <c r="AX15" s="943">
        <v>1203</v>
      </c>
      <c r="AY15" s="943">
        <v>1148</v>
      </c>
      <c r="AZ15" s="943">
        <v>917</v>
      </c>
      <c r="BA15" s="943">
        <v>1092</v>
      </c>
      <c r="BB15" s="943">
        <v>970</v>
      </c>
      <c r="BC15" s="943">
        <v>977</v>
      </c>
      <c r="BD15" s="943">
        <v>1035</v>
      </c>
      <c r="BE15" s="943">
        <v>463</v>
      </c>
      <c r="BF15" s="943">
        <v>343</v>
      </c>
      <c r="BG15" s="943">
        <v>599</v>
      </c>
      <c r="BH15" s="943">
        <v>708</v>
      </c>
      <c r="BI15" s="943">
        <v>742</v>
      </c>
      <c r="BJ15" s="943">
        <v>682</v>
      </c>
      <c r="BK15" s="943">
        <v>808</v>
      </c>
      <c r="BL15" s="943">
        <v>789</v>
      </c>
      <c r="BM15" s="943">
        <v>828</v>
      </c>
      <c r="BN15" s="943">
        <v>630</v>
      </c>
      <c r="BO15" s="943">
        <v>924</v>
      </c>
      <c r="BP15" s="943">
        <v>956</v>
      </c>
      <c r="BQ15" s="943">
        <v>849</v>
      </c>
      <c r="BR15" s="943">
        <v>623</v>
      </c>
      <c r="BS15" s="943">
        <v>534</v>
      </c>
      <c r="BT15" s="943">
        <v>2207</v>
      </c>
      <c r="BU15" s="943">
        <v>1718</v>
      </c>
      <c r="BV15" s="943">
        <v>314</v>
      </c>
      <c r="BW15" s="943">
        <v>283</v>
      </c>
      <c r="BX15" s="943">
        <v>265</v>
      </c>
      <c r="BY15" s="943">
        <v>290</v>
      </c>
      <c r="BZ15" s="943">
        <v>230</v>
      </c>
      <c r="CA15" s="943">
        <v>149</v>
      </c>
      <c r="CB15" s="943">
        <v>206</v>
      </c>
      <c r="CC15" s="943">
        <v>205</v>
      </c>
      <c r="CD15" s="943">
        <v>465</v>
      </c>
      <c r="CE15" s="943">
        <v>627</v>
      </c>
      <c r="CF15" s="943">
        <v>678</v>
      </c>
      <c r="CG15" s="943">
        <v>645</v>
      </c>
      <c r="CH15" s="943">
        <v>525</v>
      </c>
      <c r="CI15" s="943">
        <v>476</v>
      </c>
      <c r="CJ15" s="943">
        <v>632</v>
      </c>
      <c r="CK15" s="943">
        <v>675</v>
      </c>
      <c r="CL15" s="943">
        <v>630</v>
      </c>
      <c r="CM15" s="951">
        <v>579</v>
      </c>
      <c r="CN15" s="943">
        <v>823</v>
      </c>
      <c r="CO15" s="943">
        <v>702</v>
      </c>
      <c r="CP15" s="943">
        <v>534</v>
      </c>
      <c r="CQ15" s="943">
        <v>769</v>
      </c>
      <c r="CR15" s="943">
        <v>734</v>
      </c>
      <c r="CS15" s="943">
        <v>759</v>
      </c>
      <c r="CT15" s="943">
        <v>355</v>
      </c>
      <c r="CU15" s="943">
        <v>466</v>
      </c>
      <c r="CV15" s="943">
        <v>278</v>
      </c>
      <c r="CW15" s="943">
        <v>374</v>
      </c>
      <c r="CX15" s="943">
        <v>311</v>
      </c>
      <c r="CY15" s="943">
        <v>219</v>
      </c>
      <c r="CZ15" s="943">
        <v>323</v>
      </c>
      <c r="DA15" s="943">
        <v>201</v>
      </c>
      <c r="DB15" s="943">
        <v>151</v>
      </c>
      <c r="DC15" s="943">
        <v>73</v>
      </c>
      <c r="DD15" s="943">
        <v>47</v>
      </c>
      <c r="DE15" s="943">
        <v>46</v>
      </c>
      <c r="DF15" s="943">
        <v>27</v>
      </c>
      <c r="DG15" s="943">
        <v>22</v>
      </c>
      <c r="DH15" s="943">
        <v>4</v>
      </c>
      <c r="DI15" s="943">
        <v>2</v>
      </c>
      <c r="DJ15" s="943">
        <v>0</v>
      </c>
      <c r="DK15" s="943"/>
      <c r="DL15" s="943"/>
      <c r="DM15" s="943"/>
      <c r="DN15" s="943"/>
      <c r="DO15" s="943"/>
      <c r="DP15" s="943"/>
      <c r="DQ15" s="943"/>
      <c r="DR15" s="943"/>
      <c r="DS15" s="943"/>
      <c r="DT15" s="943"/>
      <c r="DU15" s="943"/>
      <c r="DV15" s="943"/>
      <c r="DW15" s="943"/>
      <c r="DX15" s="943"/>
      <c r="DY15" s="943"/>
      <c r="DZ15" s="943"/>
      <c r="EA15" s="943"/>
      <c r="EB15" s="943"/>
      <c r="EC15" s="943"/>
      <c r="ED15" s="943">
        <v>0</v>
      </c>
      <c r="EE15" s="943">
        <v>0</v>
      </c>
      <c r="EF15" s="943">
        <v>0</v>
      </c>
      <c r="EG15" s="943">
        <v>0</v>
      </c>
      <c r="EH15" s="943">
        <v>0</v>
      </c>
      <c r="EI15" s="943">
        <v>0</v>
      </c>
      <c r="EJ15" s="943">
        <v>0</v>
      </c>
      <c r="EK15" s="943">
        <v>0</v>
      </c>
      <c r="EL15" s="943">
        <v>0</v>
      </c>
      <c r="EM15" s="943">
        <v>44</v>
      </c>
      <c r="EN15" s="943">
        <v>608</v>
      </c>
      <c r="EO15" s="943">
        <v>673</v>
      </c>
      <c r="EP15" s="943">
        <v>690</v>
      </c>
      <c r="EQ15" s="943">
        <v>650</v>
      </c>
      <c r="ER15" s="943">
        <v>674</v>
      </c>
      <c r="ES15" s="943">
        <v>974</v>
      </c>
      <c r="ET15" s="943">
        <v>921</v>
      </c>
      <c r="EU15" s="943">
        <v>868</v>
      </c>
      <c r="EV15" s="943">
        <v>1287</v>
      </c>
      <c r="EW15" s="943">
        <v>868</v>
      </c>
      <c r="EX15" s="943">
        <v>809</v>
      </c>
      <c r="EY15" s="943">
        <v>2049</v>
      </c>
      <c r="EZ15" s="943">
        <v>1696</v>
      </c>
      <c r="FA15" s="943">
        <v>1676</v>
      </c>
      <c r="FB15" s="943">
        <v>1264</v>
      </c>
      <c r="FC15" s="943"/>
      <c r="FD15" s="943"/>
      <c r="FE15" s="943"/>
      <c r="FF15" s="957">
        <f t="shared" ref="FF15:FF17" si="36">+SUM(EP15:EX15)</f>
        <v>7741</v>
      </c>
      <c r="FG15" s="941">
        <f t="shared" ref="FG15:FG17" si="37">+SUM(ED15:EL15)</f>
        <v>0</v>
      </c>
      <c r="FH15" s="967" t="e">
        <f t="shared" si="35"/>
        <v>#DIV/0!</v>
      </c>
      <c r="FI15" s="934"/>
      <c r="FJ15" s="935"/>
      <c r="FL15" s="936">
        <f>SUM(ED15:EF15)</f>
        <v>0</v>
      </c>
      <c r="FM15" s="936">
        <f>SUM(EM15:EO15)</f>
        <v>1325</v>
      </c>
      <c r="FN15" s="936">
        <f>SUM(EP15:ER15)</f>
        <v>2014</v>
      </c>
      <c r="FO15" s="930"/>
      <c r="FR15" s="123" t="s">
        <v>744</v>
      </c>
      <c r="FS15" s="126">
        <v>66910.617451491009</v>
      </c>
      <c r="FT15" s="126">
        <v>64392.00058155899</v>
      </c>
      <c r="FU15" s="938">
        <f>FS15/FT15*100-100</f>
        <v>3.9113816113570437</v>
      </c>
      <c r="FV15" s="126">
        <v>60522.651915166447</v>
      </c>
      <c r="FW15" s="938">
        <f>FS15/FV15*100-100</f>
        <v>10.554668928384785</v>
      </c>
      <c r="FZ15" s="939">
        <f>SUM(CT15:DE15)</f>
        <v>2844</v>
      </c>
      <c r="GA15" s="939">
        <f>SUM(CH15:CS15)</f>
        <v>7838</v>
      </c>
      <c r="GB15" s="940">
        <f t="shared" si="20"/>
        <v>-63.715233477928038</v>
      </c>
      <c r="GD15" s="939">
        <f>SUM(CT15:DE15)</f>
        <v>2844</v>
      </c>
      <c r="GE15" s="939">
        <f>SUM(CH15:CS15)</f>
        <v>7838</v>
      </c>
      <c r="GF15" s="940">
        <f t="shared" si="21"/>
        <v>-63.715233477928038</v>
      </c>
    </row>
    <row r="16" spans="1:188">
      <c r="A16" s="931" t="s">
        <v>2547</v>
      </c>
      <c r="B16" s="943">
        <v>62</v>
      </c>
      <c r="C16" s="943">
        <v>69</v>
      </c>
      <c r="D16" s="943">
        <v>85</v>
      </c>
      <c r="E16" s="943">
        <v>23</v>
      </c>
      <c r="F16" s="943">
        <v>28</v>
      </c>
      <c r="G16" s="943">
        <v>122</v>
      </c>
      <c r="H16" s="943">
        <v>138</v>
      </c>
      <c r="I16" s="943">
        <v>60</v>
      </c>
      <c r="J16" s="943">
        <v>45</v>
      </c>
      <c r="K16" s="943">
        <v>255</v>
      </c>
      <c r="L16" s="943">
        <v>18</v>
      </c>
      <c r="M16" s="943">
        <v>111</v>
      </c>
      <c r="N16" s="943">
        <v>148</v>
      </c>
      <c r="O16" s="943">
        <v>20</v>
      </c>
      <c r="P16" s="943">
        <v>80</v>
      </c>
      <c r="Q16" s="943">
        <v>14</v>
      </c>
      <c r="R16" s="943">
        <v>215</v>
      </c>
      <c r="S16" s="943">
        <v>66</v>
      </c>
      <c r="T16" s="943">
        <v>26</v>
      </c>
      <c r="U16" s="943">
        <v>26</v>
      </c>
      <c r="V16" s="943">
        <v>21</v>
      </c>
      <c r="W16" s="943">
        <v>6</v>
      </c>
      <c r="X16" s="943">
        <v>14</v>
      </c>
      <c r="Y16" s="943">
        <v>0</v>
      </c>
      <c r="Z16" s="943">
        <v>0</v>
      </c>
      <c r="AA16" s="943">
        <v>0</v>
      </c>
      <c r="AB16" s="943">
        <v>0</v>
      </c>
      <c r="AC16" s="943">
        <v>0</v>
      </c>
      <c r="AD16" s="943">
        <v>0</v>
      </c>
      <c r="AE16" s="943">
        <v>0</v>
      </c>
      <c r="AF16" s="943">
        <v>0</v>
      </c>
      <c r="AG16" s="943">
        <v>1</v>
      </c>
      <c r="AH16" s="943">
        <v>40</v>
      </c>
      <c r="AI16" s="943">
        <v>16</v>
      </c>
      <c r="AJ16" s="943">
        <v>6</v>
      </c>
      <c r="AK16" s="943">
        <v>44</v>
      </c>
      <c r="AL16" s="943">
        <v>12</v>
      </c>
      <c r="AM16" s="943">
        <v>0</v>
      </c>
      <c r="AN16" s="943">
        <v>32</v>
      </c>
      <c r="AO16" s="943">
        <v>1</v>
      </c>
      <c r="AP16" s="943">
        <v>55</v>
      </c>
      <c r="AQ16" s="943">
        <v>0</v>
      </c>
      <c r="AR16" s="943">
        <v>0</v>
      </c>
      <c r="AS16" s="943">
        <v>0</v>
      </c>
      <c r="AT16" s="943">
        <v>0</v>
      </c>
      <c r="AU16" s="943">
        <v>0</v>
      </c>
      <c r="AV16" s="943">
        <v>0</v>
      </c>
      <c r="AW16" s="943">
        <v>0</v>
      </c>
      <c r="AX16" s="943">
        <v>0</v>
      </c>
      <c r="AY16" s="943">
        <v>0</v>
      </c>
      <c r="AZ16" s="943">
        <v>0</v>
      </c>
      <c r="BA16" s="943">
        <v>0</v>
      </c>
      <c r="BB16" s="943">
        <v>0</v>
      </c>
      <c r="BC16" s="943">
        <v>0</v>
      </c>
      <c r="BD16" s="943">
        <v>0</v>
      </c>
      <c r="BE16" s="943">
        <v>0</v>
      </c>
      <c r="BF16" s="943">
        <v>0</v>
      </c>
      <c r="BG16" s="943">
        <v>0</v>
      </c>
      <c r="BH16" s="943">
        <v>0</v>
      </c>
      <c r="BI16" s="943">
        <v>0</v>
      </c>
      <c r="BJ16" s="943">
        <v>0</v>
      </c>
      <c r="BK16" s="943">
        <v>0</v>
      </c>
      <c r="BL16" s="943">
        <v>0</v>
      </c>
      <c r="BM16" s="943">
        <v>0</v>
      </c>
      <c r="BN16" s="943">
        <v>0</v>
      </c>
      <c r="BO16" s="943">
        <v>0</v>
      </c>
      <c r="BP16" s="943">
        <v>0</v>
      </c>
      <c r="BQ16" s="943">
        <v>0</v>
      </c>
      <c r="BR16" s="943">
        <v>0</v>
      </c>
      <c r="BS16" s="943">
        <v>0</v>
      </c>
      <c r="BT16" s="943">
        <v>0</v>
      </c>
      <c r="BU16" s="943">
        <v>0</v>
      </c>
      <c r="BV16" s="943">
        <v>0</v>
      </c>
      <c r="BW16" s="943">
        <v>0</v>
      </c>
      <c r="BX16" s="943">
        <v>101</v>
      </c>
      <c r="BY16" s="943">
        <v>1</v>
      </c>
      <c r="BZ16" s="943">
        <v>72</v>
      </c>
      <c r="CA16" s="943">
        <v>0</v>
      </c>
      <c r="CB16" s="943">
        <v>0</v>
      </c>
      <c r="CC16" s="943">
        <v>0</v>
      </c>
      <c r="CD16" s="943">
        <v>0</v>
      </c>
      <c r="CE16" s="943">
        <v>0</v>
      </c>
      <c r="CF16" s="943">
        <v>0</v>
      </c>
      <c r="CG16" s="943">
        <v>0</v>
      </c>
      <c r="CH16" s="943">
        <v>0</v>
      </c>
      <c r="CI16" s="943">
        <v>0</v>
      </c>
      <c r="CJ16" s="943">
        <v>0</v>
      </c>
      <c r="CK16" s="943">
        <v>0</v>
      </c>
      <c r="CL16" s="943">
        <v>0</v>
      </c>
      <c r="CM16" s="951">
        <v>0</v>
      </c>
      <c r="CN16" s="943">
        <v>0</v>
      </c>
      <c r="CO16" s="943">
        <v>0</v>
      </c>
      <c r="CP16" s="943">
        <v>0</v>
      </c>
      <c r="CQ16" s="943">
        <v>0</v>
      </c>
      <c r="CR16" s="943">
        <v>0</v>
      </c>
      <c r="CS16" s="943">
        <v>0</v>
      </c>
      <c r="CT16" s="943">
        <v>0</v>
      </c>
      <c r="CU16" s="943">
        <v>0</v>
      </c>
      <c r="CV16" s="943">
        <v>0</v>
      </c>
      <c r="CW16" s="943">
        <v>0</v>
      </c>
      <c r="CX16" s="943">
        <v>0</v>
      </c>
      <c r="CY16" s="943">
        <v>0</v>
      </c>
      <c r="CZ16" s="943">
        <v>0</v>
      </c>
      <c r="DA16" s="943">
        <v>0</v>
      </c>
      <c r="DB16" s="943">
        <v>0</v>
      </c>
      <c r="DC16" s="943">
        <v>0</v>
      </c>
      <c r="DD16" s="943">
        <v>0</v>
      </c>
      <c r="DE16" s="943">
        <v>0</v>
      </c>
      <c r="DF16" s="943">
        <v>0</v>
      </c>
      <c r="DG16" s="943">
        <v>0</v>
      </c>
      <c r="DH16" s="943">
        <v>0</v>
      </c>
      <c r="DI16" s="943">
        <v>0</v>
      </c>
      <c r="DJ16" s="943">
        <v>0</v>
      </c>
      <c r="DK16" s="943"/>
      <c r="DL16" s="943"/>
      <c r="DM16" s="943"/>
      <c r="DN16" s="943"/>
      <c r="DO16" s="943"/>
      <c r="DP16" s="943"/>
      <c r="DQ16" s="943"/>
      <c r="DR16" s="943"/>
      <c r="DS16" s="943"/>
      <c r="DT16" s="943"/>
      <c r="DU16" s="943"/>
      <c r="DV16" s="943"/>
      <c r="DW16" s="943"/>
      <c r="DX16" s="943"/>
      <c r="DY16" s="943"/>
      <c r="DZ16" s="943"/>
      <c r="EA16" s="943"/>
      <c r="EB16" s="943"/>
      <c r="EC16" s="943"/>
      <c r="ED16" s="943">
        <v>0</v>
      </c>
      <c r="EE16" s="943">
        <v>0</v>
      </c>
      <c r="EF16" s="943">
        <v>0</v>
      </c>
      <c r="EG16" s="943">
        <v>0</v>
      </c>
      <c r="EH16" s="943">
        <v>0</v>
      </c>
      <c r="EI16" s="943">
        <v>0</v>
      </c>
      <c r="EJ16" s="943">
        <v>0</v>
      </c>
      <c r="EK16" s="943">
        <v>0</v>
      </c>
      <c r="EL16" s="943">
        <v>0</v>
      </c>
      <c r="EM16" s="943">
        <v>0</v>
      </c>
      <c r="EN16" s="943">
        <v>0</v>
      </c>
      <c r="EO16" s="943">
        <v>0</v>
      </c>
      <c r="EP16" s="943">
        <v>1</v>
      </c>
      <c r="EQ16" s="943">
        <v>1</v>
      </c>
      <c r="ER16" s="943">
        <v>64</v>
      </c>
      <c r="ES16" s="943">
        <v>1</v>
      </c>
      <c r="ET16" s="943">
        <v>16</v>
      </c>
      <c r="EU16" s="943">
        <v>0</v>
      </c>
      <c r="EV16" s="943">
        <v>1</v>
      </c>
      <c r="EW16" s="943">
        <v>34</v>
      </c>
      <c r="EX16" s="943">
        <v>32</v>
      </c>
      <c r="EY16" s="943">
        <v>16</v>
      </c>
      <c r="EZ16" s="943">
        <v>16</v>
      </c>
      <c r="FA16" s="943">
        <v>104</v>
      </c>
      <c r="FB16" s="943">
        <v>118</v>
      </c>
      <c r="FC16" s="943"/>
      <c r="FD16" s="943"/>
      <c r="FE16" s="943"/>
      <c r="FF16" s="957">
        <f t="shared" si="36"/>
        <v>150</v>
      </c>
      <c r="FG16" s="941">
        <f t="shared" si="37"/>
        <v>0</v>
      </c>
      <c r="FH16" s="967" t="e">
        <f t="shared" si="35"/>
        <v>#DIV/0!</v>
      </c>
      <c r="FI16" s="934"/>
      <c r="FJ16" s="935"/>
      <c r="FL16" s="936">
        <f>SUM(ED16:EF16)</f>
        <v>0</v>
      </c>
      <c r="FM16" s="936">
        <f>SUM(EM16:EO16)</f>
        <v>0</v>
      </c>
      <c r="FN16" s="936">
        <f>SUM(EP16:ER16)</f>
        <v>66</v>
      </c>
      <c r="FO16" s="930"/>
      <c r="FR16" s="123" t="s">
        <v>2547</v>
      </c>
      <c r="FS16" s="126">
        <v>54522.838648156583</v>
      </c>
      <c r="FT16" s="126">
        <v>52707.318341800026</v>
      </c>
      <c r="FU16" s="938">
        <f>FS16/FT16*100-100</f>
        <v>3.4445317338726085</v>
      </c>
      <c r="FV16" s="126">
        <v>55278.533293039189</v>
      </c>
      <c r="FW16" s="938">
        <f>FS16/FV16*100-100</f>
        <v>-1.3670671051935557</v>
      </c>
      <c r="FZ16" s="939">
        <f>SUM(CT16:DE16)</f>
        <v>0</v>
      </c>
      <c r="GA16" s="939">
        <f>SUM(CH16:CS16)</f>
        <v>0</v>
      </c>
      <c r="GB16" s="940"/>
      <c r="GF16" s="940"/>
    </row>
    <row r="17" spans="1:188">
      <c r="A17" s="952" t="s">
        <v>2551</v>
      </c>
      <c r="DY17" s="939"/>
      <c r="DZ17" s="939"/>
      <c r="EA17" s="939"/>
      <c r="EB17" s="939"/>
      <c r="EC17" s="939"/>
      <c r="ED17" s="939">
        <v>0</v>
      </c>
      <c r="EE17" s="939">
        <v>0</v>
      </c>
      <c r="EF17" s="939">
        <v>0</v>
      </c>
      <c r="EG17" s="939">
        <v>0</v>
      </c>
      <c r="EH17" s="939">
        <v>0</v>
      </c>
      <c r="EI17" s="939">
        <v>0</v>
      </c>
      <c r="EJ17" s="939">
        <v>0</v>
      </c>
      <c r="EK17" s="939">
        <v>0</v>
      </c>
      <c r="EL17" s="939">
        <v>0</v>
      </c>
      <c r="EM17" s="939">
        <v>40</v>
      </c>
      <c r="EN17" s="939">
        <v>48</v>
      </c>
      <c r="EO17" s="939">
        <v>130</v>
      </c>
      <c r="EP17" s="939">
        <v>212</v>
      </c>
      <c r="EQ17" s="939">
        <v>520</v>
      </c>
      <c r="ER17" s="939">
        <v>92</v>
      </c>
      <c r="ES17" s="939">
        <v>215</v>
      </c>
      <c r="ET17" s="939">
        <v>96</v>
      </c>
      <c r="EU17" s="939">
        <v>86</v>
      </c>
      <c r="EV17" s="939">
        <v>104</v>
      </c>
      <c r="EW17" s="939">
        <v>114</v>
      </c>
      <c r="EX17" s="939">
        <v>37</v>
      </c>
      <c r="EY17" s="939">
        <v>28</v>
      </c>
      <c r="EZ17" s="939">
        <v>52</v>
      </c>
      <c r="FA17" s="939">
        <v>0</v>
      </c>
      <c r="FB17" s="939"/>
      <c r="FC17" s="939"/>
      <c r="FD17" s="939"/>
      <c r="FE17" s="939"/>
      <c r="FF17" s="957">
        <f t="shared" si="36"/>
        <v>1476</v>
      </c>
      <c r="FG17" s="941">
        <f t="shared" si="37"/>
        <v>0</v>
      </c>
      <c r="FH17" s="967" t="e">
        <f t="shared" si="35"/>
        <v>#DIV/0!</v>
      </c>
      <c r="FI17" s="934"/>
      <c r="FJ17" s="934"/>
      <c r="FL17" s="936">
        <f>SUM(ED17:EF17)</f>
        <v>0</v>
      </c>
      <c r="FM17" s="936">
        <f>SUM(EM17:EO17)</f>
        <v>218</v>
      </c>
      <c r="FN17" s="936">
        <f>SUM(EP17:ER17)</f>
        <v>824</v>
      </c>
      <c r="FO17" s="953"/>
      <c r="FP17" s="953" t="s">
        <v>762</v>
      </c>
      <c r="FQ17" s="953" t="s">
        <v>2552</v>
      </c>
      <c r="GB17" s="940"/>
      <c r="GF17" s="940"/>
    </row>
    <row r="18" spans="1:188">
      <c r="A18" s="927" t="s">
        <v>2553</v>
      </c>
      <c r="DY18" s="939"/>
      <c r="DZ18" s="939"/>
      <c r="EA18" s="939"/>
      <c r="EB18" s="939"/>
      <c r="EC18" s="939"/>
      <c r="ED18" s="939"/>
      <c r="EE18" s="939"/>
      <c r="EF18" s="939"/>
      <c r="EG18" s="939"/>
      <c r="EH18" s="939"/>
      <c r="EI18" s="939"/>
      <c r="EJ18" s="939"/>
      <c r="EK18" s="939"/>
      <c r="EL18" s="939"/>
      <c r="EM18" s="939"/>
      <c r="EN18" s="939"/>
      <c r="EO18" s="939"/>
      <c r="EP18" s="939"/>
      <c r="EQ18" s="939"/>
      <c r="ER18" s="939"/>
      <c r="ES18" s="939"/>
      <c r="ET18" s="939"/>
      <c r="EU18" s="939"/>
      <c r="EV18" s="939"/>
      <c r="EW18" s="939"/>
      <c r="EX18" s="939"/>
      <c r="EY18" s="939"/>
      <c r="EZ18" s="939"/>
      <c r="FA18" s="939"/>
      <c r="FB18" s="939"/>
      <c r="FC18" s="939"/>
      <c r="FD18" s="939"/>
      <c r="FE18" s="939"/>
      <c r="FF18" s="939"/>
      <c r="FG18" s="950"/>
      <c r="FH18" s="925"/>
      <c r="FI18" s="934"/>
      <c r="FJ18" s="934"/>
      <c r="FL18" s="954" t="str">
        <f>FL2</f>
        <v>Q1FY16</v>
      </c>
      <c r="FM18" s="954" t="str">
        <f>FM2</f>
        <v>Q4FY16</v>
      </c>
      <c r="FN18" s="954" t="str">
        <f>FN2</f>
        <v>Q1FY17</v>
      </c>
      <c r="FO18" s="953"/>
      <c r="FP18" s="953"/>
      <c r="FQ18" s="953"/>
      <c r="GB18" s="940"/>
      <c r="GF18" s="940"/>
    </row>
    <row r="19" spans="1:188">
      <c r="A19" s="931" t="s">
        <v>230</v>
      </c>
      <c r="DX19" s="957">
        <f t="shared" ref="DX19:EO21" si="38">+DX14+DX9</f>
        <v>49094</v>
      </c>
      <c r="DY19" s="957">
        <f t="shared" si="38"/>
        <v>47311</v>
      </c>
      <c r="DZ19" s="957">
        <f t="shared" si="38"/>
        <v>43011</v>
      </c>
      <c r="EA19" s="957">
        <f t="shared" si="38"/>
        <v>41791</v>
      </c>
      <c r="EB19" s="957">
        <f t="shared" si="38"/>
        <v>27242</v>
      </c>
      <c r="EC19" s="957">
        <f t="shared" si="38"/>
        <v>40667</v>
      </c>
      <c r="ED19" s="957">
        <f t="shared" si="38"/>
        <v>50483</v>
      </c>
      <c r="EE19" s="957">
        <f t="shared" si="38"/>
        <v>43576</v>
      </c>
      <c r="EF19" s="957">
        <f t="shared" si="38"/>
        <v>43735</v>
      </c>
      <c r="EG19" s="957">
        <f t="shared" si="38"/>
        <v>47798</v>
      </c>
      <c r="EH19" s="957">
        <f t="shared" si="38"/>
        <v>51529</v>
      </c>
      <c r="EI19" s="957">
        <f t="shared" si="38"/>
        <v>54172</v>
      </c>
      <c r="EJ19" s="957">
        <f t="shared" si="38"/>
        <v>44053</v>
      </c>
      <c r="EK19" s="957">
        <f t="shared" si="38"/>
        <v>38721</v>
      </c>
      <c r="EL19" s="957">
        <f t="shared" si="38"/>
        <v>41207</v>
      </c>
      <c r="EM19" s="957">
        <f t="shared" si="38"/>
        <v>40911</v>
      </c>
      <c r="EN19" s="957">
        <f t="shared" si="38"/>
        <v>37389</v>
      </c>
      <c r="EO19" s="957">
        <f t="shared" si="38"/>
        <v>41421</v>
      </c>
      <c r="EP19" s="957">
        <f t="shared" ref="EP19:EU19" si="39">+EP14+EP9</f>
        <v>37999</v>
      </c>
      <c r="EQ19" s="957">
        <f t="shared" si="39"/>
        <v>39791</v>
      </c>
      <c r="ER19" s="957">
        <f t="shared" si="39"/>
        <v>43579</v>
      </c>
      <c r="ES19" s="957">
        <f t="shared" si="39"/>
        <v>44091</v>
      </c>
      <c r="ET19" s="957">
        <f t="shared" si="39"/>
        <v>45340</v>
      </c>
      <c r="EU19" s="957">
        <f t="shared" si="39"/>
        <v>44703</v>
      </c>
      <c r="EV19" s="957">
        <f t="shared" ref="EV19:EW19" si="40">+EV14+EV9</f>
        <v>48172</v>
      </c>
      <c r="EW19" s="957">
        <f t="shared" si="40"/>
        <v>32077</v>
      </c>
      <c r="EX19" s="957">
        <f t="shared" ref="EX19:FF19" si="41">+EX14+EX9</f>
        <v>22180</v>
      </c>
      <c r="EY19" s="957">
        <f t="shared" si="41"/>
        <v>30065</v>
      </c>
      <c r="EZ19" s="957">
        <f t="shared" si="41"/>
        <v>28503</v>
      </c>
      <c r="FA19" s="957">
        <f t="shared" ref="FA19" si="42">+FA14+FA9</f>
        <v>27883</v>
      </c>
      <c r="FB19" s="957">
        <f t="shared" ref="FB19:FD19" si="43">+FB14+FB9</f>
        <v>35824</v>
      </c>
      <c r="FC19" s="957">
        <f t="shared" si="43"/>
        <v>0</v>
      </c>
      <c r="FD19" s="957">
        <f t="shared" si="43"/>
        <v>0</v>
      </c>
      <c r="FE19" s="939"/>
      <c r="FF19" s="939">
        <f t="shared" si="41"/>
        <v>357932</v>
      </c>
      <c r="FG19" s="941">
        <f t="shared" ref="FG19" si="44">+FG14+FG9</f>
        <v>415274</v>
      </c>
      <c r="FH19" s="967">
        <f t="shared" ref="FH19:FH21" si="45">(FF19/FG19-1)*100</f>
        <v>-13.808232636765128</v>
      </c>
      <c r="FI19" s="934"/>
      <c r="FJ19" s="934"/>
      <c r="FL19" s="936">
        <f>SUM(ED19:EF19)</f>
        <v>137794</v>
      </c>
      <c r="FM19" s="936">
        <f>SUM(EM19:EO19)</f>
        <v>119721</v>
      </c>
      <c r="FN19" s="936">
        <f>SUM(EP19:ER19)</f>
        <v>121369</v>
      </c>
      <c r="FO19" s="953"/>
      <c r="FP19" s="953"/>
      <c r="FQ19" s="953"/>
      <c r="FV19" s="922">
        <v>872458</v>
      </c>
      <c r="GB19" s="940"/>
      <c r="GF19" s="940"/>
    </row>
    <row r="20" spans="1:188">
      <c r="A20" s="931" t="s">
        <v>744</v>
      </c>
      <c r="DX20" s="939">
        <f t="shared" si="38"/>
        <v>23189</v>
      </c>
      <c r="DY20" s="939">
        <f t="shared" si="38"/>
        <v>15877</v>
      </c>
      <c r="DZ20" s="939">
        <f t="shared" si="38"/>
        <v>16191</v>
      </c>
      <c r="EA20" s="939">
        <f t="shared" si="38"/>
        <v>16817</v>
      </c>
      <c r="EB20" s="939">
        <f t="shared" si="38"/>
        <v>14570</v>
      </c>
      <c r="EC20" s="939">
        <f t="shared" si="38"/>
        <v>17241</v>
      </c>
      <c r="ED20" s="939">
        <f t="shared" si="38"/>
        <v>14122</v>
      </c>
      <c r="EE20" s="939">
        <f t="shared" si="38"/>
        <v>15946</v>
      </c>
      <c r="EF20" s="939">
        <f t="shared" si="38"/>
        <v>20647</v>
      </c>
      <c r="EG20" s="939">
        <f t="shared" si="38"/>
        <v>21870</v>
      </c>
      <c r="EH20" s="939">
        <f t="shared" si="38"/>
        <v>22359</v>
      </c>
      <c r="EI20" s="939">
        <f t="shared" si="38"/>
        <v>22888</v>
      </c>
      <c r="EJ20" s="939">
        <f t="shared" si="38"/>
        <v>23135</v>
      </c>
      <c r="EK20" s="939">
        <f t="shared" si="38"/>
        <v>19695</v>
      </c>
      <c r="EL20" s="939">
        <f t="shared" si="38"/>
        <v>23204</v>
      </c>
      <c r="EM20" s="939">
        <f t="shared" si="38"/>
        <v>21017</v>
      </c>
      <c r="EN20" s="939">
        <f t="shared" si="38"/>
        <v>22619</v>
      </c>
      <c r="EO20" s="939">
        <f t="shared" si="38"/>
        <v>27493</v>
      </c>
      <c r="EP20" s="939">
        <f t="shared" ref="EP20:EU20" si="46">+EP15+EP10</f>
        <v>25700</v>
      </c>
      <c r="EQ20" s="939">
        <f t="shared" si="46"/>
        <v>24412</v>
      </c>
      <c r="ER20" s="939">
        <f t="shared" si="46"/>
        <v>25092</v>
      </c>
      <c r="ES20" s="939">
        <f t="shared" si="46"/>
        <v>23698</v>
      </c>
      <c r="ET20" s="939">
        <f t="shared" si="46"/>
        <v>25595</v>
      </c>
      <c r="EU20" s="939">
        <f t="shared" si="46"/>
        <v>25090</v>
      </c>
      <c r="EV20" s="939">
        <f t="shared" ref="EV20:EW20" si="47">+EV15+EV10</f>
        <v>25784</v>
      </c>
      <c r="EW20" s="939">
        <f t="shared" si="47"/>
        <v>14758</v>
      </c>
      <c r="EX20" s="939">
        <f t="shared" ref="EX20:FF20" si="48">+EX15+EX10</f>
        <v>13060</v>
      </c>
      <c r="EY20" s="939">
        <f t="shared" ref="EY20:EZ20" si="49">+EY15+EY10</f>
        <v>15385</v>
      </c>
      <c r="EZ20" s="939">
        <f t="shared" si="49"/>
        <v>16822</v>
      </c>
      <c r="FA20" s="939">
        <f t="shared" ref="FA20" si="50">+FA15+FA10</f>
        <v>17751</v>
      </c>
      <c r="FB20" s="939">
        <f t="shared" ref="FB20:FD20" si="51">+FB15+FB10</f>
        <v>15957</v>
      </c>
      <c r="FC20" s="939">
        <f t="shared" si="51"/>
        <v>0</v>
      </c>
      <c r="FD20" s="939">
        <f t="shared" si="51"/>
        <v>0</v>
      </c>
      <c r="FE20" s="939"/>
      <c r="FF20" s="939">
        <f t="shared" si="48"/>
        <v>203189</v>
      </c>
      <c r="FG20" s="941">
        <f t="shared" ref="FG20" si="52">+FG15+FG10</f>
        <v>183866</v>
      </c>
      <c r="FH20" s="967">
        <f t="shared" si="45"/>
        <v>10.509283935039647</v>
      </c>
      <c r="FI20" s="934"/>
      <c r="FJ20" s="934"/>
      <c r="FL20" s="936">
        <f>SUM(ED20:EF20)</f>
        <v>50715</v>
      </c>
      <c r="FM20" s="936">
        <f>SUM(EM20:EO20)</f>
        <v>71129</v>
      </c>
      <c r="FN20" s="936">
        <f>SUM(EP20:ER20)</f>
        <v>75204</v>
      </c>
      <c r="FO20" s="953"/>
      <c r="FP20" s="953"/>
      <c r="FQ20" s="953"/>
      <c r="FV20" s="939"/>
      <c r="GB20" s="940"/>
      <c r="GF20" s="940"/>
    </row>
    <row r="21" spans="1:188">
      <c r="A21" s="931" t="s">
        <v>2547</v>
      </c>
      <c r="DX21" s="939">
        <f t="shared" si="38"/>
        <v>25905</v>
      </c>
      <c r="DY21" s="939">
        <f t="shared" si="38"/>
        <v>31434</v>
      </c>
      <c r="DZ21" s="939">
        <f t="shared" si="38"/>
        <v>26820</v>
      </c>
      <c r="EA21" s="939">
        <f t="shared" si="38"/>
        <v>24974</v>
      </c>
      <c r="EB21" s="939">
        <f t="shared" si="38"/>
        <v>12672</v>
      </c>
      <c r="EC21" s="939">
        <f t="shared" si="38"/>
        <v>23426</v>
      </c>
      <c r="ED21" s="939">
        <f t="shared" si="38"/>
        <v>36361</v>
      </c>
      <c r="EE21" s="939">
        <f t="shared" si="38"/>
        <v>27630</v>
      </c>
      <c r="EF21" s="939">
        <f t="shared" si="38"/>
        <v>23088</v>
      </c>
      <c r="EG21" s="939">
        <f t="shared" si="38"/>
        <v>25928</v>
      </c>
      <c r="EH21" s="939">
        <f t="shared" si="38"/>
        <v>29170</v>
      </c>
      <c r="EI21" s="939">
        <f t="shared" si="38"/>
        <v>31284</v>
      </c>
      <c r="EJ21" s="939">
        <f t="shared" si="38"/>
        <v>20918</v>
      </c>
      <c r="EK21" s="939">
        <f t="shared" si="38"/>
        <v>19026</v>
      </c>
      <c r="EL21" s="939">
        <f t="shared" si="38"/>
        <v>18003</v>
      </c>
      <c r="EM21" s="939">
        <f t="shared" si="38"/>
        <v>19894</v>
      </c>
      <c r="EN21" s="939">
        <f t="shared" si="38"/>
        <v>14770</v>
      </c>
      <c r="EO21" s="939">
        <f t="shared" si="38"/>
        <v>13928</v>
      </c>
      <c r="EP21" s="939">
        <f t="shared" ref="EP21:EU21" si="53">+EP16+EP11</f>
        <v>12299</v>
      </c>
      <c r="EQ21" s="939">
        <f t="shared" si="53"/>
        <v>15379</v>
      </c>
      <c r="ER21" s="939">
        <f t="shared" si="53"/>
        <v>18487</v>
      </c>
      <c r="ES21" s="939">
        <f t="shared" si="53"/>
        <v>20393</v>
      </c>
      <c r="ET21" s="939">
        <f t="shared" si="53"/>
        <v>19745</v>
      </c>
      <c r="EU21" s="939">
        <f t="shared" si="53"/>
        <v>19613</v>
      </c>
      <c r="EV21" s="939">
        <f t="shared" ref="EV21:EW21" si="54">+EV16+EV11</f>
        <v>22388</v>
      </c>
      <c r="EW21" s="939">
        <f t="shared" si="54"/>
        <v>17319</v>
      </c>
      <c r="EX21" s="939">
        <f t="shared" ref="EX21:FF21" si="55">+EX16+EX11</f>
        <v>9120</v>
      </c>
      <c r="EY21" s="939">
        <f t="shared" ref="EY21:EZ21" si="56">+EY16+EY11</f>
        <v>14680</v>
      </c>
      <c r="EZ21" s="939">
        <f t="shared" si="56"/>
        <v>11681</v>
      </c>
      <c r="FA21" s="939">
        <f t="shared" ref="FA21" si="57">+FA16+FA11</f>
        <v>10132</v>
      </c>
      <c r="FB21" s="939">
        <f t="shared" ref="FB21:FD21" si="58">+FB16+FB11</f>
        <v>19867</v>
      </c>
      <c r="FC21" s="939">
        <f t="shared" si="58"/>
        <v>0</v>
      </c>
      <c r="FD21" s="939">
        <f t="shared" si="58"/>
        <v>0</v>
      </c>
      <c r="FE21" s="939"/>
      <c r="FF21" s="957">
        <f t="shared" si="55"/>
        <v>154743</v>
      </c>
      <c r="FG21" s="941">
        <f t="shared" ref="FG21" si="59">+FG16+FG11</f>
        <v>231408</v>
      </c>
      <c r="FH21" s="967">
        <f t="shared" si="45"/>
        <v>-33.129796722671642</v>
      </c>
      <c r="FI21" s="934"/>
      <c r="FJ21" s="934"/>
      <c r="FL21" s="936">
        <f>SUM(ED21:EF21)</f>
        <v>87079</v>
      </c>
      <c r="FM21" s="936">
        <f>SUM(EM21:EO21)</f>
        <v>48592</v>
      </c>
      <c r="FN21" s="936">
        <f>SUM(EP21:ER21)</f>
        <v>46165</v>
      </c>
      <c r="FO21" s="953"/>
      <c r="FP21" s="953"/>
      <c r="FQ21" s="953"/>
      <c r="GB21" s="940"/>
      <c r="GF21" s="940"/>
    </row>
    <row r="22" spans="1:188">
      <c r="A22" s="952"/>
      <c r="DY22" s="939"/>
      <c r="DZ22" s="939"/>
      <c r="EA22" s="939"/>
      <c r="EB22" s="939"/>
      <c r="EC22" s="939"/>
      <c r="ED22" s="939"/>
      <c r="EE22" s="939"/>
      <c r="EF22" s="939"/>
      <c r="EG22" s="939"/>
      <c r="EH22" s="939"/>
      <c r="EI22" s="939"/>
      <c r="EJ22" s="939"/>
      <c r="EK22" s="939"/>
      <c r="EL22" s="939"/>
      <c r="EM22" s="939"/>
      <c r="EN22" s="939"/>
      <c r="EO22" s="939"/>
      <c r="EP22" s="939"/>
      <c r="EQ22" s="939"/>
      <c r="ER22" s="939"/>
      <c r="ES22" s="939"/>
      <c r="ET22" s="939"/>
      <c r="EU22" s="939"/>
      <c r="EV22" s="939"/>
      <c r="EW22" s="939"/>
      <c r="EX22" s="939"/>
      <c r="EY22" s="939"/>
      <c r="EZ22" s="939"/>
      <c r="FA22" s="939"/>
      <c r="FB22" s="939"/>
      <c r="FC22" s="939"/>
      <c r="FD22" s="939"/>
      <c r="FE22" s="939"/>
      <c r="FF22" s="939"/>
      <c r="FG22" s="950"/>
      <c r="FH22" s="925"/>
      <c r="FI22" s="934"/>
      <c r="FJ22" s="934"/>
      <c r="FL22" s="954"/>
      <c r="FM22" s="954"/>
      <c r="FN22" s="954"/>
      <c r="FO22" s="953"/>
      <c r="FP22" s="953"/>
      <c r="FQ22" s="953"/>
      <c r="GB22" s="940"/>
      <c r="GF22" s="940"/>
    </row>
    <row r="23" spans="1:188">
      <c r="A23" s="931" t="s">
        <v>230</v>
      </c>
      <c r="B23" s="930">
        <f t="shared" ref="B23:BM23" si="60">SUM(B24:B25)</f>
        <v>108708</v>
      </c>
      <c r="C23" s="930">
        <f t="shared" si="60"/>
        <v>105463</v>
      </c>
      <c r="D23" s="930">
        <f t="shared" si="60"/>
        <v>121318</v>
      </c>
      <c r="E23" s="930">
        <f t="shared" si="60"/>
        <v>126632</v>
      </c>
      <c r="F23" s="930">
        <f t="shared" si="60"/>
        <v>127892</v>
      </c>
      <c r="G23" s="930">
        <f t="shared" si="60"/>
        <v>151592</v>
      </c>
      <c r="H23" s="930">
        <f t="shared" si="60"/>
        <v>164230</v>
      </c>
      <c r="I23" s="930">
        <f t="shared" si="60"/>
        <v>171120</v>
      </c>
      <c r="J23" s="930">
        <f t="shared" si="60"/>
        <v>159681</v>
      </c>
      <c r="K23" s="930">
        <f t="shared" si="60"/>
        <v>149829</v>
      </c>
      <c r="L23" s="930">
        <f t="shared" si="60"/>
        <v>149806</v>
      </c>
      <c r="M23" s="930">
        <f t="shared" si="60"/>
        <v>154588</v>
      </c>
      <c r="N23" s="930">
        <f t="shared" si="60"/>
        <v>156152</v>
      </c>
      <c r="O23" s="930">
        <f t="shared" si="60"/>
        <v>169896</v>
      </c>
      <c r="P23" s="930">
        <f t="shared" si="60"/>
        <v>150676</v>
      </c>
      <c r="Q23" s="930">
        <f t="shared" si="60"/>
        <v>137801</v>
      </c>
      <c r="R23" s="930">
        <f t="shared" si="60"/>
        <v>172197</v>
      </c>
      <c r="S23" s="930">
        <f t="shared" si="60"/>
        <v>204044</v>
      </c>
      <c r="T23" s="930">
        <f t="shared" si="60"/>
        <v>226893</v>
      </c>
      <c r="U23" s="930">
        <f t="shared" si="60"/>
        <v>174988</v>
      </c>
      <c r="V23" s="930">
        <f t="shared" si="60"/>
        <v>166797</v>
      </c>
      <c r="W23" s="930">
        <f t="shared" si="60"/>
        <v>195854</v>
      </c>
      <c r="X23" s="930">
        <f t="shared" si="60"/>
        <v>201152</v>
      </c>
      <c r="Y23" s="930">
        <f t="shared" si="60"/>
        <v>208650</v>
      </c>
      <c r="Z23" s="930">
        <f t="shared" si="60"/>
        <v>209677</v>
      </c>
      <c r="AA23" s="930">
        <f t="shared" si="60"/>
        <v>220149</v>
      </c>
      <c r="AB23" s="930">
        <f t="shared" si="60"/>
        <v>209236</v>
      </c>
      <c r="AC23" s="930">
        <f t="shared" si="60"/>
        <v>197778</v>
      </c>
      <c r="AD23" s="930">
        <f t="shared" si="60"/>
        <v>206720</v>
      </c>
      <c r="AE23" s="930">
        <f t="shared" si="60"/>
        <v>299247</v>
      </c>
      <c r="AF23" s="930">
        <f t="shared" si="60"/>
        <v>279529</v>
      </c>
      <c r="AG23" s="930">
        <f t="shared" si="60"/>
        <v>243705</v>
      </c>
      <c r="AH23" s="930">
        <f t="shared" si="60"/>
        <v>214812</v>
      </c>
      <c r="AI23" s="930">
        <f t="shared" si="60"/>
        <v>227590</v>
      </c>
      <c r="AJ23" s="930">
        <f t="shared" si="60"/>
        <v>199772</v>
      </c>
      <c r="AK23" s="930">
        <f t="shared" si="60"/>
        <v>190100</v>
      </c>
      <c r="AL23" s="930">
        <f t="shared" si="60"/>
        <v>188664</v>
      </c>
      <c r="AM23" s="930">
        <f t="shared" si="60"/>
        <v>191118</v>
      </c>
      <c r="AN23" s="930">
        <f t="shared" si="60"/>
        <v>185596</v>
      </c>
      <c r="AO23" s="930">
        <f t="shared" si="60"/>
        <v>182970</v>
      </c>
      <c r="AP23" s="930">
        <f t="shared" si="60"/>
        <v>192987</v>
      </c>
      <c r="AQ23" s="930">
        <f t="shared" si="60"/>
        <v>230440</v>
      </c>
      <c r="AR23" s="930">
        <f t="shared" si="60"/>
        <v>276308</v>
      </c>
      <c r="AS23" s="930">
        <f t="shared" si="60"/>
        <v>234073</v>
      </c>
      <c r="AT23" s="930">
        <f t="shared" si="60"/>
        <v>198662</v>
      </c>
      <c r="AU23" s="930">
        <f t="shared" si="60"/>
        <v>191093</v>
      </c>
      <c r="AV23" s="930">
        <f t="shared" si="60"/>
        <v>182961</v>
      </c>
      <c r="AW23" s="930">
        <f t="shared" si="60"/>
        <v>175062</v>
      </c>
      <c r="AX23" s="930">
        <f t="shared" si="60"/>
        <v>220994</v>
      </c>
      <c r="AY23" s="930">
        <f t="shared" si="60"/>
        <v>200225</v>
      </c>
      <c r="AZ23" s="930">
        <f t="shared" si="60"/>
        <v>195532</v>
      </c>
      <c r="BA23" s="930">
        <f t="shared" si="60"/>
        <v>192569</v>
      </c>
      <c r="BB23" s="930">
        <f t="shared" si="60"/>
        <v>199598</v>
      </c>
      <c r="BC23" s="930">
        <f t="shared" si="60"/>
        <v>244252</v>
      </c>
      <c r="BD23" s="930">
        <f t="shared" si="60"/>
        <v>190213</v>
      </c>
      <c r="BE23" s="930">
        <f t="shared" si="60"/>
        <v>159007</v>
      </c>
      <c r="BF23" s="930">
        <f t="shared" si="60"/>
        <v>141458</v>
      </c>
      <c r="BG23" s="930">
        <f t="shared" si="60"/>
        <v>131651</v>
      </c>
      <c r="BH23" s="930">
        <f t="shared" si="60"/>
        <v>153174</v>
      </c>
      <c r="BI23" s="930">
        <f t="shared" si="60"/>
        <v>153663</v>
      </c>
      <c r="BJ23" s="930">
        <f t="shared" si="60"/>
        <v>168600</v>
      </c>
      <c r="BK23" s="930">
        <f t="shared" si="60"/>
        <v>184693</v>
      </c>
      <c r="BL23" s="930">
        <f t="shared" si="60"/>
        <v>192676</v>
      </c>
      <c r="BM23" s="930">
        <f t="shared" si="60"/>
        <v>192267</v>
      </c>
      <c r="BN23" s="930">
        <f t="shared" ref="BN23:CY23" si="61">SUM(BN24:BN25)</f>
        <v>212462</v>
      </c>
      <c r="BO23" s="930">
        <f t="shared" si="61"/>
        <v>280254</v>
      </c>
      <c r="BP23" s="930">
        <f t="shared" si="61"/>
        <v>280162</v>
      </c>
      <c r="BQ23" s="930">
        <f t="shared" si="61"/>
        <v>276501</v>
      </c>
      <c r="BR23" s="930">
        <f t="shared" si="61"/>
        <v>251495</v>
      </c>
      <c r="BS23" s="930">
        <f t="shared" si="61"/>
        <v>265908</v>
      </c>
      <c r="BT23" s="930">
        <f t="shared" si="61"/>
        <v>268591</v>
      </c>
      <c r="BU23" s="930">
        <f t="shared" si="61"/>
        <v>274215</v>
      </c>
      <c r="BV23" s="930">
        <f t="shared" si="61"/>
        <v>313445</v>
      </c>
      <c r="BW23" s="930">
        <f t="shared" si="61"/>
        <v>299442</v>
      </c>
      <c r="BX23" s="930">
        <f t="shared" si="61"/>
        <v>315422</v>
      </c>
      <c r="BY23" s="930">
        <f t="shared" si="61"/>
        <v>318415</v>
      </c>
      <c r="BZ23" s="930">
        <f t="shared" si="61"/>
        <v>329364</v>
      </c>
      <c r="CA23" s="930">
        <f t="shared" si="61"/>
        <v>352769</v>
      </c>
      <c r="CB23" s="930">
        <f t="shared" si="61"/>
        <v>370838</v>
      </c>
      <c r="CC23" s="930">
        <f t="shared" si="61"/>
        <v>299231</v>
      </c>
      <c r="CD23" s="930">
        <f t="shared" si="61"/>
        <v>276803</v>
      </c>
      <c r="CE23" s="930">
        <f t="shared" si="61"/>
        <v>313583</v>
      </c>
      <c r="CF23" s="930">
        <f t="shared" si="61"/>
        <v>326874</v>
      </c>
      <c r="CG23" s="930">
        <f t="shared" si="61"/>
        <v>307738</v>
      </c>
      <c r="CH23" s="930">
        <f t="shared" si="61"/>
        <v>367309</v>
      </c>
      <c r="CI23" s="930">
        <f t="shared" si="61"/>
        <v>358849</v>
      </c>
      <c r="CJ23" s="930">
        <f t="shared" si="61"/>
        <v>366657</v>
      </c>
      <c r="CK23" s="930">
        <f t="shared" si="61"/>
        <v>363712</v>
      </c>
      <c r="CL23" s="930">
        <f t="shared" si="61"/>
        <v>382739</v>
      </c>
      <c r="CM23" s="932">
        <f t="shared" si="61"/>
        <v>417686</v>
      </c>
      <c r="CN23" s="930">
        <f t="shared" si="61"/>
        <v>395274</v>
      </c>
      <c r="CO23" s="930">
        <f t="shared" si="61"/>
        <v>374477</v>
      </c>
      <c r="CP23" s="930">
        <f t="shared" si="61"/>
        <v>305690</v>
      </c>
      <c r="CQ23" s="930">
        <f t="shared" si="61"/>
        <v>337875</v>
      </c>
      <c r="CR23" s="930">
        <f t="shared" si="61"/>
        <v>343777</v>
      </c>
      <c r="CS23" s="930">
        <f t="shared" si="61"/>
        <v>335515</v>
      </c>
      <c r="CT23" s="930">
        <f t="shared" si="61"/>
        <v>381590</v>
      </c>
      <c r="CU23" s="930">
        <f t="shared" si="61"/>
        <v>352219</v>
      </c>
      <c r="CV23" s="930">
        <f t="shared" si="61"/>
        <v>345162</v>
      </c>
      <c r="CW23" s="930">
        <f t="shared" si="61"/>
        <v>344150</v>
      </c>
      <c r="CX23" s="930">
        <f t="shared" si="61"/>
        <v>344906</v>
      </c>
      <c r="CY23" s="930">
        <f t="shared" si="61"/>
        <v>360152</v>
      </c>
      <c r="CZ23" s="930">
        <f>SUM(CZ24:CZ25)</f>
        <v>411502</v>
      </c>
      <c r="DA23" s="930">
        <f>SUM(DA24:DA25)</f>
        <v>372293</v>
      </c>
      <c r="DB23" s="939">
        <v>343946</v>
      </c>
      <c r="DC23" s="939">
        <f t="shared" ref="DC23:DQ23" si="62">DC24+DC25</f>
        <v>347624</v>
      </c>
      <c r="DD23" s="939">
        <f t="shared" si="62"/>
        <v>332387</v>
      </c>
      <c r="DE23" s="939">
        <f t="shared" si="62"/>
        <v>301220</v>
      </c>
      <c r="DF23" s="939">
        <f t="shared" si="62"/>
        <v>344178</v>
      </c>
      <c r="DG23" s="939">
        <f t="shared" si="62"/>
        <v>339348</v>
      </c>
      <c r="DH23" s="939">
        <f t="shared" si="62"/>
        <v>295749</v>
      </c>
      <c r="DI23" s="939">
        <f t="shared" si="62"/>
        <v>281327</v>
      </c>
      <c r="DJ23" s="939">
        <f t="shared" si="62"/>
        <v>312188</v>
      </c>
      <c r="DK23" s="939">
        <f>DK24+DK25</f>
        <v>367815</v>
      </c>
      <c r="DL23" s="939">
        <f t="shared" si="62"/>
        <v>385323</v>
      </c>
      <c r="DM23" s="939">
        <f t="shared" si="62"/>
        <v>310590</v>
      </c>
      <c r="DN23" s="939">
        <f t="shared" si="62"/>
        <v>297776</v>
      </c>
      <c r="DO23" s="939">
        <f t="shared" si="62"/>
        <v>318171</v>
      </c>
      <c r="DP23" s="939">
        <f t="shared" si="62"/>
        <v>313294</v>
      </c>
      <c r="DQ23" s="939">
        <f t="shared" si="62"/>
        <v>304317</v>
      </c>
      <c r="DR23" s="939">
        <f>DR24+DR25</f>
        <v>331529</v>
      </c>
      <c r="DS23" s="939">
        <f>DS24+DS25</f>
        <v>351436</v>
      </c>
      <c r="DT23" s="939">
        <f>DT24+DT25</f>
        <v>305465</v>
      </c>
      <c r="DU23" s="939">
        <f t="shared" ref="DU23:EF23" si="63">DU24+DU25</f>
        <v>319292</v>
      </c>
      <c r="DV23" s="939">
        <f t="shared" si="63"/>
        <v>336840</v>
      </c>
      <c r="DW23" s="939">
        <f t="shared" si="63"/>
        <v>399450</v>
      </c>
      <c r="DX23" s="957">
        <f t="shared" si="63"/>
        <v>386017</v>
      </c>
      <c r="DY23" s="957">
        <f t="shared" si="63"/>
        <v>309259</v>
      </c>
      <c r="DZ23" s="957">
        <f t="shared" si="63"/>
        <v>289244</v>
      </c>
      <c r="EA23" s="957">
        <f t="shared" si="63"/>
        <v>288746</v>
      </c>
      <c r="EB23" s="957">
        <f t="shared" si="63"/>
        <v>243319</v>
      </c>
      <c r="EC23" s="957">
        <f t="shared" si="63"/>
        <v>250604</v>
      </c>
      <c r="ED23" s="957">
        <f t="shared" si="63"/>
        <v>336274</v>
      </c>
      <c r="EE23" s="957">
        <f t="shared" si="63"/>
        <v>345438</v>
      </c>
      <c r="EF23" s="957">
        <f t="shared" si="63"/>
        <v>331317</v>
      </c>
      <c r="EG23" s="957">
        <f>EG24+EG25</f>
        <v>330231</v>
      </c>
      <c r="EH23" s="957">
        <f>EH24+EH25</f>
        <v>341965</v>
      </c>
      <c r="EI23" s="957">
        <f>EI24+EI25</f>
        <v>384400</v>
      </c>
      <c r="EJ23" s="957">
        <f>EJ24+EJ25</f>
        <v>352786</v>
      </c>
      <c r="EK23" s="957">
        <f>EK24+EK25</f>
        <v>309607</v>
      </c>
      <c r="EL23" s="957">
        <f>+EL9+EL4</f>
        <v>288989</v>
      </c>
      <c r="EM23" s="957">
        <f>+EM9+EM4+EM14</f>
        <v>293899</v>
      </c>
      <c r="EN23" s="957">
        <f>+EN9+EN4+EN14</f>
        <v>272671</v>
      </c>
      <c r="EO23" s="957">
        <f>+EO9+EO4+EO14</f>
        <v>305670</v>
      </c>
      <c r="EP23" s="957">
        <f t="shared" ref="EP23:EU23" si="64">+EP9+EP4+EP14</f>
        <v>329897</v>
      </c>
      <c r="EQ23" s="957">
        <f t="shared" si="64"/>
        <v>347135</v>
      </c>
      <c r="ER23" s="957">
        <f t="shared" si="64"/>
        <v>316877</v>
      </c>
      <c r="ES23" s="957">
        <f t="shared" si="64"/>
        <v>329618</v>
      </c>
      <c r="ET23" s="957">
        <f t="shared" si="64"/>
        <v>325251</v>
      </c>
      <c r="EU23" s="957">
        <f t="shared" si="64"/>
        <v>376679</v>
      </c>
      <c r="EV23" s="957">
        <f t="shared" ref="EV23:EW23" si="65">+EV9+EV4+EV14</f>
        <v>356064</v>
      </c>
      <c r="EW23" s="957">
        <f t="shared" si="65"/>
        <v>269834</v>
      </c>
      <c r="EX23" s="957">
        <f>+EX4+EX19</f>
        <v>225492</v>
      </c>
      <c r="EY23" s="957">
        <f t="shared" ref="EY23:EZ23" si="66">+EY4+EY19</f>
        <v>241889</v>
      </c>
      <c r="EZ23" s="957">
        <f t="shared" si="66"/>
        <v>273461</v>
      </c>
      <c r="FA23" s="957">
        <f t="shared" ref="FA23" si="67">+FA4+FA19</f>
        <v>272118</v>
      </c>
      <c r="FB23" s="957">
        <f t="shared" ref="FB23:FD23" si="68">+FB4+FB19</f>
        <v>329756</v>
      </c>
      <c r="FC23" s="957">
        <f t="shared" si="68"/>
        <v>0</v>
      </c>
      <c r="FD23" s="957">
        <f t="shared" si="68"/>
        <v>0</v>
      </c>
      <c r="FE23" s="939"/>
      <c r="FF23" s="957">
        <f t="shared" ref="FF23:FG25" si="69">+FF4+FF19</f>
        <v>2876847</v>
      </c>
      <c r="FG23" s="968">
        <f t="shared" si="69"/>
        <v>3021007</v>
      </c>
      <c r="FH23" s="933">
        <f t="shared" ref="FH23:FH26" si="70">(FF23/FG23-1)*100</f>
        <v>-4.7719187674838182</v>
      </c>
      <c r="FI23" s="934">
        <f>SUM(DR23:EC23)/SUM(DF23:DQ23)*100-100</f>
        <v>-1.5212879540350173</v>
      </c>
      <c r="FJ23" s="935">
        <f>SUM(DF23:DQ23)/SUM(CT23:DE23)*100-100</f>
        <v>-8.6632503774352188</v>
      </c>
      <c r="FL23" s="936">
        <f>SUM(ED23:EF23)</f>
        <v>1013029</v>
      </c>
      <c r="FM23" s="936">
        <f>SUM(EM23:EO23)</f>
        <v>872240</v>
      </c>
      <c r="FN23" s="936">
        <f>SUM(EP23:ER23)</f>
        <v>993909</v>
      </c>
      <c r="FO23" s="936"/>
      <c r="FP23" s="937">
        <f>+FN23/FL23*100-100</f>
        <v>-1.887408948805998</v>
      </c>
      <c r="FQ23" s="955">
        <f>FM23/FL23*100-100</f>
        <v>-13.897825235013016</v>
      </c>
      <c r="FZ23" s="939">
        <f>SUM(CT23:DE23)</f>
        <v>4237151</v>
      </c>
      <c r="GA23" s="939">
        <f>SUM(CH23:CS23)</f>
        <v>4349560</v>
      </c>
      <c r="GB23" s="940">
        <f t="shared" si="20"/>
        <v>-2.584376350711338</v>
      </c>
      <c r="GD23" s="939">
        <f>SUM(CT23:DE23)</f>
        <v>4237151</v>
      </c>
      <c r="GE23" s="939">
        <f>SUM(CH23:CS23)</f>
        <v>4349560</v>
      </c>
      <c r="GF23" s="940">
        <f t="shared" si="21"/>
        <v>-2.584376350711338</v>
      </c>
    </row>
    <row r="24" spans="1:188">
      <c r="A24" s="931" t="s">
        <v>744</v>
      </c>
      <c r="B24" s="939">
        <f t="shared" ref="B24:BM25" si="71">B5+B10+B15</f>
        <v>92529</v>
      </c>
      <c r="C24" s="939">
        <f t="shared" si="71"/>
        <v>89371</v>
      </c>
      <c r="D24" s="939">
        <f t="shared" si="71"/>
        <v>105914</v>
      </c>
      <c r="E24" s="939">
        <f t="shared" si="71"/>
        <v>111893</v>
      </c>
      <c r="F24" s="939">
        <f t="shared" si="71"/>
        <v>114771</v>
      </c>
      <c r="G24" s="939">
        <f t="shared" si="71"/>
        <v>134735</v>
      </c>
      <c r="H24" s="939">
        <f t="shared" si="71"/>
        <v>149154</v>
      </c>
      <c r="I24" s="939">
        <f t="shared" si="71"/>
        <v>155811</v>
      </c>
      <c r="J24" s="939">
        <f t="shared" si="71"/>
        <v>148625</v>
      </c>
      <c r="K24" s="939">
        <f t="shared" si="71"/>
        <v>135677</v>
      </c>
      <c r="L24" s="939">
        <f t="shared" si="71"/>
        <v>131486</v>
      </c>
      <c r="M24" s="939">
        <f t="shared" si="71"/>
        <v>131196</v>
      </c>
      <c r="N24" s="939">
        <f t="shared" si="71"/>
        <v>138350</v>
      </c>
      <c r="O24" s="939">
        <f t="shared" si="71"/>
        <v>155273</v>
      </c>
      <c r="P24" s="939">
        <f t="shared" si="71"/>
        <v>135402</v>
      </c>
      <c r="Q24" s="939">
        <f t="shared" si="71"/>
        <v>123683</v>
      </c>
      <c r="R24" s="939">
        <f t="shared" si="71"/>
        <v>149037</v>
      </c>
      <c r="S24" s="939">
        <f t="shared" si="71"/>
        <v>181628</v>
      </c>
      <c r="T24" s="939">
        <f t="shared" si="71"/>
        <v>205086</v>
      </c>
      <c r="U24" s="939">
        <f t="shared" si="71"/>
        <v>152744</v>
      </c>
      <c r="V24" s="939">
        <f t="shared" si="71"/>
        <v>149703</v>
      </c>
      <c r="W24" s="939">
        <f t="shared" si="71"/>
        <v>179078</v>
      </c>
      <c r="X24" s="939">
        <f t="shared" si="71"/>
        <v>174915</v>
      </c>
      <c r="Y24" s="939">
        <f t="shared" si="71"/>
        <v>179652</v>
      </c>
      <c r="Z24" s="939">
        <f t="shared" si="71"/>
        <v>177962</v>
      </c>
      <c r="AA24" s="939">
        <f t="shared" si="71"/>
        <v>187970</v>
      </c>
      <c r="AB24" s="939">
        <f t="shared" si="71"/>
        <v>175273</v>
      </c>
      <c r="AC24" s="939">
        <f t="shared" si="71"/>
        <v>155998</v>
      </c>
      <c r="AD24" s="939">
        <f t="shared" si="71"/>
        <v>174438</v>
      </c>
      <c r="AE24" s="939">
        <f t="shared" si="71"/>
        <v>262159</v>
      </c>
      <c r="AF24" s="939">
        <f t="shared" si="71"/>
        <v>239381</v>
      </c>
      <c r="AG24" s="939">
        <f t="shared" si="71"/>
        <v>207619</v>
      </c>
      <c r="AH24" s="939">
        <f t="shared" si="71"/>
        <v>175427</v>
      </c>
      <c r="AI24" s="939">
        <f t="shared" si="71"/>
        <v>187778</v>
      </c>
      <c r="AJ24" s="939">
        <f t="shared" si="71"/>
        <v>161544</v>
      </c>
      <c r="AK24" s="939">
        <f t="shared" si="71"/>
        <v>154444</v>
      </c>
      <c r="AL24" s="939">
        <f t="shared" si="71"/>
        <v>136738</v>
      </c>
      <c r="AM24" s="939">
        <f t="shared" si="71"/>
        <v>141919</v>
      </c>
      <c r="AN24" s="939">
        <f t="shared" si="71"/>
        <v>136921</v>
      </c>
      <c r="AO24" s="939">
        <f t="shared" si="71"/>
        <v>129252</v>
      </c>
      <c r="AP24" s="939">
        <f t="shared" si="71"/>
        <v>136537</v>
      </c>
      <c r="AQ24" s="939">
        <f t="shared" si="71"/>
        <v>182392</v>
      </c>
      <c r="AR24" s="939">
        <f t="shared" si="71"/>
        <v>220738</v>
      </c>
      <c r="AS24" s="939">
        <f t="shared" si="71"/>
        <v>187882</v>
      </c>
      <c r="AT24" s="939">
        <f t="shared" si="71"/>
        <v>148065</v>
      </c>
      <c r="AU24" s="939">
        <f t="shared" si="71"/>
        <v>147560</v>
      </c>
      <c r="AV24" s="939">
        <f t="shared" si="71"/>
        <v>119779</v>
      </c>
      <c r="AW24" s="939">
        <f t="shared" si="71"/>
        <v>124287</v>
      </c>
      <c r="AX24" s="939">
        <f t="shared" si="71"/>
        <v>147526</v>
      </c>
      <c r="AY24" s="939">
        <f t="shared" si="71"/>
        <v>140270</v>
      </c>
      <c r="AZ24" s="939">
        <f t="shared" si="71"/>
        <v>130810</v>
      </c>
      <c r="BA24" s="939">
        <f t="shared" si="71"/>
        <v>125472</v>
      </c>
      <c r="BB24" s="939">
        <f t="shared" si="71"/>
        <v>128753</v>
      </c>
      <c r="BC24" s="939">
        <f t="shared" si="71"/>
        <v>175836</v>
      </c>
      <c r="BD24" s="939">
        <f t="shared" si="71"/>
        <v>115329</v>
      </c>
      <c r="BE24" s="939">
        <f t="shared" si="71"/>
        <v>91714</v>
      </c>
      <c r="BF24" s="939">
        <f t="shared" si="71"/>
        <v>68922</v>
      </c>
      <c r="BG24" s="939">
        <f t="shared" si="71"/>
        <v>77832</v>
      </c>
      <c r="BH24" s="939">
        <f t="shared" si="71"/>
        <v>102644</v>
      </c>
      <c r="BI24" s="939">
        <f t="shared" si="71"/>
        <v>106789</v>
      </c>
      <c r="BJ24" s="939">
        <f t="shared" si="71"/>
        <v>116713</v>
      </c>
      <c r="BK24" s="939">
        <f t="shared" si="71"/>
        <v>126167</v>
      </c>
      <c r="BL24" s="939">
        <f t="shared" si="71"/>
        <v>124950</v>
      </c>
      <c r="BM24" s="939">
        <f t="shared" si="71"/>
        <v>123734</v>
      </c>
      <c r="BN24" s="939">
        <f t="shared" ref="BN24:DA25" si="72">BN5+BN10+BN15</f>
        <v>137454</v>
      </c>
      <c r="BO24" s="939">
        <f t="shared" si="72"/>
        <v>199833</v>
      </c>
      <c r="BP24" s="939">
        <f t="shared" si="72"/>
        <v>196150</v>
      </c>
      <c r="BQ24" s="939">
        <f t="shared" si="72"/>
        <v>178084</v>
      </c>
      <c r="BR24" s="939">
        <f t="shared" si="72"/>
        <v>160490</v>
      </c>
      <c r="BS24" s="939">
        <f t="shared" si="72"/>
        <v>194213</v>
      </c>
      <c r="BT24" s="939">
        <f t="shared" si="72"/>
        <v>190949</v>
      </c>
      <c r="BU24" s="939">
        <f t="shared" si="72"/>
        <v>209081</v>
      </c>
      <c r="BV24" s="939">
        <f t="shared" si="72"/>
        <v>199534</v>
      </c>
      <c r="BW24" s="939">
        <f t="shared" si="72"/>
        <v>203478</v>
      </c>
      <c r="BX24" s="939">
        <f t="shared" si="72"/>
        <v>201398</v>
      </c>
      <c r="BY24" s="939">
        <f t="shared" si="72"/>
        <v>211621</v>
      </c>
      <c r="BZ24" s="939">
        <f t="shared" si="72"/>
        <v>230786</v>
      </c>
      <c r="CA24" s="939">
        <f t="shared" si="72"/>
        <v>250809</v>
      </c>
      <c r="CB24" s="939">
        <f t="shared" si="72"/>
        <v>260451</v>
      </c>
      <c r="CC24" s="939">
        <f t="shared" si="72"/>
        <v>208362</v>
      </c>
      <c r="CD24" s="939">
        <f t="shared" si="72"/>
        <v>181415</v>
      </c>
      <c r="CE24" s="939">
        <f t="shared" si="72"/>
        <v>210057</v>
      </c>
      <c r="CF24" s="939">
        <f t="shared" si="72"/>
        <v>224441</v>
      </c>
      <c r="CG24" s="939">
        <f t="shared" si="72"/>
        <v>237854</v>
      </c>
      <c r="CH24" s="939">
        <f t="shared" si="72"/>
        <v>208887</v>
      </c>
      <c r="CI24" s="939">
        <f t="shared" si="72"/>
        <v>232031</v>
      </c>
      <c r="CJ24" s="939">
        <f t="shared" si="72"/>
        <v>224533</v>
      </c>
      <c r="CK24" s="939">
        <f t="shared" si="72"/>
        <v>219716</v>
      </c>
      <c r="CL24" s="939">
        <f t="shared" si="72"/>
        <v>244514</v>
      </c>
      <c r="CM24" s="956">
        <f t="shared" si="72"/>
        <v>275773</v>
      </c>
      <c r="CN24" s="939">
        <f t="shared" si="72"/>
        <v>263326</v>
      </c>
      <c r="CO24" s="939">
        <f t="shared" si="72"/>
        <v>245221</v>
      </c>
      <c r="CP24" s="939">
        <f t="shared" si="72"/>
        <v>185982</v>
      </c>
      <c r="CQ24" s="939">
        <f t="shared" si="72"/>
        <v>220879</v>
      </c>
      <c r="CR24" s="939">
        <f t="shared" si="72"/>
        <v>221050</v>
      </c>
      <c r="CS24" s="939">
        <f t="shared" si="72"/>
        <v>227824</v>
      </c>
      <c r="CT24" s="939">
        <f t="shared" si="72"/>
        <v>212580</v>
      </c>
      <c r="CU24" s="939">
        <f t="shared" si="72"/>
        <v>221646</v>
      </c>
      <c r="CV24" s="939">
        <f t="shared" si="72"/>
        <v>229100</v>
      </c>
      <c r="CW24" s="939">
        <f t="shared" si="72"/>
        <v>218649</v>
      </c>
      <c r="CX24" s="939">
        <f t="shared" si="72"/>
        <v>213344</v>
      </c>
      <c r="CY24" s="939">
        <f t="shared" si="72"/>
        <v>226930</v>
      </c>
      <c r="CZ24" s="939">
        <f t="shared" si="72"/>
        <v>285411</v>
      </c>
      <c r="DA24" s="939">
        <f t="shared" si="72"/>
        <v>248178</v>
      </c>
      <c r="DB24" s="939">
        <f>DB23-DB25</f>
        <v>217930</v>
      </c>
      <c r="DC24" s="939">
        <f t="shared" ref="DC24:EO25" si="73">DC15+DC10+DC5</f>
        <v>219142</v>
      </c>
      <c r="DD24" s="939">
        <f t="shared" si="73"/>
        <v>197238</v>
      </c>
      <c r="DE24" s="939">
        <f t="shared" si="73"/>
        <v>199846</v>
      </c>
      <c r="DF24" s="939">
        <f t="shared" si="73"/>
        <v>213849</v>
      </c>
      <c r="DG24" s="939">
        <f t="shared" si="73"/>
        <v>227513</v>
      </c>
      <c r="DH24" s="939">
        <f t="shared" si="73"/>
        <v>175350</v>
      </c>
      <c r="DI24" s="939">
        <f t="shared" si="73"/>
        <v>171304</v>
      </c>
      <c r="DJ24" s="939">
        <f t="shared" si="73"/>
        <v>168028</v>
      </c>
      <c r="DK24" s="939">
        <f>DK15+DK10+DK5</f>
        <v>220968</v>
      </c>
      <c r="DL24" s="939">
        <f t="shared" si="73"/>
        <v>247301</v>
      </c>
      <c r="DM24" s="939">
        <f t="shared" si="73"/>
        <v>176859</v>
      </c>
      <c r="DN24" s="939">
        <f t="shared" si="73"/>
        <v>147023</v>
      </c>
      <c r="DO24" s="939">
        <f t="shared" si="73"/>
        <v>180527</v>
      </c>
      <c r="DP24" s="939">
        <f t="shared" si="73"/>
        <v>171285</v>
      </c>
      <c r="DQ24" s="939">
        <f t="shared" si="73"/>
        <v>186134</v>
      </c>
      <c r="DR24" s="939">
        <f t="shared" si="73"/>
        <v>180815</v>
      </c>
      <c r="DS24" s="939">
        <f t="shared" si="73"/>
        <v>195257</v>
      </c>
      <c r="DT24" s="939">
        <f t="shared" si="73"/>
        <v>170391</v>
      </c>
      <c r="DU24" s="939">
        <f t="shared" si="73"/>
        <v>149537</v>
      </c>
      <c r="DV24" s="939">
        <f t="shared" si="73"/>
        <v>161713</v>
      </c>
      <c r="DW24" s="939">
        <f t="shared" si="73"/>
        <v>225239</v>
      </c>
      <c r="DX24" s="939">
        <f t="shared" si="73"/>
        <v>227470</v>
      </c>
      <c r="DY24" s="939">
        <f t="shared" si="73"/>
        <v>143526</v>
      </c>
      <c r="DZ24" s="939">
        <f t="shared" si="73"/>
        <v>123110</v>
      </c>
      <c r="EA24" s="939">
        <f t="shared" si="73"/>
        <v>145754</v>
      </c>
      <c r="EB24" s="939">
        <f t="shared" si="73"/>
        <v>130410</v>
      </c>
      <c r="EC24" s="939">
        <f t="shared" si="73"/>
        <v>151901</v>
      </c>
      <c r="ED24" s="939">
        <f t="shared" si="73"/>
        <v>174676</v>
      </c>
      <c r="EE24" s="939">
        <f t="shared" si="73"/>
        <v>186614</v>
      </c>
      <c r="EF24" s="939">
        <f t="shared" si="73"/>
        <v>175243</v>
      </c>
      <c r="EG24" s="939">
        <f t="shared" si="73"/>
        <v>165541</v>
      </c>
      <c r="EH24" s="939">
        <f t="shared" si="73"/>
        <v>160307</v>
      </c>
      <c r="EI24" s="939">
        <f t="shared" si="73"/>
        <v>210599</v>
      </c>
      <c r="EJ24" s="939">
        <f t="shared" si="73"/>
        <v>225177</v>
      </c>
      <c r="EK24" s="939">
        <f t="shared" si="73"/>
        <v>172358</v>
      </c>
      <c r="EL24" s="939">
        <f t="shared" si="73"/>
        <v>143526</v>
      </c>
      <c r="EM24" s="939">
        <f t="shared" si="73"/>
        <v>161870</v>
      </c>
      <c r="EN24" s="939">
        <f t="shared" si="73"/>
        <v>173760</v>
      </c>
      <c r="EO24" s="939">
        <f t="shared" si="73"/>
        <v>204281</v>
      </c>
      <c r="EP24" s="939">
        <f t="shared" ref="EP24:EU24" si="74">EP15+EP10+EP5</f>
        <v>226133</v>
      </c>
      <c r="EQ24" s="939">
        <f t="shared" si="74"/>
        <v>204234</v>
      </c>
      <c r="ER24" s="939">
        <f t="shared" si="74"/>
        <v>193717</v>
      </c>
      <c r="ES24" s="939">
        <f t="shared" si="74"/>
        <v>198022</v>
      </c>
      <c r="ET24" s="939">
        <f t="shared" si="74"/>
        <v>200314</v>
      </c>
      <c r="EU24" s="939">
        <f t="shared" si="74"/>
        <v>255592</v>
      </c>
      <c r="EV24" s="939">
        <f t="shared" ref="EV24:EW24" si="75">EV15+EV10+EV5</f>
        <v>238781</v>
      </c>
      <c r="EW24" s="939">
        <f t="shared" si="75"/>
        <v>154523</v>
      </c>
      <c r="EX24" s="939">
        <f>+EX5+EX20</f>
        <v>119725</v>
      </c>
      <c r="EY24" s="939">
        <f t="shared" ref="EY24:EZ24" si="76">+EY5+EY20</f>
        <v>135188</v>
      </c>
      <c r="EZ24" s="939">
        <f t="shared" si="76"/>
        <v>159109</v>
      </c>
      <c r="FA24" s="939">
        <f t="shared" ref="FA24" si="77">+FA5+FA20</f>
        <v>169200</v>
      </c>
      <c r="FB24" s="939">
        <f t="shared" ref="FB24:FD24" si="78">+FB5+FB20</f>
        <v>177887</v>
      </c>
      <c r="FC24" s="939">
        <f t="shared" si="78"/>
        <v>0</v>
      </c>
      <c r="FD24" s="939">
        <f t="shared" si="78"/>
        <v>0</v>
      </c>
      <c r="FE24" s="939"/>
      <c r="FF24" s="957">
        <f t="shared" si="69"/>
        <v>1791041</v>
      </c>
      <c r="FG24" s="968">
        <f t="shared" si="69"/>
        <v>1614041</v>
      </c>
      <c r="FH24" s="967">
        <f t="shared" si="70"/>
        <v>10.966264177923613</v>
      </c>
      <c r="FI24" s="934">
        <f>SUM(DR24:EC24)/SUM(DF24:DQ24)*100-100</f>
        <v>-12.292242691942448</v>
      </c>
      <c r="FJ24" s="935">
        <f>SUM(DF24:DQ24)/SUM(CT24:DE24)*100-100</f>
        <v>-15.013156163173605</v>
      </c>
      <c r="FL24" s="936">
        <f>SUM(ED24:EF24)</f>
        <v>536533</v>
      </c>
      <c r="FM24" s="936">
        <f>SUM(EM24:EO24)</f>
        <v>539911</v>
      </c>
      <c r="FN24" s="936">
        <f>SUM(EP24:ER24)</f>
        <v>624084</v>
      </c>
      <c r="FO24" s="936"/>
      <c r="FP24" s="937">
        <f>+FN24/FL24*100-100</f>
        <v>16.317915207452288</v>
      </c>
      <c r="FQ24" s="955">
        <f>FM24/FL24*100-100</f>
        <v>0.62959780665867981</v>
      </c>
      <c r="FZ24" s="939">
        <f>SUM(CT24:DE24)</f>
        <v>2689994</v>
      </c>
      <c r="GA24" s="939">
        <f>SUM(CH24:CS24)</f>
        <v>2769736</v>
      </c>
      <c r="GB24" s="940">
        <f t="shared" si="20"/>
        <v>-2.8790469560997849</v>
      </c>
      <c r="GD24" s="939">
        <f>SUM(CT24:DE24)</f>
        <v>2689994</v>
      </c>
      <c r="GE24" s="939">
        <f>SUM(CH24:CS24)</f>
        <v>2769736</v>
      </c>
      <c r="GF24" s="940">
        <f t="shared" si="21"/>
        <v>-2.8790469560997849</v>
      </c>
    </row>
    <row r="25" spans="1:188">
      <c r="A25" s="931" t="s">
        <v>2547</v>
      </c>
      <c r="B25" s="939">
        <f t="shared" si="71"/>
        <v>16179</v>
      </c>
      <c r="C25" s="939">
        <f t="shared" si="71"/>
        <v>16092</v>
      </c>
      <c r="D25" s="939">
        <f t="shared" si="71"/>
        <v>15404</v>
      </c>
      <c r="E25" s="939">
        <f t="shared" si="71"/>
        <v>14739</v>
      </c>
      <c r="F25" s="939">
        <f t="shared" si="71"/>
        <v>13121</v>
      </c>
      <c r="G25" s="939">
        <f t="shared" si="71"/>
        <v>16857</v>
      </c>
      <c r="H25" s="939">
        <f t="shared" si="71"/>
        <v>15076</v>
      </c>
      <c r="I25" s="939">
        <f t="shared" si="71"/>
        <v>15309</v>
      </c>
      <c r="J25" s="939">
        <f t="shared" si="71"/>
        <v>11056</v>
      </c>
      <c r="K25" s="939">
        <f t="shared" si="71"/>
        <v>14152</v>
      </c>
      <c r="L25" s="939">
        <f t="shared" si="71"/>
        <v>18320</v>
      </c>
      <c r="M25" s="939">
        <f t="shared" si="71"/>
        <v>23392</v>
      </c>
      <c r="N25" s="939">
        <f t="shared" si="71"/>
        <v>17802</v>
      </c>
      <c r="O25" s="939">
        <f t="shared" si="71"/>
        <v>14623</v>
      </c>
      <c r="P25" s="939">
        <f t="shared" si="71"/>
        <v>15274</v>
      </c>
      <c r="Q25" s="939">
        <f t="shared" si="71"/>
        <v>14118</v>
      </c>
      <c r="R25" s="939">
        <f t="shared" si="71"/>
        <v>23160</v>
      </c>
      <c r="S25" s="939">
        <f t="shared" si="71"/>
        <v>22416</v>
      </c>
      <c r="T25" s="939">
        <f t="shared" si="71"/>
        <v>21807</v>
      </c>
      <c r="U25" s="939">
        <f t="shared" si="71"/>
        <v>22244</v>
      </c>
      <c r="V25" s="939">
        <f t="shared" si="71"/>
        <v>17094</v>
      </c>
      <c r="W25" s="939">
        <f t="shared" si="71"/>
        <v>16776</v>
      </c>
      <c r="X25" s="939">
        <f t="shared" si="71"/>
        <v>26237</v>
      </c>
      <c r="Y25" s="939">
        <f t="shared" si="71"/>
        <v>28998</v>
      </c>
      <c r="Z25" s="939">
        <f t="shared" si="71"/>
        <v>31715</v>
      </c>
      <c r="AA25" s="939">
        <f t="shared" si="71"/>
        <v>32179</v>
      </c>
      <c r="AB25" s="939">
        <f t="shared" si="71"/>
        <v>33963</v>
      </c>
      <c r="AC25" s="939">
        <f t="shared" si="71"/>
        <v>41780</v>
      </c>
      <c r="AD25" s="939">
        <f t="shared" si="71"/>
        <v>32282</v>
      </c>
      <c r="AE25" s="939">
        <f t="shared" si="71"/>
        <v>37088</v>
      </c>
      <c r="AF25" s="939">
        <f t="shared" si="71"/>
        <v>40148</v>
      </c>
      <c r="AG25" s="939">
        <f t="shared" si="71"/>
        <v>36086</v>
      </c>
      <c r="AH25" s="939">
        <f t="shared" si="71"/>
        <v>39385</v>
      </c>
      <c r="AI25" s="939">
        <f t="shared" si="71"/>
        <v>39812</v>
      </c>
      <c r="AJ25" s="939">
        <f t="shared" si="71"/>
        <v>38228</v>
      </c>
      <c r="AK25" s="939">
        <f t="shared" si="71"/>
        <v>35656</v>
      </c>
      <c r="AL25" s="939">
        <f t="shared" si="71"/>
        <v>51926</v>
      </c>
      <c r="AM25" s="939">
        <f t="shared" si="71"/>
        <v>49199</v>
      </c>
      <c r="AN25" s="939">
        <f t="shared" si="71"/>
        <v>48675</v>
      </c>
      <c r="AO25" s="939">
        <f t="shared" si="71"/>
        <v>53718</v>
      </c>
      <c r="AP25" s="939">
        <f t="shared" si="71"/>
        <v>56450</v>
      </c>
      <c r="AQ25" s="939">
        <f t="shared" si="71"/>
        <v>48048</v>
      </c>
      <c r="AR25" s="939">
        <f t="shared" si="71"/>
        <v>55570</v>
      </c>
      <c r="AS25" s="939">
        <f t="shared" si="71"/>
        <v>46191</v>
      </c>
      <c r="AT25" s="939">
        <f t="shared" si="71"/>
        <v>50597</v>
      </c>
      <c r="AU25" s="939">
        <f t="shared" si="71"/>
        <v>43533</v>
      </c>
      <c r="AV25" s="939">
        <f t="shared" si="71"/>
        <v>63182</v>
      </c>
      <c r="AW25" s="939">
        <f t="shared" si="71"/>
        <v>50775</v>
      </c>
      <c r="AX25" s="939">
        <f t="shared" si="71"/>
        <v>73468</v>
      </c>
      <c r="AY25" s="939">
        <f t="shared" si="71"/>
        <v>59955</v>
      </c>
      <c r="AZ25" s="939">
        <f t="shared" si="71"/>
        <v>64722</v>
      </c>
      <c r="BA25" s="939">
        <f t="shared" si="71"/>
        <v>67097</v>
      </c>
      <c r="BB25" s="939">
        <f t="shared" si="71"/>
        <v>70845</v>
      </c>
      <c r="BC25" s="939">
        <f t="shared" si="71"/>
        <v>68416</v>
      </c>
      <c r="BD25" s="939">
        <f t="shared" si="71"/>
        <v>74884</v>
      </c>
      <c r="BE25" s="939">
        <f t="shared" si="71"/>
        <v>67293</v>
      </c>
      <c r="BF25" s="939">
        <f t="shared" si="71"/>
        <v>72536</v>
      </c>
      <c r="BG25" s="939">
        <f t="shared" si="71"/>
        <v>53819</v>
      </c>
      <c r="BH25" s="939">
        <f t="shared" si="71"/>
        <v>50530</v>
      </c>
      <c r="BI25" s="939">
        <f t="shared" si="71"/>
        <v>46874</v>
      </c>
      <c r="BJ25" s="939">
        <f t="shared" si="71"/>
        <v>51887</v>
      </c>
      <c r="BK25" s="939">
        <f t="shared" si="71"/>
        <v>58526</v>
      </c>
      <c r="BL25" s="939">
        <f t="shared" si="71"/>
        <v>67726</v>
      </c>
      <c r="BM25" s="939">
        <f t="shared" si="71"/>
        <v>68533</v>
      </c>
      <c r="BN25" s="939">
        <f t="shared" si="72"/>
        <v>75008</v>
      </c>
      <c r="BO25" s="939">
        <f t="shared" si="72"/>
        <v>80421</v>
      </c>
      <c r="BP25" s="939">
        <f t="shared" si="72"/>
        <v>84012</v>
      </c>
      <c r="BQ25" s="939">
        <f t="shared" si="72"/>
        <v>98417</v>
      </c>
      <c r="BR25" s="939">
        <f t="shared" si="72"/>
        <v>91005</v>
      </c>
      <c r="BS25" s="939">
        <f t="shared" si="72"/>
        <v>71695</v>
      </c>
      <c r="BT25" s="939">
        <f t="shared" si="72"/>
        <v>77642</v>
      </c>
      <c r="BU25" s="939">
        <f t="shared" si="72"/>
        <v>65134</v>
      </c>
      <c r="BV25" s="939">
        <f t="shared" si="72"/>
        <v>113911</v>
      </c>
      <c r="BW25" s="939">
        <f t="shared" si="72"/>
        <v>95964</v>
      </c>
      <c r="BX25" s="939">
        <f t="shared" si="72"/>
        <v>114024</v>
      </c>
      <c r="BY25" s="939">
        <f t="shared" si="72"/>
        <v>106794</v>
      </c>
      <c r="BZ25" s="939">
        <f t="shared" si="72"/>
        <v>98578</v>
      </c>
      <c r="CA25" s="939">
        <f t="shared" si="72"/>
        <v>101960</v>
      </c>
      <c r="CB25" s="939">
        <f t="shared" si="72"/>
        <v>110387</v>
      </c>
      <c r="CC25" s="939">
        <f t="shared" si="72"/>
        <v>90869</v>
      </c>
      <c r="CD25" s="939">
        <f t="shared" si="72"/>
        <v>95388</v>
      </c>
      <c r="CE25" s="939">
        <f t="shared" si="72"/>
        <v>103526</v>
      </c>
      <c r="CF25" s="939">
        <f t="shared" si="72"/>
        <v>102433</v>
      </c>
      <c r="CG25" s="939">
        <f t="shared" si="72"/>
        <v>69884</v>
      </c>
      <c r="CH25" s="939">
        <f t="shared" si="72"/>
        <v>158422</v>
      </c>
      <c r="CI25" s="939">
        <f t="shared" si="72"/>
        <v>126818</v>
      </c>
      <c r="CJ25" s="939">
        <f t="shared" si="72"/>
        <v>142124</v>
      </c>
      <c r="CK25" s="939">
        <f t="shared" si="72"/>
        <v>143996</v>
      </c>
      <c r="CL25" s="939">
        <f t="shared" si="72"/>
        <v>138225</v>
      </c>
      <c r="CM25" s="956">
        <f t="shared" si="72"/>
        <v>141913</v>
      </c>
      <c r="CN25" s="939">
        <f t="shared" si="72"/>
        <v>131948</v>
      </c>
      <c r="CO25" s="939">
        <f t="shared" si="72"/>
        <v>129256</v>
      </c>
      <c r="CP25" s="939">
        <f t="shared" si="72"/>
        <v>119708</v>
      </c>
      <c r="CQ25" s="939">
        <f t="shared" si="72"/>
        <v>116996</v>
      </c>
      <c r="CR25" s="939">
        <f t="shared" si="72"/>
        <v>122727</v>
      </c>
      <c r="CS25" s="939">
        <f t="shared" si="72"/>
        <v>107691</v>
      </c>
      <c r="CT25" s="939">
        <f t="shared" si="72"/>
        <v>169010</v>
      </c>
      <c r="CU25" s="939">
        <f t="shared" si="72"/>
        <v>130573</v>
      </c>
      <c r="CV25" s="939">
        <f t="shared" si="72"/>
        <v>116062</v>
      </c>
      <c r="CW25" s="939">
        <f t="shared" si="72"/>
        <v>125501</v>
      </c>
      <c r="CX25" s="939">
        <f t="shared" si="72"/>
        <v>131562</v>
      </c>
      <c r="CY25" s="939">
        <f t="shared" si="72"/>
        <v>133222</v>
      </c>
      <c r="CZ25" s="939">
        <f t="shared" si="72"/>
        <v>126091</v>
      </c>
      <c r="DA25" s="939">
        <f t="shared" si="72"/>
        <v>124115</v>
      </c>
      <c r="DB25" s="939">
        <v>126016</v>
      </c>
      <c r="DC25" s="939">
        <f t="shared" si="73"/>
        <v>128482</v>
      </c>
      <c r="DD25" s="939">
        <f t="shared" si="73"/>
        <v>135149</v>
      </c>
      <c r="DE25" s="939">
        <f t="shared" si="73"/>
        <v>101374</v>
      </c>
      <c r="DF25" s="939">
        <f t="shared" si="73"/>
        <v>130329</v>
      </c>
      <c r="DG25" s="939">
        <f t="shared" si="73"/>
        <v>111835</v>
      </c>
      <c r="DH25" s="939">
        <f t="shared" si="73"/>
        <v>120399</v>
      </c>
      <c r="DI25" s="939">
        <f t="shared" si="73"/>
        <v>110023</v>
      </c>
      <c r="DJ25" s="939">
        <f t="shared" si="73"/>
        <v>144160</v>
      </c>
      <c r="DK25" s="939">
        <f>DK16+DK11+DK6</f>
        <v>146847</v>
      </c>
      <c r="DL25" s="939">
        <f t="shared" si="73"/>
        <v>138022</v>
      </c>
      <c r="DM25" s="939">
        <f t="shared" si="73"/>
        <v>133731</v>
      </c>
      <c r="DN25" s="939">
        <f t="shared" si="73"/>
        <v>150753</v>
      </c>
      <c r="DO25" s="939">
        <f t="shared" si="73"/>
        <v>137644</v>
      </c>
      <c r="DP25" s="939">
        <f t="shared" si="73"/>
        <v>142009</v>
      </c>
      <c r="DQ25" s="939">
        <f t="shared" si="73"/>
        <v>118183</v>
      </c>
      <c r="DR25" s="939">
        <f t="shared" si="73"/>
        <v>150714</v>
      </c>
      <c r="DS25" s="939">
        <f t="shared" si="73"/>
        <v>156179</v>
      </c>
      <c r="DT25" s="939">
        <f t="shared" si="73"/>
        <v>135074</v>
      </c>
      <c r="DU25" s="939">
        <f t="shared" si="73"/>
        <v>169755</v>
      </c>
      <c r="DV25" s="939">
        <f t="shared" si="73"/>
        <v>175127</v>
      </c>
      <c r="DW25" s="939">
        <f t="shared" si="73"/>
        <v>174211</v>
      </c>
      <c r="DX25" s="939">
        <f t="shared" si="73"/>
        <v>158547</v>
      </c>
      <c r="DY25" s="939">
        <f t="shared" si="73"/>
        <v>165733</v>
      </c>
      <c r="DZ25" s="939">
        <f t="shared" si="73"/>
        <v>166134</v>
      </c>
      <c r="EA25" s="939">
        <f t="shared" si="73"/>
        <v>142992</v>
      </c>
      <c r="EB25" s="939">
        <f t="shared" si="73"/>
        <v>112909</v>
      </c>
      <c r="EC25" s="939">
        <f t="shared" si="73"/>
        <v>98703</v>
      </c>
      <c r="ED25" s="939">
        <f t="shared" si="73"/>
        <v>161598</v>
      </c>
      <c r="EE25" s="939">
        <f t="shared" si="73"/>
        <v>158824</v>
      </c>
      <c r="EF25" s="939">
        <f t="shared" si="73"/>
        <v>156074</v>
      </c>
      <c r="EG25" s="939">
        <f t="shared" si="73"/>
        <v>164690</v>
      </c>
      <c r="EH25" s="939">
        <f t="shared" si="73"/>
        <v>181658</v>
      </c>
      <c r="EI25" s="939">
        <f t="shared" si="73"/>
        <v>173801</v>
      </c>
      <c r="EJ25" s="939">
        <f t="shared" si="73"/>
        <v>127609</v>
      </c>
      <c r="EK25" s="939">
        <f t="shared" si="73"/>
        <v>137249</v>
      </c>
      <c r="EL25" s="939">
        <f t="shared" si="73"/>
        <v>145463</v>
      </c>
      <c r="EM25" s="939">
        <f t="shared" si="73"/>
        <v>132029</v>
      </c>
      <c r="EN25" s="939">
        <f t="shared" si="73"/>
        <v>98911</v>
      </c>
      <c r="EO25" s="939">
        <f t="shared" si="73"/>
        <v>101389</v>
      </c>
      <c r="EP25" s="939">
        <f t="shared" ref="EP25:EU25" si="79">EP16+EP11+EP6</f>
        <v>103764</v>
      </c>
      <c r="EQ25" s="939">
        <f t="shared" si="79"/>
        <v>142901</v>
      </c>
      <c r="ER25" s="939">
        <f t="shared" si="79"/>
        <v>123160</v>
      </c>
      <c r="ES25" s="939">
        <f t="shared" si="79"/>
        <v>131596</v>
      </c>
      <c r="ET25" s="939">
        <f t="shared" si="79"/>
        <v>124937</v>
      </c>
      <c r="EU25" s="939">
        <f t="shared" si="79"/>
        <v>121087</v>
      </c>
      <c r="EV25" s="939">
        <f t="shared" ref="EV25:EW25" si="80">EV16+EV11+EV6</f>
        <v>117283</v>
      </c>
      <c r="EW25" s="939">
        <f t="shared" si="80"/>
        <v>115311</v>
      </c>
      <c r="EX25" s="939">
        <f>+EX6+EX21</f>
        <v>105767</v>
      </c>
      <c r="EY25" s="939">
        <f t="shared" ref="EY25:EZ25" si="81">+EY6+EY21</f>
        <v>106701</v>
      </c>
      <c r="EZ25" s="939">
        <f t="shared" si="81"/>
        <v>114352</v>
      </c>
      <c r="FA25" s="939">
        <f t="shared" ref="FA25" si="82">+FA6+FA21</f>
        <v>102918</v>
      </c>
      <c r="FB25" s="939">
        <f t="shared" ref="FB25:FD25" si="83">+FB6+FB21</f>
        <v>151869</v>
      </c>
      <c r="FC25" s="939">
        <f t="shared" si="83"/>
        <v>0</v>
      </c>
      <c r="FD25" s="939">
        <f t="shared" si="83"/>
        <v>0</v>
      </c>
      <c r="FE25" s="939"/>
      <c r="FF25" s="957">
        <f t="shared" si="69"/>
        <v>1085806</v>
      </c>
      <c r="FG25" s="968">
        <f t="shared" si="69"/>
        <v>1406966</v>
      </c>
      <c r="FH25" s="967">
        <f t="shared" si="70"/>
        <v>-22.826422244745071</v>
      </c>
      <c r="FI25" s="934">
        <f>SUM(DR25:EC25)/SUM(DF25:DQ25)*100-100</f>
        <v>14.024754803700915</v>
      </c>
      <c r="FJ25" s="935">
        <f>SUM(DF25:DQ25)/SUM(CT25:DE25)*100-100</f>
        <v>2.3771343179780757</v>
      </c>
      <c r="FL25" s="936">
        <f>SUM(ED25:EF25)</f>
        <v>476496</v>
      </c>
      <c r="FM25" s="936">
        <f>SUM(EM25:EO25)</f>
        <v>332329</v>
      </c>
      <c r="FN25" s="936">
        <f>SUM(EP25:ER25)</f>
        <v>369825</v>
      </c>
      <c r="FO25" s="936"/>
      <c r="FP25" s="937">
        <f>+FN25/FL25*100-100</f>
        <v>-22.386546791578525</v>
      </c>
      <c r="FQ25" s="955">
        <f>FM25/FL25*100-100</f>
        <v>-30.255657969846553</v>
      </c>
      <c r="FZ25" s="939">
        <f>SUM(CT25:DE25)</f>
        <v>1547157</v>
      </c>
      <c r="GA25" s="939">
        <f>SUM(CH25:CS25)</f>
        <v>1579824</v>
      </c>
      <c r="GB25" s="940">
        <f t="shared" si="20"/>
        <v>-2.0677619785495125</v>
      </c>
      <c r="GD25" s="939">
        <f>SUM(CT25:DE25)</f>
        <v>1547157</v>
      </c>
      <c r="GE25" s="939">
        <f>SUM(CH25:CS25)</f>
        <v>1579824</v>
      </c>
      <c r="GF25" s="940">
        <f t="shared" si="21"/>
        <v>-2.0677619785495125</v>
      </c>
    </row>
    <row r="26" spans="1:188">
      <c r="DR26" s="945"/>
      <c r="DS26" s="945"/>
      <c r="DT26" s="945"/>
      <c r="DU26" s="945"/>
      <c r="DV26" s="945"/>
      <c r="DW26" s="945"/>
      <c r="DX26" s="945"/>
      <c r="DY26" s="945"/>
      <c r="DZ26" s="945"/>
      <c r="EA26" s="945"/>
      <c r="EB26" s="945"/>
      <c r="EC26" s="945"/>
      <c r="ED26" s="945"/>
      <c r="EE26" s="945"/>
      <c r="EF26" s="945"/>
      <c r="EG26" s="945"/>
      <c r="EH26" s="945"/>
      <c r="EI26" s="939"/>
      <c r="EJ26" s="945"/>
      <c r="EK26" s="945"/>
      <c r="EL26" s="945"/>
      <c r="EM26" s="945"/>
      <c r="EN26" s="945"/>
      <c r="EO26" s="945"/>
      <c r="EP26" s="945"/>
      <c r="EQ26" s="945"/>
      <c r="ER26" s="945"/>
      <c r="ES26" s="945"/>
      <c r="ET26" s="945"/>
      <c r="EU26" s="945"/>
      <c r="EV26" s="945"/>
      <c r="EW26" s="945"/>
      <c r="EX26" s="945"/>
      <c r="EY26" s="945"/>
      <c r="EZ26" s="945"/>
      <c r="FA26" s="945"/>
      <c r="FB26" s="945"/>
      <c r="FC26" s="945"/>
      <c r="FD26" s="945"/>
      <c r="FE26" s="945"/>
      <c r="FF26" s="957">
        <f t="shared" ref="FF26" si="84">+SUM(EP26:EX26)</f>
        <v>0</v>
      </c>
      <c r="FG26" s="968">
        <f t="shared" ref="FG26" si="85">+SUM(ED26:EL26)</f>
        <v>0</v>
      </c>
      <c r="FH26" s="967" t="e">
        <f t="shared" si="70"/>
        <v>#DIV/0!</v>
      </c>
    </row>
    <row r="27" spans="1:188">
      <c r="CN27" s="939">
        <f t="shared" ref="CN27:EC27" si="86">CN9/CN23*100</f>
        <v>10.971629806159777</v>
      </c>
      <c r="CO27" s="939">
        <f t="shared" si="86"/>
        <v>11.164370575495958</v>
      </c>
      <c r="CP27" s="939">
        <f t="shared" si="86"/>
        <v>13.561778272105729</v>
      </c>
      <c r="CQ27" s="939">
        <f t="shared" si="86"/>
        <v>12.62804291527932</v>
      </c>
      <c r="CR27" s="939">
        <f t="shared" si="86"/>
        <v>11.95018863972866</v>
      </c>
      <c r="CS27" s="939">
        <f t="shared" si="86"/>
        <v>10.106254563879409</v>
      </c>
      <c r="CT27" s="939">
        <f t="shared" si="86"/>
        <v>10.197070153830028</v>
      </c>
      <c r="CU27" s="939">
        <f t="shared" si="86"/>
        <v>8.4694465659149571</v>
      </c>
      <c r="CV27" s="939">
        <f t="shared" si="86"/>
        <v>7.6795823410456538</v>
      </c>
      <c r="CW27" s="939">
        <f t="shared" si="86"/>
        <v>10.14615719889583</v>
      </c>
      <c r="CX27" s="939">
        <f t="shared" si="86"/>
        <v>11.667816738473672</v>
      </c>
      <c r="CY27" s="939">
        <f t="shared" si="86"/>
        <v>12.38893578266954</v>
      </c>
      <c r="CZ27" s="939">
        <f t="shared" si="86"/>
        <v>12.148908146254453</v>
      </c>
      <c r="DA27" s="939">
        <f t="shared" si="86"/>
        <v>12.185294915563817</v>
      </c>
      <c r="DB27" s="939">
        <f t="shared" si="86"/>
        <v>13.212829920975967</v>
      </c>
      <c r="DC27" s="939">
        <f t="shared" si="86"/>
        <v>13.287344947414448</v>
      </c>
      <c r="DD27" s="939">
        <f t="shared" si="86"/>
        <v>12.347955846648635</v>
      </c>
      <c r="DE27" s="939">
        <f t="shared" si="86"/>
        <v>11.336564637142288</v>
      </c>
      <c r="DF27" s="939">
        <f t="shared" si="86"/>
        <v>12.587672657752675</v>
      </c>
      <c r="DG27" s="939">
        <f t="shared" si="86"/>
        <v>10.180110093473367</v>
      </c>
      <c r="DH27" s="939">
        <f t="shared" si="86"/>
        <v>13.931069927539907</v>
      </c>
      <c r="DI27" s="939">
        <f t="shared" si="86"/>
        <v>12.262242870396371</v>
      </c>
      <c r="DJ27" s="939">
        <f t="shared" si="86"/>
        <v>10.76434712416877</v>
      </c>
      <c r="DK27" s="939">
        <f t="shared" si="86"/>
        <v>11.945135462120904</v>
      </c>
      <c r="DL27" s="939">
        <f t="shared" si="86"/>
        <v>9.6023336265937917</v>
      </c>
      <c r="DM27" s="939">
        <f t="shared" si="86"/>
        <v>10.266589394378441</v>
      </c>
      <c r="DN27" s="939">
        <f t="shared" si="86"/>
        <v>12.469440116060394</v>
      </c>
      <c r="DO27" s="939">
        <f t="shared" si="86"/>
        <v>11.560135901763518</v>
      </c>
      <c r="DP27" s="939">
        <f t="shared" si="86"/>
        <v>12.758303701954073</v>
      </c>
      <c r="DQ27" s="939">
        <f t="shared" si="86"/>
        <v>11.086794362457569</v>
      </c>
      <c r="DR27" s="939">
        <f t="shared" si="86"/>
        <v>9.6199729133801259</v>
      </c>
      <c r="DS27" s="939">
        <f t="shared" si="86"/>
        <v>10.931151048839618</v>
      </c>
      <c r="DT27" s="939">
        <f t="shared" si="86"/>
        <v>14.162997397410507</v>
      </c>
      <c r="DU27" s="939">
        <f t="shared" si="86"/>
        <v>16.114089923956755</v>
      </c>
      <c r="DV27" s="939">
        <f t="shared" si="86"/>
        <v>15.597316233226458</v>
      </c>
      <c r="DW27" s="939">
        <f t="shared" si="86"/>
        <v>13.128051070221556</v>
      </c>
      <c r="DX27" s="939">
        <f t="shared" si="86"/>
        <v>12.718092726486137</v>
      </c>
      <c r="DY27" s="939">
        <f t="shared" si="86"/>
        <v>15.298180489492626</v>
      </c>
      <c r="DZ27" s="939">
        <f t="shared" si="86"/>
        <v>14.870144238082725</v>
      </c>
      <c r="EA27" s="939">
        <f t="shared" si="86"/>
        <v>14.473274088645383</v>
      </c>
      <c r="EB27" s="939">
        <f t="shared" si="86"/>
        <v>11.196001956279616</v>
      </c>
      <c r="EC27" s="939">
        <f t="shared" si="86"/>
        <v>16.2275941325757</v>
      </c>
      <c r="ED27" s="939"/>
      <c r="EE27" s="939"/>
      <c r="EF27" s="939"/>
      <c r="EG27" s="939"/>
      <c r="EH27" s="939"/>
      <c r="EI27" s="939"/>
      <c r="EJ27" s="939"/>
      <c r="EK27" s="939"/>
      <c r="EL27" s="939"/>
      <c r="EM27" s="939"/>
      <c r="EN27" s="939"/>
      <c r="EO27" s="957" t="s">
        <v>2554</v>
      </c>
      <c r="EP27" s="939">
        <f>+SUM(ED23:EO23)</f>
        <v>3893247</v>
      </c>
      <c r="EQ27" s="939">
        <f>+SUM(ED24:EO24)</f>
        <v>2153952</v>
      </c>
      <c r="ER27" s="939">
        <f>+SUM(ED25:EO25)</f>
        <v>1739295</v>
      </c>
      <c r="ES27" s="939"/>
      <c r="ET27" s="939"/>
      <c r="EU27" s="939">
        <f>+EU19+ET19+ES19</f>
        <v>134134</v>
      </c>
      <c r="EV27" s="939"/>
      <c r="EW27" s="939"/>
      <c r="EX27" s="939">
        <f>+EX19+EW19+EV19</f>
        <v>102429</v>
      </c>
      <c r="EY27" s="939"/>
      <c r="EZ27" s="939"/>
      <c r="FA27" s="939">
        <f>+FA19+EZ19+EY19</f>
        <v>86451</v>
      </c>
      <c r="FB27" s="945"/>
      <c r="FC27" s="939"/>
      <c r="FD27" s="939">
        <f>+FD19+FC19+FB19</f>
        <v>35824</v>
      </c>
      <c r="FE27" s="939"/>
      <c r="FX27" s="939"/>
      <c r="FY27" s="939"/>
      <c r="FZ27" s="939"/>
    </row>
    <row r="28" spans="1:188">
      <c r="CK28" s="939"/>
      <c r="CL28" s="939"/>
      <c r="CM28" s="939"/>
      <c r="CN28" s="939"/>
      <c r="CO28" s="939"/>
      <c r="CP28" s="939"/>
      <c r="CQ28" s="939"/>
      <c r="CR28" s="939"/>
      <c r="CS28" s="939"/>
      <c r="CT28" s="939"/>
      <c r="CU28" s="939"/>
      <c r="CV28" s="939"/>
      <c r="CW28" s="939"/>
      <c r="DB28" s="939"/>
      <c r="DC28" s="939"/>
      <c r="DD28" s="939"/>
      <c r="DE28" s="939"/>
      <c r="DF28" s="939"/>
      <c r="DG28" s="939"/>
      <c r="DH28" s="939"/>
      <c r="DI28" s="939"/>
      <c r="DJ28" s="939"/>
      <c r="DK28" s="939"/>
      <c r="DL28" s="939"/>
      <c r="DM28" s="939"/>
      <c r="DN28" s="939"/>
      <c r="DO28" s="939"/>
      <c r="DP28" s="939"/>
      <c r="DQ28" s="939"/>
      <c r="DR28" s="939"/>
      <c r="DS28" s="939"/>
      <c r="DT28" s="939"/>
      <c r="DU28" s="939"/>
      <c r="DV28" s="939"/>
      <c r="DW28" s="939"/>
      <c r="DX28" s="939"/>
      <c r="DY28" s="939"/>
      <c r="DZ28" s="939"/>
      <c r="EA28" s="939"/>
      <c r="EB28" s="939"/>
      <c r="EC28" s="939"/>
      <c r="ED28" s="939"/>
      <c r="EE28" s="939"/>
      <c r="EF28" s="939"/>
      <c r="EG28" s="939"/>
      <c r="EH28" s="939"/>
      <c r="EI28" s="945"/>
      <c r="EJ28" s="939"/>
      <c r="EK28" s="939"/>
      <c r="EL28" s="939"/>
      <c r="EM28" s="939"/>
      <c r="EN28" s="939"/>
      <c r="EO28" s="957" t="s">
        <v>2555</v>
      </c>
      <c r="EP28" s="922">
        <v>3893247</v>
      </c>
      <c r="EQ28" s="939">
        <v>2153952</v>
      </c>
      <c r="ER28" s="939">
        <v>1739295</v>
      </c>
      <c r="ES28" s="939"/>
      <c r="ET28" s="939"/>
      <c r="EU28" s="945">
        <f>+EU27/EU23*100</f>
        <v>35.609630481125834</v>
      </c>
      <c r="EV28" s="939"/>
      <c r="EW28" s="939"/>
      <c r="EX28" s="939">
        <f>+EX27/EX23*100</f>
        <v>45.424671385237616</v>
      </c>
      <c r="EY28" s="939"/>
      <c r="EZ28" s="939"/>
      <c r="FA28" s="939">
        <f>+FA27/FA23*100</f>
        <v>31.769673450488391</v>
      </c>
      <c r="FB28" s="939"/>
      <c r="FC28" s="939"/>
      <c r="FD28" s="939" t="e">
        <f>+FD27/FD23*100</f>
        <v>#DIV/0!</v>
      </c>
      <c r="FE28" s="939"/>
      <c r="FJ28" s="939">
        <f>FL23-FL14-FL9-FL4</f>
        <v>0</v>
      </c>
      <c r="FK28" s="939">
        <f>FM23-FM14-FM9-FM4</f>
        <v>0</v>
      </c>
      <c r="FL28" s="939">
        <f>FN23-FN14-FN9-FN4</f>
        <v>0</v>
      </c>
      <c r="FM28" s="939"/>
      <c r="FX28" s="939"/>
      <c r="FY28" s="939"/>
      <c r="FZ28" s="939"/>
    </row>
    <row r="29" spans="1:188">
      <c r="CK29" s="945"/>
      <c r="CL29" s="945"/>
      <c r="CM29" s="945"/>
      <c r="CN29" s="945"/>
      <c r="CO29" s="945"/>
      <c r="CP29" s="945"/>
      <c r="CQ29" s="945"/>
      <c r="CR29" s="945"/>
      <c r="CS29" s="945"/>
      <c r="CT29" s="945"/>
      <c r="CU29" s="945"/>
      <c r="CV29" s="945"/>
      <c r="CW29" s="945"/>
      <c r="DB29" s="942">
        <f>SUM(CZ11:DB11)/SUM(CZ25:DB25)*100</f>
        <v>20.549037536348219</v>
      </c>
      <c r="DE29" s="942">
        <f>SUM(DC11:DE11)/SUM(DC25:DE25)*100</f>
        <v>16.840317255927999</v>
      </c>
      <c r="DF29" s="942"/>
      <c r="DG29" s="942"/>
      <c r="DH29" s="942">
        <f>SUM(DF11:DH11)/SUM(DF25:DH25)*100</f>
        <v>20.428725490466483</v>
      </c>
      <c r="DI29" s="942"/>
      <c r="DJ29" s="942"/>
      <c r="DK29" s="942">
        <f>SUM(DI11:DK11)/SUM(DI25:DK25)*100</f>
        <v>14.515622272647931</v>
      </c>
      <c r="DL29" s="942"/>
      <c r="DM29" s="942"/>
      <c r="DN29" s="942">
        <f>SUM(DL11:DN11)/SUM(DL25:DN25)*100</f>
        <v>14.678134748382272</v>
      </c>
      <c r="DO29" s="942"/>
      <c r="DP29" s="942"/>
      <c r="DQ29" s="942">
        <f>SUM(DO11:DQ11)/SUM(DO25:DQ25)*100</f>
        <v>16.707135603615562</v>
      </c>
      <c r="DR29" s="942"/>
      <c r="DS29" s="942"/>
      <c r="DT29" s="942">
        <f>SUM(DR11:DT11)/SUM(DR25:DT25)*100</f>
        <v>13.111838666687783</v>
      </c>
      <c r="DU29" s="942"/>
      <c r="DV29" s="942"/>
      <c r="DW29" s="942">
        <f>SUM(DU11:DW11)/SUM(DU25:DW25)*100</f>
        <v>15.717992729626484</v>
      </c>
      <c r="DX29" s="942"/>
      <c r="DY29" s="942"/>
      <c r="DZ29" s="942">
        <f>SUM(DX11:DZ11)/SUM(DX25:DZ25)*100</f>
        <v>17.160806991643796</v>
      </c>
      <c r="EA29" s="942"/>
      <c r="EB29" s="942"/>
      <c r="EC29" s="942">
        <f>SUM(EA11:EC11)/SUM(EA25:EC25)*100</f>
        <v>17.222591961737599</v>
      </c>
      <c r="ED29" s="942"/>
      <c r="EE29" s="942"/>
      <c r="EF29" s="942"/>
      <c r="EG29" s="942"/>
      <c r="EH29" s="942">
        <f>+SUM(ED4:EF4)/SUM(DR4:DT4)*100-100</f>
        <v>4.3092707616551706E-2</v>
      </c>
      <c r="EI29" s="942"/>
      <c r="EJ29" s="942"/>
      <c r="EK29" s="942"/>
      <c r="EL29" s="942"/>
      <c r="EM29" s="942"/>
      <c r="EN29" s="942"/>
      <c r="EO29" s="942"/>
      <c r="EQ29" s="942"/>
      <c r="ER29" s="942"/>
      <c r="ES29" s="942"/>
      <c r="ET29" s="942"/>
      <c r="EU29" s="942"/>
      <c r="EV29" s="942"/>
      <c r="EW29" s="942"/>
      <c r="EX29" s="942"/>
      <c r="EY29" s="942"/>
      <c r="EZ29" s="942"/>
      <c r="FA29" s="942"/>
      <c r="FB29" s="942"/>
      <c r="FC29" s="942"/>
      <c r="FD29" s="942"/>
      <c r="FE29" s="942"/>
      <c r="FH29" s="926" t="s">
        <v>2556</v>
      </c>
      <c r="FJ29" s="939">
        <f>+FL24/FL23*100</f>
        <v>52.963241921011154</v>
      </c>
      <c r="FK29" s="939">
        <f>+FM24/FM23*100</f>
        <v>61.899362560763095</v>
      </c>
      <c r="FL29" s="939">
        <f>+FN24/FN23*100</f>
        <v>62.790859122917695</v>
      </c>
      <c r="FM29" s="939"/>
    </row>
    <row r="30" spans="1:188">
      <c r="A30" s="922" t="s">
        <v>2557</v>
      </c>
      <c r="DB30" s="942">
        <f>SUM(CZ10:DB10,CZ15:DB15)/SUM(CZ24:DB24)*100</f>
        <v>8.5384401458911885</v>
      </c>
      <c r="DE30" s="942">
        <f>SUM(DC10:DE10,DC15:DE15)/SUM(DC24:DE24)*100</f>
        <v>9.749507485889918</v>
      </c>
      <c r="DF30" s="942"/>
      <c r="DG30" s="942"/>
      <c r="DH30" s="942">
        <f>SUM(DF10:DH10,DF15:DH15)/SUM(DF24:DH24)*100</f>
        <v>7.3060034505571485</v>
      </c>
      <c r="DI30" s="942"/>
      <c r="DJ30" s="942"/>
      <c r="DK30" s="942">
        <f>SUM(DI10:DK10,DI15:DK15)/SUM(DI24:DK24)*100</f>
        <v>9.6069962520078533</v>
      </c>
      <c r="DL30" s="942"/>
      <c r="DM30" s="942"/>
      <c r="DN30" s="942">
        <f>SUM(DL10:DN10,DL15:DN15)/SUM(DL24:DN24)*100</f>
        <v>7.7036606481635488</v>
      </c>
      <c r="DO30" s="942"/>
      <c r="DP30" s="942"/>
      <c r="DQ30" s="942">
        <f>SUM(DO10:DQ10,DO15:DQ15)/SUM(DO24:DQ24)*100</f>
        <v>8.1837210426325324</v>
      </c>
      <c r="DR30" s="942"/>
      <c r="DS30" s="942"/>
      <c r="DT30" s="942">
        <f>SUM(DR10:DT10,DR15:DT15)/SUM(DR24:DT24)*100</f>
        <v>10.178548227418874</v>
      </c>
      <c r="DU30" s="942"/>
      <c r="DV30" s="942"/>
      <c r="DW30" s="942">
        <f>SUM(DU10:DW10,DU15:DW15)/SUM(DU24:DW24)*100</f>
        <v>13.949587037199271</v>
      </c>
      <c r="DX30" s="942"/>
      <c r="DY30" s="942"/>
      <c r="DZ30" s="942">
        <f>SUM(DX10:DZ10,DX15:DZ15)/SUM(DX24:DZ24)*100</f>
        <v>11.1832278903717</v>
      </c>
      <c r="EA30" s="942"/>
      <c r="EB30" s="942"/>
      <c r="EC30" s="942">
        <f>SUM(EA10:EC10,EA15:EC15)/SUM(EA24:EC24)*100</f>
        <v>11.359957015873757</v>
      </c>
      <c r="ED30" s="942"/>
      <c r="EE30" s="942"/>
      <c r="EF30" s="942"/>
      <c r="EG30" s="942"/>
      <c r="EH30" s="942"/>
      <c r="EI30" s="942"/>
      <c r="EJ30" s="942"/>
      <c r="EK30" s="942"/>
      <c r="EL30" s="958">
        <f>+SUM(EJ20:EL20)/SUM(EJ24:EL24)%</f>
        <v>12.204538859758882</v>
      </c>
      <c r="EM30" s="942"/>
      <c r="EN30" s="942"/>
      <c r="EO30" s="958">
        <f>+SUM(EM20:EO20)/SUM(EM24:EO24)%</f>
        <v>13.174208341745214</v>
      </c>
      <c r="EP30" s="942"/>
      <c r="EQ30" s="942"/>
      <c r="ER30" s="958">
        <f>+SUM(EP20:ER20)/SUM(EP24:ER24)%</f>
        <v>12.05030092102986</v>
      </c>
      <c r="ES30" s="958"/>
      <c r="ET30" s="958"/>
      <c r="EU30" s="958"/>
      <c r="EV30" s="958"/>
      <c r="EW30" s="958"/>
      <c r="EX30" s="958"/>
      <c r="EY30" s="958"/>
      <c r="EZ30" s="958"/>
      <c r="FA30" s="958"/>
      <c r="FB30" s="958"/>
      <c r="FC30" s="958"/>
      <c r="FD30" s="958"/>
      <c r="FE30" s="958"/>
      <c r="FH30" s="926" t="s">
        <v>2558</v>
      </c>
      <c r="FJ30" s="939">
        <f>+FL25/FL23*100</f>
        <v>47.036758078988854</v>
      </c>
      <c r="FK30" s="939">
        <f>+FM25/FM23*100</f>
        <v>38.100637439236905</v>
      </c>
      <c r="FL30" s="939">
        <f>+FN25/FN23*100</f>
        <v>37.209140877082305</v>
      </c>
      <c r="FM30" s="939"/>
    </row>
    <row r="31" spans="1:188">
      <c r="A31" s="922" t="s">
        <v>2559</v>
      </c>
      <c r="EL31" s="958">
        <f>+SUM(EJ21:EL21)/SUM(EJ25:EL25)%</f>
        <v>14.122357861284215</v>
      </c>
      <c r="EO31" s="958">
        <f>+SUM(EM21:EO21)/SUM(EM25:EO25)%</f>
        <v>14.621655046655574</v>
      </c>
      <c r="EP31" s="958"/>
      <c r="EQ31" s="958"/>
      <c r="ER31" s="958">
        <f>+SUM(EP21:ER21)/SUM(EP25:ER25)%</f>
        <v>12.482931116068411</v>
      </c>
      <c r="ES31" s="958"/>
      <c r="ET31" s="958"/>
      <c r="EU31" s="958"/>
      <c r="EV31" s="958"/>
      <c r="EW31" s="958"/>
      <c r="EX31" s="958"/>
      <c r="EY31" s="958"/>
      <c r="EZ31" s="958"/>
      <c r="FA31" s="958"/>
      <c r="FB31" s="958"/>
      <c r="FC31" s="958"/>
      <c r="FD31" s="958"/>
      <c r="FE31" s="958"/>
    </row>
    <row r="32" spans="1:188">
      <c r="AL32" s="922">
        <v>1388</v>
      </c>
      <c r="AM32" s="922">
        <v>2319</v>
      </c>
      <c r="AN32" s="922">
        <v>2506</v>
      </c>
      <c r="AO32" s="922">
        <v>2920</v>
      </c>
      <c r="AP32" s="922">
        <v>2720</v>
      </c>
      <c r="AQ32" s="922">
        <v>2056</v>
      </c>
      <c r="AR32" s="922">
        <v>1868</v>
      </c>
      <c r="AS32" s="922">
        <v>1724</v>
      </c>
      <c r="AT32" s="922">
        <v>808</v>
      </c>
      <c r="AU32" s="922">
        <v>1100</v>
      </c>
      <c r="AV32" s="922">
        <v>846</v>
      </c>
      <c r="AW32" s="922">
        <v>1039</v>
      </c>
      <c r="AX32" s="922">
        <v>849</v>
      </c>
      <c r="AY32" s="922">
        <v>1286</v>
      </c>
      <c r="AZ32" s="922">
        <v>1209</v>
      </c>
      <c r="BA32" s="922">
        <v>1135</v>
      </c>
      <c r="BB32" s="922">
        <v>1357</v>
      </c>
      <c r="BC32" s="922">
        <v>1129</v>
      </c>
      <c r="BD32" s="922">
        <v>1627</v>
      </c>
      <c r="BE32" s="922">
        <v>740</v>
      </c>
      <c r="BF32" s="922">
        <v>705</v>
      </c>
      <c r="BG32" s="922">
        <v>697</v>
      </c>
      <c r="BH32" s="922">
        <v>608</v>
      </c>
      <c r="BI32" s="922">
        <v>430</v>
      </c>
      <c r="BJ32" s="922">
        <v>519</v>
      </c>
      <c r="BK32" s="922">
        <v>648</v>
      </c>
      <c r="BL32" s="922">
        <v>526</v>
      </c>
      <c r="BM32" s="922">
        <v>568</v>
      </c>
      <c r="BN32" s="922">
        <v>610</v>
      </c>
      <c r="BO32" s="922">
        <v>662</v>
      </c>
      <c r="BP32" s="922">
        <v>293</v>
      </c>
      <c r="BQ32" s="922">
        <v>258</v>
      </c>
      <c r="BR32" s="922">
        <v>509</v>
      </c>
      <c r="BS32" s="922">
        <v>110</v>
      </c>
      <c r="BT32" s="922">
        <v>87</v>
      </c>
      <c r="BU32" s="922">
        <v>62</v>
      </c>
      <c r="BV32" s="922">
        <v>27</v>
      </c>
      <c r="BW32" s="922">
        <v>0</v>
      </c>
      <c r="BX32" s="922">
        <v>0</v>
      </c>
      <c r="BY32" s="922">
        <v>0</v>
      </c>
      <c r="BZ32" s="922">
        <v>0</v>
      </c>
      <c r="CA32" s="922">
        <v>0</v>
      </c>
      <c r="CB32" s="922">
        <v>0</v>
      </c>
      <c r="CC32" s="922">
        <v>0</v>
      </c>
      <c r="CD32" s="922">
        <v>0</v>
      </c>
      <c r="CE32" s="922">
        <v>0</v>
      </c>
      <c r="CF32" s="922">
        <v>0</v>
      </c>
      <c r="CG32" s="922">
        <v>0</v>
      </c>
      <c r="CH32" s="922">
        <v>0</v>
      </c>
      <c r="CI32" s="922">
        <v>0</v>
      </c>
      <c r="CJ32" s="922">
        <v>0</v>
      </c>
      <c r="CK32" s="922">
        <v>0</v>
      </c>
      <c r="CL32" s="922">
        <v>0</v>
      </c>
      <c r="CM32" s="923">
        <v>0</v>
      </c>
      <c r="CN32" s="922">
        <v>0</v>
      </c>
      <c r="CO32" s="922">
        <v>0</v>
      </c>
      <c r="CP32" s="922">
        <v>0</v>
      </c>
      <c r="CQ32" s="922">
        <v>0</v>
      </c>
      <c r="DE32" s="942">
        <f>SUM(DC25:DE25)/SUM(DC23:DE23)*100</f>
        <v>37.198682063652697</v>
      </c>
      <c r="DH32" s="942">
        <f>SUM(DF25:DH25)/SUM(DF23:DH23)*100</f>
        <v>37.02361440861862</v>
      </c>
      <c r="DI32" s="942"/>
      <c r="DJ32" s="942"/>
      <c r="DK32" s="942">
        <f>SUM(DI25:DK25)/SUM(DI23:DK23)*100</f>
        <v>41.716164064369153</v>
      </c>
      <c r="DL32" s="942"/>
      <c r="DM32" s="942"/>
      <c r="DN32" s="942">
        <f>SUM(DL25:DN25)/SUM(DL23:DN23)*100</f>
        <v>42.518937011479444</v>
      </c>
      <c r="DO32" s="942"/>
      <c r="DP32" s="942"/>
      <c r="DQ32" s="942">
        <f>SUM(DO25:DQ25)/SUM(DO23:DQ23)*100</f>
        <v>42.513747860078524</v>
      </c>
      <c r="DR32" s="942"/>
      <c r="DS32" s="942"/>
      <c r="DT32" s="942">
        <f>SUM(DR25:DT25)/SUM(DR23:DT23)*100</f>
        <v>44.714041459688595</v>
      </c>
      <c r="DU32" s="942"/>
      <c r="DV32" s="942"/>
      <c r="DW32" s="942">
        <f>SUM(DU25:DW25)/SUM(DU23:DW23)*100</f>
        <v>49.175999590747097</v>
      </c>
      <c r="DX32" s="942"/>
      <c r="DY32" s="942"/>
      <c r="DZ32" s="942">
        <f>SUM(DX25:DZ25)/SUM(DX23:DZ23)*100</f>
        <v>49.81249746069151</v>
      </c>
      <c r="EA32" s="942"/>
      <c r="EB32" s="942"/>
      <c r="EC32" s="942">
        <f>SUM(EA25:EC25)/SUM(EA23:EC23)*100</f>
        <v>45.307019953518022</v>
      </c>
      <c r="ED32" s="942"/>
      <c r="EE32" s="942"/>
      <c r="EF32" s="942"/>
      <c r="EG32" s="942"/>
      <c r="EH32" s="942"/>
      <c r="EI32" s="942"/>
      <c r="EJ32" s="942"/>
      <c r="EK32" s="942"/>
      <c r="EL32" s="942"/>
      <c r="EM32" s="942"/>
      <c r="EN32" s="942"/>
      <c r="EO32" s="942"/>
      <c r="EP32" s="942"/>
      <c r="EQ32" s="942"/>
      <c r="ER32" s="942"/>
      <c r="ES32" s="942"/>
      <c r="ET32" s="942"/>
      <c r="EU32" s="942"/>
      <c r="EV32" s="942"/>
      <c r="EW32" s="942"/>
      <c r="EX32" s="942"/>
      <c r="EY32" s="942"/>
      <c r="EZ32" s="942"/>
      <c r="FA32" s="942"/>
      <c r="FB32" s="942"/>
      <c r="FC32" s="942"/>
      <c r="FD32" s="942"/>
      <c r="FE32" s="942"/>
      <c r="FH32" s="926" t="s">
        <v>2560</v>
      </c>
      <c r="FJ32" s="958">
        <f>+FL4/FL23%</f>
        <v>86.397822767166573</v>
      </c>
      <c r="FK32" s="958">
        <f>+FM4/FM23%</f>
        <v>86.274305237090715</v>
      </c>
      <c r="FL32" s="958">
        <f>+FN4/FN23%</f>
        <v>87.788721100221451</v>
      </c>
    </row>
    <row r="33" spans="22:168">
      <c r="AL33" s="922">
        <f>AL32-AL34</f>
        <v>1388</v>
      </c>
      <c r="AM33" s="922">
        <f t="shared" ref="AM33:CQ33" si="87">AM32-AM34</f>
        <v>2315</v>
      </c>
      <c r="AN33" s="922">
        <f t="shared" si="87"/>
        <v>2506</v>
      </c>
      <c r="AO33" s="922">
        <f t="shared" si="87"/>
        <v>2920</v>
      </c>
      <c r="AP33" s="922">
        <f t="shared" si="87"/>
        <v>2718</v>
      </c>
      <c r="AQ33" s="922">
        <f t="shared" si="87"/>
        <v>2056</v>
      </c>
      <c r="AR33" s="922">
        <f t="shared" si="87"/>
        <v>1866</v>
      </c>
      <c r="AS33" s="922">
        <f t="shared" si="87"/>
        <v>1620</v>
      </c>
      <c r="AT33" s="922">
        <f t="shared" si="87"/>
        <v>703</v>
      </c>
      <c r="AU33" s="922">
        <f t="shared" si="87"/>
        <v>1100</v>
      </c>
      <c r="AV33" s="922">
        <f t="shared" si="87"/>
        <v>846</v>
      </c>
      <c r="AW33" s="922">
        <f t="shared" si="87"/>
        <v>779</v>
      </c>
      <c r="AX33" s="922">
        <f t="shared" si="87"/>
        <v>693</v>
      </c>
      <c r="AY33" s="922">
        <f t="shared" si="87"/>
        <v>1026</v>
      </c>
      <c r="AZ33" s="922">
        <f t="shared" si="87"/>
        <v>1053</v>
      </c>
      <c r="BA33" s="922">
        <f t="shared" si="87"/>
        <v>979</v>
      </c>
      <c r="BB33" s="922">
        <f t="shared" si="87"/>
        <v>1097</v>
      </c>
      <c r="BC33" s="922">
        <f t="shared" si="87"/>
        <v>973</v>
      </c>
      <c r="BD33" s="922">
        <f t="shared" si="87"/>
        <v>1419</v>
      </c>
      <c r="BE33" s="922">
        <f t="shared" si="87"/>
        <v>636</v>
      </c>
      <c r="BF33" s="922">
        <f t="shared" si="87"/>
        <v>497</v>
      </c>
      <c r="BG33" s="922">
        <f t="shared" si="87"/>
        <v>489</v>
      </c>
      <c r="BH33" s="922">
        <f t="shared" si="87"/>
        <v>400</v>
      </c>
      <c r="BI33" s="922">
        <f t="shared" si="87"/>
        <v>430</v>
      </c>
      <c r="BJ33" s="922">
        <f t="shared" si="87"/>
        <v>519</v>
      </c>
      <c r="BK33" s="922">
        <f t="shared" si="87"/>
        <v>492</v>
      </c>
      <c r="BL33" s="922">
        <f t="shared" si="87"/>
        <v>526</v>
      </c>
      <c r="BM33" s="922">
        <f t="shared" si="87"/>
        <v>516</v>
      </c>
      <c r="BN33" s="922">
        <f t="shared" si="87"/>
        <v>454</v>
      </c>
      <c r="BO33" s="922">
        <f t="shared" si="87"/>
        <v>402</v>
      </c>
      <c r="BP33" s="922">
        <f t="shared" si="87"/>
        <v>293</v>
      </c>
      <c r="BQ33" s="922">
        <f t="shared" si="87"/>
        <v>154</v>
      </c>
      <c r="BR33" s="922">
        <f t="shared" si="87"/>
        <v>145</v>
      </c>
      <c r="BS33" s="922">
        <f t="shared" si="87"/>
        <v>110</v>
      </c>
      <c r="BT33" s="922">
        <f t="shared" si="87"/>
        <v>87</v>
      </c>
      <c r="BU33" s="922">
        <f t="shared" si="87"/>
        <v>62</v>
      </c>
      <c r="BV33" s="922">
        <f t="shared" si="87"/>
        <v>27</v>
      </c>
      <c r="BW33" s="922">
        <f t="shared" si="87"/>
        <v>0</v>
      </c>
      <c r="BX33" s="922">
        <f t="shared" si="87"/>
        <v>0</v>
      </c>
      <c r="BY33" s="922">
        <f t="shared" si="87"/>
        <v>0</v>
      </c>
      <c r="BZ33" s="922">
        <f t="shared" si="87"/>
        <v>0</v>
      </c>
      <c r="CA33" s="922">
        <f t="shared" si="87"/>
        <v>0</v>
      </c>
      <c r="CB33" s="922">
        <f t="shared" si="87"/>
        <v>0</v>
      </c>
      <c r="CC33" s="922">
        <f t="shared" si="87"/>
        <v>0</v>
      </c>
      <c r="CD33" s="922">
        <f t="shared" si="87"/>
        <v>0</v>
      </c>
      <c r="CE33" s="922">
        <f t="shared" si="87"/>
        <v>0</v>
      </c>
      <c r="CF33" s="922">
        <f t="shared" si="87"/>
        <v>0</v>
      </c>
      <c r="CG33" s="922">
        <f t="shared" si="87"/>
        <v>0</v>
      </c>
      <c r="CH33" s="922">
        <f t="shared" si="87"/>
        <v>0</v>
      </c>
      <c r="CI33" s="922">
        <f t="shared" si="87"/>
        <v>0</v>
      </c>
      <c r="CJ33" s="922">
        <f t="shared" si="87"/>
        <v>0</v>
      </c>
      <c r="CK33" s="922">
        <f t="shared" si="87"/>
        <v>0</v>
      </c>
      <c r="CL33" s="922">
        <f t="shared" si="87"/>
        <v>0</v>
      </c>
      <c r="CM33" s="922">
        <f t="shared" si="87"/>
        <v>0</v>
      </c>
      <c r="CN33" s="922">
        <f t="shared" si="87"/>
        <v>0</v>
      </c>
      <c r="CO33" s="922">
        <f t="shared" si="87"/>
        <v>0</v>
      </c>
      <c r="CP33" s="922">
        <f t="shared" si="87"/>
        <v>0</v>
      </c>
      <c r="CQ33" s="922">
        <f t="shared" si="87"/>
        <v>0</v>
      </c>
      <c r="FH33" s="926" t="s">
        <v>2561</v>
      </c>
      <c r="FJ33" s="958">
        <f>+(FL9+FL14)/FL23*100</f>
        <v>13.602177232833412</v>
      </c>
      <c r="FK33" s="958">
        <f>+(FM9+FM14)/FM23*100</f>
        <v>13.72569476290929</v>
      </c>
      <c r="FL33" s="958">
        <f>+(FN9+FN14)/FN23*100</f>
        <v>12.21127889977855</v>
      </c>
    </row>
    <row r="34" spans="22:168">
      <c r="AL34" s="922">
        <v>0</v>
      </c>
      <c r="AM34" s="922">
        <v>4</v>
      </c>
      <c r="AN34" s="922">
        <v>0</v>
      </c>
      <c r="AO34" s="922">
        <v>0</v>
      </c>
      <c r="AP34" s="922">
        <v>2</v>
      </c>
      <c r="AQ34" s="922">
        <v>0</v>
      </c>
      <c r="AR34" s="922">
        <v>2</v>
      </c>
      <c r="AS34" s="922">
        <v>104</v>
      </c>
      <c r="AT34" s="922">
        <v>105</v>
      </c>
      <c r="AU34" s="922">
        <v>0</v>
      </c>
      <c r="AV34" s="922">
        <v>0</v>
      </c>
      <c r="AW34" s="922">
        <v>260</v>
      </c>
      <c r="AX34" s="922">
        <v>156</v>
      </c>
      <c r="AY34" s="922">
        <v>260</v>
      </c>
      <c r="AZ34" s="922">
        <v>156</v>
      </c>
      <c r="BA34" s="922">
        <v>156</v>
      </c>
      <c r="BB34" s="922">
        <v>260</v>
      </c>
      <c r="BC34" s="922">
        <v>156</v>
      </c>
      <c r="BD34" s="922">
        <v>208</v>
      </c>
      <c r="BE34" s="922">
        <v>104</v>
      </c>
      <c r="BF34" s="922">
        <v>208</v>
      </c>
      <c r="BG34" s="922">
        <v>208</v>
      </c>
      <c r="BH34" s="922">
        <v>208</v>
      </c>
      <c r="BI34" s="922">
        <v>0</v>
      </c>
      <c r="BJ34" s="922">
        <v>0</v>
      </c>
      <c r="BK34" s="922">
        <v>156</v>
      </c>
      <c r="BL34" s="922">
        <v>0</v>
      </c>
      <c r="BM34" s="922">
        <v>52</v>
      </c>
      <c r="BN34" s="922">
        <v>156</v>
      </c>
      <c r="BO34" s="922">
        <v>260</v>
      </c>
      <c r="BP34" s="922">
        <v>0</v>
      </c>
      <c r="BQ34" s="922">
        <v>104</v>
      </c>
      <c r="BR34" s="922">
        <v>364</v>
      </c>
      <c r="BS34" s="922">
        <v>0</v>
      </c>
      <c r="BT34" s="922">
        <v>0</v>
      </c>
      <c r="BU34" s="922">
        <v>0</v>
      </c>
      <c r="BV34" s="922">
        <v>0</v>
      </c>
      <c r="BW34" s="922">
        <v>0</v>
      </c>
      <c r="BX34" s="922">
        <v>0</v>
      </c>
      <c r="BY34" s="922">
        <v>0</v>
      </c>
      <c r="BZ34" s="922">
        <v>0</v>
      </c>
      <c r="CA34" s="922">
        <v>0</v>
      </c>
      <c r="CB34" s="922">
        <v>0</v>
      </c>
      <c r="CC34" s="922">
        <v>0</v>
      </c>
      <c r="CD34" s="922">
        <v>0</v>
      </c>
      <c r="CE34" s="922">
        <v>0</v>
      </c>
      <c r="CF34" s="922">
        <v>0</v>
      </c>
      <c r="CG34" s="922">
        <v>0</v>
      </c>
      <c r="CH34" s="922">
        <v>0</v>
      </c>
      <c r="CI34" s="922">
        <v>0</v>
      </c>
      <c r="CJ34" s="922">
        <v>0</v>
      </c>
      <c r="CK34" s="922">
        <v>0</v>
      </c>
      <c r="CL34" s="922">
        <v>0</v>
      </c>
      <c r="CM34" s="923">
        <v>0</v>
      </c>
      <c r="CN34" s="922">
        <v>0</v>
      </c>
      <c r="CO34" s="922">
        <v>0</v>
      </c>
      <c r="CP34" s="922">
        <v>0</v>
      </c>
      <c r="CQ34" s="922">
        <v>0</v>
      </c>
      <c r="FH34" s="926" t="s">
        <v>2538</v>
      </c>
    </row>
    <row r="35" spans="22:168">
      <c r="FH35" s="926" t="s">
        <v>744</v>
      </c>
      <c r="FJ35" s="958">
        <f>+FL5/FL4%</f>
        <v>55.50714950841774</v>
      </c>
      <c r="FK35" s="958">
        <f>+FM5/FM4%</f>
        <v>62.295038397701589</v>
      </c>
      <c r="FL35" s="958">
        <f>+FN5/FN4%</f>
        <v>62.90599857886172</v>
      </c>
    </row>
    <row r="36" spans="22:168" ht="15">
      <c r="AL36" s="959"/>
      <c r="ED36" s="960"/>
      <c r="EE36" s="960"/>
      <c r="EF36" s="960"/>
      <c r="EG36" s="960"/>
      <c r="EH36" s="960"/>
      <c r="EI36" s="960"/>
      <c r="EJ36" s="960"/>
      <c r="EK36" s="960"/>
      <c r="EL36" s="960"/>
      <c r="EM36" s="960"/>
      <c r="EN36" s="960"/>
      <c r="EO36" s="960"/>
      <c r="EP36" s="960"/>
      <c r="EQ36" s="960"/>
      <c r="FH36" s="926" t="s">
        <v>587</v>
      </c>
      <c r="FJ36" s="958">
        <f>+FL6/FL4%</f>
        <v>44.49285049158226</v>
      </c>
      <c r="FK36" s="958">
        <f>+FM6/FM4%</f>
        <v>37.704961602298418</v>
      </c>
      <c r="FL36" s="958">
        <f>+FN6/FN4%</f>
        <v>37.094001421138287</v>
      </c>
    </row>
    <row r="37" spans="22:168" ht="15">
      <c r="AL37" s="959"/>
      <c r="ED37" s="960"/>
      <c r="EE37" s="960"/>
      <c r="EF37" s="960"/>
      <c r="EG37" s="960"/>
      <c r="EH37" s="960"/>
      <c r="EI37" s="960"/>
      <c r="EJ37" s="960"/>
      <c r="EK37" s="960"/>
      <c r="EL37" s="960"/>
      <c r="EM37" s="960"/>
      <c r="EN37" s="960"/>
      <c r="EO37" s="960"/>
      <c r="EP37" s="960"/>
      <c r="EQ37" s="960"/>
      <c r="FF37" s="945"/>
      <c r="FH37" s="961" t="s">
        <v>2388</v>
      </c>
      <c r="FI37" s="945"/>
      <c r="FJ37" s="945"/>
      <c r="FK37" s="945"/>
      <c r="FL37" s="945"/>
    </row>
    <row r="38" spans="22:168" ht="15">
      <c r="AL38" s="959"/>
      <c r="FF38" s="945"/>
      <c r="FH38" s="926" t="s">
        <v>744</v>
      </c>
      <c r="FI38" s="945"/>
      <c r="FJ38" s="958">
        <f>+(FL10+FL15)/(FL9+FL14)%</f>
        <v>36.804940708593989</v>
      </c>
      <c r="FK38" s="958">
        <f>+(FM10+FM15)/(FM9+FM14)%</f>
        <v>59.412300264782282</v>
      </c>
      <c r="FL38" s="958">
        <f>+(FN10+FN15)/(FN9+FN14)%</f>
        <v>61.963104252321429</v>
      </c>
    </row>
    <row r="39" spans="22:168">
      <c r="V39" s="962">
        <f t="shared" ref="V39:AG39" si="88">AL1</f>
        <v>39202</v>
      </c>
      <c r="W39" s="962">
        <f t="shared" si="88"/>
        <v>39233</v>
      </c>
      <c r="X39" s="962">
        <f t="shared" si="88"/>
        <v>39263</v>
      </c>
      <c r="Y39" s="962">
        <f t="shared" si="88"/>
        <v>39294</v>
      </c>
      <c r="Z39" s="962">
        <f t="shared" si="88"/>
        <v>39325</v>
      </c>
      <c r="AA39" s="962">
        <f t="shared" si="88"/>
        <v>39355</v>
      </c>
      <c r="AB39" s="962">
        <f t="shared" si="88"/>
        <v>39386</v>
      </c>
      <c r="AC39" s="962">
        <f t="shared" si="88"/>
        <v>39416</v>
      </c>
      <c r="AD39" s="962">
        <f t="shared" si="88"/>
        <v>39447</v>
      </c>
      <c r="AE39" s="962">
        <f t="shared" si="88"/>
        <v>39478</v>
      </c>
      <c r="AF39" s="962">
        <f t="shared" si="88"/>
        <v>39507</v>
      </c>
      <c r="AG39" s="962">
        <f t="shared" si="88"/>
        <v>39538</v>
      </c>
      <c r="BR39" s="962"/>
      <c r="BS39" s="962"/>
      <c r="FH39" s="926" t="s">
        <v>587</v>
      </c>
      <c r="FJ39" s="958">
        <f>+(FL11)/(FL9+FL14)%</f>
        <v>63.195059291406011</v>
      </c>
      <c r="FK39" s="958">
        <f>+(FM11)/(FM9+FM14)%</f>
        <v>40.587699735217711</v>
      </c>
      <c r="FL39" s="958">
        <f>+(FN11)/(FN9+FN14)%</f>
        <v>37.982516128500684</v>
      </c>
    </row>
    <row r="40" spans="22:168">
      <c r="V40" s="939">
        <f t="shared" ref="V40:AG40" si="89">AL5</f>
        <v>126494</v>
      </c>
      <c r="W40" s="939">
        <f t="shared" si="89"/>
        <v>129724</v>
      </c>
      <c r="X40" s="939">
        <f t="shared" si="89"/>
        <v>123273</v>
      </c>
      <c r="Y40" s="939">
        <f t="shared" si="89"/>
        <v>116305</v>
      </c>
      <c r="Z40" s="939">
        <f t="shared" si="89"/>
        <v>121369</v>
      </c>
      <c r="AA40" s="939">
        <f t="shared" si="89"/>
        <v>166870</v>
      </c>
      <c r="AB40" s="939">
        <f t="shared" si="89"/>
        <v>205004</v>
      </c>
      <c r="AC40" s="939">
        <f t="shared" si="89"/>
        <v>174936</v>
      </c>
      <c r="AD40" s="939">
        <f t="shared" si="89"/>
        <v>137980</v>
      </c>
      <c r="AE40" s="939">
        <f t="shared" si="89"/>
        <v>134704</v>
      </c>
      <c r="AF40" s="939">
        <f t="shared" si="89"/>
        <v>107768</v>
      </c>
      <c r="AG40" s="939">
        <f t="shared" si="89"/>
        <v>113657</v>
      </c>
      <c r="BR40" s="939"/>
      <c r="BS40" s="939"/>
    </row>
    <row r="41" spans="22:168" ht="15">
      <c r="V41" s="939"/>
      <c r="W41" s="939"/>
      <c r="X41" s="939"/>
      <c r="Y41" s="939"/>
      <c r="Z41" s="939"/>
      <c r="AA41" s="939"/>
      <c r="AB41" s="939"/>
      <c r="AC41" s="939"/>
      <c r="AD41" s="939"/>
      <c r="AE41" s="939"/>
      <c r="AF41" s="939"/>
      <c r="AG41" s="939"/>
      <c r="AH41" s="939"/>
      <c r="AI41" s="939"/>
      <c r="AJ41" s="939"/>
      <c r="AK41" s="939"/>
      <c r="AL41" s="963"/>
      <c r="AM41" s="939"/>
      <c r="AN41" s="939"/>
      <c r="AO41" s="939"/>
      <c r="AP41" s="939"/>
      <c r="AQ41" s="939"/>
      <c r="AR41" s="939"/>
      <c r="AS41" s="939"/>
      <c r="AT41" s="939"/>
      <c r="AU41" s="939"/>
      <c r="AV41" s="939"/>
      <c r="AW41" s="939"/>
      <c r="AX41" s="939"/>
      <c r="AY41" s="939"/>
      <c r="AZ41" s="939"/>
      <c r="BA41" s="939"/>
      <c r="BB41" s="939"/>
      <c r="BC41" s="939"/>
      <c r="BD41" s="939"/>
      <c r="BE41" s="939"/>
      <c r="BF41" s="939"/>
      <c r="BG41" s="939"/>
      <c r="BH41" s="939"/>
      <c r="BI41" s="939"/>
      <c r="BJ41" s="939"/>
      <c r="BK41" s="939"/>
      <c r="BL41" s="939"/>
      <c r="BM41" s="939"/>
      <c r="BN41" s="939"/>
      <c r="BO41" s="939"/>
      <c r="BP41" s="939"/>
      <c r="BQ41" s="939"/>
      <c r="BR41" s="939"/>
      <c r="BS41" s="939"/>
    </row>
    <row r="42" spans="22:168" ht="15">
      <c r="V42" s="962">
        <f t="shared" ref="V42:AG42" si="90">AX1</f>
        <v>39568</v>
      </c>
      <c r="W42" s="962">
        <f t="shared" si="90"/>
        <v>39599</v>
      </c>
      <c r="X42" s="962">
        <f t="shared" si="90"/>
        <v>39629</v>
      </c>
      <c r="Y42" s="962">
        <f t="shared" si="90"/>
        <v>39660</v>
      </c>
      <c r="Z42" s="964">
        <f t="shared" si="90"/>
        <v>39691</v>
      </c>
      <c r="AA42" s="962">
        <f t="shared" si="90"/>
        <v>39721</v>
      </c>
      <c r="AB42" s="962">
        <f t="shared" si="90"/>
        <v>39752</v>
      </c>
      <c r="AC42" s="962">
        <f t="shared" si="90"/>
        <v>39782</v>
      </c>
      <c r="AD42" s="962">
        <f t="shared" si="90"/>
        <v>39813</v>
      </c>
      <c r="AE42" s="962">
        <f t="shared" si="90"/>
        <v>39844</v>
      </c>
      <c r="AF42" s="962">
        <f t="shared" si="90"/>
        <v>39872</v>
      </c>
      <c r="AG42" s="962">
        <f t="shared" si="90"/>
        <v>39903</v>
      </c>
      <c r="AH42" s="939"/>
      <c r="AI42" s="939"/>
      <c r="AJ42" s="939"/>
      <c r="AK42" s="939"/>
      <c r="AL42" s="963"/>
      <c r="AM42" s="939"/>
      <c r="AN42" s="939"/>
      <c r="AO42" s="939"/>
      <c r="AP42" s="939"/>
      <c r="AQ42" s="939"/>
      <c r="AR42" s="939"/>
      <c r="AS42" s="939"/>
      <c r="AT42" s="939"/>
      <c r="AU42" s="939"/>
      <c r="AV42" s="939"/>
      <c r="AW42" s="939"/>
      <c r="AX42" s="939"/>
      <c r="AY42" s="939"/>
      <c r="AZ42" s="939"/>
      <c r="BA42" s="939"/>
      <c r="BB42" s="939"/>
      <c r="BC42" s="939"/>
      <c r="BD42" s="939"/>
      <c r="BE42" s="939"/>
      <c r="BF42" s="939"/>
      <c r="BG42" s="939"/>
      <c r="BH42" s="939"/>
      <c r="BI42" s="939"/>
      <c r="BJ42" s="939"/>
      <c r="BK42" s="939"/>
      <c r="BL42" s="939"/>
      <c r="BM42" s="939"/>
      <c r="BN42" s="939"/>
      <c r="BO42" s="939"/>
      <c r="BP42" s="939"/>
      <c r="BQ42" s="939"/>
      <c r="BR42" s="939"/>
      <c r="BS42" s="939"/>
    </row>
    <row r="43" spans="22:168" ht="15">
      <c r="V43" s="939">
        <f t="shared" ref="V43:AG43" si="91">AX5</f>
        <v>138117</v>
      </c>
      <c r="W43" s="939">
        <f t="shared" si="91"/>
        <v>130068</v>
      </c>
      <c r="X43" s="939">
        <f t="shared" si="91"/>
        <v>120143</v>
      </c>
      <c r="Y43" s="939">
        <f t="shared" si="91"/>
        <v>113440</v>
      </c>
      <c r="Z43" s="963">
        <f t="shared" si="91"/>
        <v>116887</v>
      </c>
      <c r="AA43" s="939">
        <f t="shared" si="91"/>
        <v>162074</v>
      </c>
      <c r="AB43" s="939">
        <f t="shared" si="91"/>
        <v>102242</v>
      </c>
      <c r="AC43" s="939">
        <f t="shared" si="91"/>
        <v>82283</v>
      </c>
      <c r="AD43" s="939">
        <f t="shared" si="91"/>
        <v>61546</v>
      </c>
      <c r="AE43" s="939">
        <f t="shared" si="91"/>
        <v>66207</v>
      </c>
      <c r="AF43" s="939">
        <f t="shared" si="91"/>
        <v>90473</v>
      </c>
      <c r="AG43" s="939">
        <f t="shared" si="91"/>
        <v>92947</v>
      </c>
      <c r="AH43" s="939"/>
      <c r="AI43" s="939"/>
      <c r="AJ43" s="939"/>
      <c r="AK43" s="939"/>
      <c r="AL43" s="963"/>
      <c r="AM43" s="939"/>
      <c r="AN43" s="939"/>
      <c r="AO43" s="939"/>
      <c r="AP43" s="939"/>
      <c r="AQ43" s="939"/>
      <c r="AR43" s="939"/>
      <c r="AS43" s="939"/>
      <c r="AT43" s="939"/>
      <c r="AU43" s="939"/>
      <c r="AV43" s="939"/>
      <c r="AW43" s="939"/>
      <c r="AX43" s="939"/>
      <c r="AY43" s="939"/>
      <c r="AZ43" s="939"/>
      <c r="BA43" s="939"/>
      <c r="BB43" s="939"/>
      <c r="BC43" s="939"/>
      <c r="BD43" s="939"/>
      <c r="BE43" s="939"/>
      <c r="BF43" s="939"/>
      <c r="BG43" s="939"/>
      <c r="BH43" s="939"/>
      <c r="BI43" s="939"/>
      <c r="BJ43" s="939"/>
      <c r="BK43" s="939"/>
      <c r="BL43" s="939"/>
      <c r="BM43" s="939"/>
      <c r="BN43" s="939"/>
      <c r="BO43" s="939"/>
      <c r="BP43" s="939"/>
      <c r="BQ43" s="939"/>
      <c r="BR43" s="939"/>
      <c r="BS43" s="939"/>
    </row>
    <row r="44" spans="22:168" ht="15">
      <c r="V44" s="939"/>
      <c r="W44" s="939"/>
      <c r="X44" s="939"/>
      <c r="Y44" s="939"/>
      <c r="Z44" s="939"/>
      <c r="AA44" s="939"/>
      <c r="AB44" s="939"/>
      <c r="AC44" s="939"/>
      <c r="AD44" s="939"/>
      <c r="AE44" s="939"/>
      <c r="AF44" s="939"/>
      <c r="AG44" s="939"/>
      <c r="AH44" s="939"/>
      <c r="AI44" s="939"/>
      <c r="AJ44" s="939"/>
      <c r="AK44" s="939"/>
      <c r="AL44" s="963"/>
      <c r="AM44" s="939"/>
      <c r="AN44" s="939"/>
      <c r="AO44" s="939"/>
      <c r="AP44" s="939"/>
      <c r="AQ44" s="939"/>
      <c r="AR44" s="939"/>
      <c r="AS44" s="939"/>
      <c r="AT44" s="939"/>
      <c r="AU44" s="939"/>
      <c r="AV44" s="939"/>
      <c r="AW44" s="939"/>
      <c r="AX44" s="939"/>
      <c r="AY44" s="939"/>
      <c r="AZ44" s="939"/>
      <c r="BA44" s="939"/>
      <c r="BB44" s="939"/>
      <c r="BC44" s="939"/>
      <c r="BD44" s="939"/>
      <c r="BE44" s="939"/>
      <c r="BF44" s="939"/>
      <c r="BG44" s="939"/>
      <c r="BH44" s="939"/>
      <c r="BI44" s="939"/>
      <c r="BJ44" s="939"/>
      <c r="BK44" s="939"/>
      <c r="BL44" s="939"/>
      <c r="BM44" s="939"/>
      <c r="BN44" s="939"/>
      <c r="BO44" s="939"/>
      <c r="BP44" s="939"/>
      <c r="BQ44" s="939"/>
      <c r="BR44" s="939"/>
      <c r="BS44" s="939"/>
    </row>
    <row r="45" spans="22:168" ht="15">
      <c r="V45" s="962">
        <f t="shared" ref="V45:AG45" si="92">BJ1</f>
        <v>39933</v>
      </c>
      <c r="W45" s="962">
        <f t="shared" si="92"/>
        <v>39964</v>
      </c>
      <c r="X45" s="962">
        <f t="shared" si="92"/>
        <v>39994</v>
      </c>
      <c r="Y45" s="962">
        <f t="shared" si="92"/>
        <v>40025</v>
      </c>
      <c r="Z45" s="962">
        <f t="shared" si="92"/>
        <v>40056</v>
      </c>
      <c r="AA45" s="962">
        <f t="shared" si="92"/>
        <v>40086</v>
      </c>
      <c r="AB45" s="962">
        <f t="shared" si="92"/>
        <v>40117</v>
      </c>
      <c r="AC45" s="962">
        <f t="shared" si="92"/>
        <v>40147</v>
      </c>
      <c r="AD45" s="962">
        <f t="shared" si="92"/>
        <v>40178</v>
      </c>
      <c r="AE45" s="962">
        <f t="shared" si="92"/>
        <v>40209</v>
      </c>
      <c r="AF45" s="962">
        <f t="shared" si="92"/>
        <v>40237</v>
      </c>
      <c r="AG45" s="962">
        <f t="shared" si="92"/>
        <v>40268</v>
      </c>
      <c r="AH45" s="939"/>
      <c r="AI45" s="939"/>
      <c r="AJ45" s="939"/>
      <c r="AK45" s="939"/>
      <c r="AL45" s="963"/>
      <c r="AM45" s="939"/>
      <c r="AN45" s="939"/>
      <c r="AO45" s="939"/>
      <c r="AP45" s="939"/>
      <c r="AQ45" s="939"/>
      <c r="AR45" s="939"/>
      <c r="AS45" s="939"/>
      <c r="AT45" s="939"/>
      <c r="AU45" s="939"/>
      <c r="AV45" s="939"/>
      <c r="AW45" s="939"/>
      <c r="AX45" s="939"/>
      <c r="AY45" s="939"/>
      <c r="AZ45" s="939"/>
      <c r="BA45" s="939"/>
      <c r="BB45" s="939"/>
      <c r="BC45" s="939"/>
      <c r="BD45" s="939"/>
      <c r="BE45" s="939"/>
      <c r="BF45" s="939"/>
      <c r="BG45" s="939"/>
      <c r="BH45" s="939"/>
      <c r="BI45" s="939"/>
      <c r="BJ45" s="939"/>
      <c r="BK45" s="939"/>
      <c r="BL45" s="939"/>
      <c r="BM45" s="939"/>
      <c r="BN45" s="939"/>
      <c r="BO45" s="939"/>
      <c r="BP45" s="939"/>
      <c r="BQ45" s="939"/>
      <c r="BR45" s="939"/>
      <c r="BS45" s="939"/>
    </row>
    <row r="46" spans="22:168" ht="15">
      <c r="V46" s="939">
        <f t="shared" ref="V46:AG46" si="93">BJ5</f>
        <v>106516</v>
      </c>
      <c r="W46" s="939">
        <f t="shared" si="93"/>
        <v>113630</v>
      </c>
      <c r="X46" s="939">
        <f t="shared" si="93"/>
        <v>110048</v>
      </c>
      <c r="Y46" s="939">
        <f t="shared" si="93"/>
        <v>109161</v>
      </c>
      <c r="Z46" s="939">
        <f t="shared" si="93"/>
        <v>121644</v>
      </c>
      <c r="AA46" s="939">
        <f t="shared" si="93"/>
        <v>182902</v>
      </c>
      <c r="AB46" s="939">
        <f t="shared" si="93"/>
        <v>179111</v>
      </c>
      <c r="AC46" s="939">
        <f t="shared" si="93"/>
        <v>162773</v>
      </c>
      <c r="AD46" s="939">
        <f t="shared" si="93"/>
        <v>146262</v>
      </c>
      <c r="AE46" s="939">
        <f t="shared" si="93"/>
        <v>179212</v>
      </c>
      <c r="AF46" s="939">
        <f t="shared" si="93"/>
        <v>175725</v>
      </c>
      <c r="AG46" s="939">
        <f t="shared" si="93"/>
        <v>194784</v>
      </c>
      <c r="AH46" s="939"/>
      <c r="AI46" s="939"/>
      <c r="AJ46" s="939"/>
      <c r="AK46" s="939"/>
      <c r="AL46" s="963"/>
      <c r="AM46" s="939"/>
      <c r="AN46" s="939"/>
      <c r="AO46" s="939"/>
      <c r="AP46" s="939"/>
      <c r="AQ46" s="939"/>
      <c r="AR46" s="939"/>
      <c r="AS46" s="939"/>
      <c r="AT46" s="939"/>
      <c r="AU46" s="939"/>
      <c r="AV46" s="939"/>
      <c r="AW46" s="939"/>
      <c r="AX46" s="939"/>
      <c r="AY46" s="939"/>
      <c r="AZ46" s="939"/>
      <c r="BA46" s="939"/>
      <c r="BB46" s="939"/>
      <c r="BC46" s="939"/>
      <c r="BD46" s="939"/>
      <c r="BE46" s="939"/>
      <c r="BF46" s="939"/>
      <c r="BG46" s="939"/>
      <c r="BH46" s="939"/>
      <c r="BI46" s="939"/>
      <c r="BJ46" s="939"/>
      <c r="BK46" s="939"/>
      <c r="BL46" s="939"/>
      <c r="BM46" s="939"/>
      <c r="BN46" s="939"/>
      <c r="BO46" s="939"/>
      <c r="BP46" s="939"/>
      <c r="BQ46" s="939"/>
      <c r="BR46" s="939"/>
      <c r="BS46" s="939"/>
    </row>
    <row r="47" spans="22:168" ht="15">
      <c r="V47" s="939"/>
      <c r="W47" s="939"/>
      <c r="X47" s="939"/>
      <c r="Y47" s="939"/>
      <c r="Z47" s="939"/>
      <c r="AA47" s="939"/>
      <c r="AB47" s="939"/>
      <c r="AC47" s="939"/>
      <c r="AD47" s="939"/>
      <c r="AE47" s="939"/>
      <c r="AF47" s="939"/>
      <c r="AG47" s="939"/>
      <c r="AH47" s="939"/>
      <c r="AI47" s="939"/>
      <c r="AJ47" s="939"/>
      <c r="AK47" s="939"/>
      <c r="AL47" s="963"/>
      <c r="AM47" s="939"/>
      <c r="AN47" s="939"/>
      <c r="AO47" s="939"/>
      <c r="AP47" s="939"/>
      <c r="AQ47" s="939"/>
      <c r="AR47" s="939"/>
      <c r="AS47" s="939"/>
      <c r="AT47" s="939"/>
      <c r="AU47" s="939"/>
      <c r="AV47" s="939"/>
      <c r="AW47" s="939"/>
      <c r="AX47" s="939"/>
      <c r="AY47" s="939"/>
      <c r="AZ47" s="939"/>
      <c r="BA47" s="939"/>
      <c r="BB47" s="939"/>
      <c r="BC47" s="939"/>
      <c r="BD47" s="939"/>
      <c r="BE47" s="939"/>
      <c r="BF47" s="939"/>
      <c r="BG47" s="939"/>
      <c r="BH47" s="939"/>
      <c r="BI47" s="939"/>
      <c r="BJ47" s="939"/>
      <c r="BK47" s="939"/>
      <c r="BL47" s="939"/>
      <c r="BM47" s="939"/>
      <c r="BN47" s="939"/>
      <c r="BO47" s="939"/>
      <c r="BP47" s="939"/>
      <c r="BQ47" s="939"/>
      <c r="BR47" s="939"/>
      <c r="BS47" s="939"/>
    </row>
    <row r="48" spans="22:168" ht="15">
      <c r="V48" s="962">
        <f t="shared" ref="V48:AG48" si="94">BV1</f>
        <v>40298</v>
      </c>
      <c r="W48" s="962">
        <f t="shared" si="94"/>
        <v>40329</v>
      </c>
      <c r="X48" s="962">
        <f t="shared" si="94"/>
        <v>40359</v>
      </c>
      <c r="Y48" s="962">
        <f t="shared" si="94"/>
        <v>40390</v>
      </c>
      <c r="Z48" s="962">
        <f t="shared" si="94"/>
        <v>40421</v>
      </c>
      <c r="AA48" s="962">
        <f t="shared" si="94"/>
        <v>40451</v>
      </c>
      <c r="AB48" s="962">
        <f t="shared" si="94"/>
        <v>40482</v>
      </c>
      <c r="AC48" s="962">
        <f t="shared" si="94"/>
        <v>40512</v>
      </c>
      <c r="AD48" s="962">
        <f t="shared" si="94"/>
        <v>40543</v>
      </c>
      <c r="AE48" s="962">
        <f t="shared" si="94"/>
        <v>40574</v>
      </c>
      <c r="AF48" s="962">
        <f t="shared" si="94"/>
        <v>40602</v>
      </c>
      <c r="AG48" s="962">
        <f t="shared" si="94"/>
        <v>40633</v>
      </c>
      <c r="AL48" s="959"/>
    </row>
    <row r="49" spans="22:38" ht="15">
      <c r="V49" s="939">
        <f t="shared" ref="V49:AG49" si="95">BV5</f>
        <v>187994</v>
      </c>
      <c r="W49" s="939">
        <f t="shared" si="95"/>
        <v>191726</v>
      </c>
      <c r="X49" s="939">
        <f t="shared" si="95"/>
        <v>186401</v>
      </c>
      <c r="Y49" s="939">
        <f t="shared" si="95"/>
        <v>192138</v>
      </c>
      <c r="Z49" s="939">
        <f t="shared" si="95"/>
        <v>209567</v>
      </c>
      <c r="AA49" s="939">
        <f t="shared" si="95"/>
        <v>230945</v>
      </c>
      <c r="AB49" s="939">
        <f t="shared" si="95"/>
        <v>239936</v>
      </c>
      <c r="AC49" s="939">
        <f t="shared" si="95"/>
        <v>193174</v>
      </c>
      <c r="AD49" s="939">
        <f t="shared" si="95"/>
        <v>165470</v>
      </c>
      <c r="AE49" s="939">
        <f t="shared" si="95"/>
        <v>192026</v>
      </c>
      <c r="AF49" s="939">
        <f t="shared" si="95"/>
        <v>205145</v>
      </c>
      <c r="AG49" s="939">
        <f t="shared" si="95"/>
        <v>220081</v>
      </c>
      <c r="AL49" s="959"/>
    </row>
    <row r="50" spans="22:38" ht="15">
      <c r="V50" s="939"/>
      <c r="W50" s="939"/>
      <c r="X50" s="939"/>
      <c r="Y50" s="939"/>
      <c r="Z50" s="939"/>
      <c r="AA50" s="939"/>
      <c r="AB50" s="939"/>
      <c r="AC50" s="939"/>
      <c r="AD50" s="939"/>
      <c r="AE50" s="939"/>
      <c r="AF50" s="939"/>
      <c r="AG50" s="939"/>
      <c r="AL50" s="959"/>
    </row>
    <row r="51" spans="22:38" ht="15">
      <c r="V51" s="939"/>
      <c r="W51" s="939"/>
      <c r="X51" s="939"/>
      <c r="Y51" s="939"/>
      <c r="Z51" s="939"/>
      <c r="AA51" s="939"/>
      <c r="AB51" s="939"/>
      <c r="AC51" s="939"/>
      <c r="AD51" s="939"/>
      <c r="AE51" s="939"/>
      <c r="AF51" s="939"/>
      <c r="AG51" s="939"/>
      <c r="AL51" s="959"/>
    </row>
    <row r="52" spans="22:38" ht="15">
      <c r="V52" s="939"/>
      <c r="W52" s="939"/>
      <c r="X52" s="939"/>
      <c r="Y52" s="939"/>
      <c r="Z52" s="939"/>
      <c r="AA52" s="939"/>
      <c r="AB52" s="939"/>
      <c r="AC52" s="939"/>
      <c r="AD52" s="939"/>
      <c r="AE52" s="939"/>
      <c r="AF52" s="939"/>
      <c r="AG52" s="939"/>
      <c r="AL52" s="959"/>
    </row>
    <row r="53" spans="22:38" ht="15">
      <c r="V53" s="939"/>
      <c r="W53" s="939"/>
      <c r="X53" s="939"/>
      <c r="Y53" s="939"/>
      <c r="Z53" s="939"/>
      <c r="AA53" s="939"/>
      <c r="AB53" s="939"/>
      <c r="AC53" s="939"/>
      <c r="AD53" s="939"/>
      <c r="AE53" s="939"/>
      <c r="AF53" s="939"/>
      <c r="AG53" s="939"/>
      <c r="AL53" s="959"/>
    </row>
    <row r="54" spans="22:38" ht="15">
      <c r="AL54" s="959"/>
    </row>
    <row r="55" spans="22:38" ht="15">
      <c r="V55" s="922" t="s">
        <v>481</v>
      </c>
      <c r="W55" s="922" t="s">
        <v>482</v>
      </c>
      <c r="X55" s="922" t="s">
        <v>483</v>
      </c>
      <c r="Y55" s="922" t="s">
        <v>484</v>
      </c>
      <c r="Z55" s="922" t="s">
        <v>563</v>
      </c>
      <c r="AA55" s="922" t="s">
        <v>588</v>
      </c>
      <c r="AB55" s="922" t="s">
        <v>596</v>
      </c>
      <c r="AC55" s="922" t="s">
        <v>1744</v>
      </c>
      <c r="AD55" s="922" t="s">
        <v>656</v>
      </c>
      <c r="AE55" s="922" t="s">
        <v>599</v>
      </c>
      <c r="AF55" s="922" t="s">
        <v>202</v>
      </c>
      <c r="AG55" s="922" t="s">
        <v>722</v>
      </c>
      <c r="AH55" s="922" t="s">
        <v>827</v>
      </c>
      <c r="AI55" s="922" t="s">
        <v>1745</v>
      </c>
      <c r="AJ55" s="922" t="s">
        <v>1746</v>
      </c>
      <c r="AK55" s="922" t="s">
        <v>1747</v>
      </c>
      <c r="AL55" s="959"/>
    </row>
    <row r="56" spans="22:38" ht="15">
      <c r="V56" s="939">
        <f>+SUM(V40:X40)</f>
        <v>379491</v>
      </c>
      <c r="W56" s="939">
        <f>+SUM(Y40:AA40)</f>
        <v>404544</v>
      </c>
      <c r="X56" s="939">
        <f>+SUM(AB40:AD40)</f>
        <v>517920</v>
      </c>
      <c r="Y56" s="939">
        <f>+SUM(AE40:AG40)</f>
        <v>356129</v>
      </c>
      <c r="Z56" s="939">
        <f>+SUM(V43:X43)</f>
        <v>388328</v>
      </c>
      <c r="AA56" s="939">
        <f>+SUM(Y43:AA43)</f>
        <v>392401</v>
      </c>
      <c r="AB56" s="939">
        <f>+SUM(AB43:AD43)</f>
        <v>246071</v>
      </c>
      <c r="AC56" s="939">
        <f>+SUM(AE43:AG43)</f>
        <v>249627</v>
      </c>
      <c r="AD56" s="939">
        <f>+SUM(V46:X46)</f>
        <v>330194</v>
      </c>
      <c r="AE56" s="939">
        <f>+SUM(Y46:AA46)</f>
        <v>413707</v>
      </c>
      <c r="AF56" s="939">
        <f>+SUM(AB46:AD46)</f>
        <v>488146</v>
      </c>
      <c r="AG56" s="939">
        <f>+SUM(AE46:AG46)</f>
        <v>549721</v>
      </c>
      <c r="AH56" s="939">
        <f>+SUM(V49:X49)</f>
        <v>566121</v>
      </c>
      <c r="AI56" s="939">
        <f>+SUM(Y49:AA49)</f>
        <v>632650</v>
      </c>
      <c r="AJ56" s="939">
        <f>+SUM(AB49:AD49)</f>
        <v>598580</v>
      </c>
      <c r="AK56" s="939">
        <f>+SUM(AE49:AG49)</f>
        <v>617252</v>
      </c>
      <c r="AL56" s="959"/>
    </row>
    <row r="57" spans="22:38" ht="15">
      <c r="AL57" s="959"/>
    </row>
    <row r="58" spans="22:38" ht="15">
      <c r="Z58" s="939"/>
      <c r="AA58" s="939"/>
      <c r="AB58" s="939"/>
      <c r="AC58" s="939"/>
      <c r="AL58" s="959"/>
    </row>
    <row r="59" spans="22:38" ht="15">
      <c r="AL59" s="959"/>
    </row>
    <row r="60" spans="22:38" ht="15">
      <c r="AL60" s="959"/>
    </row>
    <row r="61" spans="22:38" ht="15">
      <c r="AL61" s="959"/>
    </row>
    <row r="62" spans="22:38" ht="15">
      <c r="AL62" s="959"/>
    </row>
    <row r="63" spans="22:38" ht="15">
      <c r="AL63" s="959"/>
    </row>
    <row r="64" spans="22:38" ht="15">
      <c r="AL64" s="959"/>
    </row>
    <row r="65" spans="38:38" ht="15">
      <c r="AL65" s="959"/>
    </row>
    <row r="66" spans="38:38" ht="15">
      <c r="AL66" s="959"/>
    </row>
    <row r="67" spans="38:38" ht="15">
      <c r="AL67" s="959"/>
    </row>
    <row r="68" spans="38:38" ht="15">
      <c r="AL68" s="959"/>
    </row>
    <row r="69" spans="38:38" ht="15">
      <c r="AL69" s="959"/>
    </row>
    <row r="70" spans="38:38" ht="15">
      <c r="AL70" s="959"/>
    </row>
    <row r="71" spans="38:38" ht="15">
      <c r="AL71" s="959"/>
    </row>
    <row r="72" spans="38:38" ht="15">
      <c r="AL72" s="959"/>
    </row>
    <row r="73" spans="38:38" ht="15">
      <c r="AL73" s="959"/>
    </row>
    <row r="74" spans="38:38" ht="15">
      <c r="AL74" s="959"/>
    </row>
    <row r="75" spans="38:38" ht="15">
      <c r="AL75" s="959"/>
    </row>
    <row r="76" spans="38:38" ht="15">
      <c r="AL76" s="959"/>
    </row>
    <row r="77" spans="38:38" ht="15">
      <c r="AL77" s="959"/>
    </row>
    <row r="78" spans="38:38" ht="15">
      <c r="AL78" s="959"/>
    </row>
    <row r="79" spans="38:38" ht="15">
      <c r="AL79" s="959"/>
    </row>
    <row r="80" spans="38:38" ht="15">
      <c r="AL80" s="959"/>
    </row>
    <row r="81" spans="38:38" ht="15">
      <c r="AL81" s="959"/>
    </row>
    <row r="82" spans="38:38" ht="15">
      <c r="AL82" s="959"/>
    </row>
    <row r="83" spans="38:38" ht="15">
      <c r="AL83" s="959"/>
    </row>
    <row r="84" spans="38:38" ht="15">
      <c r="AL84" s="959"/>
    </row>
    <row r="85" spans="38:38" ht="15">
      <c r="AL85" s="959"/>
    </row>
    <row r="86" spans="38:38" ht="15">
      <c r="AL86" s="959"/>
    </row>
    <row r="87" spans="38:38" ht="15">
      <c r="AL87" s="959"/>
    </row>
    <row r="88" spans="38:38" ht="15">
      <c r="AL88" s="959"/>
    </row>
    <row r="89" spans="38:38" ht="15">
      <c r="AL89" s="959"/>
    </row>
    <row r="90" spans="38:38" ht="15">
      <c r="AL90" s="959"/>
    </row>
    <row r="91" spans="38:38" ht="15">
      <c r="AL91" s="959"/>
    </row>
    <row r="92" spans="38:38" ht="15">
      <c r="AL92" s="959"/>
    </row>
    <row r="93" spans="38:38" ht="15">
      <c r="AL93" s="959"/>
    </row>
    <row r="94" spans="38:38" ht="15">
      <c r="AL94" s="959"/>
    </row>
    <row r="95" spans="38:38" ht="15">
      <c r="AL95" s="959"/>
    </row>
    <row r="96" spans="38:38" ht="15">
      <c r="AL96" s="959"/>
    </row>
    <row r="97" spans="38:38" ht="15">
      <c r="AL97" s="959"/>
    </row>
    <row r="98" spans="38:38" ht="15">
      <c r="AL98" s="959"/>
    </row>
    <row r="99" spans="38:38" ht="15">
      <c r="AL99" s="959"/>
    </row>
    <row r="100" spans="38:38" ht="15">
      <c r="AL100" s="959"/>
    </row>
  </sheetData>
  <pageMargins left="0.7" right="0.7" top="0.75" bottom="0.75" header="0.3" footer="0.3"/>
  <pageSetup paperSize="9" orientation="portrait" r:id="rId1"/>
  <ignoredErrors>
    <ignoredError sqref="FF5:FG8 FF26:FG26 FF22:FG22 FF15:FG18 FF10:FG13" formulaRange="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1:G34"/>
  <sheetViews>
    <sheetView showGridLines="0" tabSelected="1" topLeftCell="A16" workbookViewId="0">
      <selection activeCell="D25" sqref="D25"/>
    </sheetView>
  </sheetViews>
  <sheetFormatPr defaultRowHeight="14.25"/>
  <cols>
    <col min="1" max="1" width="3.5" style="1264" customWidth="1"/>
    <col min="2" max="2" width="23.25" style="1264" customWidth="1"/>
    <col min="3" max="5" width="9" style="1264"/>
    <col min="6" max="6" width="16.625" style="1028" bestFit="1" customWidth="1"/>
    <col min="7" max="16384" width="9" style="1264"/>
  </cols>
  <sheetData>
    <row r="1" spans="2:6" hidden="1"/>
    <row r="2" spans="2:6" hidden="1">
      <c r="B2" s="1275" t="s">
        <v>561</v>
      </c>
      <c r="C2" s="1276" t="s">
        <v>1059</v>
      </c>
      <c r="D2" s="1276" t="s">
        <v>1060</v>
      </c>
      <c r="E2" s="1276" t="s">
        <v>1061</v>
      </c>
    </row>
    <row r="3" spans="2:6" hidden="1">
      <c r="B3" s="1277" t="s">
        <v>589</v>
      </c>
      <c r="C3" s="1278">
        <f>'Inc Stmt'!P9</f>
        <v>225865.2</v>
      </c>
      <c r="D3" s="1278">
        <f>($C3/(100+$C4))*(100+D4)</f>
        <v>263567.7115678087</v>
      </c>
      <c r="E3" s="1279">
        <f>($C3/(100+$C4))*(100+E4)</f>
        <v>225915.18134383601</v>
      </c>
    </row>
    <row r="4" spans="2:6" hidden="1">
      <c r="B4" s="1280" t="s">
        <v>1062</v>
      </c>
      <c r="C4" s="1281">
        <f>'Inc Stmt'!P76</f>
        <v>4.9767698608319977</v>
      </c>
      <c r="D4" s="1281">
        <v>22.5</v>
      </c>
      <c r="E4" s="1282">
        <v>5</v>
      </c>
    </row>
    <row r="5" spans="2:6" hidden="1">
      <c r="B5" s="1283" t="s">
        <v>1063</v>
      </c>
      <c r="C5" s="1284">
        <f>C4-C6</f>
        <v>1.9767698608319977</v>
      </c>
      <c r="D5" s="1284">
        <f>D4-D6</f>
        <v>19.5</v>
      </c>
      <c r="E5" s="1284">
        <f>E4-E6</f>
        <v>2</v>
      </c>
    </row>
    <row r="6" spans="2:6" hidden="1">
      <c r="B6" s="1283" t="s">
        <v>1064</v>
      </c>
      <c r="C6" s="1284">
        <v>3</v>
      </c>
      <c r="D6" s="1284">
        <v>3</v>
      </c>
      <c r="E6" s="1285">
        <v>3</v>
      </c>
    </row>
    <row r="7" spans="2:6" hidden="1">
      <c r="B7" s="1280" t="s">
        <v>659</v>
      </c>
      <c r="C7" s="1286">
        <f>'Inc Stmt'!P21</f>
        <v>47819.400000000009</v>
      </c>
      <c r="D7" s="1286">
        <f>D3*D8/100</f>
        <v>61072.99975508303</v>
      </c>
      <c r="E7" s="1287">
        <f>E3*E8/100</f>
        <v>43311.678250603443</v>
      </c>
      <c r="F7" s="1392"/>
    </row>
    <row r="8" spans="2:6" hidden="1">
      <c r="B8" s="1280" t="s">
        <v>1065</v>
      </c>
      <c r="C8" s="1281">
        <f>C7/C3*100</f>
        <v>21.171654597521002</v>
      </c>
      <c r="D8" s="1281">
        <f>C8+2</f>
        <v>23.171654597521002</v>
      </c>
      <c r="E8" s="1282">
        <f>C8-2</f>
        <v>19.171654597521002</v>
      </c>
    </row>
    <row r="9" spans="2:6" hidden="1">
      <c r="B9" s="1280" t="s">
        <v>1066</v>
      </c>
      <c r="C9" s="1286">
        <f>'Inc Stmt'!P40</f>
        <v>39296.700000000012</v>
      </c>
      <c r="D9" s="1286">
        <f>C9-((C7-D7)*(1-'Inc Stmt'!O193))</f>
        <v>52550.299755083033</v>
      </c>
      <c r="E9" s="1287">
        <f>C9-((C7-E7)*(1-'Inc Stmt'!O193))</f>
        <v>34788.978250603446</v>
      </c>
      <c r="F9" s="1392"/>
    </row>
    <row r="10" spans="2:6" hidden="1">
      <c r="B10" s="1289" t="s">
        <v>618</v>
      </c>
      <c r="C10" s="1290">
        <f>'Inc Stmt'!P54</f>
        <v>135.80227629257823</v>
      </c>
      <c r="D10" s="1290">
        <f>D9/'Inc Stmt'!$O$46</f>
        <v>181.60431605192267</v>
      </c>
      <c r="E10" s="1291">
        <f>E9/'Inc Stmt'!$O$46</f>
        <v>120.22440653604355</v>
      </c>
    </row>
    <row r="11" spans="2:6" hidden="1"/>
    <row r="12" spans="2:6" hidden="1">
      <c r="B12" s="1277" t="s">
        <v>1067</v>
      </c>
      <c r="C12" s="1292">
        <v>16</v>
      </c>
      <c r="D12" s="1292">
        <f>C12+1.5</f>
        <v>17.5</v>
      </c>
      <c r="E12" s="1293">
        <f>C12-1.5</f>
        <v>14.5</v>
      </c>
    </row>
    <row r="13" spans="2:6" hidden="1">
      <c r="B13" s="1280" t="s">
        <v>560</v>
      </c>
      <c r="C13" s="1286">
        <f>C10*C12</f>
        <v>2172.8364206812516</v>
      </c>
      <c r="D13" s="1286">
        <f>D10*D12</f>
        <v>3178.0755309086467</v>
      </c>
      <c r="E13" s="1287">
        <f>E10*E12</f>
        <v>1743.2538947726314</v>
      </c>
    </row>
    <row r="14" spans="2:6" hidden="1">
      <c r="B14" s="1289" t="s">
        <v>1068</v>
      </c>
      <c r="C14" s="1294"/>
      <c r="D14" s="1295">
        <f>D13/C13-1</f>
        <v>0.46263911109894851</v>
      </c>
      <c r="E14" s="1296">
        <f>E13/C13-1</f>
        <v>-0.19770587505797277</v>
      </c>
    </row>
    <row r="15" spans="2:6" hidden="1"/>
    <row r="18" spans="2:7">
      <c r="B18" s="1275" t="s">
        <v>2563</v>
      </c>
      <c r="C18" s="1276" t="s">
        <v>1059</v>
      </c>
      <c r="D18" s="1276" t="s">
        <v>1060</v>
      </c>
      <c r="E18" s="1276" t="s">
        <v>1061</v>
      </c>
    </row>
    <row r="19" spans="2:7">
      <c r="B19" s="1277" t="s">
        <v>589</v>
      </c>
      <c r="C19" s="1278">
        <f>'Inc Stmt'!S9</f>
        <v>303817.245014577</v>
      </c>
      <c r="D19" s="1394">
        <f>$C$19*(1+D20)</f>
        <v>364580.69401749241</v>
      </c>
      <c r="E19" s="1394">
        <f t="shared" ref="E19" si="0">$C$19*(1+E20)</f>
        <v>337237.14196618053</v>
      </c>
      <c r="F19" s="1028" t="s">
        <v>2583</v>
      </c>
    </row>
    <row r="20" spans="2:7">
      <c r="B20" s="1280" t="s">
        <v>1062</v>
      </c>
      <c r="C20" s="1281">
        <f>'Inc Stmt'!S76</f>
        <v>15.800062026025795</v>
      </c>
      <c r="D20" s="1395">
        <f>20%</f>
        <v>0.2</v>
      </c>
      <c r="E20" s="1396">
        <v>0.11</v>
      </c>
      <c r="F20" s="1028" t="s">
        <v>2646</v>
      </c>
    </row>
    <row r="21" spans="2:7">
      <c r="B21" s="1283" t="s">
        <v>1063</v>
      </c>
      <c r="C21" s="1284">
        <f>C20-C22</f>
        <v>12.800062026025795</v>
      </c>
      <c r="D21" s="1397">
        <v>0.17</v>
      </c>
      <c r="E21" s="1397">
        <v>0.08</v>
      </c>
      <c r="F21" s="1028" t="s">
        <v>2646</v>
      </c>
    </row>
    <row r="22" spans="2:7">
      <c r="B22" s="1283" t="s">
        <v>1064</v>
      </c>
      <c r="C22" s="1284">
        <v>3</v>
      </c>
      <c r="D22" s="1397">
        <v>3</v>
      </c>
      <c r="E22" s="1397">
        <v>3</v>
      </c>
      <c r="F22" s="1028" t="s">
        <v>2646</v>
      </c>
    </row>
    <row r="23" spans="2:7">
      <c r="B23" s="1280" t="s">
        <v>659</v>
      </c>
      <c r="C23" s="1286">
        <f>'Inc Stmt'!S21</f>
        <v>60460.231911464958</v>
      </c>
      <c r="D23" s="1398">
        <f>D24*D19</f>
        <v>79478.591295813341</v>
      </c>
      <c r="E23" s="1398">
        <f t="shared" ref="E23" si="1">E24*E19</f>
        <v>60196.829840963233</v>
      </c>
      <c r="F23" s="1028" t="s">
        <v>2583</v>
      </c>
      <c r="G23" s="1288"/>
    </row>
    <row r="24" spans="2:7">
      <c r="B24" s="1280" t="s">
        <v>1065</v>
      </c>
      <c r="C24" s="1281">
        <f>C23/C19*100</f>
        <v>19.90019753768885</v>
      </c>
      <c r="D24" s="1398">
        <f>21.8%</f>
        <v>0.218</v>
      </c>
      <c r="E24" s="1396">
        <f>17.85%</f>
        <v>0.17850000000000002</v>
      </c>
      <c r="F24" s="1028" t="s">
        <v>2646</v>
      </c>
    </row>
    <row r="25" spans="2:7">
      <c r="B25" s="1280" t="s">
        <v>1066</v>
      </c>
      <c r="C25" s="1286">
        <f>'Inc Stmt'!S40</f>
        <v>50946.966213440115</v>
      </c>
      <c r="D25" s="1398"/>
      <c r="E25" s="1399"/>
      <c r="F25" s="1028" t="s">
        <v>2583</v>
      </c>
      <c r="G25" s="1288"/>
    </row>
    <row r="26" spans="2:7">
      <c r="B26" s="1289" t="s">
        <v>618</v>
      </c>
      <c r="C26" s="1290">
        <f>'Inc Stmt'!S54</f>
        <v>176.06348578853289</v>
      </c>
      <c r="D26" s="1400"/>
      <c r="E26" s="1401"/>
      <c r="F26" s="1028" t="s">
        <v>2583</v>
      </c>
    </row>
    <row r="27" spans="2:7">
      <c r="F27" s="1393"/>
    </row>
    <row r="28" spans="2:7">
      <c r="B28" s="1277" t="s">
        <v>1067</v>
      </c>
      <c r="C28" s="1292">
        <v>16</v>
      </c>
      <c r="D28" s="1402">
        <v>17.5</v>
      </c>
      <c r="E28" s="1403">
        <v>14.5</v>
      </c>
      <c r="F28" s="1028" t="s">
        <v>2646</v>
      </c>
    </row>
    <row r="29" spans="2:7">
      <c r="B29" s="1280" t="s">
        <v>560</v>
      </c>
      <c r="C29" s="1286">
        <v>2750</v>
      </c>
      <c r="D29" s="1398"/>
      <c r="E29" s="1399"/>
      <c r="F29" s="1028" t="s">
        <v>2583</v>
      </c>
    </row>
    <row r="30" spans="2:7">
      <c r="B30" s="1289" t="s">
        <v>1068</v>
      </c>
      <c r="C30" s="1294"/>
      <c r="D30" s="1404"/>
      <c r="E30" s="1405"/>
      <c r="F30" s="1028" t="s">
        <v>2583</v>
      </c>
    </row>
    <row r="31" spans="2:7">
      <c r="D31" s="1297"/>
    </row>
    <row r="34" spans="3:3">
      <c r="C34" s="1298"/>
    </row>
  </sheetData>
  <sheetProtection password="CF34" sheet="1" objects="1" scenarios="1"/>
  <phoneticPr fontId="63" type="noConversion"/>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Y192"/>
  <sheetViews>
    <sheetView showGridLines="0" zoomScale="85" zoomScaleNormal="85" workbookViewId="0">
      <pane xSplit="2" ySplit="7" topLeftCell="P46" activePane="bottomRight" state="frozen"/>
      <selection activeCell="V96" sqref="V96"/>
      <selection pane="topRight" activeCell="V96" sqref="V96"/>
      <selection pane="bottomLeft" activeCell="V96" sqref="V96"/>
      <selection pane="bottomRight" activeCell="R63" sqref="R63"/>
    </sheetView>
  </sheetViews>
  <sheetFormatPr defaultColWidth="10.625" defaultRowHeight="13.5"/>
  <cols>
    <col min="1" max="1" width="6.25" style="1373" customWidth="1"/>
    <col min="2" max="2" width="22.375" style="1374" customWidth="1"/>
    <col min="3" max="3" width="10.875" style="1374" hidden="1" customWidth="1"/>
    <col min="4" max="8" width="10.75" style="1374" hidden="1" customWidth="1"/>
    <col min="9" max="11" width="11.75" style="1374" hidden="1" customWidth="1"/>
    <col min="12" max="12" width="11.375" style="1374" hidden="1" customWidth="1"/>
    <col min="13" max="15" width="12" style="1374" hidden="1" customWidth="1"/>
    <col min="16" max="20" width="12" style="1374" customWidth="1"/>
    <col min="21" max="21" width="10.625" style="1374" hidden="1" customWidth="1"/>
    <col min="22" max="24" width="0" style="1374" hidden="1" customWidth="1"/>
    <col min="25" max="25" width="0" style="1385" hidden="1" customWidth="1"/>
    <col min="26" max="26" width="12.125" style="1385" hidden="1" customWidth="1"/>
    <col min="27" max="38" width="0" style="1385" hidden="1" customWidth="1"/>
    <col min="39" max="39" width="14.25" style="1385" bestFit="1" customWidth="1"/>
    <col min="40" max="16384" width="10.625" style="1385"/>
  </cols>
  <sheetData>
    <row r="1" spans="1:39">
      <c r="A1" s="1701" t="s">
        <v>537</v>
      </c>
      <c r="B1" s="1702"/>
      <c r="C1" s="1406"/>
      <c r="D1" s="1406"/>
      <c r="E1" s="1406"/>
      <c r="F1" s="1406"/>
      <c r="G1" s="1406"/>
      <c r="H1" s="1406"/>
      <c r="I1" s="1406"/>
      <c r="J1" s="1406"/>
      <c r="K1" s="1406">
        <f>K9*10^6/'Driver Sheet'!G59</f>
        <v>42883.252909838164</v>
      </c>
      <c r="L1" s="1406">
        <f>L9*10^6/'Driver Sheet'!H59</f>
        <v>44898.748379146396</v>
      </c>
      <c r="M1" s="1406">
        <f>M9*10^6/'Driver Sheet'!I59</f>
        <v>47195.037420191067</v>
      </c>
      <c r="N1" s="1406">
        <f>N9*10^6/'Driver Sheet'!J59</f>
        <v>52064.881396416662</v>
      </c>
      <c r="O1" s="1406">
        <f>O9*10^6/'Driver Sheet'!K59</f>
        <v>56706.560477917592</v>
      </c>
      <c r="P1" s="1406">
        <f>P9*10^6/'Driver Sheet'!L59</f>
        <v>58332.577914657057</v>
      </c>
      <c r="Q1" s="1407">
        <f>Q9*10^6/'Driver Sheet'!M59</f>
        <v>59801.692945510898</v>
      </c>
      <c r="R1" s="1407">
        <f>R9*10^6/'Driver Sheet'!N59</f>
        <v>64065.126880991018</v>
      </c>
      <c r="S1" s="1407">
        <f>S9*10^6/'Driver Sheet'!O59</f>
        <v>65593.350286601417</v>
      </c>
      <c r="T1" s="1407">
        <f>T9*10^6/'Driver Sheet'!P59</f>
        <v>67634.195183188509</v>
      </c>
      <c r="U1" s="1335"/>
      <c r="V1" s="1408"/>
      <c r="W1" s="1408"/>
      <c r="X1" s="1408"/>
    </row>
    <row r="2" spans="1:39" ht="18">
      <c r="A2" s="1703"/>
      <c r="B2" s="1704"/>
      <c r="C2" s="1704"/>
      <c r="D2" s="1704"/>
      <c r="E2" s="1704"/>
      <c r="F2" s="1704"/>
      <c r="G2" s="1704"/>
      <c r="H2" s="1704"/>
      <c r="I2" s="1704"/>
      <c r="J2" s="1704"/>
      <c r="K2" s="1704"/>
      <c r="L2" s="1406"/>
      <c r="M2" s="1406"/>
      <c r="N2" s="1406"/>
      <c r="O2" s="1406">
        <f>(O1/N1-1)*100</f>
        <v>8.9151822821983639</v>
      </c>
      <c r="P2" s="1409">
        <f>(P1/O1-1)*100</f>
        <v>2.8674238448524125</v>
      </c>
      <c r="Q2" s="1410">
        <f>(Q1/P1-1)*100</f>
        <v>2.5185155248979685</v>
      </c>
      <c r="R2" s="1410">
        <f>(R1/Q1-1)*100</f>
        <v>7.1292863554294428</v>
      </c>
      <c r="S2" s="1410">
        <f t="shared" ref="S2:T2" si="0">(S1/R1-1)*100</f>
        <v>2.3854216482693591</v>
      </c>
      <c r="T2" s="1410">
        <f t="shared" si="0"/>
        <v>3.111359440659589</v>
      </c>
      <c r="U2" s="1335"/>
      <c r="V2" s="1411"/>
      <c r="W2" s="1411"/>
      <c r="X2" s="1411"/>
      <c r="AA2" s="1385">
        <f>135*16</f>
        <v>2160</v>
      </c>
    </row>
    <row r="3" spans="1:39" ht="7.5" customHeight="1">
      <c r="A3" s="1336"/>
      <c r="B3" s="1335"/>
      <c r="C3" s="1335"/>
      <c r="D3" s="1335"/>
      <c r="E3" s="1335"/>
      <c r="F3" s="1335"/>
      <c r="G3" s="1335"/>
      <c r="H3" s="1335"/>
      <c r="I3" s="1335"/>
      <c r="J3" s="1335"/>
      <c r="K3" s="1335"/>
      <c r="L3" s="1335"/>
      <c r="M3" s="1335"/>
      <c r="N3" s="1335"/>
      <c r="O3" s="1335"/>
      <c r="P3" s="1335"/>
      <c r="Q3" s="1407"/>
      <c r="R3" s="1407"/>
      <c r="S3" s="1407"/>
      <c r="T3" s="1407"/>
      <c r="U3" s="1335"/>
      <c r="V3" s="1411"/>
      <c r="W3" s="1411"/>
      <c r="X3" s="1411"/>
    </row>
    <row r="4" spans="1:39" s="1417" customFormat="1" ht="43.5" customHeight="1">
      <c r="A4" s="1705" t="s">
        <v>324</v>
      </c>
      <c r="B4" s="1706"/>
      <c r="C4" s="1706"/>
      <c r="D4" s="1706"/>
      <c r="E4" s="1706"/>
      <c r="F4" s="1706"/>
      <c r="G4" s="1706"/>
      <c r="H4" s="1706"/>
      <c r="I4" s="1706"/>
      <c r="J4" s="1706"/>
      <c r="K4" s="1706"/>
      <c r="L4" s="1335"/>
      <c r="M4" s="1335"/>
      <c r="N4" s="1412"/>
      <c r="O4" s="1412"/>
      <c r="P4" s="1412"/>
      <c r="Q4" s="1413"/>
      <c r="R4" s="1413"/>
      <c r="S4" s="1413"/>
      <c r="T4" s="1413"/>
      <c r="U4" s="1414"/>
      <c r="V4" s="1415"/>
      <c r="W4" s="1415"/>
      <c r="X4" s="1415"/>
      <c r="Y4" s="1416"/>
    </row>
    <row r="5" spans="1:39" s="1424" customFormat="1">
      <c r="A5" s="1338"/>
      <c r="B5" s="1418" t="s">
        <v>674</v>
      </c>
      <c r="C5" s="1340"/>
      <c r="D5" s="1340"/>
      <c r="E5" s="1340"/>
      <c r="F5" s="1340"/>
      <c r="G5" s="1340"/>
      <c r="H5" s="1340"/>
      <c r="I5" s="1339"/>
      <c r="J5" s="1419"/>
      <c r="K5" s="1419"/>
      <c r="L5" s="1419"/>
      <c r="M5" s="1420"/>
      <c r="N5" s="1420"/>
      <c r="O5" s="1420"/>
      <c r="P5" s="1420"/>
      <c r="Q5" s="1421" t="s">
        <v>2536</v>
      </c>
      <c r="R5" s="1421" t="s">
        <v>2536</v>
      </c>
      <c r="S5" s="1421" t="s">
        <v>2536</v>
      </c>
      <c r="T5" s="1421" t="s">
        <v>2536</v>
      </c>
      <c r="U5" s="1339"/>
      <c r="V5" s="1422"/>
      <c r="W5" s="1422"/>
      <c r="X5" s="1422"/>
      <c r="Y5" s="1423"/>
    </row>
    <row r="6" spans="1:39" ht="14.25" thickBot="1">
      <c r="A6" s="1336"/>
      <c r="B6" s="1335"/>
      <c r="C6" s="1425">
        <f>C21/C9</f>
        <v>0.18450870201883385</v>
      </c>
      <c r="D6" s="1425">
        <f>D21/D9</f>
        <v>0.18519754451262568</v>
      </c>
      <c r="E6" s="1425">
        <f>E21/E9</f>
        <v>0.15715620785619738</v>
      </c>
      <c r="F6" s="1425">
        <f>F21/F9</f>
        <v>0.18464505694384156</v>
      </c>
      <c r="G6" s="1425">
        <f>G21/G9</f>
        <v>0.1552598714455187</v>
      </c>
      <c r="H6" s="1426" t="s">
        <v>325</v>
      </c>
      <c r="I6" s="1425">
        <f t="shared" ref="I6:O6" si="1">I21/I9</f>
        <v>0.12754784277823356</v>
      </c>
      <c r="J6" s="1425">
        <f t="shared" si="1"/>
        <v>0.21520686965936892</v>
      </c>
      <c r="K6" s="1425">
        <f t="shared" si="1"/>
        <v>0.19357089149255732</v>
      </c>
      <c r="L6" s="1425">
        <f t="shared" si="1"/>
        <v>0.19048562700151261</v>
      </c>
      <c r="M6" s="1425">
        <f t="shared" si="1"/>
        <v>0.18192751503331717</v>
      </c>
      <c r="N6" s="1425">
        <f t="shared" si="1"/>
        <v>0.21074110487054021</v>
      </c>
      <c r="O6" s="1425">
        <f t="shared" si="1"/>
        <v>0.19279881880491453</v>
      </c>
      <c r="P6" s="1425">
        <f>P21/P9</f>
        <v>0.21171654597521003</v>
      </c>
      <c r="Q6" s="1425">
        <f>Q21/Q9</f>
        <v>0.2031706259291724</v>
      </c>
      <c r="R6" s="1425">
        <f>R21/R9</f>
        <v>0.19811187734932173</v>
      </c>
      <c r="S6" s="1425">
        <f t="shared" ref="S6:T6" si="2">S21/S9</f>
        <v>0.19900197537688852</v>
      </c>
      <c r="T6" s="1425">
        <f t="shared" si="2"/>
        <v>0.18945800283579992</v>
      </c>
      <c r="U6" s="1341"/>
      <c r="V6" s="1411"/>
      <c r="W6" s="1411"/>
      <c r="X6" s="1411"/>
      <c r="Y6" s="1427"/>
    </row>
    <row r="7" spans="1:39" s="1436" customFormat="1" thickBot="1">
      <c r="A7" s="1338"/>
      <c r="B7" s="1342"/>
      <c r="C7" s="1428" t="s">
        <v>672</v>
      </c>
      <c r="D7" s="1429" t="s">
        <v>673</v>
      </c>
      <c r="E7" s="1429" t="s">
        <v>671</v>
      </c>
      <c r="F7" s="1429" t="s">
        <v>670</v>
      </c>
      <c r="G7" s="1429" t="s">
        <v>669</v>
      </c>
      <c r="H7" s="1345" t="s">
        <v>668</v>
      </c>
      <c r="I7" s="1430" t="s">
        <v>314</v>
      </c>
      <c r="J7" s="1431" t="s">
        <v>612</v>
      </c>
      <c r="K7" s="1432" t="s">
        <v>195</v>
      </c>
      <c r="L7" s="1432" t="s">
        <v>395</v>
      </c>
      <c r="M7" s="1432" t="s">
        <v>279</v>
      </c>
      <c r="N7" s="1432" t="s">
        <v>1419</v>
      </c>
      <c r="O7" s="1432" t="s">
        <v>1857</v>
      </c>
      <c r="P7" s="1433" t="s">
        <v>1858</v>
      </c>
      <c r="Q7" s="1433" t="s">
        <v>2377</v>
      </c>
      <c r="R7" s="1434" t="s">
        <v>1634</v>
      </c>
      <c r="S7" s="1434" t="s">
        <v>1635</v>
      </c>
      <c r="T7" s="1434" t="s">
        <v>1636</v>
      </c>
      <c r="U7" s="1435"/>
      <c r="V7" s="1350" t="s">
        <v>1982</v>
      </c>
      <c r="W7" s="1350" t="s">
        <v>1633</v>
      </c>
      <c r="X7" s="1350" t="s">
        <v>1634</v>
      </c>
    </row>
    <row r="8" spans="1:39">
      <c r="A8" s="1336"/>
      <c r="B8" s="1335"/>
      <c r="C8" s="1437"/>
      <c r="D8" s="1437"/>
      <c r="E8" s="1437"/>
      <c r="F8" s="1437"/>
      <c r="G8" s="1437"/>
      <c r="H8" s="1353"/>
      <c r="I8" s="1354"/>
      <c r="J8" s="1352"/>
      <c r="K8" s="1352"/>
      <c r="L8" s="1352"/>
      <c r="M8" s="1438"/>
      <c r="N8" s="1352"/>
      <c r="O8" s="1352"/>
      <c r="P8" s="1439"/>
      <c r="Q8" s="1352"/>
      <c r="R8" s="1352"/>
      <c r="S8" s="1352"/>
      <c r="T8" s="1352"/>
      <c r="U8" s="1352"/>
      <c r="V8" s="1335"/>
      <c r="W8" s="1335"/>
      <c r="X8" s="1335"/>
    </row>
    <row r="9" spans="1:39" s="1446" customFormat="1" ht="15.75">
      <c r="A9" s="1440" t="s">
        <v>678</v>
      </c>
      <c r="B9" s="1441" t="s">
        <v>657</v>
      </c>
      <c r="C9" s="1442">
        <f t="shared" ref="C9:M9" si="3">+C75</f>
        <v>43169.178</v>
      </c>
      <c r="D9" s="1442">
        <f t="shared" si="3"/>
        <v>49876.86</v>
      </c>
      <c r="E9" s="1442">
        <f t="shared" si="3"/>
        <v>59485.317999999999</v>
      </c>
      <c r="F9" s="1442">
        <f t="shared" si="3"/>
        <v>77409.600000000006</v>
      </c>
      <c r="G9" s="1442">
        <f t="shared" si="3"/>
        <v>95928.2</v>
      </c>
      <c r="H9" s="1443">
        <f t="shared" si="3"/>
        <v>90169.5</v>
      </c>
      <c r="I9" s="1444">
        <f t="shared" si="3"/>
        <v>88148.1</v>
      </c>
      <c r="J9" s="1444">
        <f>+J75</f>
        <v>118864.7</v>
      </c>
      <c r="K9" s="1443">
        <f t="shared" si="3"/>
        <v>163982.29999999999</v>
      </c>
      <c r="L9" s="1443">
        <f t="shared" si="3"/>
        <v>195289.8</v>
      </c>
      <c r="M9" s="1443">
        <f t="shared" si="3"/>
        <v>199972.5</v>
      </c>
      <c r="N9" s="1443">
        <f>+N75</f>
        <v>201495.1</v>
      </c>
      <c r="O9" s="1443">
        <f>+O75</f>
        <v>216120.1</v>
      </c>
      <c r="P9" s="1443">
        <f>234483.9+4348.1-12966.8</f>
        <v>225865.2</v>
      </c>
      <c r="Q9" s="1443">
        <f>226948.7+3931.6-13213.5</f>
        <v>217666.80000000002</v>
      </c>
      <c r="R9" s="1443">
        <f>+R75</f>
        <v>262363.62891264667</v>
      </c>
      <c r="S9" s="1443">
        <f t="shared" ref="S9:T9" si="4">+S75</f>
        <v>303817.245014577</v>
      </c>
      <c r="T9" s="1443">
        <f t="shared" si="4"/>
        <v>352252.66332878638</v>
      </c>
      <c r="U9" s="1445"/>
      <c r="V9" s="1445">
        <f>P9/O9-1</f>
        <v>4.509113219918004E-2</v>
      </c>
      <c r="W9" s="1445">
        <f>Q9/P9-1</f>
        <v>-3.6297756360873623E-2</v>
      </c>
      <c r="X9" s="1445">
        <f t="shared" ref="X9" si="5">R9/Q9-1</f>
        <v>0.20534518315446659</v>
      </c>
      <c r="Z9" s="1446">
        <f>+SUM(Quarterly!AQ14:AS14)</f>
        <v>168693.6</v>
      </c>
      <c r="AA9" s="1446">
        <f>+Z9/3</f>
        <v>56231.200000000004</v>
      </c>
      <c r="AB9" s="1446">
        <f>+Z9+AA9</f>
        <v>224924.80000000002</v>
      </c>
      <c r="AC9" s="1446">
        <f>+Q9-AB9</f>
        <v>-7258</v>
      </c>
      <c r="AM9" s="1447" t="s">
        <v>2588</v>
      </c>
    </row>
    <row r="10" spans="1:39" s="1453" customFormat="1" ht="15.75">
      <c r="A10" s="1448" t="s">
        <v>679</v>
      </c>
      <c r="B10" s="1449" t="s">
        <v>658</v>
      </c>
      <c r="C10" s="1450">
        <f t="shared" ref="C10:M10" si="6">+C84</f>
        <v>26883.081000000002</v>
      </c>
      <c r="D10" s="1450">
        <f t="shared" si="6"/>
        <v>31992.219000000001</v>
      </c>
      <c r="E10" s="1450">
        <f t="shared" si="6"/>
        <v>41020.847000000002</v>
      </c>
      <c r="F10" s="1450">
        <f t="shared" si="6"/>
        <v>53246.000000000007</v>
      </c>
      <c r="G10" s="1450">
        <f t="shared" si="6"/>
        <v>69010.099999999991</v>
      </c>
      <c r="H10" s="1451">
        <f t="shared" si="6"/>
        <v>66192.899999999994</v>
      </c>
      <c r="I10" s="1452">
        <f t="shared" si="6"/>
        <v>64615.7</v>
      </c>
      <c r="J10" s="1452">
        <f>+J84</f>
        <v>80704.400000000009</v>
      </c>
      <c r="K10" s="1451">
        <f>+K84</f>
        <v>117988.1</v>
      </c>
      <c r="L10" s="1451">
        <f t="shared" si="6"/>
        <v>141025.4</v>
      </c>
      <c r="M10" s="1451">
        <f t="shared" si="6"/>
        <v>144065.69999999998</v>
      </c>
      <c r="N10" s="1451">
        <f>+N84</f>
        <v>138766.70000000001</v>
      </c>
      <c r="O10" s="1451">
        <f>+O84</f>
        <v>148498</v>
      </c>
      <c r="P10" s="1451">
        <f>137170.1+12764+634.5</f>
        <v>150568.6</v>
      </c>
      <c r="Q10" s="1451">
        <f>132853.6+13824.7-436.8</f>
        <v>146241.50000000003</v>
      </c>
      <c r="R10" s="1451">
        <f>+R84</f>
        <v>178669.63128951236</v>
      </c>
      <c r="S10" s="1451">
        <f t="shared" ref="S10:T10" si="7">+S84</f>
        <v>207507.17834495608</v>
      </c>
      <c r="T10" s="1451">
        <f t="shared" si="7"/>
        <v>243406.59036019136</v>
      </c>
      <c r="U10" s="1451"/>
      <c r="V10" s="1451"/>
      <c r="W10" s="1451"/>
      <c r="X10" s="1451"/>
      <c r="AM10" s="1447" t="s">
        <v>2589</v>
      </c>
    </row>
    <row r="11" spans="1:39" s="1446" customFormat="1">
      <c r="A11" s="1440"/>
      <c r="B11" s="1443" t="s">
        <v>662</v>
      </c>
      <c r="C11" s="1442">
        <f t="shared" ref="C11:M11" si="8">+C9-C10</f>
        <v>16286.096999999998</v>
      </c>
      <c r="D11" s="1442">
        <f t="shared" si="8"/>
        <v>17884.641</v>
      </c>
      <c r="E11" s="1442">
        <f t="shared" si="8"/>
        <v>18464.470999999998</v>
      </c>
      <c r="F11" s="1442">
        <f t="shared" si="8"/>
        <v>24163.599999999999</v>
      </c>
      <c r="G11" s="1442">
        <f t="shared" si="8"/>
        <v>26918.100000000006</v>
      </c>
      <c r="H11" s="1443">
        <f t="shared" si="8"/>
        <v>23976.600000000006</v>
      </c>
      <c r="I11" s="1444">
        <f t="shared" si="8"/>
        <v>23532.400000000009</v>
      </c>
      <c r="J11" s="1444">
        <f>+J9-J10</f>
        <v>38160.299999999988</v>
      </c>
      <c r="K11" s="1443">
        <f t="shared" si="8"/>
        <v>45994.199999999983</v>
      </c>
      <c r="L11" s="1443">
        <f t="shared" si="8"/>
        <v>54264.399999999994</v>
      </c>
      <c r="M11" s="1443">
        <f t="shared" si="8"/>
        <v>55906.800000000017</v>
      </c>
      <c r="N11" s="1443">
        <f>+N9-N10</f>
        <v>62728.399999999994</v>
      </c>
      <c r="O11" s="1443">
        <f>+O9-O10</f>
        <v>67622.100000000006</v>
      </c>
      <c r="P11" s="1443">
        <f>+P9-P10</f>
        <v>75296.600000000006</v>
      </c>
      <c r="Q11" s="1443">
        <f>+Q9-Q10</f>
        <v>71425.299999999988</v>
      </c>
      <c r="R11" s="1443">
        <f>+R9-R10</f>
        <v>83693.997623134317</v>
      </c>
      <c r="S11" s="1443">
        <f t="shared" ref="S11:T11" si="9">+S9-S10</f>
        <v>96310.066669620923</v>
      </c>
      <c r="T11" s="1443">
        <f t="shared" si="9"/>
        <v>108846.07296859502</v>
      </c>
      <c r="U11" s="1445"/>
      <c r="V11" s="1445">
        <f>P11/O11-1</f>
        <v>0.11349100368074927</v>
      </c>
      <c r="W11" s="1445">
        <f>Q11/P11-1</f>
        <v>-5.1414008069421646E-2</v>
      </c>
      <c r="X11" s="1445">
        <f t="shared" ref="X11" si="10">R11/Q11-1</f>
        <v>0.17176963377310739</v>
      </c>
    </row>
    <row r="12" spans="1:39">
      <c r="A12" s="1336"/>
      <c r="B12" s="1335"/>
      <c r="C12" s="1454"/>
      <c r="D12" s="1454"/>
      <c r="E12" s="1454"/>
      <c r="F12" s="1454"/>
      <c r="G12" s="1454"/>
      <c r="H12" s="1335"/>
      <c r="I12" s="1358"/>
      <c r="J12" s="1335"/>
      <c r="K12" s="1335"/>
      <c r="L12" s="1335"/>
      <c r="M12" s="1335"/>
      <c r="N12" s="1335"/>
      <c r="O12" s="1335"/>
      <c r="P12" s="1335"/>
      <c r="Q12" s="1335"/>
      <c r="R12" s="1335"/>
      <c r="S12" s="1335"/>
      <c r="T12" s="1335"/>
      <c r="U12" s="1335"/>
      <c r="V12" s="1335"/>
      <c r="W12" s="1335"/>
      <c r="X12" s="1335"/>
    </row>
    <row r="13" spans="1:39" s="1457" customFormat="1" ht="12.75">
      <c r="A13" s="1368"/>
      <c r="B13" s="1369" t="s">
        <v>326</v>
      </c>
      <c r="C13" s="1455"/>
      <c r="D13" s="1456"/>
      <c r="E13" s="1455"/>
      <c r="F13" s="1455"/>
      <c r="G13" s="1455"/>
      <c r="H13" s="1369"/>
      <c r="I13" s="1370"/>
      <c r="J13" s="1369"/>
      <c r="K13" s="1369"/>
      <c r="L13" s="1369"/>
      <c r="M13" s="1369"/>
      <c r="N13" s="1369"/>
      <c r="O13" s="1369"/>
      <c r="P13" s="1369"/>
      <c r="Q13" s="1369"/>
      <c r="R13" s="1369"/>
      <c r="S13" s="1369"/>
      <c r="T13" s="1369"/>
      <c r="U13" s="1369"/>
      <c r="V13" s="1369"/>
      <c r="W13" s="1369"/>
      <c r="X13" s="1369"/>
    </row>
    <row r="14" spans="1:39" s="1453" customFormat="1" ht="15.75">
      <c r="A14" s="1448" t="s">
        <v>679</v>
      </c>
      <c r="B14" s="1451" t="s">
        <v>327</v>
      </c>
      <c r="C14" s="1450">
        <v>2838.404</v>
      </c>
      <c r="D14" s="1450">
        <v>2405.3560000000002</v>
      </c>
      <c r="E14" s="1450">
        <v>2490.636</v>
      </c>
      <c r="F14" s="1450">
        <v>2741.3</v>
      </c>
      <c r="G14" s="1450">
        <v>3015.2</v>
      </c>
      <c r="H14" s="1451">
        <v>3467.3</v>
      </c>
      <c r="I14" s="1452">
        <v>3600.9</v>
      </c>
      <c r="J14" s="1452">
        <v>3994.6</v>
      </c>
      <c r="K14" s="1458">
        <v>4767.8</v>
      </c>
      <c r="L14" s="1458">
        <v>5401.1</v>
      </c>
      <c r="M14" s="1452">
        <f t="shared" ref="M14:R14" si="11">M90</f>
        <v>6394.8</v>
      </c>
      <c r="N14" s="1452">
        <f t="shared" si="11"/>
        <v>7265.8</v>
      </c>
      <c r="O14" s="1452">
        <f t="shared" si="11"/>
        <v>8973</v>
      </c>
      <c r="P14" s="1452">
        <v>9171.2000000000007</v>
      </c>
      <c r="Q14" s="1452">
        <v>9970.7000000000007</v>
      </c>
      <c r="R14" s="1452">
        <f t="shared" si="11"/>
        <v>11566.012000000001</v>
      </c>
      <c r="S14" s="1452">
        <f t="shared" ref="S14:T14" si="12">S90</f>
        <v>13416.573919999999</v>
      </c>
      <c r="T14" s="1452">
        <f t="shared" si="12"/>
        <v>15563.225747199998</v>
      </c>
      <c r="U14" s="1459"/>
      <c r="V14" s="1459"/>
      <c r="W14" s="1451"/>
      <c r="X14" s="1451"/>
      <c r="AM14" s="1447" t="s">
        <v>2590</v>
      </c>
    </row>
    <row r="15" spans="1:39" s="1453" customFormat="1" ht="15.75">
      <c r="A15" s="1448" t="s">
        <v>679</v>
      </c>
      <c r="B15" s="1449" t="s">
        <v>328</v>
      </c>
      <c r="C15" s="1450">
        <f t="shared" ref="C15:M15" si="13">+C109</f>
        <v>5482.6039999999994</v>
      </c>
      <c r="D15" s="1450">
        <f t="shared" si="13"/>
        <v>6242.2129999999997</v>
      </c>
      <c r="E15" s="1450">
        <f t="shared" si="13"/>
        <v>6625.347999999999</v>
      </c>
      <c r="F15" s="1450">
        <f t="shared" si="13"/>
        <v>7128.9999999999991</v>
      </c>
      <c r="G15" s="1450">
        <f t="shared" si="13"/>
        <v>9009.0999999999985</v>
      </c>
      <c r="H15" s="1451">
        <f t="shared" si="13"/>
        <v>8214.6999999999989</v>
      </c>
      <c r="I15" s="1452">
        <f t="shared" si="13"/>
        <v>8688.4</v>
      </c>
      <c r="J15" s="1452">
        <f t="shared" si="13"/>
        <v>8585.1999999999989</v>
      </c>
      <c r="K15" s="1451">
        <f>+K109</f>
        <v>9484.2000000000007</v>
      </c>
      <c r="L15" s="1451">
        <f t="shared" si="13"/>
        <v>11663.4</v>
      </c>
      <c r="M15" s="1451">
        <f t="shared" si="13"/>
        <v>13131.5</v>
      </c>
      <c r="N15" s="1451">
        <f>+N109</f>
        <v>12999.300000000001</v>
      </c>
      <c r="O15" s="1451">
        <f>+O109</f>
        <v>16981.399999999998</v>
      </c>
      <c r="P15" s="1451">
        <f>18476.2-170.2</f>
        <v>18306</v>
      </c>
      <c r="Q15" s="1451">
        <f>17453.8-222.7</f>
        <v>17231.099999999999</v>
      </c>
      <c r="R15" s="1451">
        <f>+R109</f>
        <v>20150.634551069099</v>
      </c>
      <c r="S15" s="1451">
        <f t="shared" ref="S15:T15" si="14">+S109</f>
        <v>22433.260838155962</v>
      </c>
      <c r="T15" s="1451">
        <f t="shared" si="14"/>
        <v>26545.761133531742</v>
      </c>
      <c r="U15" s="1451"/>
      <c r="V15" s="1451"/>
      <c r="W15" s="1451"/>
      <c r="X15" s="1451"/>
      <c r="AM15" s="1447" t="s">
        <v>2591</v>
      </c>
    </row>
    <row r="16" spans="1:39" s="1453" customFormat="1" hidden="1">
      <c r="A16" s="1448" t="s">
        <v>679</v>
      </c>
      <c r="B16" s="1451" t="s">
        <v>329</v>
      </c>
      <c r="C16" s="1450"/>
      <c r="D16" s="1450"/>
      <c r="E16" s="1450"/>
      <c r="F16" s="1450"/>
      <c r="G16" s="1450"/>
      <c r="H16" s="1451"/>
      <c r="I16" s="1452"/>
      <c r="J16" s="1451"/>
      <c r="K16" s="1451"/>
      <c r="L16" s="1451"/>
      <c r="M16" s="1451"/>
      <c r="N16" s="1451"/>
      <c r="O16" s="1451"/>
      <c r="P16" s="1451"/>
      <c r="Q16" s="1451"/>
      <c r="R16" s="1451"/>
      <c r="S16" s="1451"/>
      <c r="T16" s="1451"/>
      <c r="U16" s="1451"/>
      <c r="V16" s="1451"/>
      <c r="W16" s="1451"/>
      <c r="X16" s="1451"/>
    </row>
    <row r="17" spans="1:39" s="1453" customFormat="1" hidden="1">
      <c r="A17" s="1448" t="s">
        <v>679</v>
      </c>
      <c r="B17" s="1451" t="s">
        <v>330</v>
      </c>
      <c r="C17" s="1450"/>
      <c r="D17" s="1450"/>
      <c r="E17" s="1450"/>
      <c r="F17" s="1450"/>
      <c r="G17" s="1450"/>
      <c r="H17" s="1451"/>
      <c r="I17" s="1452"/>
      <c r="J17" s="1451"/>
      <c r="K17" s="1451"/>
      <c r="L17" s="1451"/>
      <c r="M17" s="1451"/>
      <c r="N17" s="1451"/>
      <c r="O17" s="1451"/>
      <c r="P17" s="1451"/>
      <c r="Q17" s="1451"/>
      <c r="R17" s="1451"/>
      <c r="S17" s="1451"/>
      <c r="T17" s="1451"/>
      <c r="U17" s="1451"/>
      <c r="V17" s="1451"/>
      <c r="W17" s="1451"/>
      <c r="X17" s="1451"/>
      <c r="AB17" s="1460"/>
    </row>
    <row r="18" spans="1:39" s="1453" customFormat="1" hidden="1">
      <c r="A18" s="1448" t="s">
        <v>679</v>
      </c>
      <c r="B18" s="1451" t="s">
        <v>331</v>
      </c>
      <c r="C18" s="1450"/>
      <c r="D18" s="1450"/>
      <c r="E18" s="1450"/>
      <c r="F18" s="1450"/>
      <c r="G18" s="1450"/>
      <c r="H18" s="1451"/>
      <c r="I18" s="1452"/>
      <c r="J18" s="1451"/>
      <c r="K18" s="1451"/>
      <c r="L18" s="1451"/>
      <c r="M18" s="1451"/>
      <c r="N18" s="1451"/>
      <c r="O18" s="1451"/>
      <c r="P18" s="1451"/>
      <c r="Q18" s="1451"/>
      <c r="R18" s="1451"/>
      <c r="S18" s="1451"/>
      <c r="T18" s="1451"/>
      <c r="U18" s="1451"/>
      <c r="V18" s="1451"/>
      <c r="W18" s="1451"/>
      <c r="X18" s="1451"/>
      <c r="AB18" s="1460"/>
    </row>
    <row r="19" spans="1:39" s="1453" customFormat="1" hidden="1">
      <c r="A19" s="1448" t="s">
        <v>679</v>
      </c>
      <c r="B19" s="1451" t="s">
        <v>332</v>
      </c>
      <c r="C19" s="1450"/>
      <c r="D19" s="1450"/>
      <c r="E19" s="1450"/>
      <c r="F19" s="1450"/>
      <c r="G19" s="1450"/>
      <c r="H19" s="1451"/>
      <c r="I19" s="1452"/>
      <c r="J19" s="1451"/>
      <c r="K19" s="1451"/>
      <c r="L19" s="1451"/>
      <c r="M19" s="1451"/>
      <c r="N19" s="1451"/>
      <c r="O19" s="1451"/>
      <c r="P19" s="1451"/>
      <c r="Q19" s="1451"/>
      <c r="R19" s="1451"/>
      <c r="S19" s="1451"/>
      <c r="T19" s="1451"/>
      <c r="U19" s="1451"/>
      <c r="V19" s="1451"/>
      <c r="W19" s="1451"/>
      <c r="X19" s="1451"/>
      <c r="AB19" s="1460"/>
    </row>
    <row r="20" spans="1:39" s="1453" customFormat="1" hidden="1">
      <c r="A20" s="1448" t="s">
        <v>679</v>
      </c>
      <c r="B20" s="1451" t="s">
        <v>333</v>
      </c>
      <c r="C20" s="1450"/>
      <c r="D20" s="1450"/>
      <c r="E20" s="1450"/>
      <c r="F20" s="1450"/>
      <c r="G20" s="1450"/>
      <c r="H20" s="1451"/>
      <c r="I20" s="1452"/>
      <c r="J20" s="1451"/>
      <c r="K20" s="1451"/>
      <c r="L20" s="1451"/>
      <c r="M20" s="1451"/>
      <c r="N20" s="1451"/>
      <c r="O20" s="1451"/>
      <c r="P20" s="1451"/>
      <c r="Q20" s="1451"/>
      <c r="R20" s="1451"/>
      <c r="S20" s="1451"/>
      <c r="T20" s="1451"/>
      <c r="U20" s="1451"/>
      <c r="V20" s="1451"/>
      <c r="W20" s="1451"/>
      <c r="X20" s="1451"/>
    </row>
    <row r="21" spans="1:39" s="1446" customFormat="1">
      <c r="A21" s="1440"/>
      <c r="B21" s="1443" t="s">
        <v>659</v>
      </c>
      <c r="C21" s="1442">
        <f t="shared" ref="C21:M21" si="15">+C11-SUM(C14:C20)</f>
        <v>7965.0889999999981</v>
      </c>
      <c r="D21" s="1442">
        <f t="shared" si="15"/>
        <v>9237.0720000000001</v>
      </c>
      <c r="E21" s="1442">
        <f t="shared" si="15"/>
        <v>9348.4869999999992</v>
      </c>
      <c r="F21" s="1442">
        <f t="shared" si="15"/>
        <v>14293.3</v>
      </c>
      <c r="G21" s="1442">
        <f t="shared" si="15"/>
        <v>14893.800000000007</v>
      </c>
      <c r="H21" s="1443">
        <f t="shared" si="15"/>
        <v>12294.600000000006</v>
      </c>
      <c r="I21" s="1444">
        <f t="shared" si="15"/>
        <v>11243.100000000009</v>
      </c>
      <c r="J21" s="1444">
        <f t="shared" si="15"/>
        <v>25580.499999999989</v>
      </c>
      <c r="K21" s="1443">
        <f t="shared" si="15"/>
        <v>31742.199999999983</v>
      </c>
      <c r="L21" s="1443">
        <f t="shared" si="15"/>
        <v>37199.899999999994</v>
      </c>
      <c r="M21" s="1443">
        <f t="shared" si="15"/>
        <v>36380.500000000015</v>
      </c>
      <c r="N21" s="1443">
        <f>+N11-SUM(N14:N20)</f>
        <v>42463.299999999988</v>
      </c>
      <c r="O21" s="1443">
        <f>+O11-SUM(O14:O20)</f>
        <v>41667.700000000012</v>
      </c>
      <c r="P21" s="1443">
        <f>+P11-SUM(P14:P20)</f>
        <v>47819.400000000009</v>
      </c>
      <c r="Q21" s="1443">
        <f>+Q11-SUM(Q14:Q20)</f>
        <v>44223.499999999985</v>
      </c>
      <c r="R21" s="1443">
        <f>+R11-SUM(R14:R20)</f>
        <v>51977.351072065219</v>
      </c>
      <c r="S21" s="1443">
        <f t="shared" ref="S21:T21" si="16">+S11-SUM(S14:S20)</f>
        <v>60460.231911464958</v>
      </c>
      <c r="T21" s="1443">
        <f t="shared" si="16"/>
        <v>66737.086087863281</v>
      </c>
      <c r="U21" s="1445"/>
      <c r="V21" s="1445">
        <f>P21/O21-1</f>
        <v>0.14763713859896255</v>
      </c>
      <c r="W21" s="1445">
        <f>Q21/P21-1</f>
        <v>-7.5197513979682329E-2</v>
      </c>
      <c r="X21" s="1445">
        <f t="shared" ref="X21" si="17">R21/Q21-1</f>
        <v>0.17533327466313686</v>
      </c>
      <c r="Z21" s="1446">
        <f>+SUM(Quarterly!AQ36:AS36)</f>
        <v>35163.700000000012</v>
      </c>
      <c r="AA21" s="1446">
        <f>+Z21/3</f>
        <v>11721.233333333337</v>
      </c>
      <c r="AB21" s="1446">
        <f>+Z21+AA21</f>
        <v>46884.933333333349</v>
      </c>
      <c r="AC21" s="1446">
        <f>+Q21-AB21</f>
        <v>-2661.4333333333634</v>
      </c>
    </row>
    <row r="22" spans="1:39">
      <c r="A22" s="1336"/>
      <c r="B22" s="1335"/>
      <c r="C22" s="1454"/>
      <c r="D22" s="1454"/>
      <c r="E22" s="1454"/>
      <c r="F22" s="1454"/>
      <c r="G22" s="1454"/>
      <c r="H22" s="1461"/>
      <c r="I22" s="1462">
        <f>I21/I9</f>
        <v>0.12754784277823356</v>
      </c>
      <c r="J22" s="1462">
        <f>J21/J9</f>
        <v>0.21520686965936892</v>
      </c>
      <c r="K22" s="1462">
        <f t="shared" ref="K22:Q22" si="18">K21/K9</f>
        <v>0.19357089149255732</v>
      </c>
      <c r="L22" s="1462">
        <f t="shared" si="18"/>
        <v>0.19048562700151261</v>
      </c>
      <c r="M22" s="1462">
        <f t="shared" si="18"/>
        <v>0.18192751503331717</v>
      </c>
      <c r="N22" s="1462">
        <f t="shared" si="18"/>
        <v>0.21074110487054021</v>
      </c>
      <c r="O22" s="1462">
        <f t="shared" si="18"/>
        <v>0.19279881880491453</v>
      </c>
      <c r="P22" s="1462">
        <f t="shared" si="18"/>
        <v>0.21171654597521003</v>
      </c>
      <c r="Q22" s="1462">
        <f t="shared" si="18"/>
        <v>0.2031706259291724</v>
      </c>
      <c r="R22" s="1462">
        <f>R21/R9</f>
        <v>0.19811187734932173</v>
      </c>
      <c r="S22" s="1462">
        <f t="shared" ref="S22:T22" si="19">S21/S9</f>
        <v>0.19900197537688852</v>
      </c>
      <c r="T22" s="1462">
        <f t="shared" si="19"/>
        <v>0.18945800283579992</v>
      </c>
      <c r="U22" s="1335"/>
      <c r="V22" s="1335"/>
      <c r="W22" s="1335"/>
      <c r="X22" s="1335"/>
      <c r="Y22" s="1463"/>
      <c r="Z22" s="1462">
        <f t="shared" ref="Z22:AB22" si="20">Z21/Z9</f>
        <v>0.20844714915088663</v>
      </c>
      <c r="AA22" s="1462">
        <f t="shared" si="20"/>
        <v>0.20844714915088663</v>
      </c>
      <c r="AB22" s="1462">
        <f t="shared" si="20"/>
        <v>0.20844714915088663</v>
      </c>
    </row>
    <row r="23" spans="1:39" s="1453" customFormat="1" ht="15.75">
      <c r="A23" s="1448" t="s">
        <v>679</v>
      </c>
      <c r="B23" s="1451" t="s">
        <v>660</v>
      </c>
      <c r="C23" s="1450">
        <v>1711.5650000000001</v>
      </c>
      <c r="D23" s="1450">
        <v>1798.9459999999999</v>
      </c>
      <c r="E23" s="1450">
        <v>1853.663</v>
      </c>
      <c r="F23" s="1450">
        <v>1910</v>
      </c>
      <c r="G23" s="1450">
        <v>1902.6</v>
      </c>
      <c r="H23" s="1451">
        <v>1746.1</v>
      </c>
      <c r="I23" s="1452">
        <v>1306.2</v>
      </c>
      <c r="J23" s="1452">
        <v>1364.5</v>
      </c>
      <c r="K23" s="1452">
        <v>1228.4000000000001</v>
      </c>
      <c r="L23" s="1452">
        <f t="shared" ref="L23:O23" si="21">L159</f>
        <v>1456.2</v>
      </c>
      <c r="M23" s="1452">
        <f t="shared" si="21"/>
        <v>1667.7</v>
      </c>
      <c r="N23" s="1452">
        <f t="shared" si="21"/>
        <v>1796.1</v>
      </c>
      <c r="O23" s="1452">
        <f t="shared" si="21"/>
        <v>2674</v>
      </c>
      <c r="P23" s="1452">
        <v>3071.6</v>
      </c>
      <c r="Q23" s="1452">
        <v>3072.9</v>
      </c>
      <c r="R23" s="1452">
        <f>R159</f>
        <v>3374.2725000000005</v>
      </c>
      <c r="S23" s="1452">
        <f t="shared" ref="S23:T23" si="22">S159</f>
        <v>3650.2725000000005</v>
      </c>
      <c r="T23" s="1452">
        <f t="shared" si="22"/>
        <v>3983.1750000000002</v>
      </c>
      <c r="U23" s="1451"/>
      <c r="V23" s="1451"/>
      <c r="W23" s="1451"/>
      <c r="X23" s="1451"/>
      <c r="Z23" s="1446">
        <f>+SUM(Quarterly!AQ41:AS41)</f>
        <v>2315.9</v>
      </c>
      <c r="AA23" s="1446">
        <f>+Z23/3</f>
        <v>771.9666666666667</v>
      </c>
      <c r="AB23" s="1446">
        <f>+Z23+AA23</f>
        <v>3087.8666666666668</v>
      </c>
      <c r="AC23" s="1446">
        <f>+Q23-AB23</f>
        <v>-14.966666666666697</v>
      </c>
      <c r="AM23" s="1447" t="s">
        <v>2592</v>
      </c>
    </row>
    <row r="24" spans="1:39" s="1453" customFormat="1">
      <c r="A24" s="1448" t="s">
        <v>679</v>
      </c>
      <c r="B24" s="1451" t="s">
        <v>661</v>
      </c>
      <c r="C24" s="1450"/>
      <c r="D24" s="1450"/>
      <c r="E24" s="1450"/>
      <c r="F24" s="1450"/>
      <c r="G24" s="1450"/>
      <c r="H24" s="1451"/>
      <c r="I24" s="1452"/>
      <c r="J24" s="1451"/>
      <c r="K24" s="1451"/>
      <c r="L24" s="1451"/>
      <c r="M24" s="1451"/>
      <c r="N24" s="1451"/>
      <c r="O24" s="1451"/>
      <c r="P24" s="1451"/>
      <c r="Q24" s="1451"/>
      <c r="R24" s="1451"/>
      <c r="S24" s="1451"/>
      <c r="T24" s="1451"/>
      <c r="U24" s="1451"/>
      <c r="V24" s="1451"/>
      <c r="W24" s="1451"/>
      <c r="X24" s="1451"/>
    </row>
    <row r="25" spans="1:39" s="1446" customFormat="1">
      <c r="A25" s="1440"/>
      <c r="B25" s="1443" t="s">
        <v>663</v>
      </c>
      <c r="C25" s="1442">
        <f t="shared" ref="C25:M25" si="23">+C21-C23-C24</f>
        <v>6253.5239999999976</v>
      </c>
      <c r="D25" s="1442">
        <f t="shared" si="23"/>
        <v>7438.1260000000002</v>
      </c>
      <c r="E25" s="1442">
        <f t="shared" si="23"/>
        <v>7494.8239999999987</v>
      </c>
      <c r="F25" s="1442">
        <f t="shared" si="23"/>
        <v>12383.3</v>
      </c>
      <c r="G25" s="1442">
        <f t="shared" si="23"/>
        <v>12991.200000000006</v>
      </c>
      <c r="H25" s="1443">
        <f t="shared" si="23"/>
        <v>10548.500000000005</v>
      </c>
      <c r="I25" s="1444">
        <f t="shared" si="23"/>
        <v>9936.9000000000087</v>
      </c>
      <c r="J25" s="1443">
        <f t="shared" si="23"/>
        <v>24215.999999999989</v>
      </c>
      <c r="K25" s="1443">
        <f t="shared" si="23"/>
        <v>30513.799999999981</v>
      </c>
      <c r="L25" s="1443">
        <f t="shared" si="23"/>
        <v>35743.699999999997</v>
      </c>
      <c r="M25" s="1443">
        <f t="shared" si="23"/>
        <v>34712.800000000017</v>
      </c>
      <c r="N25" s="1443">
        <f>+N21-N23-N24</f>
        <v>40667.19999999999</v>
      </c>
      <c r="O25" s="1443">
        <f>+O21-O23-O24</f>
        <v>38993.700000000012</v>
      </c>
      <c r="P25" s="1443">
        <f>+P21-P23-P24</f>
        <v>44747.80000000001</v>
      </c>
      <c r="Q25" s="1443">
        <f>+Q21-Q23-Q24</f>
        <v>41150.599999999984</v>
      </c>
      <c r="R25" s="1443">
        <f>+R21-R23-R24</f>
        <v>48603.07857206522</v>
      </c>
      <c r="S25" s="1443">
        <f t="shared" ref="S25:T25" si="24">+S21-S23-S24</f>
        <v>56809.959411464959</v>
      </c>
      <c r="T25" s="1443">
        <f t="shared" si="24"/>
        <v>62753.911087863278</v>
      </c>
      <c r="U25" s="1443"/>
      <c r="V25" s="1443"/>
      <c r="W25" s="1443"/>
      <c r="X25" s="1443"/>
    </row>
    <row r="26" spans="1:39">
      <c r="A26" s="1336"/>
      <c r="B26" s="1335"/>
      <c r="C26" s="1454"/>
      <c r="D26" s="1454"/>
      <c r="E26" s="1454"/>
      <c r="F26" s="1454"/>
      <c r="G26" s="1454"/>
      <c r="H26" s="1335"/>
      <c r="I26" s="1358"/>
      <c r="J26" s="1335"/>
      <c r="K26" s="1335"/>
      <c r="L26" s="1335"/>
      <c r="M26" s="1335"/>
      <c r="N26" s="1335"/>
      <c r="O26" s="1335"/>
      <c r="P26" s="1335"/>
      <c r="Q26" s="1335"/>
      <c r="R26" s="1335"/>
      <c r="S26" s="1335"/>
      <c r="T26" s="1335"/>
      <c r="U26" s="1335"/>
      <c r="V26" s="1335"/>
      <c r="W26" s="1335"/>
      <c r="X26" s="1335"/>
    </row>
    <row r="27" spans="1:39" s="1453" customFormat="1" ht="15.75">
      <c r="A27" s="1448" t="s">
        <v>679</v>
      </c>
      <c r="B27" s="1449" t="s">
        <v>664</v>
      </c>
      <c r="C27" s="1450">
        <f t="shared" ref="C27:O27" si="25">+C131</f>
        <v>11.177</v>
      </c>
      <c r="D27" s="1450">
        <f t="shared" si="25"/>
        <v>9.3509999999999991</v>
      </c>
      <c r="E27" s="1450">
        <f t="shared" si="25"/>
        <v>6.681</v>
      </c>
      <c r="F27" s="1450">
        <f t="shared" si="25"/>
        <v>3.4000000000000004</v>
      </c>
      <c r="G27" s="1450">
        <f t="shared" si="25"/>
        <v>53.400000000000006</v>
      </c>
      <c r="H27" s="1451">
        <f t="shared" si="25"/>
        <v>51.6</v>
      </c>
      <c r="I27" s="1451">
        <f t="shared" si="25"/>
        <v>218.9</v>
      </c>
      <c r="J27" s="1451">
        <f>+J131</f>
        <v>59.8</v>
      </c>
      <c r="K27" s="1451">
        <f t="shared" si="25"/>
        <v>16.899999999999999</v>
      </c>
      <c r="L27" s="1451">
        <f>+L131</f>
        <v>222.4</v>
      </c>
      <c r="M27" s="1451">
        <f t="shared" si="25"/>
        <v>5.4</v>
      </c>
      <c r="N27" s="1451">
        <f t="shared" si="25"/>
        <v>5.4</v>
      </c>
      <c r="O27" s="1451">
        <f t="shared" si="25"/>
        <v>64.900000000000006</v>
      </c>
      <c r="P27" s="1451">
        <v>10.5</v>
      </c>
      <c r="Q27" s="1451">
        <v>14</v>
      </c>
      <c r="R27" s="1451">
        <f>+R131</f>
        <v>10</v>
      </c>
      <c r="S27" s="1451">
        <f t="shared" ref="S27:T27" si="26">+S131</f>
        <v>10</v>
      </c>
      <c r="T27" s="1451">
        <f t="shared" si="26"/>
        <v>10</v>
      </c>
      <c r="U27" s="1451"/>
      <c r="V27" s="1451"/>
      <c r="W27" s="1451"/>
      <c r="X27" s="1451"/>
      <c r="AM27" s="1447" t="s">
        <v>2593</v>
      </c>
    </row>
    <row r="28" spans="1:39" s="1453" customFormat="1" ht="15.75">
      <c r="A28" s="1448" t="s">
        <v>678</v>
      </c>
      <c r="B28" s="1449" t="s">
        <v>665</v>
      </c>
      <c r="C28" s="1450">
        <f t="shared" ref="C28:K28" si="27">+C143</f>
        <v>1643.8540000000003</v>
      </c>
      <c r="D28" s="1450">
        <f t="shared" si="27"/>
        <v>2825.8409999999999</v>
      </c>
      <c r="E28" s="1450">
        <f t="shared" si="27"/>
        <v>3866.4719999999998</v>
      </c>
      <c r="F28" s="1450">
        <f t="shared" si="27"/>
        <v>3653.8</v>
      </c>
      <c r="G28" s="1450">
        <f t="shared" si="27"/>
        <v>4831.8999999999996</v>
      </c>
      <c r="H28" s="1451">
        <f t="shared" si="27"/>
        <v>1470.4999999999998</v>
      </c>
      <c r="I28" s="1451">
        <f t="shared" si="27"/>
        <v>1219</v>
      </c>
      <c r="J28" s="1451">
        <f>+J143</f>
        <v>1570.1</v>
      </c>
      <c r="K28" s="1451">
        <f t="shared" si="27"/>
        <v>5765.0999999999995</v>
      </c>
      <c r="L28" s="1451">
        <f t="shared" ref="L28:O28" si="28">+L143</f>
        <v>4740.4000000000005</v>
      </c>
      <c r="M28" s="1451">
        <f t="shared" si="28"/>
        <v>5472</v>
      </c>
      <c r="N28" s="1451">
        <f t="shared" si="28"/>
        <v>6118.2000000000007</v>
      </c>
      <c r="O28" s="1451">
        <f t="shared" si="28"/>
        <v>5727.7999999999993</v>
      </c>
      <c r="P28" s="1451">
        <v>10735.9</v>
      </c>
      <c r="Q28" s="1451">
        <v>12219.7</v>
      </c>
      <c r="R28" s="1451">
        <f>+R143</f>
        <v>13359.569299999997</v>
      </c>
      <c r="S28" s="1451">
        <f t="shared" ref="S28:T28" si="29">+S143</f>
        <v>14956.331029999998</v>
      </c>
      <c r="T28" s="1451">
        <f t="shared" si="29"/>
        <v>14193.774933000001</v>
      </c>
      <c r="U28" s="1445"/>
      <c r="V28" s="1445">
        <f>P28/O28-1</f>
        <v>0.87434966304689432</v>
      </c>
      <c r="W28" s="1445">
        <f>Q28/P28-1</f>
        <v>0.1382091860021053</v>
      </c>
      <c r="X28" s="1445">
        <f t="shared" ref="X28" si="30">R28/Q28-1</f>
        <v>9.3281283501231327E-2</v>
      </c>
      <c r="Z28" s="1446">
        <f>+SUM(Quarterly!AQ51:AS51)</f>
        <v>9283.6999999999989</v>
      </c>
      <c r="AA28" s="1446">
        <f>+Z28/3</f>
        <v>3094.5666666666662</v>
      </c>
      <c r="AB28" s="1446">
        <f>+Z28+AA28</f>
        <v>12378.266666666665</v>
      </c>
      <c r="AC28" s="1446">
        <f>+Q28-AB28</f>
        <v>-158.56666666666388</v>
      </c>
      <c r="AM28" s="1447" t="s">
        <v>2594</v>
      </c>
    </row>
    <row r="29" spans="1:39" s="1453" customFormat="1">
      <c r="A29" s="1448" t="s">
        <v>678</v>
      </c>
      <c r="B29" s="1449" t="s">
        <v>666</v>
      </c>
      <c r="C29" s="1450">
        <f t="shared" ref="C29:M29" si="31">+C151</f>
        <v>0</v>
      </c>
      <c r="D29" s="1450">
        <f t="shared" si="31"/>
        <v>-650.32600000000002</v>
      </c>
      <c r="E29" s="1450">
        <f t="shared" si="31"/>
        <v>-490.22199999999998</v>
      </c>
      <c r="F29" s="1450">
        <f t="shared" si="31"/>
        <v>-226.4</v>
      </c>
      <c r="G29" s="1450">
        <f t="shared" si="31"/>
        <v>-489.6</v>
      </c>
      <c r="H29" s="1451">
        <f t="shared" si="31"/>
        <v>-1023.6</v>
      </c>
      <c r="I29" s="1452">
        <f t="shared" si="31"/>
        <v>-2051</v>
      </c>
      <c r="J29" s="1452">
        <f>+J151</f>
        <v>-1615</v>
      </c>
      <c r="K29" s="1452">
        <f t="shared" si="31"/>
        <v>7245.5</v>
      </c>
      <c r="L29" s="1451">
        <f t="shared" si="31"/>
        <v>0</v>
      </c>
      <c r="M29" s="1451">
        <f t="shared" si="31"/>
        <v>0</v>
      </c>
      <c r="N29" s="1451">
        <f>+N151</f>
        <v>0</v>
      </c>
      <c r="O29" s="1451">
        <f>-3402.9</f>
        <v>-3402.9</v>
      </c>
      <c r="P29" s="1451">
        <f>+P151</f>
        <v>0</v>
      </c>
      <c r="Q29" s="1451">
        <f>+Q151</f>
        <v>0</v>
      </c>
      <c r="R29" s="1451">
        <f>+R151</f>
        <v>0</v>
      </c>
      <c r="S29" s="1451">
        <f t="shared" ref="S29:T29" si="32">+S151</f>
        <v>0</v>
      </c>
      <c r="T29" s="1451">
        <f t="shared" si="32"/>
        <v>0</v>
      </c>
      <c r="U29" s="1451"/>
      <c r="V29" s="1451"/>
      <c r="W29" s="1451"/>
      <c r="X29" s="1451"/>
    </row>
    <row r="30" spans="1:39" s="1446" customFormat="1">
      <c r="A30" s="1440"/>
      <c r="B30" s="1443" t="s">
        <v>667</v>
      </c>
      <c r="C30" s="1442">
        <f t="shared" ref="C30:M30" si="33">+C25-C27+C28+C29</f>
        <v>7886.2009999999982</v>
      </c>
      <c r="D30" s="1442">
        <f t="shared" si="33"/>
        <v>9604.2900000000009</v>
      </c>
      <c r="E30" s="1442">
        <f t="shared" si="33"/>
        <v>10864.392999999998</v>
      </c>
      <c r="F30" s="1442">
        <f t="shared" si="33"/>
        <v>15807.300000000001</v>
      </c>
      <c r="G30" s="1442">
        <f t="shared" si="33"/>
        <v>17280.100000000006</v>
      </c>
      <c r="H30" s="1443">
        <f t="shared" si="33"/>
        <v>10943.800000000005</v>
      </c>
      <c r="I30" s="1444">
        <f t="shared" si="33"/>
        <v>8886.0000000000091</v>
      </c>
      <c r="J30" s="1443">
        <f t="shared" si="33"/>
        <v>24111.299999999988</v>
      </c>
      <c r="K30" s="1443">
        <f t="shared" si="33"/>
        <v>43507.499999999978</v>
      </c>
      <c r="L30" s="1443">
        <f t="shared" si="33"/>
        <v>40261.699999999997</v>
      </c>
      <c r="M30" s="1443">
        <f t="shared" si="33"/>
        <v>40179.400000000016</v>
      </c>
      <c r="N30" s="1443">
        <f>+N25-N27+N28+N29</f>
        <v>46779.999999999985</v>
      </c>
      <c r="O30" s="1443">
        <f>+O25-O27+O28+O29</f>
        <v>41253.700000000004</v>
      </c>
      <c r="P30" s="1464">
        <f>+P25-P27+P28+P29</f>
        <v>55473.200000000012</v>
      </c>
      <c r="Q30" s="1464">
        <f>+Q25-Q27+Q28+Q29</f>
        <v>53356.299999999988</v>
      </c>
      <c r="R30" s="1443">
        <f>+R25-R27+R28+R29</f>
        <v>61952.647872065216</v>
      </c>
      <c r="S30" s="1443">
        <f t="shared" ref="S30:T30" si="34">+S25-S27+S28+S29</f>
        <v>71756.290441464953</v>
      </c>
      <c r="T30" s="1443">
        <f t="shared" si="34"/>
        <v>76937.686020863272</v>
      </c>
      <c r="U30" s="1445"/>
      <c r="V30" s="1445">
        <f>P30/O30-1</f>
        <v>0.34468423438382501</v>
      </c>
      <c r="W30" s="1445">
        <f>Q30/P30-1</f>
        <v>-3.8160769524743898E-2</v>
      </c>
      <c r="X30" s="1445">
        <f t="shared" ref="X30" si="35">R30/Q30-1</f>
        <v>0.16111214368434901</v>
      </c>
      <c r="Z30" s="1446">
        <f>+SUM(Quarterly!AQ55:AS55)</f>
        <v>42119.900000000009</v>
      </c>
      <c r="AA30" s="1446">
        <f>+Z30/3</f>
        <v>14039.966666666669</v>
      </c>
      <c r="AB30" s="1446">
        <f>+Z30+AA30</f>
        <v>56159.866666666676</v>
      </c>
      <c r="AC30" s="1446">
        <f>+Q30-AB30</f>
        <v>-2803.5666666666875</v>
      </c>
    </row>
    <row r="31" spans="1:39">
      <c r="A31" s="1336"/>
      <c r="B31" s="1335"/>
      <c r="C31" s="1454"/>
      <c r="D31" s="1454"/>
      <c r="E31" s="1454"/>
      <c r="F31" s="1454"/>
      <c r="G31" s="1454"/>
      <c r="H31" s="1335"/>
      <c r="I31" s="1358"/>
      <c r="J31" s="1335"/>
      <c r="K31" s="1335"/>
      <c r="L31" s="1335"/>
      <c r="M31" s="1335"/>
      <c r="N31" s="1335"/>
      <c r="O31" s="1335"/>
      <c r="P31" s="1335"/>
      <c r="Q31" s="1335"/>
      <c r="R31" s="1335"/>
      <c r="S31" s="1335"/>
      <c r="T31" s="1335"/>
      <c r="U31" s="1335"/>
      <c r="V31" s="1335"/>
      <c r="W31" s="1335"/>
      <c r="X31" s="1335"/>
      <c r="Z31" s="1446"/>
      <c r="AA31" s="1446"/>
      <c r="AB31" s="1446"/>
      <c r="AC31" s="1446"/>
    </row>
    <row r="32" spans="1:39" s="1453" customFormat="1" ht="15.75">
      <c r="A32" s="1448" t="s">
        <v>679</v>
      </c>
      <c r="B32" s="1465" t="s">
        <v>675</v>
      </c>
      <c r="C32" s="1450">
        <f>+C173</f>
        <v>2501.9749999999999</v>
      </c>
      <c r="D32" s="1450">
        <f t="shared" ref="D32:M32" si="36">+D173</f>
        <v>2289.1289999999999</v>
      </c>
      <c r="E32" s="1450">
        <f t="shared" si="36"/>
        <v>3196.3009999999999</v>
      </c>
      <c r="F32" s="1450">
        <f t="shared" si="36"/>
        <v>4791.1000000000004</v>
      </c>
      <c r="G32" s="1450">
        <f t="shared" si="36"/>
        <v>4900.8999999999996</v>
      </c>
      <c r="H32" s="1451">
        <f t="shared" si="36"/>
        <v>3684.2</v>
      </c>
      <c r="I32" s="1452">
        <f t="shared" si="36"/>
        <v>2888.8</v>
      </c>
      <c r="J32" s="1451">
        <f>+J173</f>
        <v>7075</v>
      </c>
      <c r="K32" s="1451">
        <f>+K173</f>
        <v>10110.200000000001</v>
      </c>
      <c r="L32" s="1451">
        <f t="shared" si="36"/>
        <v>10221.199999999999</v>
      </c>
      <c r="M32" s="1451">
        <f t="shared" si="36"/>
        <v>12226.6</v>
      </c>
      <c r="N32" s="1451">
        <f>+N173</f>
        <v>13901</v>
      </c>
      <c r="O32" s="1451">
        <f>+O173</f>
        <v>12710.5</v>
      </c>
      <c r="P32" s="1451">
        <f>16414.2-237.7</f>
        <v>16176.5</v>
      </c>
      <c r="Q32" s="1451">
        <f>14576.6+504.1</f>
        <v>15080.7</v>
      </c>
      <c r="R32" s="1451">
        <f>+R173</f>
        <v>17966.267882898912</v>
      </c>
      <c r="S32" s="1451">
        <f t="shared" ref="S32:T32" si="37">+S173</f>
        <v>20809.324228024834</v>
      </c>
      <c r="T32" s="1451">
        <f t="shared" si="37"/>
        <v>22311.928946050346</v>
      </c>
      <c r="U32" s="1451"/>
      <c r="V32" s="1451"/>
      <c r="W32" s="1451"/>
      <c r="X32" s="1451"/>
      <c r="AM32" s="1447" t="s">
        <v>2595</v>
      </c>
    </row>
    <row r="33" spans="1:39" s="1453" customFormat="1">
      <c r="A33" s="1448" t="s">
        <v>678</v>
      </c>
      <c r="B33" s="1451" t="s">
        <v>676</v>
      </c>
      <c r="C33" s="1450"/>
      <c r="D33" s="1450">
        <f>(98.519-29.7)</f>
        <v>68.819000000000003</v>
      </c>
      <c r="E33" s="1450">
        <v>-18.472000000000001</v>
      </c>
      <c r="F33" s="1450"/>
      <c r="G33" s="1450"/>
      <c r="H33" s="1451"/>
      <c r="I33" s="1452"/>
      <c r="J33" s="1451"/>
      <c r="K33" s="1451"/>
      <c r="L33" s="1451"/>
      <c r="M33" s="1451">
        <f>1319.2+474.2+689.5</f>
        <v>2482.9</v>
      </c>
      <c r="N33" s="1451">
        <f>-(768.1-13.7+637.8)+148.5+797.4</f>
        <v>-446.29999999999984</v>
      </c>
      <c r="O33" s="1451">
        <f>-502.2+96.4</f>
        <v>-405.79999999999995</v>
      </c>
      <c r="P33" s="1451"/>
      <c r="Q33" s="1451"/>
      <c r="R33" s="1451"/>
      <c r="S33" s="1451"/>
      <c r="T33" s="1451"/>
      <c r="U33" s="1451"/>
      <c r="V33" s="1451"/>
      <c r="W33" s="1451"/>
      <c r="X33" s="1451"/>
    </row>
    <row r="34" spans="1:39" s="1453" customFormat="1" hidden="1">
      <c r="A34" s="1448" t="s">
        <v>679</v>
      </c>
      <c r="B34" s="1451" t="s">
        <v>334</v>
      </c>
      <c r="C34" s="1450"/>
      <c r="D34" s="1450"/>
      <c r="E34" s="1450"/>
      <c r="F34" s="1450"/>
      <c r="G34" s="1450"/>
      <c r="H34" s="1451">
        <v>-6.5</v>
      </c>
      <c r="I34" s="1452">
        <v>-4.5</v>
      </c>
      <c r="J34" s="1451"/>
      <c r="K34" s="1451"/>
      <c r="L34" s="1451"/>
      <c r="M34" s="1451"/>
      <c r="N34" s="1451"/>
      <c r="O34" s="1451"/>
      <c r="P34" s="1451"/>
      <c r="Q34" s="1451"/>
      <c r="R34" s="1451"/>
      <c r="S34" s="1451"/>
      <c r="T34" s="1451"/>
      <c r="U34" s="1451"/>
      <c r="V34" s="1451"/>
      <c r="W34" s="1451"/>
      <c r="X34" s="1451"/>
    </row>
    <row r="35" spans="1:39" s="1453" customFormat="1" hidden="1">
      <c r="A35" s="1448" t="s">
        <v>678</v>
      </c>
      <c r="B35" s="1451" t="s">
        <v>335</v>
      </c>
      <c r="C35" s="1450"/>
      <c r="D35" s="1450"/>
      <c r="E35" s="1450"/>
      <c r="F35" s="1450"/>
      <c r="G35" s="1450"/>
      <c r="H35" s="1451">
        <f>231.2-1.7</f>
        <v>229.5</v>
      </c>
      <c r="I35" s="1452">
        <v>-622.4</v>
      </c>
      <c r="J35" s="1451"/>
      <c r="K35" s="1451"/>
      <c r="L35" s="1451"/>
      <c r="M35" s="1451"/>
      <c r="N35" s="1451"/>
      <c r="O35" s="1451"/>
      <c r="P35" s="1451"/>
      <c r="Q35" s="1451"/>
      <c r="R35" s="1451"/>
      <c r="S35" s="1451"/>
      <c r="T35" s="1451"/>
      <c r="U35" s="1451"/>
      <c r="V35" s="1451"/>
      <c r="W35" s="1451"/>
      <c r="X35" s="1451"/>
    </row>
    <row r="36" spans="1:39" s="1446" customFormat="1">
      <c r="A36" s="1440"/>
      <c r="B36" s="1443" t="s">
        <v>677</v>
      </c>
      <c r="C36" s="1442">
        <f t="shared" ref="C36:M36" si="38">+C30-C32+C33-C34+C35</f>
        <v>5384.2259999999987</v>
      </c>
      <c r="D36" s="1442">
        <f t="shared" si="38"/>
        <v>7383.9800000000014</v>
      </c>
      <c r="E36" s="1442">
        <f t="shared" si="38"/>
        <v>7649.619999999999</v>
      </c>
      <c r="F36" s="1442">
        <f t="shared" si="38"/>
        <v>11016.2</v>
      </c>
      <c r="G36" s="1442">
        <f t="shared" si="38"/>
        <v>12379.200000000006</v>
      </c>
      <c r="H36" s="1443">
        <f t="shared" si="38"/>
        <v>7495.6000000000049</v>
      </c>
      <c r="I36" s="1444">
        <f t="shared" si="38"/>
        <v>5379.3000000000093</v>
      </c>
      <c r="J36" s="1443">
        <f>+J30-J32+J33-J34+J35</f>
        <v>17036.299999999988</v>
      </c>
      <c r="K36" s="1443">
        <f>+K30-K32+K33-K34+K35</f>
        <v>33397.299999999974</v>
      </c>
      <c r="L36" s="1443">
        <f t="shared" si="38"/>
        <v>30040.5</v>
      </c>
      <c r="M36" s="1443">
        <f t="shared" si="38"/>
        <v>30435.700000000019</v>
      </c>
      <c r="N36" s="1443">
        <f>+N30-N32+N33-N34+N35</f>
        <v>32432.699999999986</v>
      </c>
      <c r="O36" s="1443">
        <f>+O30-O32+O33-O34+O35</f>
        <v>28137.400000000005</v>
      </c>
      <c r="P36" s="1464">
        <f>+P30-P32+P33-P34+P35</f>
        <v>39296.700000000012</v>
      </c>
      <c r="Q36" s="1464">
        <f>+Q30-Q32+Q33-Q34+Q35</f>
        <v>38275.599999999991</v>
      </c>
      <c r="R36" s="1443">
        <f>+R30-R32+R33-R34+R35</f>
        <v>43986.379989166307</v>
      </c>
      <c r="S36" s="1443">
        <f t="shared" ref="S36:T36" si="39">+S30-S32+S33-S34+S35</f>
        <v>50946.966213440115</v>
      </c>
      <c r="T36" s="1443">
        <f t="shared" si="39"/>
        <v>54625.757074812922</v>
      </c>
      <c r="U36" s="1445"/>
      <c r="V36" s="1445">
        <f>P36/O36-1</f>
        <v>0.39660025446558689</v>
      </c>
      <c r="W36" s="1445">
        <f>Q36/P36-1</f>
        <v>-2.5984370188845918E-2</v>
      </c>
      <c r="X36" s="1445">
        <f t="shared" ref="X36" si="40">R36/Q36-1</f>
        <v>0.14920157983588278</v>
      </c>
      <c r="Z36" s="1446">
        <f>+SUM(Quarterly!AQ62:AS62)</f>
        <v>30257.400000000009</v>
      </c>
      <c r="AA36" s="1446">
        <f>+Z36/3</f>
        <v>10085.800000000003</v>
      </c>
      <c r="AB36" s="1446">
        <f>+Z36+AA36</f>
        <v>40343.200000000012</v>
      </c>
      <c r="AC36" s="1446">
        <f>+Q36-AB36</f>
        <v>-2067.6000000000204</v>
      </c>
    </row>
    <row r="37" spans="1:39">
      <c r="A37" s="1336"/>
      <c r="B37" s="1335"/>
      <c r="C37" s="1454"/>
      <c r="D37" s="1454"/>
      <c r="E37" s="1454"/>
      <c r="F37" s="1454"/>
      <c r="G37" s="1454"/>
      <c r="H37" s="1335"/>
      <c r="I37" s="1358"/>
      <c r="J37" s="1335"/>
      <c r="K37" s="1335"/>
      <c r="L37" s="1335"/>
      <c r="M37" s="1335"/>
      <c r="N37" s="1335"/>
      <c r="O37" s="1335"/>
      <c r="P37" s="1335"/>
      <c r="Q37" s="1335"/>
      <c r="R37" s="1335"/>
      <c r="S37" s="1335"/>
      <c r="T37" s="1335"/>
      <c r="U37" s="1335"/>
      <c r="V37" s="1335"/>
      <c r="W37" s="1335"/>
      <c r="X37" s="1335"/>
    </row>
    <row r="38" spans="1:39" s="1453" customFormat="1">
      <c r="A38" s="1448" t="s">
        <v>679</v>
      </c>
      <c r="B38" s="1451" t="s">
        <v>686</v>
      </c>
      <c r="C38" s="1450">
        <f>+C29+C33-C34+C35</f>
        <v>0</v>
      </c>
      <c r="D38" s="1450">
        <f>+D29+D33-D34+D35</f>
        <v>-581.50700000000006</v>
      </c>
      <c r="E38" s="1450">
        <f>+E29+E33-E34+E35</f>
        <v>-508.69399999999996</v>
      </c>
      <c r="F38" s="1450">
        <f>+F29+F33-F34+F35</f>
        <v>-226.4</v>
      </c>
      <c r="G38" s="1450">
        <f>+G29+G33-G34+G35</f>
        <v>-489.6</v>
      </c>
      <c r="H38" s="1451">
        <f>+H29*0.667+H33-H34+H35</f>
        <v>-446.74120000000005</v>
      </c>
      <c r="I38" s="1451">
        <f>+I29*0.67+I33-I34+I35</f>
        <v>-1992.0700000000002</v>
      </c>
      <c r="J38" s="1451">
        <f>+J29*0.667+J33-J34+J35+26.2</f>
        <v>-1051.0050000000001</v>
      </c>
      <c r="K38" s="1451">
        <f t="shared" ref="K38:P38" si="41">+K29+K33-K34+K35</f>
        <v>7245.5</v>
      </c>
      <c r="L38" s="1451">
        <f t="shared" si="41"/>
        <v>0</v>
      </c>
      <c r="M38" s="1451">
        <f t="shared" si="41"/>
        <v>2482.9</v>
      </c>
      <c r="N38" s="1451">
        <f t="shared" si="41"/>
        <v>-446.29999999999984</v>
      </c>
      <c r="O38" s="1451">
        <f t="shared" si="41"/>
        <v>-3808.7</v>
      </c>
      <c r="P38" s="1451">
        <f t="shared" si="41"/>
        <v>0</v>
      </c>
      <c r="Q38" s="1451">
        <f>+Q29+Q33-Q34+Q35</f>
        <v>0</v>
      </c>
      <c r="R38" s="1451">
        <f>+R29+R33-R34+R35</f>
        <v>0</v>
      </c>
      <c r="S38" s="1451">
        <f t="shared" ref="S38:T38" si="42">+S29+S33-S34+S35</f>
        <v>0</v>
      </c>
      <c r="T38" s="1451">
        <f t="shared" si="42"/>
        <v>0</v>
      </c>
      <c r="U38" s="1451"/>
      <c r="V38" s="1451"/>
      <c r="W38" s="1451"/>
      <c r="X38" s="1451"/>
    </row>
    <row r="39" spans="1:39" s="1453" customFormat="1">
      <c r="A39" s="1448" t="s">
        <v>679</v>
      </c>
      <c r="B39" s="1451" t="s">
        <v>336</v>
      </c>
      <c r="C39" s="1450">
        <f>37.836+0.036</f>
        <v>37.872</v>
      </c>
      <c r="D39" s="1450"/>
      <c r="E39" s="1450"/>
      <c r="F39" s="1450"/>
      <c r="G39" s="1450"/>
      <c r="H39" s="1451"/>
      <c r="I39" s="1452"/>
      <c r="J39" s="1451"/>
      <c r="K39" s="1451"/>
      <c r="L39" s="1451"/>
      <c r="M39" s="1451"/>
      <c r="N39" s="1451"/>
      <c r="O39" s="1451"/>
      <c r="P39" s="1451"/>
      <c r="Q39" s="1451"/>
      <c r="R39" s="1451"/>
      <c r="S39" s="1451"/>
      <c r="T39" s="1451"/>
      <c r="U39" s="1451"/>
      <c r="V39" s="1451"/>
      <c r="W39" s="1451"/>
      <c r="X39" s="1451"/>
    </row>
    <row r="40" spans="1:39" s="1446" customFormat="1">
      <c r="A40" s="1443"/>
      <c r="B40" s="1443" t="s">
        <v>687</v>
      </c>
      <c r="C40" s="1442">
        <f t="shared" ref="C40:H40" si="43">+C36-C38-C39</f>
        <v>5346.3539999999985</v>
      </c>
      <c r="D40" s="1442">
        <f t="shared" si="43"/>
        <v>7965.487000000001</v>
      </c>
      <c r="E40" s="1442">
        <f t="shared" si="43"/>
        <v>8158.3139999999985</v>
      </c>
      <c r="F40" s="1442">
        <f t="shared" si="43"/>
        <v>11242.6</v>
      </c>
      <c r="G40" s="1442">
        <f t="shared" si="43"/>
        <v>12868.800000000007</v>
      </c>
      <c r="H40" s="1443">
        <f t="shared" si="43"/>
        <v>7942.3412000000053</v>
      </c>
      <c r="I40" s="1443">
        <f t="shared" ref="I40:Q40" si="44">+I36-(I38*0.7)-I39</f>
        <v>6773.7490000000089</v>
      </c>
      <c r="J40" s="1443">
        <f t="shared" si="44"/>
        <v>17772.003499999988</v>
      </c>
      <c r="K40" s="1443">
        <f t="shared" si="44"/>
        <v>28325.449999999975</v>
      </c>
      <c r="L40" s="1443">
        <f t="shared" si="44"/>
        <v>30040.5</v>
      </c>
      <c r="M40" s="1443">
        <f t="shared" si="44"/>
        <v>28697.67000000002</v>
      </c>
      <c r="N40" s="1443">
        <f t="shared" si="44"/>
        <v>32745.109999999986</v>
      </c>
      <c r="O40" s="1443">
        <f t="shared" si="44"/>
        <v>30803.490000000005</v>
      </c>
      <c r="P40" s="1443">
        <f t="shared" si="44"/>
        <v>39296.700000000012</v>
      </c>
      <c r="Q40" s="1443">
        <f t="shared" si="44"/>
        <v>38275.599999999991</v>
      </c>
      <c r="R40" s="1443">
        <f>+R36-(R38*0.7)-R39</f>
        <v>43986.379989166307</v>
      </c>
      <c r="S40" s="1443">
        <f t="shared" ref="S40:T40" si="45">+S36-(S38*0.7)-S39</f>
        <v>50946.966213440115</v>
      </c>
      <c r="T40" s="1443">
        <f t="shared" si="45"/>
        <v>54625.757074812922</v>
      </c>
      <c r="U40" s="1451"/>
      <c r="V40" s="1445">
        <f>P40/O40-1</f>
        <v>0.27572232886598247</v>
      </c>
      <c r="W40" s="1445">
        <f>Q40/P40-1</f>
        <v>-2.5984370188845918E-2</v>
      </c>
      <c r="X40" s="1445">
        <f t="shared" ref="X40" si="46">R40/Q40-1</f>
        <v>0.14920157983588278</v>
      </c>
      <c r="Z40" s="1446">
        <f>+SUM(Quarterly!AQ67:AS67)</f>
        <v>30257.400000000009</v>
      </c>
      <c r="AA40" s="1446">
        <f>+Z40/3</f>
        <v>10085.800000000003</v>
      </c>
      <c r="AB40" s="1446">
        <f>+Z40+AA40</f>
        <v>40343.200000000012</v>
      </c>
      <c r="AC40" s="1446">
        <f>+Q40-AB40</f>
        <v>-2067.6000000000204</v>
      </c>
    </row>
    <row r="41" spans="1:39">
      <c r="A41" s="1336"/>
      <c r="B41" s="1335"/>
      <c r="C41" s="1454"/>
      <c r="D41" s="1454"/>
      <c r="E41" s="1454"/>
      <c r="F41" s="1454"/>
      <c r="G41" s="1454"/>
      <c r="H41" s="1335"/>
      <c r="I41" s="1358"/>
      <c r="J41" s="1335"/>
      <c r="K41" s="1335"/>
      <c r="L41" s="1466">
        <f t="shared" ref="L41:Q41" si="47">L40/K40</f>
        <v>1.0605480230675957</v>
      </c>
      <c r="M41" s="1466">
        <f t="shared" si="47"/>
        <v>0.95529934588305854</v>
      </c>
      <c r="N41" s="1466">
        <f t="shared" si="47"/>
        <v>1.1410372340332844</v>
      </c>
      <c r="O41" s="1466">
        <f t="shared" si="47"/>
        <v>0.94070503962271068</v>
      </c>
      <c r="P41" s="1466">
        <f t="shared" si="47"/>
        <v>1.2757223288659825</v>
      </c>
      <c r="Q41" s="1466">
        <f t="shared" si="47"/>
        <v>0.97401562981115408</v>
      </c>
      <c r="R41" s="1466">
        <f>R40/Q40</f>
        <v>1.1492015798358828</v>
      </c>
      <c r="S41" s="1466">
        <f t="shared" ref="S41:T41" si="48">S40/R40</f>
        <v>1.1582441252494107</v>
      </c>
      <c r="T41" s="1466">
        <f t="shared" si="48"/>
        <v>1.0722082419188745</v>
      </c>
      <c r="U41" s="1335"/>
      <c r="V41" s="1411"/>
      <c r="W41" s="1411"/>
      <c r="X41" s="1411"/>
      <c r="Y41" s="1467"/>
      <c r="Z41" s="1467"/>
    </row>
    <row r="42" spans="1:39">
      <c r="A42" s="1336"/>
      <c r="B42" s="1335"/>
      <c r="C42" s="1454"/>
      <c r="D42" s="1454"/>
      <c r="E42" s="1454"/>
      <c r="F42" s="1454"/>
      <c r="G42" s="1454"/>
      <c r="H42" s="1335"/>
      <c r="I42" s="1358"/>
      <c r="J42" s="1335"/>
      <c r="K42" s="1335"/>
      <c r="L42" s="1335"/>
      <c r="M42" s="1335"/>
      <c r="N42" s="1335"/>
      <c r="O42" s="1335"/>
      <c r="P42" s="1335"/>
      <c r="Q42" s="1335"/>
      <c r="R42" s="1335"/>
      <c r="S42" s="1335"/>
      <c r="T42" s="1335"/>
      <c r="U42" s="1335"/>
      <c r="V42" s="1411"/>
      <c r="W42" s="1411"/>
      <c r="X42" s="1411"/>
    </row>
    <row r="43" spans="1:39" s="1457" customFormat="1">
      <c r="A43" s="1368"/>
      <c r="B43" s="1369" t="s">
        <v>337</v>
      </c>
      <c r="C43" s="1455"/>
      <c r="D43" s="1455"/>
      <c r="E43" s="1455"/>
      <c r="F43" s="1455"/>
      <c r="G43" s="1455"/>
      <c r="H43" s="1335"/>
      <c r="I43" s="1370"/>
      <c r="J43" s="1369"/>
      <c r="K43" s="1369"/>
      <c r="L43" s="1369"/>
      <c r="M43" s="1369"/>
      <c r="N43" s="1369"/>
      <c r="O43" s="1369"/>
      <c r="P43" s="1369"/>
      <c r="Q43" s="1369"/>
      <c r="R43" s="1369"/>
      <c r="S43" s="1369"/>
      <c r="T43" s="1369"/>
      <c r="U43" s="1369"/>
      <c r="V43" s="1468"/>
      <c r="W43" s="1468"/>
      <c r="X43" s="1468"/>
    </row>
    <row r="44" spans="1:39" s="1474" customFormat="1" ht="12.75">
      <c r="A44" s="1469"/>
      <c r="B44" s="1470" t="s">
        <v>680</v>
      </c>
      <c r="C44" s="1471"/>
      <c r="D44" s="1471"/>
      <c r="E44" s="1471"/>
      <c r="F44" s="1471"/>
      <c r="G44" s="1471"/>
      <c r="H44" s="1470"/>
      <c r="I44" s="1472"/>
      <c r="J44" s="1470"/>
      <c r="K44" s="1470"/>
      <c r="L44" s="1470"/>
      <c r="M44" s="1470"/>
      <c r="N44" s="1470"/>
      <c r="O44" s="1470"/>
      <c r="P44" s="1470"/>
      <c r="Q44" s="1470"/>
      <c r="R44" s="1470"/>
      <c r="S44" s="1470"/>
      <c r="T44" s="1470"/>
      <c r="U44" s="1470"/>
      <c r="V44" s="1473"/>
      <c r="W44" s="1473"/>
      <c r="X44" s="1473"/>
    </row>
    <row r="45" spans="1:39" s="1453" customFormat="1">
      <c r="A45" s="1448"/>
      <c r="B45" s="1475" t="s">
        <v>338</v>
      </c>
      <c r="C45" s="1450">
        <v>101.18351</v>
      </c>
      <c r="D45" s="1450">
        <v>101.18351</v>
      </c>
      <c r="E45" s="1450">
        <v>101.18351</v>
      </c>
      <c r="F45" s="1450">
        <v>101.18351</v>
      </c>
      <c r="G45" s="1450">
        <v>101.18351</v>
      </c>
      <c r="H45" s="1451">
        <v>289.36702000000002</v>
      </c>
      <c r="I45" s="1451">
        <v>289.36702000000002</v>
      </c>
      <c r="J45" s="1451">
        <v>289.36702000000002</v>
      </c>
      <c r="K45" s="1451">
        <v>289.36702000000002</v>
      </c>
      <c r="L45" s="1451">
        <v>289.36702000000002</v>
      </c>
      <c r="M45" s="1451">
        <v>289.36702000000002</v>
      </c>
      <c r="N45" s="1451">
        <v>289.36702000000002</v>
      </c>
      <c r="O45" s="1451">
        <v>289.36702000000002</v>
      </c>
      <c r="P45" s="1451">
        <v>289.36702000000002</v>
      </c>
      <c r="Q45" s="1451">
        <v>289.36702000000002</v>
      </c>
      <c r="R45" s="1186">
        <f>Q45</f>
        <v>289.36702000000002</v>
      </c>
      <c r="S45" s="1186">
        <f t="shared" ref="S45:T45" si="49">R45</f>
        <v>289.36702000000002</v>
      </c>
      <c r="T45" s="1186">
        <f t="shared" si="49"/>
        <v>289.36702000000002</v>
      </c>
      <c r="U45" s="1451"/>
      <c r="V45" s="1476"/>
      <c r="W45" s="1476"/>
      <c r="X45" s="1476"/>
      <c r="AM45" s="1453" t="s">
        <v>2596</v>
      </c>
    </row>
    <row r="46" spans="1:39" s="1453" customFormat="1">
      <c r="A46" s="1448"/>
      <c r="B46" s="1475" t="s">
        <v>339</v>
      </c>
      <c r="C46" s="1450">
        <v>101.18351</v>
      </c>
      <c r="D46" s="1450">
        <v>101.18351</v>
      </c>
      <c r="E46" s="1450">
        <v>101.18351</v>
      </c>
      <c r="F46" s="1450">
        <v>101.18351</v>
      </c>
      <c r="G46" s="1450">
        <v>101.18351</v>
      </c>
      <c r="H46" s="1451">
        <v>279</v>
      </c>
      <c r="I46" s="1451">
        <v>289.36702000000002</v>
      </c>
      <c r="J46" s="1451">
        <v>289.36702000000002</v>
      </c>
      <c r="K46" s="1451">
        <v>289.36702000000002</v>
      </c>
      <c r="L46" s="1451">
        <v>289.36702000000002</v>
      </c>
      <c r="M46" s="1451">
        <v>289.36702000000002</v>
      </c>
      <c r="N46" s="1451">
        <v>289.36702000000002</v>
      </c>
      <c r="O46" s="1451">
        <v>289.36702000000002</v>
      </c>
      <c r="P46" s="1451">
        <v>289.36702000000002</v>
      </c>
      <c r="Q46" s="1451">
        <v>289.36702000000002</v>
      </c>
      <c r="R46" s="1186">
        <f>Q46</f>
        <v>289.36702000000002</v>
      </c>
      <c r="S46" s="1186">
        <f t="shared" ref="S46:T46" si="50">R46</f>
        <v>289.36702000000002</v>
      </c>
      <c r="T46" s="1186">
        <f t="shared" si="50"/>
        <v>289.36702000000002</v>
      </c>
      <c r="U46" s="1451"/>
      <c r="V46" s="1476"/>
      <c r="W46" s="1476"/>
      <c r="X46" s="1476"/>
      <c r="AM46" s="1453" t="s">
        <v>2596</v>
      </c>
    </row>
    <row r="47" spans="1:39" s="1474" customFormat="1" ht="12.75">
      <c r="A47" s="1469"/>
      <c r="B47" s="1470" t="s">
        <v>681</v>
      </c>
      <c r="C47" s="1471"/>
      <c r="D47" s="1471"/>
      <c r="E47" s="1471"/>
      <c r="F47" s="1471"/>
      <c r="G47" s="1471"/>
      <c r="H47" s="1470">
        <v>0</v>
      </c>
      <c r="I47" s="1470">
        <v>0</v>
      </c>
      <c r="J47" s="1470">
        <v>0</v>
      </c>
      <c r="K47" s="1470">
        <v>0</v>
      </c>
      <c r="L47" s="1470">
        <v>0</v>
      </c>
      <c r="M47" s="1470">
        <v>0</v>
      </c>
      <c r="N47" s="1470">
        <v>0</v>
      </c>
      <c r="O47" s="1470">
        <v>0</v>
      </c>
      <c r="P47" s="1470">
        <v>0</v>
      </c>
      <c r="Q47" s="1470">
        <v>0</v>
      </c>
      <c r="R47" s="1470">
        <v>0</v>
      </c>
      <c r="S47" s="1470">
        <v>0</v>
      </c>
      <c r="T47" s="1470">
        <v>0</v>
      </c>
      <c r="U47" s="1470"/>
      <c r="V47" s="1473"/>
      <c r="W47" s="1473"/>
      <c r="X47" s="1473"/>
    </row>
    <row r="48" spans="1:39" s="1453" customFormat="1">
      <c r="A48" s="1448"/>
      <c r="B48" s="1475" t="s">
        <v>338</v>
      </c>
      <c r="C48" s="1450">
        <v>101.18351</v>
      </c>
      <c r="D48" s="1450">
        <v>101.18351</v>
      </c>
      <c r="E48" s="1450">
        <v>101.18351</v>
      </c>
      <c r="F48" s="1450">
        <v>101.18351</v>
      </c>
      <c r="G48" s="1450">
        <v>101.18351</v>
      </c>
      <c r="H48" s="1451">
        <v>289.36702000000002</v>
      </c>
      <c r="I48" s="1451">
        <v>289.36702000000002</v>
      </c>
      <c r="J48" s="1451">
        <v>289.36702000000002</v>
      </c>
      <c r="K48" s="1451">
        <v>289.36702000000002</v>
      </c>
      <c r="L48" s="1451">
        <v>289.36702000000002</v>
      </c>
      <c r="M48" s="1451">
        <v>289.36702000000002</v>
      </c>
      <c r="N48" s="1451">
        <v>289.36702000000002</v>
      </c>
      <c r="O48" s="1451">
        <v>289.36702000000002</v>
      </c>
      <c r="P48" s="1451">
        <v>289.36702000000002</v>
      </c>
      <c r="Q48" s="1451">
        <v>289.36702000000002</v>
      </c>
      <c r="R48" s="1186">
        <f>Q48</f>
        <v>289.36702000000002</v>
      </c>
      <c r="S48" s="1186">
        <f t="shared" ref="S48:T48" si="51">R48</f>
        <v>289.36702000000002</v>
      </c>
      <c r="T48" s="1186">
        <f t="shared" si="51"/>
        <v>289.36702000000002</v>
      </c>
      <c r="U48" s="1451"/>
      <c r="V48" s="1476"/>
      <c r="W48" s="1476"/>
      <c r="X48" s="1476"/>
      <c r="Z48" s="1446">
        <f>+SUM(Quarterly!AQ76:AS76)</f>
        <v>104.56662980370476</v>
      </c>
      <c r="AA48" s="1446">
        <f>+Z48/3</f>
        <v>34.855543267901588</v>
      </c>
      <c r="AB48" s="1446">
        <f>+Z48+AA48</f>
        <v>139.42217307160635</v>
      </c>
      <c r="AC48" s="1446">
        <f>+Q48-AB48</f>
        <v>149.94484692839367</v>
      </c>
      <c r="AM48" s="1453" t="s">
        <v>2596</v>
      </c>
    </row>
    <row r="49" spans="1:39" s="1453" customFormat="1">
      <c r="A49" s="1448"/>
      <c r="B49" s="1475" t="s">
        <v>339</v>
      </c>
      <c r="C49" s="1450">
        <v>101.18351</v>
      </c>
      <c r="D49" s="1450">
        <v>101.18351</v>
      </c>
      <c r="E49" s="1450">
        <v>101.18351</v>
      </c>
      <c r="F49" s="1450">
        <v>101.18351</v>
      </c>
      <c r="G49" s="1450">
        <v>101.18351</v>
      </c>
      <c r="H49" s="1451">
        <v>279</v>
      </c>
      <c r="I49" s="1451">
        <v>289.36702000000002</v>
      </c>
      <c r="J49" s="1451">
        <v>289.36702000000002</v>
      </c>
      <c r="K49" s="1451">
        <v>289.36702000000002</v>
      </c>
      <c r="L49" s="1451">
        <v>289.36702000000002</v>
      </c>
      <c r="M49" s="1451">
        <v>289.36702000000002</v>
      </c>
      <c r="N49" s="1451">
        <v>289.36702000000002</v>
      </c>
      <c r="O49" s="1451">
        <v>289.36702000000002</v>
      </c>
      <c r="P49" s="1451">
        <v>289.36702000000002</v>
      </c>
      <c r="Q49" s="1451">
        <v>289.36702000000002</v>
      </c>
      <c r="R49" s="1186">
        <f>Q49</f>
        <v>289.36702000000002</v>
      </c>
      <c r="S49" s="1186">
        <f t="shared" ref="S49:T49" si="52">R49</f>
        <v>289.36702000000002</v>
      </c>
      <c r="T49" s="1186">
        <f t="shared" si="52"/>
        <v>289.36702000000002</v>
      </c>
      <c r="U49" s="1451"/>
      <c r="V49" s="1476"/>
      <c r="W49" s="1476"/>
      <c r="X49" s="1476"/>
      <c r="AM49" s="1453" t="s">
        <v>2596</v>
      </c>
    </row>
    <row r="50" spans="1:39">
      <c r="A50" s="1336"/>
      <c r="B50" s="1335"/>
      <c r="C50" s="1454"/>
      <c r="D50" s="1454"/>
      <c r="E50" s="1454"/>
      <c r="F50" s="1454"/>
      <c r="G50" s="1454"/>
      <c r="H50" s="1335"/>
      <c r="I50" s="1358"/>
      <c r="J50" s="1335"/>
      <c r="K50" s="1335"/>
      <c r="L50" s="1335"/>
      <c r="M50" s="1335"/>
      <c r="N50" s="1335"/>
      <c r="O50" s="1335"/>
      <c r="P50" s="1335"/>
      <c r="Q50" s="1335"/>
      <c r="R50" s="1335"/>
      <c r="S50" s="1335"/>
      <c r="T50" s="1335"/>
      <c r="U50" s="1335"/>
      <c r="V50" s="1411"/>
      <c r="W50" s="1411"/>
      <c r="X50" s="1411"/>
    </row>
    <row r="51" spans="1:39">
      <c r="A51" s="1336"/>
      <c r="B51" s="1335"/>
      <c r="C51" s="1454"/>
      <c r="D51" s="1454"/>
      <c r="E51" s="1454"/>
      <c r="F51" s="1454"/>
      <c r="G51" s="1454"/>
      <c r="H51" s="1335"/>
      <c r="I51" s="1358"/>
      <c r="J51" s="1335"/>
      <c r="K51" s="1335"/>
      <c r="L51" s="1335"/>
      <c r="M51" s="1335"/>
      <c r="N51" s="1335"/>
      <c r="O51" s="1335"/>
      <c r="P51" s="1335"/>
      <c r="Q51" s="1335"/>
      <c r="R51" s="1335"/>
      <c r="S51" s="1335"/>
      <c r="T51" s="1335"/>
      <c r="U51" s="1335"/>
      <c r="V51" s="1411"/>
      <c r="W51" s="1411"/>
      <c r="X51" s="1411"/>
    </row>
    <row r="52" spans="1:39" s="1457" customFormat="1">
      <c r="A52" s="1368"/>
      <c r="B52" s="1369" t="s">
        <v>340</v>
      </c>
      <c r="C52" s="1455"/>
      <c r="D52" s="1455"/>
      <c r="E52" s="1455"/>
      <c r="F52" s="1455"/>
      <c r="G52" s="1455"/>
      <c r="H52" s="1369"/>
      <c r="I52" s="1370"/>
      <c r="J52" s="1369"/>
      <c r="K52" s="1369"/>
      <c r="L52" s="1369"/>
      <c r="M52" s="1369"/>
      <c r="N52" s="1369"/>
      <c r="O52" s="1477">
        <f>+O53/N53-1</f>
        <v>-0.13243732405874264</v>
      </c>
      <c r="P52" s="1477">
        <f>+P53/O53-1</f>
        <v>0.39660025446558689</v>
      </c>
      <c r="Q52" s="1477">
        <f>+Q53/P53-1</f>
        <v>-2.5984370188845807E-2</v>
      </c>
      <c r="R52" s="1477">
        <f>+R53/Q53-1</f>
        <v>0.14920157983588278</v>
      </c>
      <c r="S52" s="1477">
        <f>+S53/R53-1</f>
        <v>0.15824412524941089</v>
      </c>
      <c r="T52" s="1369"/>
      <c r="U52" s="1369"/>
      <c r="V52" s="1468">
        <v>128</v>
      </c>
      <c r="W52" s="1478" t="s">
        <v>2468</v>
      </c>
      <c r="X52" s="1478" t="s">
        <v>2468</v>
      </c>
    </row>
    <row r="53" spans="1:39" s="1483" customFormat="1" ht="14.25">
      <c r="A53" s="1479"/>
      <c r="B53" s="1480" t="s">
        <v>680</v>
      </c>
      <c r="C53" s="1481">
        <f t="shared" ref="C53:M53" si="53">+C36/C46</f>
        <v>53.212484919726535</v>
      </c>
      <c r="D53" s="1481">
        <f t="shared" si="53"/>
        <v>72.97612031841949</v>
      </c>
      <c r="E53" s="1481">
        <f t="shared" si="53"/>
        <v>75.601449287537065</v>
      </c>
      <c r="F53" s="1481">
        <f t="shared" si="53"/>
        <v>108.87347157654445</v>
      </c>
      <c r="G53" s="1481">
        <f t="shared" si="53"/>
        <v>122.34404598140553</v>
      </c>
      <c r="H53" s="1480">
        <f t="shared" si="53"/>
        <v>26.865949820788547</v>
      </c>
      <c r="I53" s="1482">
        <f t="shared" si="53"/>
        <v>18.58988629733965</v>
      </c>
      <c r="J53" s="1480">
        <f>+J36/J46</f>
        <v>58.874366539766648</v>
      </c>
      <c r="K53" s="1480">
        <f t="shared" si="53"/>
        <v>115.41501861545926</v>
      </c>
      <c r="L53" s="1480">
        <f t="shared" si="53"/>
        <v>103.81452592627866</v>
      </c>
      <c r="M53" s="1480">
        <f t="shared" si="53"/>
        <v>105.18026553267893</v>
      </c>
      <c r="N53" s="1480">
        <f>+N36/N46</f>
        <v>112.08153576036406</v>
      </c>
      <c r="O53" s="1480">
        <f>+O36/O46</f>
        <v>97.23775708786718</v>
      </c>
      <c r="P53" s="1480">
        <f>+P36/P46</f>
        <v>135.80227629257823</v>
      </c>
      <c r="Q53" s="1480">
        <f>+Q36/Q46</f>
        <v>132.27353967290395</v>
      </c>
      <c r="R53" s="1187">
        <f>R$36/R46</f>
        <v>152.00896076258553</v>
      </c>
      <c r="S53" s="1187">
        <f t="shared" ref="S53:T53" si="54">S$36/S46</f>
        <v>176.06348578853289</v>
      </c>
      <c r="T53" s="1187">
        <f t="shared" si="54"/>
        <v>188.77672056343158</v>
      </c>
      <c r="U53" s="1480"/>
      <c r="V53" s="1476">
        <f>V52*15</f>
        <v>1920</v>
      </c>
      <c r="W53" s="1478" t="s">
        <v>2469</v>
      </c>
      <c r="X53" s="1478" t="s">
        <v>2469</v>
      </c>
      <c r="AM53" s="1484" t="s">
        <v>2570</v>
      </c>
    </row>
    <row r="54" spans="1:39" s="1483" customFormat="1" ht="14.25">
      <c r="A54" s="1479"/>
      <c r="B54" s="1480" t="s">
        <v>681</v>
      </c>
      <c r="C54" s="1481">
        <f t="shared" ref="C54:M54" si="55">+C36/C49</f>
        <v>53.212484919726535</v>
      </c>
      <c r="D54" s="1481">
        <f t="shared" si="55"/>
        <v>72.97612031841949</v>
      </c>
      <c r="E54" s="1481">
        <f t="shared" si="55"/>
        <v>75.601449287537065</v>
      </c>
      <c r="F54" s="1481">
        <f t="shared" si="55"/>
        <v>108.87347157654445</v>
      </c>
      <c r="G54" s="1481">
        <f t="shared" si="55"/>
        <v>122.34404598140553</v>
      </c>
      <c r="H54" s="1480">
        <f t="shared" si="55"/>
        <v>26.865949820788547</v>
      </c>
      <c r="I54" s="1482">
        <f t="shared" si="55"/>
        <v>18.58988629733965</v>
      </c>
      <c r="J54" s="1480">
        <f t="shared" si="55"/>
        <v>58.874366539766648</v>
      </c>
      <c r="K54" s="1480">
        <f t="shared" si="55"/>
        <v>115.41501861545926</v>
      </c>
      <c r="L54" s="1480">
        <f t="shared" si="55"/>
        <v>103.81452592627866</v>
      </c>
      <c r="M54" s="1480">
        <f t="shared" si="55"/>
        <v>105.18026553267893</v>
      </c>
      <c r="N54" s="1480">
        <f>+N36/N49</f>
        <v>112.08153576036406</v>
      </c>
      <c r="O54" s="1480">
        <f>+O36/O49</f>
        <v>97.23775708786718</v>
      </c>
      <c r="P54" s="1480">
        <f>+P36/P49</f>
        <v>135.80227629257823</v>
      </c>
      <c r="Q54" s="1480">
        <f>+Q36/Q49</f>
        <v>132.27353967290395</v>
      </c>
      <c r="R54" s="1187">
        <f>R$36/R49</f>
        <v>152.00896076258553</v>
      </c>
      <c r="S54" s="1187">
        <f t="shared" ref="S54:T54" si="56">S$36/S49</f>
        <v>176.06348578853289</v>
      </c>
      <c r="T54" s="1187">
        <f t="shared" si="56"/>
        <v>188.77672056343158</v>
      </c>
      <c r="U54" s="1480"/>
      <c r="V54" s="1485">
        <f>V53+455</f>
        <v>2375</v>
      </c>
      <c r="W54" s="1478" t="s">
        <v>2470</v>
      </c>
      <c r="X54" s="1478" t="s">
        <v>2470</v>
      </c>
      <c r="Y54" s="1483">
        <f>175*16</f>
        <v>2800</v>
      </c>
      <c r="AM54" s="1484" t="s">
        <v>2570</v>
      </c>
    </row>
    <row r="55" spans="1:39" s="1457" customFormat="1">
      <c r="A55" s="1368"/>
      <c r="B55" s="1369" t="s">
        <v>341</v>
      </c>
      <c r="C55" s="1455"/>
      <c r="D55" s="1455"/>
      <c r="E55" s="1455"/>
      <c r="F55" s="1455"/>
      <c r="G55" s="1455"/>
      <c r="H55" s="1369"/>
      <c r="I55" s="1370"/>
      <c r="J55" s="1369"/>
      <c r="K55" s="1369"/>
      <c r="L55" s="1369"/>
      <c r="M55" s="1369"/>
      <c r="N55" s="1369"/>
      <c r="O55" s="1369"/>
      <c r="P55" s="1369"/>
      <c r="Q55" s="1369"/>
      <c r="R55" s="1369"/>
      <c r="S55" s="1369"/>
      <c r="T55" s="1369"/>
      <c r="U55" s="1369"/>
      <c r="V55" s="1468">
        <f>V54+150</f>
        <v>2525</v>
      </c>
      <c r="W55" s="1478" t="s">
        <v>2471</v>
      </c>
      <c r="X55" s="1478" t="s">
        <v>2471</v>
      </c>
    </row>
    <row r="56" spans="1:39" s="1483" customFormat="1" ht="14.25">
      <c r="A56" s="1479"/>
      <c r="B56" s="1480" t="s">
        <v>680</v>
      </c>
      <c r="C56" s="1481">
        <f t="shared" ref="C56:M56" si="57">+C40/C46</f>
        <v>52.838194682117653</v>
      </c>
      <c r="D56" s="1481">
        <f t="shared" si="57"/>
        <v>78.723173370838794</v>
      </c>
      <c r="E56" s="1481">
        <f t="shared" si="57"/>
        <v>80.628889035377398</v>
      </c>
      <c r="F56" s="1481">
        <f t="shared" si="57"/>
        <v>111.11099031848174</v>
      </c>
      <c r="G56" s="1481">
        <f t="shared" si="57"/>
        <v>127.18277909117806</v>
      </c>
      <c r="H56" s="1480">
        <f t="shared" si="57"/>
        <v>28.467172759856648</v>
      </c>
      <c r="I56" s="1482">
        <f t="shared" si="57"/>
        <v>23.408849425895212</v>
      </c>
      <c r="J56" s="1480">
        <f>+J40/J46</f>
        <v>61.41682455726982</v>
      </c>
      <c r="K56" s="1480">
        <f t="shared" si="57"/>
        <v>97.887623821125061</v>
      </c>
      <c r="L56" s="1480">
        <f t="shared" si="57"/>
        <v>103.81452592627866</v>
      </c>
      <c r="M56" s="1480">
        <f t="shared" si="57"/>
        <v>99.173948710533836</v>
      </c>
      <c r="N56" s="1480">
        <f>+N40/N46</f>
        <v>113.16116812482633</v>
      </c>
      <c r="O56" s="1480">
        <f>+O40/O46</f>
        <v>106.45128114461697</v>
      </c>
      <c r="P56" s="1480">
        <f>+P40/P46</f>
        <v>135.80227629257823</v>
      </c>
      <c r="Q56" s="1480">
        <f>+Q40/Q46</f>
        <v>132.27353967290395</v>
      </c>
      <c r="R56" s="1187"/>
      <c r="S56" s="1187"/>
      <c r="T56" s="1187"/>
      <c r="U56" s="1480"/>
      <c r="V56" s="1485"/>
      <c r="W56" s="1485"/>
      <c r="X56" s="1485"/>
      <c r="AM56" s="1484" t="s">
        <v>2570</v>
      </c>
    </row>
    <row r="57" spans="1:39" s="1483" customFormat="1" ht="14.25">
      <c r="A57" s="1479"/>
      <c r="B57" s="1480" t="s">
        <v>681</v>
      </c>
      <c r="C57" s="1481">
        <f t="shared" ref="C57:M57" si="58">+C40/C49</f>
        <v>52.838194682117653</v>
      </c>
      <c r="D57" s="1481">
        <f t="shared" si="58"/>
        <v>78.723173370838794</v>
      </c>
      <c r="E57" s="1481">
        <f t="shared" si="58"/>
        <v>80.628889035377398</v>
      </c>
      <c r="F57" s="1481">
        <f t="shared" si="58"/>
        <v>111.11099031848174</v>
      </c>
      <c r="G57" s="1481">
        <f t="shared" si="58"/>
        <v>127.18277909117806</v>
      </c>
      <c r="H57" s="1480">
        <f t="shared" si="58"/>
        <v>28.467172759856648</v>
      </c>
      <c r="I57" s="1482">
        <f t="shared" si="58"/>
        <v>23.408849425895212</v>
      </c>
      <c r="J57" s="1480">
        <f t="shared" si="58"/>
        <v>61.41682455726982</v>
      </c>
      <c r="K57" s="1480">
        <f t="shared" si="58"/>
        <v>97.887623821125061</v>
      </c>
      <c r="L57" s="1480">
        <f t="shared" si="58"/>
        <v>103.81452592627866</v>
      </c>
      <c r="M57" s="1480">
        <f t="shared" si="58"/>
        <v>99.173948710533836</v>
      </c>
      <c r="N57" s="1480">
        <f>+N40/N49</f>
        <v>113.16116812482633</v>
      </c>
      <c r="O57" s="1480">
        <f>+O40/O49</f>
        <v>106.45128114461697</v>
      </c>
      <c r="P57" s="1480">
        <f>+P40/P49</f>
        <v>135.80227629257823</v>
      </c>
      <c r="Q57" s="1480">
        <f>+Q40/Q49</f>
        <v>132.27353967290395</v>
      </c>
      <c r="R57" s="1187"/>
      <c r="S57" s="1187"/>
      <c r="T57" s="1187"/>
      <c r="U57" s="1445"/>
      <c r="V57" s="1445">
        <f>P57/O57-1</f>
        <v>0.27572232886598269</v>
      </c>
      <c r="W57" s="1445">
        <f>Q57/P57-1</f>
        <v>-2.5984370188845807E-2</v>
      </c>
      <c r="X57" s="1445">
        <f t="shared" ref="X57" si="59">R57/Q57-1</f>
        <v>-1</v>
      </c>
      <c r="AM57" s="1484" t="s">
        <v>2570</v>
      </c>
    </row>
    <row r="58" spans="1:39">
      <c r="A58" s="1336"/>
      <c r="B58" s="1335"/>
      <c r="C58" s="1454"/>
      <c r="D58" s="1454"/>
      <c r="E58" s="1454"/>
      <c r="F58" s="1454"/>
      <c r="G58" s="1454"/>
      <c r="H58" s="1335"/>
      <c r="I58" s="1358"/>
      <c r="J58" s="1335"/>
      <c r="K58" s="1335"/>
      <c r="L58" s="1466"/>
      <c r="M58" s="1466"/>
      <c r="N58" s="1466"/>
      <c r="O58" s="1466"/>
      <c r="P58" s="1466"/>
      <c r="Q58" s="1466"/>
      <c r="R58" s="1466"/>
      <c r="S58" s="1466"/>
      <c r="T58" s="1466"/>
      <c r="U58" s="1335"/>
      <c r="V58" s="1411"/>
      <c r="W58" s="1411"/>
      <c r="X58" s="1411"/>
      <c r="Y58" s="1467"/>
    </row>
    <row r="59" spans="1:39" s="1457" customFormat="1" ht="12.75">
      <c r="A59" s="1368"/>
      <c r="B59" s="1369" t="s">
        <v>342</v>
      </c>
      <c r="C59" s="1455"/>
      <c r="D59" s="1455"/>
      <c r="E59" s="1455"/>
      <c r="F59" s="1455"/>
      <c r="G59" s="1455"/>
      <c r="H59" s="1369"/>
      <c r="I59" s="1370"/>
      <c r="J59" s="1369"/>
      <c r="K59" s="1369"/>
      <c r="L59" s="1369"/>
      <c r="M59" s="1369"/>
      <c r="N59" s="1486"/>
      <c r="O59" s="1486"/>
      <c r="P59" s="1369"/>
      <c r="Q59" s="1369"/>
      <c r="R59" s="1369"/>
      <c r="S59" s="1369"/>
      <c r="T59" s="1369"/>
      <c r="U59" s="1369"/>
      <c r="V59" s="1468"/>
      <c r="W59" s="1468"/>
      <c r="X59" s="1468"/>
    </row>
    <row r="60" spans="1:39">
      <c r="A60" s="1336"/>
      <c r="B60" s="1335" t="s">
        <v>343</v>
      </c>
      <c r="C60" s="1454"/>
      <c r="D60" s="1454">
        <v>0</v>
      </c>
      <c r="E60" s="1454">
        <v>0</v>
      </c>
      <c r="F60" s="1454"/>
      <c r="G60" s="1454"/>
      <c r="H60" s="1335"/>
      <c r="I60" s="1358"/>
      <c r="J60" s="1487"/>
      <c r="K60" s="1487"/>
      <c r="L60" s="1335"/>
      <c r="M60" s="1335"/>
      <c r="N60" s="1335"/>
      <c r="O60" s="1335"/>
      <c r="P60" s="1335"/>
      <c r="Q60" s="1335"/>
      <c r="R60" s="1335"/>
      <c r="S60" s="1335"/>
      <c r="T60" s="1335"/>
      <c r="U60" s="1335"/>
      <c r="V60" s="1411"/>
      <c r="W60" s="1411"/>
      <c r="X60" s="1411"/>
    </row>
    <row r="61" spans="1:39" ht="14.25">
      <c r="A61" s="1336"/>
      <c r="B61" s="1335" t="s">
        <v>344</v>
      </c>
      <c r="C61" s="1454">
        <v>1416.569</v>
      </c>
      <c r="D61" s="1454">
        <v>2529.587</v>
      </c>
      <c r="E61" s="1454">
        <v>2529.587</v>
      </c>
      <c r="F61" s="1454">
        <v>4047.4</v>
      </c>
      <c r="G61" s="1454">
        <v>4047.3</v>
      </c>
      <c r="H61" s="1335">
        <v>2893.7</v>
      </c>
      <c r="I61" s="1358">
        <f>I62*I45</f>
        <v>3183.0372200000002</v>
      </c>
      <c r="J61" s="1358">
        <v>5787.3</v>
      </c>
      <c r="K61" s="1358">
        <v>11574.7</v>
      </c>
      <c r="L61" s="1488">
        <v>13021.5</v>
      </c>
      <c r="M61" s="1358">
        <f t="shared" ref="M61:Q61" si="60">M62*M45</f>
        <v>13021.5159</v>
      </c>
      <c r="N61" s="1358">
        <f t="shared" si="60"/>
        <v>14468.351000000001</v>
      </c>
      <c r="O61" s="1358">
        <f t="shared" si="60"/>
        <v>14468.351000000001</v>
      </c>
      <c r="P61" s="1358">
        <f t="shared" si="60"/>
        <v>15915.186100000001</v>
      </c>
      <c r="Q61" s="1358">
        <f t="shared" si="60"/>
        <v>18808.856300000003</v>
      </c>
      <c r="R61" s="1099">
        <f>R62*R45</f>
        <v>21702.526500000004</v>
      </c>
      <c r="S61" s="1099">
        <f t="shared" ref="S61:T61" si="61">S62*S45</f>
        <v>21702.526500000004</v>
      </c>
      <c r="T61" s="1099">
        <f t="shared" si="61"/>
        <v>21702.526500000004</v>
      </c>
      <c r="U61" s="1335"/>
      <c r="V61" s="1411"/>
      <c r="W61" s="1411"/>
      <c r="X61" s="1411"/>
      <c r="AM61" s="1484" t="s">
        <v>2570</v>
      </c>
    </row>
    <row r="62" spans="1:39" s="1417" customFormat="1" ht="14.25">
      <c r="A62" s="1489"/>
      <c r="B62" s="1490" t="s">
        <v>345</v>
      </c>
      <c r="C62" s="1491"/>
      <c r="D62" s="1491"/>
      <c r="E62" s="1491"/>
      <c r="F62" s="1491"/>
      <c r="G62" s="1491"/>
      <c r="H62" s="1337">
        <f>20/2</f>
        <v>10</v>
      </c>
      <c r="I62" s="1337">
        <f>22/2</f>
        <v>11</v>
      </c>
      <c r="J62" s="1337">
        <f>J61/J49</f>
        <v>19.999860384918779</v>
      </c>
      <c r="K62" s="1337">
        <f>K61/K49</f>
        <v>40.00006635172177</v>
      </c>
      <c r="L62" s="1337">
        <f>L61/L49</f>
        <v>44.999945052480406</v>
      </c>
      <c r="M62" s="1337">
        <v>45</v>
      </c>
      <c r="N62" s="1337">
        <v>50</v>
      </c>
      <c r="O62" s="1337">
        <v>50</v>
      </c>
      <c r="P62" s="1337">
        <v>55</v>
      </c>
      <c r="Q62" s="1337">
        <v>65</v>
      </c>
      <c r="R62" s="1188">
        <v>75</v>
      </c>
      <c r="S62" s="1188">
        <f>R62</f>
        <v>75</v>
      </c>
      <c r="T62" s="1188">
        <f t="shared" ref="T62" si="62">S62</f>
        <v>75</v>
      </c>
      <c r="U62" s="1337"/>
      <c r="V62" s="1415"/>
      <c r="W62" s="1415"/>
      <c r="X62" s="1415"/>
      <c r="AM62" s="1484" t="s">
        <v>2569</v>
      </c>
    </row>
    <row r="63" spans="1:39" ht="14.25">
      <c r="A63" s="1336"/>
      <c r="B63" s="1335" t="s">
        <v>346</v>
      </c>
      <c r="C63" s="1454">
        <v>181.49700000000001</v>
      </c>
      <c r="D63" s="1454">
        <v>324.10300000000001</v>
      </c>
      <c r="E63" s="1454">
        <v>354.774</v>
      </c>
      <c r="F63" s="1454">
        <v>567.6</v>
      </c>
      <c r="G63" s="1454">
        <v>687.8</v>
      </c>
      <c r="H63" s="1335">
        <v>491.8</v>
      </c>
      <c r="I63" s="1358">
        <v>541</v>
      </c>
      <c r="J63" s="1358">
        <v>961.2</v>
      </c>
      <c r="K63" s="1358">
        <v>1877.7</v>
      </c>
      <c r="L63" s="1488">
        <v>2112.4</v>
      </c>
      <c r="M63" s="1358">
        <f t="shared" ref="M63:Q63" si="63">M61*17%</f>
        <v>2213.6577030000003</v>
      </c>
      <c r="N63" s="1358">
        <f t="shared" si="63"/>
        <v>2459.6196700000005</v>
      </c>
      <c r="O63" s="1358">
        <f t="shared" si="63"/>
        <v>2459.6196700000005</v>
      </c>
      <c r="P63" s="1358">
        <f t="shared" si="63"/>
        <v>2705.5816370000002</v>
      </c>
      <c r="Q63" s="1358">
        <f t="shared" si="63"/>
        <v>3197.5055710000006</v>
      </c>
      <c r="R63" s="1099">
        <f>17%*R61</f>
        <v>3689.429505000001</v>
      </c>
      <c r="S63" s="1099">
        <f t="shared" ref="S63:T63" si="64">17%*S61</f>
        <v>3689.429505000001</v>
      </c>
      <c r="T63" s="1099">
        <f t="shared" si="64"/>
        <v>3689.429505000001</v>
      </c>
      <c r="U63" s="1335"/>
      <c r="V63" s="1411"/>
      <c r="W63" s="1411"/>
      <c r="X63" s="1411"/>
      <c r="AM63" s="1484" t="s">
        <v>2570</v>
      </c>
    </row>
    <row r="64" spans="1:39">
      <c r="A64" s="1336"/>
      <c r="B64" s="1335"/>
      <c r="C64" s="1454"/>
      <c r="D64" s="1454"/>
      <c r="E64" s="1454"/>
      <c r="F64" s="1454"/>
      <c r="G64" s="1454"/>
      <c r="H64" s="1335">
        <f t="shared" ref="H64:M64" si="65">H61+H63</f>
        <v>3385.5</v>
      </c>
      <c r="I64" s="1335">
        <f t="shared" si="65"/>
        <v>3724.0372200000002</v>
      </c>
      <c r="J64" s="1335">
        <f t="shared" si="65"/>
        <v>6748.5</v>
      </c>
      <c r="K64" s="1335">
        <f t="shared" si="65"/>
        <v>13452.400000000001</v>
      </c>
      <c r="L64" s="1335">
        <f t="shared" si="65"/>
        <v>15133.9</v>
      </c>
      <c r="M64" s="1335">
        <f t="shared" si="65"/>
        <v>15235.173603000001</v>
      </c>
      <c r="N64" s="1335">
        <f>N61+N63</f>
        <v>16927.970670000002</v>
      </c>
      <c r="O64" s="1335">
        <f>O61+O63</f>
        <v>16927.970670000002</v>
      </c>
      <c r="P64" s="1335">
        <f>P61+P63</f>
        <v>18620.767737000002</v>
      </c>
      <c r="Q64" s="1335">
        <f>Q61+Q63</f>
        <v>22006.361871000005</v>
      </c>
      <c r="R64" s="1339">
        <f>R61+R63</f>
        <v>25391.956005000004</v>
      </c>
      <c r="S64" s="1339">
        <f t="shared" ref="S64:T64" si="66">S61+S63</f>
        <v>25391.956005000004</v>
      </c>
      <c r="T64" s="1339">
        <f t="shared" si="66"/>
        <v>25391.956005000004</v>
      </c>
      <c r="U64" s="1335"/>
      <c r="V64" s="1411"/>
      <c r="W64" s="1411"/>
      <c r="X64" s="1411"/>
    </row>
    <row r="65" spans="1:77">
      <c r="A65" s="1336"/>
      <c r="B65" s="1335" t="s">
        <v>1689</v>
      </c>
      <c r="C65" s="1454"/>
      <c r="D65" s="1454"/>
      <c r="E65" s="1454"/>
      <c r="F65" s="1454"/>
      <c r="G65" s="1454"/>
      <c r="H65" s="1335"/>
      <c r="I65" s="1358">
        <f>I64/I36*100</f>
        <v>69.229030171211747</v>
      </c>
      <c r="J65" s="1358">
        <f t="shared" ref="J65:O65" si="67">J64/J36*100</f>
        <v>39.612474539659459</v>
      </c>
      <c r="K65" s="1358">
        <f t="shared" si="67"/>
        <v>40.279902866399411</v>
      </c>
      <c r="L65" s="1358">
        <f t="shared" si="67"/>
        <v>50.378322597826262</v>
      </c>
      <c r="M65" s="1358">
        <f t="shared" si="67"/>
        <v>50.056918694165056</v>
      </c>
      <c r="N65" s="1358">
        <f t="shared" si="67"/>
        <v>52.194145630798573</v>
      </c>
      <c r="O65" s="1358">
        <f t="shared" si="67"/>
        <v>60.161815484017708</v>
      </c>
      <c r="P65" s="1358">
        <f>P64/P36*100</f>
        <v>47.385067288092884</v>
      </c>
      <c r="Q65" s="1358">
        <f>Q64/Q36*100</f>
        <v>57.494492237874809</v>
      </c>
      <c r="R65" s="1358">
        <f>R64/R36*100</f>
        <v>57.726860021793001</v>
      </c>
      <c r="S65" s="1358">
        <f t="shared" ref="S65:T65" si="68">S64/S36*100</f>
        <v>49.839976532894035</v>
      </c>
      <c r="T65" s="1358">
        <f t="shared" si="68"/>
        <v>46.483485748718046</v>
      </c>
      <c r="U65" s="1335"/>
      <c r="V65" s="1411"/>
      <c r="W65" s="1411"/>
      <c r="X65" s="1411"/>
    </row>
    <row r="66" spans="1:77" s="1493" customFormat="1" ht="12.75">
      <c r="A66" s="1492"/>
      <c r="B66" s="1492"/>
      <c r="C66" s="1492"/>
      <c r="D66" s="1492"/>
      <c r="E66" s="1492"/>
      <c r="F66" s="1492"/>
      <c r="G66" s="1492"/>
      <c r="H66" s="1492"/>
      <c r="I66" s="1492"/>
      <c r="J66" s="1492"/>
      <c r="K66" s="1492"/>
      <c r="L66" s="1492"/>
      <c r="M66" s="1492"/>
      <c r="N66" s="1492"/>
      <c r="O66" s="1492"/>
      <c r="P66" s="1492"/>
      <c r="Q66" s="1492"/>
      <c r="R66" s="1492"/>
      <c r="S66" s="1492"/>
      <c r="T66" s="1492"/>
      <c r="U66" s="1492"/>
      <c r="V66" s="1492"/>
      <c r="W66" s="1492"/>
      <c r="X66" s="1492"/>
      <c r="Y66" s="1492"/>
      <c r="Z66" s="1492"/>
      <c r="AA66" s="1492"/>
      <c r="AB66" s="1492"/>
      <c r="AC66" s="1492"/>
      <c r="AD66" s="1492"/>
      <c r="AE66" s="1492"/>
      <c r="AF66" s="1492"/>
      <c r="AG66" s="1492"/>
      <c r="AH66" s="1492"/>
      <c r="AI66" s="1492"/>
      <c r="AJ66" s="1492"/>
      <c r="AK66" s="1492"/>
      <c r="AL66" s="1492"/>
      <c r="AM66" s="1492"/>
      <c r="AN66" s="1492"/>
      <c r="AO66" s="1492"/>
      <c r="AP66" s="1492"/>
      <c r="AQ66" s="1492"/>
      <c r="AR66" s="1492"/>
      <c r="AS66" s="1492"/>
      <c r="AT66" s="1492"/>
      <c r="AU66" s="1492"/>
      <c r="AV66" s="1492"/>
      <c r="AW66" s="1492"/>
      <c r="AX66" s="1492"/>
      <c r="AY66" s="1492"/>
      <c r="AZ66" s="1492"/>
      <c r="BA66" s="1492"/>
      <c r="BB66" s="1492"/>
      <c r="BC66" s="1492"/>
      <c r="BD66" s="1492"/>
      <c r="BE66" s="1492"/>
      <c r="BF66" s="1492"/>
      <c r="BG66" s="1492"/>
      <c r="BH66" s="1492"/>
      <c r="BI66" s="1492"/>
      <c r="BJ66" s="1492"/>
      <c r="BK66" s="1492"/>
      <c r="BL66" s="1492"/>
      <c r="BM66" s="1492"/>
      <c r="BN66" s="1492"/>
      <c r="BO66" s="1492"/>
      <c r="BP66" s="1492"/>
      <c r="BQ66" s="1492"/>
      <c r="BR66" s="1492"/>
      <c r="BS66" s="1492"/>
      <c r="BT66" s="1492"/>
      <c r="BU66" s="1492"/>
      <c r="BV66" s="1492"/>
      <c r="BW66" s="1492"/>
      <c r="BX66" s="1492"/>
      <c r="BY66" s="1492"/>
    </row>
    <row r="67" spans="1:77">
      <c r="A67" s="1355"/>
      <c r="B67" s="1356" t="s">
        <v>682</v>
      </c>
      <c r="C67" s="1494"/>
      <c r="D67" s="1494"/>
      <c r="E67" s="1494"/>
      <c r="F67" s="1494"/>
      <c r="G67" s="1494"/>
      <c r="H67" s="1356"/>
      <c r="I67" s="1357"/>
      <c r="J67" s="1356"/>
      <c r="K67" s="1356"/>
      <c r="L67" s="1356"/>
      <c r="M67" s="1356"/>
      <c r="N67" s="1356"/>
      <c r="O67" s="1356"/>
      <c r="P67" s="1356"/>
      <c r="Q67" s="1356"/>
      <c r="R67" s="1356"/>
      <c r="S67" s="1356"/>
      <c r="T67" s="1356"/>
      <c r="U67" s="1335"/>
      <c r="V67" s="1411"/>
      <c r="W67" s="1411"/>
      <c r="X67" s="1411"/>
      <c r="Y67" s="1467"/>
    </row>
    <row r="68" spans="1:77" ht="15.75">
      <c r="A68" s="1336" t="s">
        <v>678</v>
      </c>
      <c r="B68" s="1335" t="s">
        <v>347</v>
      </c>
      <c r="C68" s="1454">
        <v>47443.447</v>
      </c>
      <c r="D68" s="1454">
        <v>54184.902999999998</v>
      </c>
      <c r="E68" s="1454">
        <v>65416.044999999998</v>
      </c>
      <c r="F68" s="1454">
        <v>85498.6</v>
      </c>
      <c r="G68" s="1454">
        <v>106060.9</v>
      </c>
      <c r="H68" s="1335">
        <v>96925.8</v>
      </c>
      <c r="I68" s="1358">
        <v>90587.5</v>
      </c>
      <c r="J68" s="1358">
        <v>121180.8</v>
      </c>
      <c r="K68" s="1358">
        <v>168302.3</v>
      </c>
      <c r="L68" s="1358">
        <v>198270.3</v>
      </c>
      <c r="M68" s="1358">
        <v>206178.7</v>
      </c>
      <c r="N68" s="1358">
        <v>207270.39999999999</v>
      </c>
      <c r="O68" s="1358">
        <v>220132.1</v>
      </c>
      <c r="P68" s="1358">
        <v>235462.39999999999</v>
      </c>
      <c r="Q68" s="1358">
        <f>+'Model wise sales'!Q86</f>
        <v>218513.34280372158</v>
      </c>
      <c r="R68" s="1358">
        <f>+'Model wise sales'!R86</f>
        <v>257678.79959651007</v>
      </c>
      <c r="S68" s="1358">
        <f>+'Model wise sales'!S86</f>
        <v>299184.64198130032</v>
      </c>
      <c r="T68" s="1358">
        <f>+'Model wise sales'!T86</f>
        <v>346762.23025273008</v>
      </c>
      <c r="U68" s="1335"/>
      <c r="V68" s="1411"/>
      <c r="W68" s="1411"/>
      <c r="X68" s="1411"/>
      <c r="AM68" s="1447" t="s">
        <v>2597</v>
      </c>
    </row>
    <row r="69" spans="1:77">
      <c r="A69" s="1336" t="s">
        <v>679</v>
      </c>
      <c r="B69" s="1335" t="s">
        <v>683</v>
      </c>
      <c r="C69" s="1454">
        <v>5891.6729999999998</v>
      </c>
      <c r="D69" s="1454">
        <v>6633.1949999999997</v>
      </c>
      <c r="E69" s="1454">
        <v>8052.4539999999997</v>
      </c>
      <c r="F69" s="1454">
        <v>10804.8</v>
      </c>
      <c r="G69" s="1454">
        <v>13138.9</v>
      </c>
      <c r="H69" s="1335">
        <v>10266.6</v>
      </c>
      <c r="I69" s="1358">
        <v>6127.2</v>
      </c>
      <c r="J69" s="1335">
        <v>6095.8</v>
      </c>
      <c r="K69" s="1335">
        <v>9334.1</v>
      </c>
      <c r="L69" s="1335">
        <v>9467.6</v>
      </c>
      <c r="M69" s="1335">
        <v>11289.1</v>
      </c>
      <c r="N69" s="1335">
        <v>10094</v>
      </c>
      <c r="O69" s="1335">
        <v>9092.7999999999993</v>
      </c>
      <c r="P69" s="1335">
        <v>12934.6</v>
      </c>
      <c r="Q69" s="1335"/>
      <c r="R69" s="1335"/>
      <c r="S69" s="1335"/>
      <c r="T69" s="1335"/>
      <c r="U69" s="1335"/>
      <c r="V69" s="1411"/>
      <c r="W69" s="1411"/>
      <c r="X69" s="1411"/>
    </row>
    <row r="70" spans="1:77">
      <c r="A70" s="1336" t="s">
        <v>678</v>
      </c>
      <c r="B70" s="1335" t="s">
        <v>348</v>
      </c>
      <c r="C70" s="1454"/>
      <c r="D70" s="1454">
        <v>799.55600000000004</v>
      </c>
      <c r="E70" s="1454">
        <v>1036.7729999999999</v>
      </c>
      <c r="F70" s="1454">
        <v>831.9</v>
      </c>
      <c r="G70" s="1454">
        <v>1016.8</v>
      </c>
      <c r="H70" s="1335">
        <v>1653.4</v>
      </c>
      <c r="I70" s="1358"/>
      <c r="J70" s="1358"/>
      <c r="K70" s="1358"/>
      <c r="L70" s="1358"/>
      <c r="M70" s="1495"/>
      <c r="N70" s="1495"/>
      <c r="O70" s="1495"/>
      <c r="P70" s="1358"/>
      <c r="Q70" s="1358"/>
      <c r="R70" s="1358"/>
      <c r="S70" s="1358"/>
      <c r="T70" s="1358"/>
      <c r="U70" s="1335"/>
      <c r="V70" s="1411"/>
      <c r="W70" s="1411"/>
      <c r="X70" s="1411"/>
    </row>
    <row r="71" spans="1:77">
      <c r="A71" s="1336" t="s">
        <v>678</v>
      </c>
      <c r="B71" s="1335" t="s">
        <v>349</v>
      </c>
      <c r="C71" s="1454"/>
      <c r="D71" s="1454"/>
      <c r="E71" s="1454"/>
      <c r="F71" s="1454"/>
      <c r="G71" s="1454"/>
      <c r="H71" s="1335"/>
      <c r="I71" s="1358"/>
      <c r="J71" s="1358"/>
      <c r="K71" s="1358"/>
      <c r="L71" s="1358"/>
      <c r="M71" s="1358"/>
      <c r="N71" s="1358"/>
      <c r="O71" s="1358"/>
      <c r="P71" s="1358"/>
      <c r="Q71" s="1358"/>
      <c r="R71" s="1358"/>
      <c r="S71" s="1358"/>
      <c r="T71" s="1358"/>
      <c r="U71" s="1335"/>
      <c r="V71" s="1411"/>
      <c r="W71" s="1411"/>
      <c r="X71" s="1411"/>
    </row>
    <row r="72" spans="1:77">
      <c r="A72" s="1336" t="s">
        <v>678</v>
      </c>
      <c r="B72" s="1335" t="s">
        <v>350</v>
      </c>
      <c r="C72" s="1454">
        <v>301.33300000000003</v>
      </c>
      <c r="D72" s="1454">
        <v>263.8</v>
      </c>
      <c r="E72" s="1454">
        <v>249.381</v>
      </c>
      <c r="F72" s="1454">
        <v>199.5</v>
      </c>
      <c r="G72" s="1454">
        <v>330.5</v>
      </c>
      <c r="H72" s="1335"/>
      <c r="I72" s="1358"/>
      <c r="J72" s="1335"/>
      <c r="K72" s="1335"/>
      <c r="L72" s="1335"/>
      <c r="M72" s="1335"/>
      <c r="N72" s="1335"/>
      <c r="O72" s="1335"/>
      <c r="P72" s="1335"/>
      <c r="Q72" s="1335"/>
      <c r="R72" s="1335"/>
      <c r="S72" s="1335"/>
      <c r="T72" s="1335"/>
      <c r="U72" s="1335"/>
      <c r="V72" s="1411"/>
      <c r="W72" s="1411"/>
      <c r="X72" s="1411"/>
    </row>
    <row r="73" spans="1:77" ht="15.75">
      <c r="A73" s="1336" t="s">
        <v>678</v>
      </c>
      <c r="B73" s="1335" t="s">
        <v>351</v>
      </c>
      <c r="C73" s="1454">
        <f>2959.921-1643.85</f>
        <v>1316.0709999999999</v>
      </c>
      <c r="D73" s="1454">
        <f>3.657+6.04+0.479+579.507+0.001+17.289+0.13+430.514+45.83+0.476+7.522+1.263+0.249+168.839</f>
        <v>1261.7959999999998</v>
      </c>
      <c r="E73" s="1454">
        <f>4.193+4.641+2.416+24.259+22.504+14.352+1.892+508.551+65.36+5.407+2.82+179.178</f>
        <v>835.57300000000009</v>
      </c>
      <c r="F73" s="1454">
        <v>1684.4</v>
      </c>
      <c r="G73" s="1454">
        <v>1658.9</v>
      </c>
      <c r="H73" s="1335">
        <f>13.7+1.8+5.5+71.6+2.9+3.5+11.3+0.4+583.6+1162.6</f>
        <v>1856.9</v>
      </c>
      <c r="I73" s="1358">
        <v>3687.8</v>
      </c>
      <c r="J73" s="1358">
        <f>4124.8-345.1</f>
        <v>3779.7000000000003</v>
      </c>
      <c r="K73" s="1358">
        <v>5014.1000000000004</v>
      </c>
      <c r="L73" s="1358">
        <v>6487.1</v>
      </c>
      <c r="M73" s="1358">
        <v>5082.8999999999996</v>
      </c>
      <c r="N73" s="1358">
        <v>4318.7</v>
      </c>
      <c r="O73" s="1358">
        <v>5080.8</v>
      </c>
      <c r="P73" s="1358">
        <v>4348.1000000000004</v>
      </c>
      <c r="Q73" s="1358">
        <f>+'Model wise sales'!Q89+'Model wise sales'!Q91+'Model wise sales'!Q93</f>
        <v>4063.0133645733231</v>
      </c>
      <c r="R73" s="1358">
        <f>+'Model wise sales'!R89+'Model wise sales'!R91+'Model wise sales'!R93</f>
        <v>4684.829316136631</v>
      </c>
      <c r="S73" s="1358">
        <f>+'Model wise sales'!S89+'Model wise sales'!S91+'Model wise sales'!S93</f>
        <v>4632.6030332766986</v>
      </c>
      <c r="T73" s="1358">
        <f>+'Model wise sales'!T89+'Model wise sales'!T91+'Model wise sales'!T93</f>
        <v>5490.4330760563071</v>
      </c>
      <c r="U73" s="1335">
        <v>2259.1999999999998</v>
      </c>
      <c r="V73" s="1411"/>
      <c r="W73" s="1411"/>
      <c r="X73" s="1411"/>
      <c r="AM73" s="1447" t="s">
        <v>2597</v>
      </c>
    </row>
    <row r="74" spans="1:77" s="1503" customFormat="1" ht="12.75">
      <c r="A74" s="1496"/>
      <c r="B74" s="1497" t="s">
        <v>759</v>
      </c>
      <c r="C74" s="1498"/>
      <c r="D74" s="1498"/>
      <c r="E74" s="1498"/>
      <c r="F74" s="1498"/>
      <c r="G74" s="1498"/>
      <c r="H74" s="1499"/>
      <c r="I74" s="1499"/>
      <c r="J74" s="1499"/>
      <c r="K74" s="1499"/>
      <c r="L74" s="1500">
        <f>+L73/'Driver Sheet'!H83</f>
        <v>0.1005879817279096</v>
      </c>
      <c r="M74" s="1500">
        <f>+M73/'Driver Sheet'!I83</f>
        <v>7.809909545854736E-2</v>
      </c>
      <c r="N74" s="1500">
        <f>+N73/'Driver Sheet'!J83</f>
        <v>5.4450252538624663E-2</v>
      </c>
      <c r="O74" s="1500">
        <f>+O73/'Driver Sheet'!K83</f>
        <v>5.39912139946995E-2</v>
      </c>
      <c r="P74" s="1500">
        <f>+P73/'Driver Sheet'!L83</f>
        <v>4.4495497339336887E-2</v>
      </c>
      <c r="Q74" s="1500">
        <f>+Q73/'Driver Sheet'!M83</f>
        <v>4.9535992232191947E-2</v>
      </c>
      <c r="R74" s="1500">
        <f>+R73/'Driver Sheet'!N83</f>
        <v>4.9383101724919873E-2</v>
      </c>
      <c r="S74" s="1500">
        <f>+S73/'Driver Sheet'!O83</f>
        <v>4.1243346743718642E-2</v>
      </c>
      <c r="T74" s="1500">
        <f>+T73/'Driver Sheet'!P83</f>
        <v>4.1026161503486772E-2</v>
      </c>
      <c r="U74" s="1497">
        <v>282.39</v>
      </c>
      <c r="V74" s="1501"/>
      <c r="W74" s="1501"/>
      <c r="X74" s="1501"/>
      <c r="Y74" s="1502"/>
    </row>
    <row r="75" spans="1:77" s="1424" customFormat="1" ht="15">
      <c r="A75" s="1338"/>
      <c r="B75" s="1504" t="s">
        <v>657</v>
      </c>
      <c r="C75" s="1505">
        <f t="shared" ref="C75:M75" si="69">+C68-C69+SUM(C70:C73)</f>
        <v>43169.178</v>
      </c>
      <c r="D75" s="1505">
        <f t="shared" si="69"/>
        <v>49876.86</v>
      </c>
      <c r="E75" s="1505">
        <f t="shared" si="69"/>
        <v>59485.317999999999</v>
      </c>
      <c r="F75" s="1505">
        <f t="shared" si="69"/>
        <v>77409.600000000006</v>
      </c>
      <c r="G75" s="1505">
        <f t="shared" si="69"/>
        <v>95928.2</v>
      </c>
      <c r="H75" s="1504">
        <f t="shared" si="69"/>
        <v>90169.5</v>
      </c>
      <c r="I75" s="1506">
        <f t="shared" si="69"/>
        <v>88148.1</v>
      </c>
      <c r="J75" s="1504">
        <f t="shared" si="69"/>
        <v>118864.7</v>
      </c>
      <c r="K75" s="1504">
        <f t="shared" si="69"/>
        <v>163982.29999999999</v>
      </c>
      <c r="L75" s="1504">
        <f t="shared" si="69"/>
        <v>195289.8</v>
      </c>
      <c r="M75" s="1504">
        <f t="shared" si="69"/>
        <v>199972.5</v>
      </c>
      <c r="N75" s="1504">
        <f>+N68-N69+SUM(N70:N73)</f>
        <v>201495.1</v>
      </c>
      <c r="O75" s="1504">
        <f>+O68-O69+SUM(O70:O73)</f>
        <v>216120.1</v>
      </c>
      <c r="P75" s="1504">
        <f>+P68-P69+SUM(P70:P73)</f>
        <v>226875.9</v>
      </c>
      <c r="Q75" s="1504">
        <f>+Q68-Q69+SUM(Q70:Q73)</f>
        <v>222576.35616829491</v>
      </c>
      <c r="R75" s="1504">
        <f>+R68-R69+SUM(R70:R73)</f>
        <v>262363.62891264667</v>
      </c>
      <c r="S75" s="1504">
        <f t="shared" ref="S75:T75" si="70">+S68-S69+SUM(S70:S73)</f>
        <v>303817.245014577</v>
      </c>
      <c r="T75" s="1504">
        <f t="shared" si="70"/>
        <v>352252.66332878638</v>
      </c>
      <c r="U75" s="1504">
        <f>+U73+U74</f>
        <v>2541.5899999999997</v>
      </c>
      <c r="V75" s="1507"/>
      <c r="W75" s="1507"/>
      <c r="X75" s="1507"/>
      <c r="Y75" s="1508"/>
      <c r="Z75" s="1508"/>
      <c r="AA75" s="1508"/>
      <c r="AB75" s="1508"/>
      <c r="AC75" s="1508"/>
      <c r="AD75" s="1508"/>
      <c r="AE75" s="1508"/>
      <c r="AF75" s="1508"/>
      <c r="AG75" s="1508"/>
      <c r="AH75" s="1508"/>
      <c r="AI75" s="1508"/>
      <c r="AJ75" s="1508"/>
      <c r="AK75" s="1508"/>
      <c r="AL75" s="1508"/>
      <c r="AM75" s="1447" t="s">
        <v>2577</v>
      </c>
    </row>
    <row r="76" spans="1:77">
      <c r="A76" s="1336"/>
      <c r="B76" s="1335"/>
      <c r="C76" s="1454"/>
      <c r="D76" s="1454"/>
      <c r="E76" s="1454"/>
      <c r="F76" s="1454"/>
      <c r="G76" s="1454"/>
      <c r="H76" s="1335"/>
      <c r="I76" s="1358"/>
      <c r="J76" s="1509">
        <f t="shared" ref="J76:R76" si="71">(J75/I75-1)*100</f>
        <v>34.846582059057418</v>
      </c>
      <c r="K76" s="1509">
        <f t="shared" si="71"/>
        <v>37.957105852284137</v>
      </c>
      <c r="L76" s="1509">
        <f t="shared" si="71"/>
        <v>19.091999563367512</v>
      </c>
      <c r="M76" s="1509">
        <f t="shared" si="71"/>
        <v>2.3978210843577097</v>
      </c>
      <c r="N76" s="1509">
        <f t="shared" si="71"/>
        <v>0.76140469314531778</v>
      </c>
      <c r="O76" s="1509">
        <f t="shared" si="71"/>
        <v>7.258241019260514</v>
      </c>
      <c r="P76" s="1510">
        <f t="shared" si="71"/>
        <v>4.9767698608319977</v>
      </c>
      <c r="Q76" s="1510">
        <f t="shared" si="71"/>
        <v>-1.8951082207079195</v>
      </c>
      <c r="R76" s="1510">
        <f t="shared" si="71"/>
        <v>17.875785833364866</v>
      </c>
      <c r="S76" s="1510">
        <f t="shared" ref="S76" si="72">(S75/R75-1)*100</f>
        <v>15.800062026025795</v>
      </c>
      <c r="T76" s="1510">
        <f t="shared" ref="T76" si="73">(T75/S75-1)*100</f>
        <v>15.942287381312227</v>
      </c>
      <c r="U76" s="1335"/>
      <c r="V76" s="1411"/>
      <c r="W76" s="1411"/>
      <c r="X76" s="1411"/>
    </row>
    <row r="77" spans="1:77">
      <c r="A77" s="1511" t="s">
        <v>316</v>
      </c>
      <c r="B77" s="1335"/>
      <c r="C77" s="1454"/>
      <c r="D77" s="1454"/>
      <c r="E77" s="1454"/>
      <c r="F77" s="1454"/>
      <c r="G77" s="1454"/>
      <c r="H77" s="1335"/>
      <c r="I77" s="1358"/>
      <c r="J77" s="1335"/>
      <c r="K77" s="1335"/>
      <c r="L77" s="1335"/>
      <c r="M77" s="1335"/>
      <c r="N77" s="1335"/>
      <c r="O77" s="1335"/>
      <c r="P77" s="1335"/>
      <c r="Q77" s="1335"/>
      <c r="R77" s="1335"/>
      <c r="S77" s="1335"/>
      <c r="T77" s="1335"/>
      <c r="U77" s="1335"/>
      <c r="V77" s="1411"/>
      <c r="W77" s="1411"/>
      <c r="X77" s="1411"/>
    </row>
    <row r="78" spans="1:77" s="1493" customFormat="1" ht="12.75">
      <c r="A78" s="1355"/>
      <c r="B78" s="1356" t="s">
        <v>352</v>
      </c>
      <c r="C78" s="1494"/>
      <c r="D78" s="1494"/>
      <c r="E78" s="1494"/>
      <c r="F78" s="1494"/>
      <c r="G78" s="1494"/>
      <c r="H78" s="1356"/>
      <c r="I78" s="1357"/>
      <c r="J78" s="1356"/>
      <c r="K78" s="1356"/>
      <c r="L78" s="1356"/>
      <c r="M78" s="1356"/>
      <c r="N78" s="1356"/>
      <c r="O78" s="1356"/>
      <c r="P78" s="1356"/>
      <c r="Q78" s="1356"/>
      <c r="R78" s="1356"/>
      <c r="S78" s="1356"/>
      <c r="T78" s="1356"/>
      <c r="U78" s="1356"/>
      <c r="V78" s="1512"/>
      <c r="W78" s="1512"/>
      <c r="X78" s="1512"/>
    </row>
    <row r="79" spans="1:77">
      <c r="A79" s="1336"/>
      <c r="B79" s="1335"/>
      <c r="C79" s="1454"/>
      <c r="D79" s="1454"/>
      <c r="E79" s="1454"/>
      <c r="F79" s="1454"/>
      <c r="G79" s="1454"/>
      <c r="H79" s="1335"/>
      <c r="I79" s="1358"/>
      <c r="J79" s="1335"/>
      <c r="K79" s="1335"/>
      <c r="L79" s="1335"/>
      <c r="M79" s="1335"/>
      <c r="N79" s="1335"/>
      <c r="O79" s="1335"/>
      <c r="P79" s="1335"/>
      <c r="Q79" s="1335"/>
      <c r="R79" s="1335"/>
      <c r="S79" s="1335"/>
      <c r="T79" s="1335"/>
      <c r="U79" s="1335"/>
      <c r="V79" s="1411"/>
      <c r="W79" s="1411"/>
      <c r="X79" s="1411"/>
    </row>
    <row r="80" spans="1:77" ht="14.25">
      <c r="A80" s="1336" t="s">
        <v>678</v>
      </c>
      <c r="B80" s="1335" t="s">
        <v>353</v>
      </c>
      <c r="C80" s="1454">
        <f>25674.648+111.038</f>
        <v>25785.686000000002</v>
      </c>
      <c r="D80" s="1454">
        <v>30881.395</v>
      </c>
      <c r="E80" s="1454">
        <v>39155.660000000003</v>
      </c>
      <c r="F80" s="1454">
        <v>51313.8</v>
      </c>
      <c r="G80" s="1454">
        <v>66548.899999999994</v>
      </c>
      <c r="H80" s="1335">
        <v>63424</v>
      </c>
      <c r="I80" s="1358">
        <v>60653.7</v>
      </c>
      <c r="J80" s="1358">
        <v>77001.100000000006</v>
      </c>
      <c r="K80" s="1488">
        <v>113118.9</v>
      </c>
      <c r="L80" s="1488">
        <v>134455.4</v>
      </c>
      <c r="M80" s="1358">
        <v>135237.4</v>
      </c>
      <c r="N80" s="1358">
        <v>129364.7</v>
      </c>
      <c r="O80" s="1358">
        <v>137527.9</v>
      </c>
      <c r="P80" s="1358">
        <f>+P10</f>
        <v>150568.6</v>
      </c>
      <c r="Q80" s="1358">
        <f>132853.6+13824.7-436.8</f>
        <v>146241.50000000003</v>
      </c>
      <c r="R80" s="1099">
        <f>R9*R86/100</f>
        <v>178669.63128951236</v>
      </c>
      <c r="S80" s="1099">
        <f>S9*S86/100</f>
        <v>207507.17834495608</v>
      </c>
      <c r="T80" s="1099">
        <f>T9*T86/100</f>
        <v>243406.59036019136</v>
      </c>
      <c r="U80" s="1335"/>
      <c r="V80" s="1411"/>
      <c r="W80" s="1411"/>
      <c r="X80" s="1411"/>
      <c r="AM80" s="1484" t="s">
        <v>2570</v>
      </c>
    </row>
    <row r="81" spans="1:40">
      <c r="A81" s="1336" t="s">
        <v>678</v>
      </c>
      <c r="B81" s="1335" t="s">
        <v>354</v>
      </c>
      <c r="C81" s="1454">
        <v>-325.72899999999998</v>
      </c>
      <c r="D81" s="1454">
        <v>-105.943</v>
      </c>
      <c r="E81" s="1454">
        <v>110.977</v>
      </c>
      <c r="F81" s="1454">
        <v>-490.1</v>
      </c>
      <c r="G81" s="1454">
        <v>9</v>
      </c>
      <c r="H81" s="1335">
        <f>-657.4+28.5</f>
        <v>-628.9</v>
      </c>
      <c r="I81" s="1358">
        <f>2449/10</f>
        <v>244.9</v>
      </c>
      <c r="J81" s="1335">
        <v>-476</v>
      </c>
      <c r="K81" s="1513">
        <v>-827.9</v>
      </c>
      <c r="L81" s="1513">
        <v>-941.5</v>
      </c>
      <c r="M81" s="1335">
        <v>240</v>
      </c>
      <c r="N81" s="1335">
        <v>-189</v>
      </c>
      <c r="O81" s="1335">
        <v>-575.6</v>
      </c>
      <c r="P81" s="1335"/>
      <c r="Q81" s="1335"/>
      <c r="R81" s="1335"/>
      <c r="S81" s="1335"/>
      <c r="T81" s="1335"/>
      <c r="U81" s="1335"/>
      <c r="V81" s="1411"/>
      <c r="W81" s="1411"/>
      <c r="X81" s="1411"/>
    </row>
    <row r="82" spans="1:40">
      <c r="A82" s="1336" t="s">
        <v>678</v>
      </c>
      <c r="B82" s="1335" t="s">
        <v>355</v>
      </c>
      <c r="C82" s="1454">
        <v>758.39400000000001</v>
      </c>
      <c r="D82" s="1454">
        <f>1043.347+173.42</f>
        <v>1216.7670000000001</v>
      </c>
      <c r="E82" s="1454">
        <f>1616.79+137.42</f>
        <v>1754.21</v>
      </c>
      <c r="F82" s="1454">
        <f>2410.1+12.2</f>
        <v>2422.2999999999997</v>
      </c>
      <c r="G82" s="1454">
        <f>2374.1+78.1</f>
        <v>2452.1999999999998</v>
      </c>
      <c r="H82" s="1335">
        <v>3397.8</v>
      </c>
      <c r="I82" s="1358">
        <f>3743.6-26.5</f>
        <v>3717.1</v>
      </c>
      <c r="J82" s="1335">
        <f>4198.1-18.8</f>
        <v>4179.3</v>
      </c>
      <c r="K82" s="1335">
        <v>5697.1</v>
      </c>
      <c r="L82" s="1335">
        <v>7511.5</v>
      </c>
      <c r="M82" s="1335">
        <v>8588.2999999999993</v>
      </c>
      <c r="N82" s="1335">
        <v>9591</v>
      </c>
      <c r="O82" s="1335">
        <v>11545.7</v>
      </c>
      <c r="P82" s="1335"/>
      <c r="Q82" s="1335"/>
      <c r="R82" s="1335"/>
      <c r="S82" s="1335"/>
      <c r="T82" s="1335"/>
      <c r="U82" s="1335"/>
      <c r="V82" s="1411"/>
      <c r="W82" s="1411"/>
      <c r="X82" s="1411"/>
    </row>
    <row r="83" spans="1:40">
      <c r="A83" s="1336" t="s">
        <v>678</v>
      </c>
      <c r="B83" s="1335" t="s">
        <v>2534</v>
      </c>
      <c r="C83" s="1454">
        <v>664.73</v>
      </c>
      <c r="D83" s="1454"/>
      <c r="E83" s="1454"/>
      <c r="F83" s="1454"/>
      <c r="G83" s="1454"/>
      <c r="H83" s="1335"/>
      <c r="I83" s="1358"/>
      <c r="J83" s="1335"/>
      <c r="K83" s="1335"/>
      <c r="L83" s="1335"/>
      <c r="M83" s="1335"/>
      <c r="N83" s="1335"/>
      <c r="O83" s="1335"/>
      <c r="P83" s="1335"/>
      <c r="Q83" s="1335"/>
      <c r="R83" s="1335"/>
      <c r="S83" s="1335"/>
      <c r="T83" s="1335"/>
      <c r="U83" s="1335"/>
      <c r="V83" s="1411"/>
      <c r="W83" s="1411"/>
      <c r="X83" s="1411"/>
    </row>
    <row r="84" spans="1:40" s="1424" customFormat="1" ht="15">
      <c r="A84" s="1338"/>
      <c r="B84" s="1504" t="s">
        <v>658</v>
      </c>
      <c r="C84" s="1505">
        <f t="shared" ref="C84:M84" si="74">+SUM(C80:C83)</f>
        <v>26883.081000000002</v>
      </c>
      <c r="D84" s="1505">
        <f t="shared" si="74"/>
        <v>31992.219000000001</v>
      </c>
      <c r="E84" s="1505">
        <f t="shared" si="74"/>
        <v>41020.847000000002</v>
      </c>
      <c r="F84" s="1505">
        <f t="shared" si="74"/>
        <v>53246.000000000007</v>
      </c>
      <c r="G84" s="1505">
        <f t="shared" si="74"/>
        <v>69010.099999999991</v>
      </c>
      <c r="H84" s="1504">
        <f t="shared" si="74"/>
        <v>66192.899999999994</v>
      </c>
      <c r="I84" s="1506">
        <f t="shared" si="74"/>
        <v>64615.7</v>
      </c>
      <c r="J84" s="1504">
        <f t="shared" si="74"/>
        <v>80704.400000000009</v>
      </c>
      <c r="K84" s="1504">
        <f t="shared" si="74"/>
        <v>117988.1</v>
      </c>
      <c r="L84" s="1504">
        <f t="shared" si="74"/>
        <v>141025.4</v>
      </c>
      <c r="M84" s="1504">
        <f t="shared" si="74"/>
        <v>144065.69999999998</v>
      </c>
      <c r="N84" s="1504">
        <f>+SUM(N80:N83)</f>
        <v>138766.70000000001</v>
      </c>
      <c r="O84" s="1504">
        <f>+SUM(O80:O83)</f>
        <v>148498</v>
      </c>
      <c r="P84" s="1504">
        <f>+SUM(P80:P83)</f>
        <v>150568.6</v>
      </c>
      <c r="Q84" s="1504">
        <f>+SUM(Q80:Q83)</f>
        <v>146241.50000000003</v>
      </c>
      <c r="R84" s="1504">
        <f>+SUM(R80:R83)</f>
        <v>178669.63128951236</v>
      </c>
      <c r="S84" s="1504">
        <f t="shared" ref="S84:T84" si="75">+SUM(S80:S83)</f>
        <v>207507.17834495608</v>
      </c>
      <c r="T84" s="1504">
        <f t="shared" si="75"/>
        <v>243406.59036019136</v>
      </c>
      <c r="U84" s="1504">
        <f>Q84/Q75*100</f>
        <v>65.703968973875917</v>
      </c>
      <c r="V84" s="1504">
        <f>R84/R75*100</f>
        <v>68.099999999999994</v>
      </c>
      <c r="W84" s="1507"/>
      <c r="X84" s="1507"/>
      <c r="Y84" s="1508"/>
      <c r="Z84" s="1508"/>
      <c r="AA84" s="1508"/>
      <c r="AB84" s="1508"/>
      <c r="AC84" s="1508"/>
      <c r="AD84" s="1508"/>
      <c r="AE84" s="1508"/>
      <c r="AF84" s="1508"/>
      <c r="AG84" s="1508"/>
      <c r="AH84" s="1508"/>
      <c r="AI84" s="1508"/>
      <c r="AJ84" s="1508"/>
      <c r="AK84" s="1508"/>
      <c r="AL84" s="1508"/>
      <c r="AM84" s="1447" t="s">
        <v>2578</v>
      </c>
    </row>
    <row r="85" spans="1:40">
      <c r="A85" s="1336"/>
      <c r="B85" s="1335"/>
      <c r="C85" s="1454"/>
      <c r="D85" s="1454"/>
      <c r="E85" s="1454"/>
      <c r="F85" s="1454"/>
      <c r="G85" s="1454"/>
      <c r="H85" s="1335"/>
      <c r="I85" s="1514"/>
      <c r="J85" s="1335"/>
      <c r="K85" s="1335"/>
      <c r="L85" s="1335"/>
      <c r="M85" s="1335"/>
      <c r="N85" s="1335"/>
      <c r="O85" s="1335"/>
      <c r="P85" s="1335"/>
      <c r="Q85" s="1335"/>
      <c r="R85" s="1335"/>
      <c r="S85" s="1335"/>
      <c r="T85" s="1335"/>
      <c r="U85" s="1335"/>
      <c r="V85" s="1411"/>
      <c r="W85" s="1411"/>
      <c r="X85" s="1411"/>
    </row>
    <row r="86" spans="1:40" s="1503" customFormat="1" ht="14.25">
      <c r="A86" s="1496" t="s">
        <v>316</v>
      </c>
      <c r="B86" s="1497" t="s">
        <v>356</v>
      </c>
      <c r="C86" s="1498">
        <f t="shared" ref="C86:Q86" si="76">C84/C9*100</f>
        <v>62.273784782281474</v>
      </c>
      <c r="D86" s="1498">
        <f t="shared" si="76"/>
        <v>64.142407922230873</v>
      </c>
      <c r="E86" s="1498">
        <f t="shared" si="76"/>
        <v>68.959616219921699</v>
      </c>
      <c r="F86" s="1498">
        <f t="shared" si="76"/>
        <v>68.784750211860029</v>
      </c>
      <c r="G86" s="1498">
        <f t="shared" si="76"/>
        <v>71.939325453828999</v>
      </c>
      <c r="H86" s="1499">
        <f t="shared" si="76"/>
        <v>73.409412273551467</v>
      </c>
      <c r="I86" s="1499">
        <f t="shared" si="76"/>
        <v>73.303565249846557</v>
      </c>
      <c r="J86" s="1499">
        <f t="shared" si="76"/>
        <v>67.896019592023549</v>
      </c>
      <c r="K86" s="1499">
        <f t="shared" si="76"/>
        <v>71.951728936598656</v>
      </c>
      <c r="L86" s="1499">
        <f t="shared" si="76"/>
        <v>72.213397729937768</v>
      </c>
      <c r="M86" s="1499">
        <f t="shared" si="76"/>
        <v>72.042755878933335</v>
      </c>
      <c r="N86" s="1499">
        <f t="shared" si="76"/>
        <v>68.868523353669644</v>
      </c>
      <c r="O86" s="1499">
        <f t="shared" si="76"/>
        <v>68.710869558176213</v>
      </c>
      <c r="P86" s="1499">
        <f t="shared" si="76"/>
        <v>66.663036182643452</v>
      </c>
      <c r="Q86" s="1499">
        <f t="shared" si="76"/>
        <v>67.18594659360086</v>
      </c>
      <c r="R86" s="1182">
        <v>68.099999999999994</v>
      </c>
      <c r="S86" s="1182">
        <v>68.3</v>
      </c>
      <c r="T86" s="1182">
        <v>69.099999999999994</v>
      </c>
      <c r="U86" s="1497"/>
      <c r="V86" s="1501"/>
      <c r="W86" s="1501"/>
      <c r="X86" s="1501"/>
      <c r="Y86" s="1515"/>
      <c r="AM86" s="1484" t="s">
        <v>2569</v>
      </c>
    </row>
    <row r="87" spans="1:40" s="1503" customFormat="1" ht="12.75">
      <c r="A87" s="1496"/>
      <c r="B87" s="1497"/>
      <c r="C87" s="1498"/>
      <c r="D87" s="1498"/>
      <c r="E87" s="1498"/>
      <c r="F87" s="1498"/>
      <c r="G87" s="1498"/>
      <c r="H87" s="1499"/>
      <c r="I87" s="1516"/>
      <c r="J87" s="1499"/>
      <c r="K87" s="1499"/>
      <c r="L87" s="1499"/>
      <c r="M87" s="1499"/>
      <c r="N87" s="1499"/>
      <c r="O87" s="1499"/>
      <c r="P87" s="1499">
        <f>100-P86</f>
        <v>33.336963817356548</v>
      </c>
      <c r="Q87" s="1499">
        <f t="shared" ref="Q87:R87" si="77">100-Q86</f>
        <v>32.81405340639914</v>
      </c>
      <c r="R87" s="1499">
        <f t="shared" si="77"/>
        <v>31.900000000000006</v>
      </c>
      <c r="S87" s="1499">
        <f t="shared" ref="S87:T87" si="78">100-S86</f>
        <v>31.700000000000003</v>
      </c>
      <c r="T87" s="1499">
        <f t="shared" si="78"/>
        <v>30.900000000000006</v>
      </c>
      <c r="U87" s="1497"/>
      <c r="V87" s="1501"/>
      <c r="W87" s="1501"/>
      <c r="X87" s="1501"/>
      <c r="Y87" s="1515"/>
    </row>
    <row r="88" spans="1:40" s="1493" customFormat="1" ht="12.75">
      <c r="A88" s="1355"/>
      <c r="B88" s="1356" t="s">
        <v>839</v>
      </c>
      <c r="C88" s="1494"/>
      <c r="D88" s="1494"/>
      <c r="E88" s="1494"/>
      <c r="F88" s="1494"/>
      <c r="G88" s="1494"/>
      <c r="H88" s="1356"/>
      <c r="I88" s="1517"/>
      <c r="J88" s="1356"/>
      <c r="K88" s="1356"/>
      <c r="L88" s="1356"/>
      <c r="M88" s="1356"/>
      <c r="N88" s="1356"/>
      <c r="O88" s="1356"/>
      <c r="P88" s="1356"/>
      <c r="Q88" s="1356"/>
      <c r="R88" s="1356"/>
      <c r="S88" s="1356"/>
      <c r="T88" s="1356"/>
      <c r="U88" s="1356"/>
      <c r="V88" s="1512"/>
      <c r="W88" s="1512"/>
      <c r="X88" s="1512"/>
    </row>
    <row r="89" spans="1:40" s="1503" customFormat="1" ht="12.75">
      <c r="A89" s="1496"/>
      <c r="B89" s="1497"/>
      <c r="C89" s="1498"/>
      <c r="D89" s="1498"/>
      <c r="E89" s="1498"/>
      <c r="F89" s="1498"/>
      <c r="G89" s="1498"/>
      <c r="H89" s="1499"/>
      <c r="I89" s="1516"/>
      <c r="J89" s="1499"/>
      <c r="K89" s="1499"/>
      <c r="L89" s="1499"/>
      <c r="M89" s="1499"/>
      <c r="N89" s="1499"/>
      <c r="O89" s="1499"/>
      <c r="P89" s="1499"/>
      <c r="Q89" s="1499"/>
      <c r="R89" s="1499"/>
      <c r="S89" s="1499"/>
      <c r="T89" s="1499"/>
      <c r="U89" s="1497"/>
      <c r="V89" s="1501"/>
      <c r="W89" s="1501"/>
      <c r="X89" s="1501"/>
      <c r="Y89" s="1515"/>
    </row>
    <row r="90" spans="1:40" s="1503" customFormat="1" ht="17.25">
      <c r="A90" s="1518" t="s">
        <v>678</v>
      </c>
      <c r="B90" s="1519" t="s">
        <v>1690</v>
      </c>
      <c r="C90" s="1520">
        <v>2838.404</v>
      </c>
      <c r="D90" s="1520">
        <v>2405.3560000000002</v>
      </c>
      <c r="E90" s="1520">
        <v>2490.636</v>
      </c>
      <c r="F90" s="1520">
        <v>2741.3</v>
      </c>
      <c r="G90" s="1520">
        <v>3015.2</v>
      </c>
      <c r="H90" s="1521">
        <v>3467.3</v>
      </c>
      <c r="I90" s="1522">
        <v>3600.9</v>
      </c>
      <c r="J90" s="1522">
        <v>3994.6</v>
      </c>
      <c r="K90" s="1523">
        <v>4767.8</v>
      </c>
      <c r="L90" s="1523">
        <v>5401.1</v>
      </c>
      <c r="M90" s="1519">
        <v>6394.8</v>
      </c>
      <c r="N90" s="1519">
        <v>7265.8</v>
      </c>
      <c r="O90" s="1519">
        <v>8973</v>
      </c>
      <c r="P90" s="1519">
        <f>+P14</f>
        <v>9171.2000000000007</v>
      </c>
      <c r="Q90" s="1519">
        <f>+Q14</f>
        <v>9970.7000000000007</v>
      </c>
      <c r="R90" s="1189">
        <f>Q90*(1+R93/100)</f>
        <v>11566.012000000001</v>
      </c>
      <c r="S90" s="1189">
        <f t="shared" ref="S90:T90" si="79">R90*(1+S93/100)</f>
        <v>13416.573919999999</v>
      </c>
      <c r="T90" s="1189">
        <f t="shared" si="79"/>
        <v>15563.225747199998</v>
      </c>
      <c r="U90" s="1524"/>
      <c r="V90" s="1525"/>
      <c r="W90" s="1525"/>
      <c r="X90" s="1525"/>
      <c r="Y90" s="1526"/>
      <c r="Z90" s="1526"/>
      <c r="AA90" s="1526"/>
      <c r="AB90" s="1526"/>
      <c r="AC90" s="1526"/>
      <c r="AD90" s="1526"/>
      <c r="AE90" s="1526"/>
      <c r="AF90" s="1526"/>
      <c r="AG90" s="1526"/>
      <c r="AH90" s="1526"/>
      <c r="AI90" s="1526"/>
      <c r="AJ90" s="1526"/>
      <c r="AK90" s="1526"/>
      <c r="AL90" s="1526"/>
      <c r="AM90" s="1484" t="s">
        <v>2570</v>
      </c>
      <c r="AN90" s="1447" t="s">
        <v>2581</v>
      </c>
    </row>
    <row r="91" spans="1:40" s="1503" customFormat="1" ht="14.25">
      <c r="A91" s="1496"/>
      <c r="B91" s="1497"/>
      <c r="C91" s="1498"/>
      <c r="D91" s="1498"/>
      <c r="E91" s="1498"/>
      <c r="F91" s="1498"/>
      <c r="G91" s="1498"/>
      <c r="H91" s="1499"/>
      <c r="I91" s="1516"/>
      <c r="J91" s="1499"/>
      <c r="K91" s="1499"/>
      <c r="L91" s="1499"/>
      <c r="M91" s="1499"/>
      <c r="N91" s="1499"/>
      <c r="O91" s="1499"/>
      <c r="P91" s="1499"/>
      <c r="Q91" s="1499"/>
      <c r="R91" s="1499"/>
      <c r="S91" s="1499"/>
      <c r="T91" s="1499"/>
      <c r="U91" s="1497"/>
      <c r="V91" s="1501"/>
      <c r="W91" s="1501"/>
      <c r="X91" s="1501"/>
      <c r="Y91" s="1515"/>
      <c r="AM91" s="1484"/>
    </row>
    <row r="92" spans="1:40" s="1503" customFormat="1" ht="14.25">
      <c r="A92" s="1496"/>
      <c r="B92" s="1497" t="s">
        <v>581</v>
      </c>
      <c r="C92" s="1527">
        <f>C90/C75*100</f>
        <v>6.5750707599760174</v>
      </c>
      <c r="D92" s="1527">
        <f t="shared" ref="D92:O92" si="80">D90/D75*100</f>
        <v>4.8225890723674265</v>
      </c>
      <c r="E92" s="1527">
        <f t="shared" si="80"/>
        <v>4.1869760198642627</v>
      </c>
      <c r="F92" s="1527">
        <f t="shared" si="80"/>
        <v>3.5412920361298861</v>
      </c>
      <c r="G92" s="1527">
        <f t="shared" si="80"/>
        <v>3.1431841731628447</v>
      </c>
      <c r="H92" s="1528">
        <f t="shared" si="80"/>
        <v>3.8453135483727872</v>
      </c>
      <c r="I92" s="1529">
        <f t="shared" si="80"/>
        <v>4.0850568531823148</v>
      </c>
      <c r="J92" s="1529">
        <f t="shared" si="80"/>
        <v>3.360627671630013</v>
      </c>
      <c r="K92" s="1529">
        <f t="shared" si="80"/>
        <v>2.9075089201700428</v>
      </c>
      <c r="L92" s="1529">
        <f t="shared" si="80"/>
        <v>2.7656846389314755</v>
      </c>
      <c r="M92" s="1529">
        <f t="shared" si="80"/>
        <v>3.1978397029591572</v>
      </c>
      <c r="N92" s="1529">
        <f t="shared" si="80"/>
        <v>3.6059437673670471</v>
      </c>
      <c r="O92" s="1529">
        <f t="shared" si="80"/>
        <v>4.1518581566453099</v>
      </c>
      <c r="P92" s="1529">
        <f>P90/P75*100</f>
        <v>4.0423861679446791</v>
      </c>
      <c r="Q92" s="1529">
        <f>Q90/Q75*100</f>
        <v>4.4796761756944807</v>
      </c>
      <c r="R92" s="1529">
        <f>R90/R75*100</f>
        <v>4.4083900073858473</v>
      </c>
      <c r="S92" s="1529">
        <f t="shared" ref="S92:T92" si="81">S90/S75*100</f>
        <v>4.4160014417075892</v>
      </c>
      <c r="T92" s="1529">
        <f t="shared" si="81"/>
        <v>4.4181995957468629</v>
      </c>
      <c r="U92" s="1497"/>
      <c r="V92" s="1501"/>
      <c r="W92" s="1501"/>
      <c r="X92" s="1501"/>
      <c r="Y92" s="1515"/>
      <c r="AM92" s="1484"/>
    </row>
    <row r="93" spans="1:40" s="1503" customFormat="1" ht="14.25">
      <c r="A93" s="1496"/>
      <c r="B93" s="1497" t="s">
        <v>579</v>
      </c>
      <c r="C93" s="1498"/>
      <c r="D93" s="1498">
        <f>(D90/C90-1)*100</f>
        <v>-15.256742873812179</v>
      </c>
      <c r="E93" s="1498">
        <f t="shared" ref="E93:Q93" si="82">(E90/D90-1)*100</f>
        <v>3.5454211351666709</v>
      </c>
      <c r="F93" s="1498">
        <f t="shared" si="82"/>
        <v>10.064256679819938</v>
      </c>
      <c r="G93" s="1498">
        <f t="shared" si="82"/>
        <v>9.991609820158299</v>
      </c>
      <c r="H93" s="1528">
        <f t="shared" si="82"/>
        <v>14.994030246749812</v>
      </c>
      <c r="I93" s="1529">
        <f t="shared" si="82"/>
        <v>3.853142214403138</v>
      </c>
      <c r="J93" s="1529">
        <f t="shared" si="82"/>
        <v>10.933377766669427</v>
      </c>
      <c r="K93" s="1529">
        <f t="shared" si="82"/>
        <v>19.356130776548341</v>
      </c>
      <c r="L93" s="1529">
        <f t="shared" si="82"/>
        <v>13.282855824489292</v>
      </c>
      <c r="M93" s="1529">
        <f t="shared" si="82"/>
        <v>18.398104089907608</v>
      </c>
      <c r="N93" s="1529">
        <f t="shared" si="82"/>
        <v>13.620441608807155</v>
      </c>
      <c r="O93" s="1529">
        <f t="shared" si="82"/>
        <v>23.496380302237885</v>
      </c>
      <c r="P93" s="1529">
        <f t="shared" si="82"/>
        <v>2.2088487685278047</v>
      </c>
      <c r="Q93" s="1529">
        <f t="shared" si="82"/>
        <v>8.7175069783670622</v>
      </c>
      <c r="R93" s="1182">
        <v>16</v>
      </c>
      <c r="S93" s="1182">
        <v>16</v>
      </c>
      <c r="T93" s="1182">
        <v>16</v>
      </c>
      <c r="U93" s="1497"/>
      <c r="V93" s="1501"/>
      <c r="W93" s="1501"/>
      <c r="X93" s="1501"/>
      <c r="Y93" s="1515"/>
      <c r="AM93" s="1484" t="s">
        <v>2569</v>
      </c>
    </row>
    <row r="94" spans="1:40" s="1503" customFormat="1" ht="12.75" hidden="1">
      <c r="A94" s="1496"/>
      <c r="B94" s="1497" t="s">
        <v>1691</v>
      </c>
      <c r="C94" s="1530">
        <v>12338</v>
      </c>
      <c r="D94" s="1530">
        <v>11531</v>
      </c>
      <c r="E94" s="1530">
        <v>10914</v>
      </c>
      <c r="F94" s="1530">
        <v>10579</v>
      </c>
      <c r="G94" s="1530">
        <v>10250</v>
      </c>
      <c r="H94" s="1531">
        <v>9509</v>
      </c>
      <c r="I94" s="1532">
        <v>7318</v>
      </c>
      <c r="J94" s="1532">
        <v>7897</v>
      </c>
      <c r="K94" s="1533">
        <v>8125</v>
      </c>
      <c r="L94" s="1533">
        <v>8627</v>
      </c>
      <c r="M94" s="1497">
        <f>L94+250</f>
        <v>8877</v>
      </c>
      <c r="N94" s="1497">
        <v>9119</v>
      </c>
      <c r="O94" s="1497">
        <v>9183</v>
      </c>
      <c r="P94" s="1497">
        <f>O94+300</f>
        <v>9483</v>
      </c>
      <c r="Q94" s="1497">
        <f>P94+300</f>
        <v>9783</v>
      </c>
      <c r="R94" s="1497">
        <f>Q94+300</f>
        <v>10083</v>
      </c>
      <c r="S94" s="1497">
        <f t="shared" ref="S94:T94" si="83">R94+300</f>
        <v>10383</v>
      </c>
      <c r="T94" s="1497">
        <f t="shared" si="83"/>
        <v>10683</v>
      </c>
      <c r="U94" s="1497"/>
      <c r="V94" s="1501"/>
      <c r="W94" s="1501"/>
      <c r="X94" s="1501"/>
    </row>
    <row r="95" spans="1:40" s="1503" customFormat="1" ht="12.75" hidden="1">
      <c r="A95" s="1496"/>
      <c r="B95" s="1497" t="s">
        <v>1692</v>
      </c>
      <c r="C95" s="1498">
        <f>C75/C94</f>
        <v>3.4988797211865781</v>
      </c>
      <c r="D95" s="1498">
        <f t="shared" ref="D95:L95" si="84">D75/D94</f>
        <v>4.3254583297198854</v>
      </c>
      <c r="E95" s="1498">
        <f t="shared" si="84"/>
        <v>5.4503681509987167</v>
      </c>
      <c r="F95" s="1498">
        <f t="shared" si="84"/>
        <v>7.3172889687115994</v>
      </c>
      <c r="G95" s="1498">
        <f t="shared" si="84"/>
        <v>9.3588487804878042</v>
      </c>
      <c r="H95" s="1531">
        <f t="shared" si="84"/>
        <v>9.4825428541381847</v>
      </c>
      <c r="I95" s="1532">
        <f t="shared" si="84"/>
        <v>12.045381251708118</v>
      </c>
      <c r="J95" s="1532">
        <f t="shared" si="84"/>
        <v>15.051880460934532</v>
      </c>
      <c r="K95" s="1533">
        <f t="shared" si="84"/>
        <v>20.182436923076921</v>
      </c>
      <c r="L95" s="1533">
        <f t="shared" si="84"/>
        <v>22.637046481975194</v>
      </c>
      <c r="M95" s="1533">
        <f t="shared" ref="M95:R95" si="85">M75/M94</f>
        <v>22.527036160865158</v>
      </c>
      <c r="N95" s="1533">
        <f t="shared" si="85"/>
        <v>22.096183792082467</v>
      </c>
      <c r="O95" s="1533">
        <f t="shared" si="85"/>
        <v>23.534803441141239</v>
      </c>
      <c r="P95" s="1533">
        <f t="shared" si="85"/>
        <v>23.924485922176526</v>
      </c>
      <c r="Q95" s="1533">
        <f t="shared" si="85"/>
        <v>22.751339688060401</v>
      </c>
      <c r="R95" s="1533">
        <f t="shared" si="85"/>
        <v>26.020393624183942</v>
      </c>
      <c r="S95" s="1533">
        <f t="shared" ref="S95:T95" si="86">S75/S94</f>
        <v>29.261027161184341</v>
      </c>
      <c r="T95" s="1533">
        <f t="shared" si="86"/>
        <v>32.973196979199322</v>
      </c>
      <c r="U95" s="1497"/>
      <c r="V95" s="1501"/>
      <c r="W95" s="1501"/>
      <c r="X95" s="1501"/>
      <c r="Y95" s="1534"/>
    </row>
    <row r="96" spans="1:40" s="1503" customFormat="1" ht="12.75">
      <c r="A96" s="1496"/>
      <c r="B96" s="1497"/>
      <c r="C96" s="1498"/>
      <c r="D96" s="1498"/>
      <c r="E96" s="1498"/>
      <c r="F96" s="1498"/>
      <c r="G96" s="1498"/>
      <c r="H96" s="1499"/>
      <c r="I96" s="1516"/>
      <c r="J96" s="1499"/>
      <c r="K96" s="1499"/>
      <c r="L96" s="1499"/>
      <c r="M96" s="1499"/>
      <c r="N96" s="1499"/>
      <c r="O96" s="1499"/>
      <c r="P96" s="1499"/>
      <c r="Q96" s="1499"/>
      <c r="R96" s="1499"/>
      <c r="S96" s="1499"/>
      <c r="T96" s="1499"/>
      <c r="U96" s="1497"/>
      <c r="V96" s="1501"/>
      <c r="W96" s="1501"/>
      <c r="X96" s="1501"/>
      <c r="Y96" s="1515"/>
    </row>
    <row r="97" spans="1:39" s="1493" customFormat="1" ht="12.75">
      <c r="A97" s="1355"/>
      <c r="B97" s="1356" t="s">
        <v>357</v>
      </c>
      <c r="C97" s="1494"/>
      <c r="D97" s="1494"/>
      <c r="E97" s="1494"/>
      <c r="F97" s="1494"/>
      <c r="G97" s="1494"/>
      <c r="H97" s="1356"/>
      <c r="I97" s="1517"/>
      <c r="J97" s="1356"/>
      <c r="K97" s="1356"/>
      <c r="L97" s="1356"/>
      <c r="M97" s="1356"/>
      <c r="N97" s="1356"/>
      <c r="O97" s="1356"/>
      <c r="P97" s="1356"/>
      <c r="Q97" s="1356"/>
      <c r="R97" s="1356"/>
      <c r="S97" s="1356"/>
      <c r="T97" s="1356"/>
      <c r="U97" s="1356"/>
      <c r="V97" s="1512"/>
      <c r="W97" s="1512"/>
      <c r="X97" s="1512"/>
    </row>
    <row r="98" spans="1:39">
      <c r="A98" s="1336"/>
      <c r="B98" s="1335"/>
      <c r="C98" s="1454"/>
      <c r="D98" s="1454"/>
      <c r="E98" s="1454"/>
      <c r="F98" s="1454"/>
      <c r="G98" s="1454"/>
      <c r="H98" s="1535"/>
      <c r="I98" s="1535"/>
      <c r="J98" s="1535"/>
      <c r="K98" s="1535"/>
      <c r="L98" s="1535"/>
      <c r="M98" s="1535"/>
      <c r="N98" s="1335"/>
      <c r="O98" s="1335"/>
      <c r="P98" s="1535"/>
      <c r="Q98" s="1535"/>
      <c r="R98" s="1535"/>
      <c r="S98" s="1535"/>
      <c r="T98" s="1535"/>
      <c r="U98" s="1335"/>
      <c r="V98" s="1411"/>
      <c r="W98" s="1411"/>
      <c r="X98" s="1411"/>
      <c r="Y98" s="1427"/>
    </row>
    <row r="99" spans="1:39" ht="14.25">
      <c r="A99" s="1336" t="s">
        <v>678</v>
      </c>
      <c r="B99" s="1335" t="s">
        <v>982</v>
      </c>
      <c r="C99" s="1536">
        <v>180.24199999999999</v>
      </c>
      <c r="D99" s="1536">
        <v>327.512</v>
      </c>
      <c r="E99" s="1536">
        <v>153.30000000000001</v>
      </c>
      <c r="F99" s="1536">
        <v>297.39999999999998</v>
      </c>
      <c r="G99" s="1536">
        <v>1030.5</v>
      </c>
      <c r="H99" s="1513">
        <v>293.60000000000002</v>
      </c>
      <c r="I99" s="1488">
        <v>606</v>
      </c>
      <c r="J99" s="1513">
        <v>428.7</v>
      </c>
      <c r="K99" s="1513">
        <v>167.6</v>
      </c>
      <c r="L99" s="1513">
        <v>189.8</v>
      </c>
      <c r="M99" s="1335">
        <f>358.2+205.1</f>
        <v>563.29999999999995</v>
      </c>
      <c r="N99" s="1335">
        <f>428.7+237.1</f>
        <v>665.8</v>
      </c>
      <c r="O99" s="1335">
        <f>554.5+297.7</f>
        <v>852.2</v>
      </c>
      <c r="P99" s="1335">
        <f>991.5+415.7</f>
        <v>1407.2</v>
      </c>
      <c r="Q99" s="1335">
        <f t="shared" ref="Q99:Q103" si="87">+Q113*Q$9/100</f>
        <v>1088.3340000000001</v>
      </c>
      <c r="R99" s="1335">
        <f>+R113*R$9/100</f>
        <v>1311.8181445632333</v>
      </c>
      <c r="S99" s="1100">
        <f>S113*S$9/100</f>
        <v>1519.0862250728851</v>
      </c>
      <c r="T99" s="1100">
        <f t="shared" ref="T99" si="88">T113/100*T$9</f>
        <v>1761.2633166439318</v>
      </c>
      <c r="U99" s="1335"/>
      <c r="V99" s="1411"/>
      <c r="W99" s="1411"/>
      <c r="X99" s="1411"/>
      <c r="AM99" s="1484" t="s">
        <v>2570</v>
      </c>
    </row>
    <row r="100" spans="1:39" ht="14.25">
      <c r="A100" s="1336" t="s">
        <v>678</v>
      </c>
      <c r="B100" s="1335" t="s">
        <v>981</v>
      </c>
      <c r="C100" s="1536">
        <v>1290.661325</v>
      </c>
      <c r="D100" s="1536">
        <v>1293.2207100000001</v>
      </c>
      <c r="E100" s="1536">
        <v>1438.705528</v>
      </c>
      <c r="F100" s="1536">
        <v>1069.8</v>
      </c>
      <c r="G100" s="1536">
        <v>1219.2</v>
      </c>
      <c r="H100" s="1513">
        <v>1271.5</v>
      </c>
      <c r="I100" s="1488">
        <v>852.7</v>
      </c>
      <c r="J100" s="1513">
        <v>1402.1</v>
      </c>
      <c r="K100" s="1513">
        <v>816.9</v>
      </c>
      <c r="L100" s="1513">
        <v>1603.1</v>
      </c>
      <c r="M100" s="1335">
        <v>2019.5</v>
      </c>
      <c r="N100" s="1335">
        <v>2623.3</v>
      </c>
      <c r="O100" s="1335">
        <v>3128</v>
      </c>
      <c r="P100" s="1335">
        <v>4342.1000000000004</v>
      </c>
      <c r="Q100" s="1335">
        <f t="shared" si="87"/>
        <v>3265.002</v>
      </c>
      <c r="R100" s="1100">
        <f t="shared" ref="R100:S100" si="89">R114/100*R$9</f>
        <v>3935.4544336896997</v>
      </c>
      <c r="S100" s="1100">
        <f t="shared" ref="S100:T103" si="90">S114/100*S$9</f>
        <v>4557.2586752186544</v>
      </c>
      <c r="T100" s="1100">
        <f t="shared" si="90"/>
        <v>5283.7899499317955</v>
      </c>
      <c r="U100" s="1335"/>
      <c r="V100" s="1411"/>
      <c r="W100" s="1411"/>
      <c r="X100" s="1411"/>
      <c r="AM100" s="1484" t="s">
        <v>2570</v>
      </c>
    </row>
    <row r="101" spans="1:39" ht="14.25">
      <c r="A101" s="1336" t="s">
        <v>678</v>
      </c>
      <c r="B101" s="1335" t="s">
        <v>922</v>
      </c>
      <c r="C101" s="1536">
        <v>442.28399999999999</v>
      </c>
      <c r="D101" s="1536">
        <v>615.04600000000005</v>
      </c>
      <c r="E101" s="1536">
        <v>786.8</v>
      </c>
      <c r="F101" s="1536">
        <v>891.6</v>
      </c>
      <c r="G101" s="1536">
        <v>1422.9</v>
      </c>
      <c r="H101" s="1513">
        <v>1474.6</v>
      </c>
      <c r="I101" s="1488">
        <v>1662.6</v>
      </c>
      <c r="J101" s="1513">
        <v>1615.5</v>
      </c>
      <c r="K101" s="1513">
        <v>2521.4</v>
      </c>
      <c r="L101" s="1513">
        <v>3237.4</v>
      </c>
      <c r="M101" s="1335">
        <f>2554.1+504.4</f>
        <v>3058.5</v>
      </c>
      <c r="N101" s="1335">
        <f>2686.5+541</f>
        <v>3227.5</v>
      </c>
      <c r="O101" s="1335">
        <f>3128+803.7</f>
        <v>3931.7</v>
      </c>
      <c r="P101" s="1335">
        <f>3093.8+391.2</f>
        <v>3485</v>
      </c>
      <c r="Q101" s="1335">
        <f t="shared" si="87"/>
        <v>3047.3352</v>
      </c>
      <c r="R101" s="1100">
        <f t="shared" ref="R101:S101" si="91">R115/100*R$9</f>
        <v>3673.0908047770531</v>
      </c>
      <c r="S101" s="1100">
        <f t="shared" si="90"/>
        <v>4253.4414302040777</v>
      </c>
      <c r="T101" s="1100">
        <f t="shared" si="90"/>
        <v>5988.2952765893688</v>
      </c>
      <c r="U101" s="1335"/>
      <c r="V101" s="1411"/>
      <c r="W101" s="1411"/>
      <c r="X101" s="1411"/>
      <c r="AM101" s="1484" t="s">
        <v>2570</v>
      </c>
    </row>
    <row r="102" spans="1:39" ht="14.25">
      <c r="A102" s="1336" t="s">
        <v>678</v>
      </c>
      <c r="B102" s="1335" t="s">
        <v>924</v>
      </c>
      <c r="C102" s="1536">
        <v>649.21699999999998</v>
      </c>
      <c r="D102" s="1536">
        <v>588.02300000000002</v>
      </c>
      <c r="E102" s="1536">
        <v>629.70000000000005</v>
      </c>
      <c r="F102" s="1536">
        <v>742.3</v>
      </c>
      <c r="G102" s="1536">
        <v>772</v>
      </c>
      <c r="H102" s="1513">
        <v>746.7</v>
      </c>
      <c r="I102" s="1488">
        <v>604.70000000000005</v>
      </c>
      <c r="J102" s="1513">
        <v>671.9</v>
      </c>
      <c r="K102" s="1513">
        <v>850</v>
      </c>
      <c r="L102" s="1513">
        <v>1102.5</v>
      </c>
      <c r="M102" s="1335">
        <v>1238.5</v>
      </c>
      <c r="N102" s="1335">
        <v>1249.8</v>
      </c>
      <c r="O102" s="1335">
        <v>1316.9</v>
      </c>
      <c r="P102" s="1335">
        <v>1318</v>
      </c>
      <c r="Q102" s="1335">
        <f t="shared" si="87"/>
        <v>1350.1071075177513</v>
      </c>
      <c r="R102" s="1100">
        <f t="shared" ref="R102:S102" si="92">R116/100*R$9</f>
        <v>1574.1817734758802</v>
      </c>
      <c r="S102" s="1100">
        <f t="shared" si="90"/>
        <v>1822.903470087462</v>
      </c>
      <c r="T102" s="1100">
        <f t="shared" si="90"/>
        <v>2113.5159799727185</v>
      </c>
      <c r="U102" s="1335"/>
      <c r="V102" s="1411"/>
      <c r="W102" s="1411"/>
      <c r="X102" s="1411"/>
      <c r="AM102" s="1484" t="s">
        <v>2570</v>
      </c>
    </row>
    <row r="103" spans="1:39" ht="14.25">
      <c r="A103" s="1336" t="s">
        <v>678</v>
      </c>
      <c r="B103" s="1335" t="s">
        <v>925</v>
      </c>
      <c r="C103" s="1536">
        <v>311.15499999999997</v>
      </c>
      <c r="D103" s="1536">
        <v>625.06600000000003</v>
      </c>
      <c r="E103" s="1536">
        <v>547.9</v>
      </c>
      <c r="F103" s="1536">
        <v>590.9</v>
      </c>
      <c r="G103" s="1536">
        <v>793.4</v>
      </c>
      <c r="H103" s="1513">
        <v>692</v>
      </c>
      <c r="I103" s="1488">
        <v>608.9</v>
      </c>
      <c r="J103" s="1513">
        <v>703.5</v>
      </c>
      <c r="K103" s="1513">
        <v>866.1</v>
      </c>
      <c r="L103" s="1513">
        <v>1018.5</v>
      </c>
      <c r="M103" s="1335">
        <v>1213.3</v>
      </c>
      <c r="N103" s="1335">
        <v>1061.5999999999999</v>
      </c>
      <c r="O103" s="1335">
        <v>1147</v>
      </c>
      <c r="P103" s="1335">
        <v>1206.5999999999999</v>
      </c>
      <c r="Q103" s="1335">
        <f t="shared" si="87"/>
        <v>1088.3340000000001</v>
      </c>
      <c r="R103" s="1100">
        <f>R117/100*R$9</f>
        <v>1311.8181445632333</v>
      </c>
      <c r="S103" s="1100">
        <f t="shared" si="90"/>
        <v>1519.0862250728851</v>
      </c>
      <c r="T103" s="1100">
        <f t="shared" si="90"/>
        <v>1761.2633166439318</v>
      </c>
      <c r="U103" s="1335"/>
      <c r="V103" s="1411"/>
      <c r="W103" s="1411"/>
      <c r="X103" s="1411"/>
      <c r="AM103" s="1484" t="s">
        <v>2570</v>
      </c>
    </row>
    <row r="104" spans="1:39" ht="14.25">
      <c r="A104" s="1336" t="s">
        <v>678</v>
      </c>
      <c r="B104" s="1335" t="s">
        <v>926</v>
      </c>
      <c r="C104" s="1536">
        <v>328.46699999999998</v>
      </c>
      <c r="D104" s="1536">
        <v>434.92200000000003</v>
      </c>
      <c r="E104" s="1536">
        <v>583</v>
      </c>
      <c r="F104" s="1536">
        <v>772.8</v>
      </c>
      <c r="G104" s="1536">
        <v>925.3</v>
      </c>
      <c r="H104" s="1513">
        <v>724.9</v>
      </c>
      <c r="I104" s="1488">
        <v>708.7</v>
      </c>
      <c r="J104" s="1513">
        <v>762</v>
      </c>
      <c r="K104" s="1513">
        <v>796.7</v>
      </c>
      <c r="L104" s="1513">
        <v>1026.9000000000001</v>
      </c>
      <c r="M104" s="1335">
        <f>305.6+955.7</f>
        <v>1261.3000000000002</v>
      </c>
      <c r="N104" s="1335">
        <f>362+1018.1+66.6</f>
        <v>1446.6999999999998</v>
      </c>
      <c r="O104" s="1335">
        <f>1439.9+489.8+67.6</f>
        <v>1997.3</v>
      </c>
      <c r="P104" s="1335">
        <f>499+1465.8</f>
        <v>1964.8</v>
      </c>
      <c r="Q104" s="1335">
        <f t="shared" ref="Q104:R105" si="93">+P104*Q120+P104</f>
        <v>2063.04</v>
      </c>
      <c r="R104" s="1335">
        <f t="shared" si="93"/>
        <v>2166.192</v>
      </c>
      <c r="S104" s="1100">
        <f>R104*(1+S120)</f>
        <v>2274.5016000000001</v>
      </c>
      <c r="T104" s="1100">
        <f t="shared" ref="T104" si="94">S104*(1+T120)</f>
        <v>2501.9517600000004</v>
      </c>
      <c r="U104" s="1335"/>
      <c r="V104" s="1411"/>
      <c r="W104" s="1411"/>
      <c r="X104" s="1411"/>
      <c r="AM104" s="1484" t="s">
        <v>2570</v>
      </c>
    </row>
    <row r="105" spans="1:39" ht="14.25">
      <c r="A105" s="1336" t="s">
        <v>678</v>
      </c>
      <c r="B105" s="1335" t="s">
        <v>923</v>
      </c>
      <c r="C105" s="1536">
        <v>753.36</v>
      </c>
      <c r="D105" s="1536">
        <v>748.70799999999997</v>
      </c>
      <c r="E105" s="1536">
        <v>936.9</v>
      </c>
      <c r="F105" s="1536">
        <v>1051.7</v>
      </c>
      <c r="G105" s="1536">
        <v>1015.4</v>
      </c>
      <c r="H105" s="1513">
        <v>758.8</v>
      </c>
      <c r="I105" s="1488">
        <v>783.9</v>
      </c>
      <c r="J105" s="1513">
        <v>813.8</v>
      </c>
      <c r="K105" s="1513">
        <v>861.2</v>
      </c>
      <c r="L105" s="1513">
        <v>887.7</v>
      </c>
      <c r="M105" s="1335">
        <v>807.9</v>
      </c>
      <c r="N105" s="1335">
        <v>628.70000000000005</v>
      </c>
      <c r="O105" s="1335">
        <v>897.7</v>
      </c>
      <c r="P105" s="1335">
        <v>1048.7</v>
      </c>
      <c r="Q105" s="1335">
        <f t="shared" si="93"/>
        <v>1101.135</v>
      </c>
      <c r="R105" s="1100">
        <f>Q105*(1+R121)</f>
        <v>1156.19175</v>
      </c>
      <c r="S105" s="1100">
        <f t="shared" ref="S105:T105" si="95">R105*(1+S121)</f>
        <v>1214.0013375000001</v>
      </c>
      <c r="T105" s="1100">
        <f t="shared" si="95"/>
        <v>1335.4014712500002</v>
      </c>
      <c r="U105" s="1335"/>
      <c r="V105" s="1411"/>
      <c r="W105" s="1411"/>
      <c r="X105" s="1411"/>
      <c r="AM105" s="1484" t="s">
        <v>2570</v>
      </c>
    </row>
    <row r="106" spans="1:39" hidden="1">
      <c r="A106" s="1336" t="s">
        <v>678</v>
      </c>
      <c r="B106" s="1335" t="s">
        <v>707</v>
      </c>
      <c r="C106" s="1454"/>
      <c r="D106" s="1454"/>
      <c r="E106" s="1454"/>
      <c r="F106" s="1454"/>
      <c r="G106" s="1454"/>
      <c r="H106" s="1335"/>
      <c r="I106" s="1358"/>
      <c r="J106" s="1335"/>
      <c r="K106" s="1335"/>
      <c r="L106" s="1335"/>
      <c r="M106" s="1335">
        <f>4.92+355.2</f>
        <v>360.12</v>
      </c>
      <c r="N106" s="1335">
        <f>11.8+637.8</f>
        <v>649.59999999999991</v>
      </c>
      <c r="O106" s="1335">
        <v>38.200000000000003</v>
      </c>
      <c r="P106" s="1335">
        <v>0</v>
      </c>
      <c r="Q106" s="1335"/>
      <c r="R106" s="1100">
        <f t="shared" ref="R106:T106" si="96">Q106*(1+R122)</f>
        <v>0</v>
      </c>
      <c r="S106" s="1100">
        <f t="shared" si="96"/>
        <v>0</v>
      </c>
      <c r="T106" s="1100">
        <f t="shared" si="96"/>
        <v>0</v>
      </c>
      <c r="U106" s="1335"/>
      <c r="V106" s="1411"/>
      <c r="W106" s="1411"/>
      <c r="X106" s="1411"/>
    </row>
    <row r="107" spans="1:39" hidden="1">
      <c r="A107" s="1336" t="s">
        <v>678</v>
      </c>
      <c r="B107" s="1335" t="s">
        <v>1829</v>
      </c>
      <c r="C107" s="1454"/>
      <c r="D107" s="1454"/>
      <c r="E107" s="1454"/>
      <c r="F107" s="1454"/>
      <c r="G107" s="1454"/>
      <c r="H107" s="1335"/>
      <c r="I107" s="1358"/>
      <c r="J107" s="1335"/>
      <c r="K107" s="1335"/>
      <c r="L107" s="1335"/>
      <c r="M107" s="1335"/>
      <c r="N107" s="1335"/>
      <c r="O107" s="1335"/>
      <c r="P107" s="1335"/>
      <c r="Q107" s="1335"/>
      <c r="R107" s="1100">
        <f t="shared" ref="R107:T107" si="97">Q107*(1+R123)</f>
        <v>0</v>
      </c>
      <c r="S107" s="1100">
        <f t="shared" si="97"/>
        <v>0</v>
      </c>
      <c r="T107" s="1100">
        <f t="shared" si="97"/>
        <v>0</v>
      </c>
      <c r="U107" s="1335"/>
      <c r="V107" s="1411"/>
      <c r="W107" s="1411"/>
      <c r="X107" s="1411"/>
    </row>
    <row r="108" spans="1:39" ht="14.25">
      <c r="A108" s="1336" t="s">
        <v>678</v>
      </c>
      <c r="B108" s="1335" t="s">
        <v>358</v>
      </c>
      <c r="C108" s="1454">
        <f>8526.108-2838.404-205.1-SUM(C99:C106)</f>
        <v>1527.217674999999</v>
      </c>
      <c r="D108" s="1454">
        <f>8885.81-2405.356-238.241-SUM(D99:D106)</f>
        <v>1609.7152899999992</v>
      </c>
      <c r="E108" s="1454">
        <f>9314.344-2490.636-198.36-SUM(E99:E106)</f>
        <v>1549.0424720000001</v>
      </c>
      <c r="F108" s="1454">
        <f>10118.4-2741.3-248.1-SUM(F99:F106)</f>
        <v>1712.5</v>
      </c>
      <c r="G108" s="1454">
        <f>12344.8-3015.2-320.5-SUM(G99:G106)</f>
        <v>1830.3999999999987</v>
      </c>
      <c r="H108" s="1335">
        <f>11912.4-3467.3-230.4-SUM(H99:H106)</f>
        <v>2252.5999999999995</v>
      </c>
      <c r="I108" s="1358">
        <f>12433.5-3600.9-144.2-SUM(I99:I106)</f>
        <v>2860.9000000000005</v>
      </c>
      <c r="J108" s="1358">
        <f>12736.5-3994.6-156.7-SUM(J99:J106)</f>
        <v>2187.6999999999989</v>
      </c>
      <c r="K108" s="1488">
        <f>9484.2-SUM(K99:K106)</f>
        <v>2604.3000000000011</v>
      </c>
      <c r="L108" s="1488">
        <f>11663.4-SUM(L99:L106)</f>
        <v>2597.4999999999982</v>
      </c>
      <c r="M108" s="1488">
        <f>13760-SUM(M99:M107)-628.5</f>
        <v>2609.0799999999981</v>
      </c>
      <c r="N108" s="1358">
        <f>15054.2-SUM(N99:N107)-649-637.8-768.1</f>
        <v>1446.2999999999988</v>
      </c>
      <c r="O108" s="1358">
        <f>18084.1-SUM(O99:O107)-600.5-502.2</f>
        <v>3672.3999999999987</v>
      </c>
      <c r="P108" s="1335">
        <f>19497.6-SUM(P99:P107)-170.2</f>
        <v>4554.9999999999991</v>
      </c>
      <c r="Q108" s="1358">
        <f>+P108*Q122+P108</f>
        <v>4782.7499999999991</v>
      </c>
      <c r="R108" s="1100">
        <f>Q108*(1+R122)</f>
        <v>5021.8874999999989</v>
      </c>
      <c r="S108" s="1100">
        <f t="shared" ref="S108:T108" si="98">R108*(1+S122)</f>
        <v>5272.9818749999995</v>
      </c>
      <c r="T108" s="1100">
        <f t="shared" si="98"/>
        <v>5800.2800625</v>
      </c>
      <c r="U108" s="1335"/>
      <c r="V108" s="1411"/>
      <c r="W108" s="1411"/>
      <c r="X108" s="1411"/>
      <c r="AM108" s="1484" t="s">
        <v>2570</v>
      </c>
    </row>
    <row r="109" spans="1:39" s="1424" customFormat="1" ht="15">
      <c r="A109" s="1338"/>
      <c r="B109" s="1504" t="s">
        <v>328</v>
      </c>
      <c r="C109" s="1505">
        <f t="shared" ref="C109:L109" si="99">+SUM(C99:C106)-C107+C108</f>
        <v>5482.6039999999994</v>
      </c>
      <c r="D109" s="1505">
        <f t="shared" si="99"/>
        <v>6242.2129999999997</v>
      </c>
      <c r="E109" s="1505">
        <f t="shared" si="99"/>
        <v>6625.347999999999</v>
      </c>
      <c r="F109" s="1505">
        <f t="shared" si="99"/>
        <v>7128.9999999999991</v>
      </c>
      <c r="G109" s="1505">
        <f t="shared" si="99"/>
        <v>9009.0999999999985</v>
      </c>
      <c r="H109" s="1504">
        <f t="shared" si="99"/>
        <v>8214.6999999999989</v>
      </c>
      <c r="I109" s="1506">
        <f t="shared" si="99"/>
        <v>8688.4</v>
      </c>
      <c r="J109" s="1504">
        <f>+SUM(J99:J106)-J107+J108</f>
        <v>8585.1999999999989</v>
      </c>
      <c r="K109" s="1504">
        <f>+SUM(K99:K106)-K107+K108</f>
        <v>9484.2000000000007</v>
      </c>
      <c r="L109" s="1504">
        <f t="shared" si="99"/>
        <v>11663.4</v>
      </c>
      <c r="M109" s="1504">
        <f>+SUM(M99:M107)+M108</f>
        <v>13131.5</v>
      </c>
      <c r="N109" s="1504">
        <f>+SUM(N99:N107)+N108</f>
        <v>12999.300000000001</v>
      </c>
      <c r="O109" s="1504">
        <f>+SUM(O99:O107)+O108</f>
        <v>16981.399999999998</v>
      </c>
      <c r="P109" s="1504">
        <f>+SUM(P99:P106)-P107+P108</f>
        <v>19327.399999999998</v>
      </c>
      <c r="Q109" s="1504">
        <f>+SUM(Q99:Q106)-Q107+Q108</f>
        <v>17786.037307517752</v>
      </c>
      <c r="R109" s="1504">
        <f>+SUM(R99:R106)-R107+R108</f>
        <v>20150.634551069099</v>
      </c>
      <c r="S109" s="1504">
        <f t="shared" ref="S109:T109" si="100">+SUM(S99:S106)-S107+S108</f>
        <v>22433.260838155962</v>
      </c>
      <c r="T109" s="1504">
        <f t="shared" si="100"/>
        <v>26545.761133531742</v>
      </c>
      <c r="U109" s="1339"/>
      <c r="V109" s="1422"/>
      <c r="W109" s="1422"/>
      <c r="X109" s="1422"/>
      <c r="AM109" s="1447" t="s">
        <v>2579</v>
      </c>
    </row>
    <row r="110" spans="1:39" s="1542" customFormat="1" ht="12.75">
      <c r="A110" s="1537" t="s">
        <v>316</v>
      </c>
      <c r="B110" s="1489" t="s">
        <v>359</v>
      </c>
      <c r="C110" s="1538">
        <f t="shared" ref="C110:T110" si="101">C109/C9*100</f>
        <v>12.700274255859121</v>
      </c>
      <c r="D110" s="1538">
        <f t="shared" si="101"/>
        <v>12.515248554139133</v>
      </c>
      <c r="E110" s="1538">
        <f t="shared" si="101"/>
        <v>11.137786974594301</v>
      </c>
      <c r="F110" s="1538">
        <f t="shared" si="101"/>
        <v>9.209452057625926</v>
      </c>
      <c r="G110" s="1538">
        <f t="shared" si="101"/>
        <v>9.3915032284562816</v>
      </c>
      <c r="H110" s="1539">
        <f t="shared" si="101"/>
        <v>9.1102867377550059</v>
      </c>
      <c r="I110" s="1539">
        <f t="shared" si="101"/>
        <v>9.856593619147775</v>
      </c>
      <c r="J110" s="1539">
        <f t="shared" si="101"/>
        <v>7.2226657704095487</v>
      </c>
      <c r="K110" s="1539">
        <f t="shared" si="101"/>
        <v>5.7836729939755704</v>
      </c>
      <c r="L110" s="1539">
        <f t="shared" si="101"/>
        <v>5.9723549309794981</v>
      </c>
      <c r="M110" s="1539">
        <f t="shared" si="101"/>
        <v>6.5666529147757817</v>
      </c>
      <c r="N110" s="1539">
        <f t="shared" si="101"/>
        <v>6.4514223919092828</v>
      </c>
      <c r="O110" s="1539">
        <f t="shared" si="101"/>
        <v>7.8573904046870231</v>
      </c>
      <c r="P110" s="1539">
        <f t="shared" si="101"/>
        <v>8.557050842715034</v>
      </c>
      <c r="Q110" s="1539">
        <f t="shared" si="101"/>
        <v>8.1712219353239668</v>
      </c>
      <c r="R110" s="1539">
        <f t="shared" si="101"/>
        <v>7.6804222576819914</v>
      </c>
      <c r="S110" s="1539">
        <f t="shared" si="101"/>
        <v>7.3838010206035625</v>
      </c>
      <c r="T110" s="1539">
        <f t="shared" si="101"/>
        <v>7.5360001206731546</v>
      </c>
      <c r="U110" s="1489"/>
      <c r="V110" s="1540"/>
      <c r="W110" s="1540"/>
      <c r="X110" s="1540"/>
      <c r="Y110" s="1541"/>
    </row>
    <row r="111" spans="1:39" s="1424" customFormat="1" ht="12.75">
      <c r="A111" s="1338"/>
      <c r="B111" s="1339"/>
      <c r="C111" s="1543"/>
      <c r="D111" s="1543"/>
      <c r="E111" s="1543"/>
      <c r="F111" s="1543"/>
      <c r="G111" s="1543"/>
      <c r="H111" s="1339"/>
      <c r="I111" s="1372"/>
      <c r="J111" s="1339"/>
      <c r="K111" s="1339"/>
      <c r="L111" s="1339"/>
      <c r="M111" s="1339"/>
      <c r="N111" s="1339"/>
      <c r="O111" s="1339"/>
      <c r="P111" s="1339"/>
      <c r="Q111" s="1339"/>
      <c r="R111" s="1339"/>
      <c r="S111" s="1339"/>
      <c r="T111" s="1339"/>
      <c r="U111" s="1339"/>
      <c r="V111" s="1422"/>
      <c r="W111" s="1422"/>
      <c r="X111" s="1422"/>
    </row>
    <row r="112" spans="1:39" s="1424" customFormat="1" ht="12.75">
      <c r="A112" s="1338"/>
      <c r="B112" s="1339" t="s">
        <v>927</v>
      </c>
      <c r="C112" s="1543"/>
      <c r="D112" s="1543"/>
      <c r="E112" s="1543"/>
      <c r="F112" s="1543"/>
      <c r="G112" s="1543"/>
      <c r="H112" s="1339"/>
      <c r="I112" s="1372"/>
      <c r="J112" s="1339"/>
      <c r="K112" s="1339"/>
      <c r="L112" s="1339"/>
      <c r="M112" s="1339"/>
      <c r="N112" s="1339"/>
      <c r="O112" s="1339"/>
      <c r="P112" s="1339"/>
      <c r="Q112" s="1339"/>
      <c r="R112" s="1339"/>
      <c r="S112" s="1339"/>
      <c r="T112" s="1339"/>
      <c r="U112" s="1339"/>
      <c r="V112" s="1422"/>
      <c r="W112" s="1422"/>
      <c r="X112" s="1422"/>
    </row>
    <row r="113" spans="1:39" s="1424" customFormat="1" ht="14.25">
      <c r="A113" s="1338"/>
      <c r="B113" s="1335" t="str">
        <f>+B99</f>
        <v xml:space="preserve">Sales/Discounts/Incentives/Sales Promotion commission &amp; incentive </v>
      </c>
      <c r="C113" s="1544">
        <f>+C99/C$9*100</f>
        <v>0.41752474415889962</v>
      </c>
      <c r="D113" s="1544">
        <f t="shared" ref="D113:L113" si="102">+D99/D$9*100</f>
        <v>0.65664117588797688</v>
      </c>
      <c r="E113" s="1544">
        <f t="shared" si="102"/>
        <v>0.25771065055077963</v>
      </c>
      <c r="F113" s="1544">
        <f t="shared" si="102"/>
        <v>0.38419007461606824</v>
      </c>
      <c r="G113" s="1544">
        <f t="shared" si="102"/>
        <v>1.0742409427050648</v>
      </c>
      <c r="H113" s="1509">
        <f t="shared" si="102"/>
        <v>0.32560899195404214</v>
      </c>
      <c r="I113" s="1514">
        <f t="shared" si="102"/>
        <v>0.68747936711057855</v>
      </c>
      <c r="J113" s="1509">
        <f t="shared" si="102"/>
        <v>0.36066216462919604</v>
      </c>
      <c r="K113" s="1509">
        <f t="shared" si="102"/>
        <v>0.10220615273721614</v>
      </c>
      <c r="L113" s="1509">
        <f t="shared" si="102"/>
        <v>9.7188895682211784E-2</v>
      </c>
      <c r="M113" s="1509">
        <f t="shared" ref="M113:N117" si="103">+M99/M$9*100</f>
        <v>0.28168873220067753</v>
      </c>
      <c r="N113" s="1509">
        <f t="shared" si="103"/>
        <v>0.33042987149563435</v>
      </c>
      <c r="O113" s="1509">
        <v>0.6</v>
      </c>
      <c r="P113" s="1509">
        <v>0.6</v>
      </c>
      <c r="Q113" s="1464">
        <v>0.5</v>
      </c>
      <c r="R113" s="1183">
        <v>0.5</v>
      </c>
      <c r="S113" s="1183">
        <v>0.5</v>
      </c>
      <c r="T113" s="1183">
        <v>0.5</v>
      </c>
      <c r="U113" s="1339"/>
      <c r="V113" s="1422"/>
      <c r="W113" s="1422"/>
      <c r="X113" s="1422"/>
      <c r="Y113" s="1545"/>
      <c r="AM113" s="1484" t="s">
        <v>2569</v>
      </c>
    </row>
    <row r="114" spans="1:39" s="1424" customFormat="1" ht="14.25">
      <c r="A114" s="1338"/>
      <c r="B114" s="1335" t="str">
        <f>+B100</f>
        <v>Advertising</v>
      </c>
      <c r="C114" s="1544">
        <f>+C100/C$9*100</f>
        <v>2.989775077486998</v>
      </c>
      <c r="D114" s="1544">
        <f t="shared" ref="D114:L114" si="104">+D100/D$9*100</f>
        <v>2.5928270344203708</v>
      </c>
      <c r="E114" s="1544">
        <f t="shared" si="104"/>
        <v>2.4185892861831886</v>
      </c>
      <c r="F114" s="1544">
        <f t="shared" si="104"/>
        <v>1.3819991318906182</v>
      </c>
      <c r="G114" s="1544">
        <f t="shared" si="104"/>
        <v>1.2709505651101554</v>
      </c>
      <c r="H114" s="1509">
        <f t="shared" si="104"/>
        <v>1.41012204792086</v>
      </c>
      <c r="I114" s="1514">
        <f t="shared" si="104"/>
        <v>0.96734926787985209</v>
      </c>
      <c r="J114" s="1509">
        <f t="shared" si="104"/>
        <v>1.1795764427958848</v>
      </c>
      <c r="K114" s="1509">
        <f t="shared" si="104"/>
        <v>0.49816352130687275</v>
      </c>
      <c r="L114" s="1509">
        <f t="shared" si="104"/>
        <v>0.82088260626002985</v>
      </c>
      <c r="M114" s="1509">
        <f t="shared" si="103"/>
        <v>1.0098888597182114</v>
      </c>
      <c r="N114" s="1509">
        <f t="shared" si="103"/>
        <v>1.3019175156120424</v>
      </c>
      <c r="O114" s="1509">
        <v>1.8</v>
      </c>
      <c r="P114" s="1509">
        <v>1.8</v>
      </c>
      <c r="Q114" s="1464">
        <v>1.5</v>
      </c>
      <c r="R114" s="1183">
        <v>1.5</v>
      </c>
      <c r="S114" s="1183">
        <v>1.5</v>
      </c>
      <c r="T114" s="1183">
        <v>1.5</v>
      </c>
      <c r="U114" s="1339"/>
      <c r="V114" s="1422"/>
      <c r="W114" s="1422"/>
      <c r="X114" s="1422"/>
      <c r="Y114" s="1545"/>
      <c r="AM114" s="1484" t="s">
        <v>2569</v>
      </c>
    </row>
    <row r="115" spans="1:39" s="1424" customFormat="1" ht="14.25">
      <c r="A115" s="1338"/>
      <c r="B115" s="1335" t="str">
        <f>+B101</f>
        <v>Packing/forwarding</v>
      </c>
      <c r="C115" s="1544">
        <f>+C101/C$9*100</f>
        <v>1.0245365339131542</v>
      </c>
      <c r="D115" s="1544">
        <f t="shared" ref="D115:L115" si="105">+D101/D$9*100</f>
        <v>1.233128949978006</v>
      </c>
      <c r="E115" s="1544">
        <f t="shared" si="105"/>
        <v>1.3226793206350513</v>
      </c>
      <c r="F115" s="1544">
        <f t="shared" si="105"/>
        <v>1.1517951261858994</v>
      </c>
      <c r="G115" s="1544">
        <f t="shared" si="105"/>
        <v>1.4832968824600068</v>
      </c>
      <c r="H115" s="1509">
        <f t="shared" si="105"/>
        <v>1.6353645079544634</v>
      </c>
      <c r="I115" s="1514">
        <f t="shared" si="105"/>
        <v>1.886143887389518</v>
      </c>
      <c r="J115" s="1509">
        <f t="shared" si="105"/>
        <v>1.3591082970806305</v>
      </c>
      <c r="K115" s="1509">
        <f t="shared" si="105"/>
        <v>1.5376049732196708</v>
      </c>
      <c r="L115" s="1509">
        <f t="shared" si="105"/>
        <v>1.6577414693445331</v>
      </c>
      <c r="M115" s="1509">
        <f t="shared" si="103"/>
        <v>1.5294603007913588</v>
      </c>
      <c r="N115" s="1509">
        <f t="shared" si="103"/>
        <v>1.6017759240795431</v>
      </c>
      <c r="O115" s="1509">
        <v>1.8</v>
      </c>
      <c r="P115" s="1509">
        <v>1.8</v>
      </c>
      <c r="Q115" s="1464">
        <v>1.4</v>
      </c>
      <c r="R115" s="1183">
        <f>Q115</f>
        <v>1.4</v>
      </c>
      <c r="S115" s="1183">
        <f>R115</f>
        <v>1.4</v>
      </c>
      <c r="T115" s="1183">
        <v>1.7</v>
      </c>
      <c r="U115" s="1339"/>
      <c r="V115" s="1422"/>
      <c r="W115" s="1422"/>
      <c r="X115" s="1422"/>
      <c r="Y115" s="1545"/>
      <c r="AM115" s="1484" t="s">
        <v>2569</v>
      </c>
    </row>
    <row r="116" spans="1:39" s="1424" customFormat="1" ht="14.25">
      <c r="A116" s="1338"/>
      <c r="B116" s="1335" t="str">
        <f>+B102</f>
        <v>Stores &amp; Tools</v>
      </c>
      <c r="C116" s="1544">
        <f>+C102/C$9*100</f>
        <v>1.5038901134508513</v>
      </c>
      <c r="D116" s="1544">
        <f t="shared" ref="D116:L116" si="106">+D102/D$9*100</f>
        <v>1.1789495168701478</v>
      </c>
      <c r="E116" s="1544">
        <f t="shared" si="106"/>
        <v>1.058580539150854</v>
      </c>
      <c r="F116" s="1544">
        <f t="shared" si="106"/>
        <v>0.95892499121555974</v>
      </c>
      <c r="G116" s="1544">
        <f t="shared" si="106"/>
        <v>0.80476856649035422</v>
      </c>
      <c r="H116" s="1509">
        <f t="shared" si="106"/>
        <v>0.82810706502753162</v>
      </c>
      <c r="I116" s="1514">
        <f t="shared" si="106"/>
        <v>0.68600457638905432</v>
      </c>
      <c r="J116" s="1509">
        <f t="shared" si="106"/>
        <v>0.56526454027141781</v>
      </c>
      <c r="K116" s="1509">
        <f t="shared" si="106"/>
        <v>0.51834862665055925</v>
      </c>
      <c r="L116" s="1509">
        <f t="shared" si="106"/>
        <v>0.56454561374941248</v>
      </c>
      <c r="M116" s="1509">
        <f t="shared" si="103"/>
        <v>0.61933515858430532</v>
      </c>
      <c r="N116" s="1509">
        <f t="shared" si="103"/>
        <v>0.62026322228183217</v>
      </c>
      <c r="O116" s="1509">
        <f>+N116</f>
        <v>0.62026322228183217</v>
      </c>
      <c r="P116" s="1509">
        <f t="shared" ref="P116" si="107">+O116</f>
        <v>0.62026322228183217</v>
      </c>
      <c r="Q116" s="1464">
        <f>+P116</f>
        <v>0.62026322228183217</v>
      </c>
      <c r="R116" s="1183">
        <v>0.6</v>
      </c>
      <c r="S116" s="1183">
        <f>R116</f>
        <v>0.6</v>
      </c>
      <c r="T116" s="1183">
        <f t="shared" ref="T116:T117" si="108">S116</f>
        <v>0.6</v>
      </c>
      <c r="U116" s="1339"/>
      <c r="V116" s="1422"/>
      <c r="W116" s="1422"/>
      <c r="X116" s="1422"/>
      <c r="Y116" s="1545"/>
      <c r="AM116" s="1484" t="s">
        <v>2569</v>
      </c>
    </row>
    <row r="117" spans="1:39" s="1424" customFormat="1" ht="14.25">
      <c r="A117" s="1338"/>
      <c r="B117" s="1335" t="str">
        <f>+B103</f>
        <v>Power &amp; Fuel</v>
      </c>
      <c r="C117" s="1544">
        <f>+C103/C$9*100</f>
        <v>0.72078046054061995</v>
      </c>
      <c r="D117" s="1544">
        <f t="shared" ref="D117:L117" si="109">+D103/D$9*100</f>
        <v>1.2532184263403912</v>
      </c>
      <c r="E117" s="1544">
        <f t="shared" si="109"/>
        <v>0.92106761537359516</v>
      </c>
      <c r="F117" s="1544">
        <f t="shared" si="109"/>
        <v>0.76334201442715111</v>
      </c>
      <c r="G117" s="1544">
        <f t="shared" si="109"/>
        <v>0.8270769179448797</v>
      </c>
      <c r="H117" s="1509">
        <f t="shared" si="109"/>
        <v>0.76744353689440437</v>
      </c>
      <c r="I117" s="1514">
        <f t="shared" si="109"/>
        <v>0.69076928487397904</v>
      </c>
      <c r="J117" s="1509">
        <f t="shared" si="109"/>
        <v>0.59184938842229873</v>
      </c>
      <c r="K117" s="1509">
        <f t="shared" si="109"/>
        <v>0.52816675946123459</v>
      </c>
      <c r="L117" s="1509">
        <f t="shared" si="109"/>
        <v>0.52153261460660005</v>
      </c>
      <c r="M117" s="1509">
        <f t="shared" si="103"/>
        <v>0.60673342584605383</v>
      </c>
      <c r="N117" s="1509">
        <f t="shared" si="103"/>
        <v>0.52686144725107453</v>
      </c>
      <c r="O117" s="1509">
        <v>0.5</v>
      </c>
      <c r="P117" s="1509">
        <v>0.5</v>
      </c>
      <c r="Q117" s="1464">
        <f>P117</f>
        <v>0.5</v>
      </c>
      <c r="R117" s="1183">
        <f>Q117</f>
        <v>0.5</v>
      </c>
      <c r="S117" s="1183">
        <f t="shared" ref="S117:T117" si="110">R117</f>
        <v>0.5</v>
      </c>
      <c r="T117" s="1183">
        <f t="shared" si="108"/>
        <v>0.5</v>
      </c>
      <c r="U117" s="1339"/>
      <c r="V117" s="1422"/>
      <c r="W117" s="1422"/>
      <c r="X117" s="1422"/>
      <c r="Y117" s="1545"/>
      <c r="AM117" s="1484" t="s">
        <v>2569</v>
      </c>
    </row>
    <row r="118" spans="1:39" s="1424" customFormat="1">
      <c r="A118" s="1338"/>
      <c r="B118" s="1335"/>
      <c r="C118" s="1544"/>
      <c r="D118" s="1544"/>
      <c r="E118" s="1544"/>
      <c r="F118" s="1544"/>
      <c r="G118" s="1544"/>
      <c r="H118" s="1509"/>
      <c r="I118" s="1514"/>
      <c r="J118" s="1509"/>
      <c r="K118" s="1509"/>
      <c r="L118" s="1509"/>
      <c r="M118" s="1339"/>
      <c r="N118" s="1339"/>
      <c r="O118" s="1339"/>
      <c r="P118" s="1339"/>
      <c r="Q118" s="1339"/>
      <c r="R118" s="1339"/>
      <c r="S118" s="1339"/>
      <c r="T118" s="1339"/>
      <c r="U118" s="1339"/>
      <c r="V118" s="1422"/>
      <c r="W118" s="1422"/>
      <c r="X118" s="1422"/>
    </row>
    <row r="119" spans="1:39" s="1424" customFormat="1">
      <c r="A119" s="1338"/>
      <c r="B119" s="1339" t="s">
        <v>579</v>
      </c>
      <c r="C119" s="1544"/>
      <c r="D119" s="1544"/>
      <c r="E119" s="1544"/>
      <c r="F119" s="1544"/>
      <c r="G119" s="1544"/>
      <c r="H119" s="1509"/>
      <c r="I119" s="1514"/>
      <c r="J119" s="1509"/>
      <c r="K119" s="1509"/>
      <c r="L119" s="1509"/>
      <c r="M119" s="1339"/>
      <c r="N119" s="1339"/>
      <c r="O119" s="1339"/>
      <c r="P119" s="1339"/>
      <c r="Q119" s="1339"/>
      <c r="R119" s="1339"/>
      <c r="S119" s="1339"/>
      <c r="T119" s="1339"/>
      <c r="U119" s="1339"/>
      <c r="V119" s="1422"/>
      <c r="W119" s="1422"/>
      <c r="X119" s="1422"/>
    </row>
    <row r="120" spans="1:39" s="1424" customFormat="1" ht="14.25">
      <c r="A120" s="1338"/>
      <c r="B120" s="1335" t="str">
        <f>+B104</f>
        <v>Repairs</v>
      </c>
      <c r="C120" s="1544"/>
      <c r="D120" s="1546">
        <f>+D104/C104-1</f>
        <v>0.3240964845783596</v>
      </c>
      <c r="E120" s="1546">
        <f t="shared" ref="E120:N121" si="111">+E104/D104-1</f>
        <v>0.34047024523937619</v>
      </c>
      <c r="F120" s="1546">
        <f t="shared" si="111"/>
        <v>0.32555746140651798</v>
      </c>
      <c r="G120" s="1546">
        <f t="shared" si="111"/>
        <v>0.19733436853002062</v>
      </c>
      <c r="H120" s="1535">
        <f t="shared" si="111"/>
        <v>-0.21657840700313413</v>
      </c>
      <c r="I120" s="1462">
        <f t="shared" si="111"/>
        <v>-2.234791005655945E-2</v>
      </c>
      <c r="J120" s="1535">
        <f t="shared" si="111"/>
        <v>7.5208127557499616E-2</v>
      </c>
      <c r="K120" s="1535">
        <f t="shared" si="111"/>
        <v>4.553805774278219E-2</v>
      </c>
      <c r="L120" s="1535">
        <f t="shared" si="111"/>
        <v>0.28894188527676667</v>
      </c>
      <c r="M120" s="1535">
        <f t="shared" si="111"/>
        <v>0.22825981108189697</v>
      </c>
      <c r="N120" s="1535">
        <f t="shared" si="111"/>
        <v>0.14699119955601336</v>
      </c>
      <c r="O120" s="1535">
        <f t="shared" ref="O120:O121" si="112">+O104/N104-1</f>
        <v>0.38059030897905588</v>
      </c>
      <c r="P120" s="1535">
        <f t="shared" ref="P120:P121" si="113">+P104/O104-1</f>
        <v>-1.627196715566015E-2</v>
      </c>
      <c r="Q120" s="1535">
        <f t="shared" ref="Q120:Q121" si="114">+Q121</f>
        <v>0.05</v>
      </c>
      <c r="R120" s="1184">
        <v>0.05</v>
      </c>
      <c r="S120" s="1184">
        <v>0.05</v>
      </c>
      <c r="T120" s="1184">
        <v>0.1</v>
      </c>
      <c r="U120" s="1339"/>
      <c r="V120" s="1422"/>
      <c r="W120" s="1422"/>
      <c r="X120" s="1422"/>
      <c r="Y120" s="1547"/>
      <c r="AM120" s="1484" t="s">
        <v>2569</v>
      </c>
    </row>
    <row r="121" spans="1:39" s="1424" customFormat="1" ht="14.25">
      <c r="A121" s="1338"/>
      <c r="B121" s="1335" t="str">
        <f>+B105</f>
        <v>Vehicle service charge</v>
      </c>
      <c r="C121" s="1544"/>
      <c r="D121" s="1546">
        <f>+D105/C105-1</f>
        <v>-6.1750026547733317E-3</v>
      </c>
      <c r="E121" s="1546">
        <f t="shared" si="111"/>
        <v>0.25135566869861159</v>
      </c>
      <c r="F121" s="1546">
        <f t="shared" si="111"/>
        <v>0.12253175365567315</v>
      </c>
      <c r="G121" s="1546">
        <f t="shared" si="111"/>
        <v>-3.4515546258438778E-2</v>
      </c>
      <c r="H121" s="1535">
        <f t="shared" si="111"/>
        <v>-0.25270829229860159</v>
      </c>
      <c r="I121" s="1462">
        <f t="shared" si="111"/>
        <v>3.3078545071165033E-2</v>
      </c>
      <c r="J121" s="1535">
        <f t="shared" si="111"/>
        <v>3.8142620232172408E-2</v>
      </c>
      <c r="K121" s="1535">
        <f t="shared" si="111"/>
        <v>5.8245269107888964E-2</v>
      </c>
      <c r="L121" s="1535">
        <f t="shared" si="111"/>
        <v>3.0771017185322824E-2</v>
      </c>
      <c r="M121" s="1535">
        <f t="shared" si="111"/>
        <v>-8.9895234876647634E-2</v>
      </c>
      <c r="N121" s="1535">
        <f t="shared" si="111"/>
        <v>-0.22180962990469111</v>
      </c>
      <c r="O121" s="1535">
        <f t="shared" si="112"/>
        <v>0.42786702719898195</v>
      </c>
      <c r="P121" s="1535">
        <f t="shared" si="113"/>
        <v>0.16820764175114178</v>
      </c>
      <c r="Q121" s="1535">
        <f t="shared" si="114"/>
        <v>0.05</v>
      </c>
      <c r="R121" s="1184">
        <v>0.05</v>
      </c>
      <c r="S121" s="1184">
        <v>0.05</v>
      </c>
      <c r="T121" s="1184">
        <v>0.1</v>
      </c>
      <c r="U121" s="1339"/>
      <c r="V121" s="1422"/>
      <c r="W121" s="1422"/>
      <c r="X121" s="1422"/>
      <c r="Y121" s="1547"/>
      <c r="AM121" s="1484" t="s">
        <v>2569</v>
      </c>
    </row>
    <row r="122" spans="1:39" s="1424" customFormat="1" ht="14.25">
      <c r="A122" s="1338"/>
      <c r="B122" s="1335" t="str">
        <f>+B108</f>
        <v>Other administrative expenses</v>
      </c>
      <c r="C122" s="1544"/>
      <c r="D122" s="1546">
        <f t="shared" ref="D122:N122" si="115">+D108/C108-1</f>
        <v>5.401824268436406E-2</v>
      </c>
      <c r="E122" s="1546">
        <f t="shared" si="115"/>
        <v>-3.7691645458619694E-2</v>
      </c>
      <c r="F122" s="1546">
        <f t="shared" si="115"/>
        <v>0.1055216567360846</v>
      </c>
      <c r="G122" s="1546">
        <f t="shared" si="115"/>
        <v>6.8846715328466424E-2</v>
      </c>
      <c r="H122" s="1535">
        <f t="shared" si="115"/>
        <v>0.23065996503496566</v>
      </c>
      <c r="I122" s="1462">
        <f t="shared" si="115"/>
        <v>0.27004350528278498</v>
      </c>
      <c r="J122" s="1535">
        <f t="shared" si="115"/>
        <v>-0.23531056660491512</v>
      </c>
      <c r="K122" s="1535">
        <f t="shared" si="115"/>
        <v>0.19042830369794861</v>
      </c>
      <c r="L122" s="1535">
        <f t="shared" si="115"/>
        <v>-2.6110663134059076E-3</v>
      </c>
      <c r="M122" s="1535">
        <f t="shared" si="115"/>
        <v>4.4581328200192782E-3</v>
      </c>
      <c r="N122" s="1535">
        <f t="shared" si="115"/>
        <v>-0.4456666717770249</v>
      </c>
      <c r="O122" s="1535">
        <f t="shared" ref="O122" si="116">+O108/N108-1</f>
        <v>1.5391689137799913</v>
      </c>
      <c r="P122" s="1535">
        <f t="shared" ref="P122" si="117">+P108/O108-1</f>
        <v>0.240333297026468</v>
      </c>
      <c r="Q122" s="1408">
        <v>0.05</v>
      </c>
      <c r="R122" s="1184">
        <v>0.05</v>
      </c>
      <c r="S122" s="1184">
        <v>0.05</v>
      </c>
      <c r="T122" s="1184">
        <v>0.1</v>
      </c>
      <c r="U122" s="1339"/>
      <c r="V122" s="1422"/>
      <c r="W122" s="1422"/>
      <c r="X122" s="1422"/>
      <c r="Y122" s="1547"/>
      <c r="AM122" s="1484" t="s">
        <v>2569</v>
      </c>
    </row>
    <row r="123" spans="1:39" ht="14.25">
      <c r="A123" s="1336"/>
      <c r="B123" s="1335"/>
      <c r="C123" s="1454"/>
      <c r="D123" s="1454"/>
      <c r="E123" s="1454"/>
      <c r="F123" s="1454"/>
      <c r="G123" s="1454"/>
      <c r="H123" s="1335"/>
      <c r="I123" s="1358"/>
      <c r="J123" s="1335"/>
      <c r="K123" s="1335"/>
      <c r="L123" s="1335"/>
      <c r="M123" s="1466"/>
      <c r="N123" s="1466"/>
      <c r="O123" s="1466"/>
      <c r="P123" s="1466"/>
      <c r="Q123" s="1466"/>
      <c r="R123" s="1466"/>
      <c r="S123" s="1466"/>
      <c r="T123" s="1466"/>
      <c r="U123" s="1335"/>
      <c r="V123" s="1411"/>
      <c r="W123" s="1411"/>
      <c r="X123" s="1411"/>
      <c r="Y123" s="1467"/>
      <c r="AM123" s="1484"/>
    </row>
    <row r="124" spans="1:39" s="1493" customFormat="1" ht="12.75">
      <c r="A124" s="1355"/>
      <c r="B124" s="1356" t="s">
        <v>664</v>
      </c>
      <c r="C124" s="1356"/>
      <c r="D124" s="1356"/>
      <c r="E124" s="1356"/>
      <c r="F124" s="1356"/>
      <c r="G124" s="1356"/>
      <c r="H124" s="1356"/>
      <c r="I124" s="1548"/>
      <c r="J124" s="1356"/>
      <c r="K124" s="1356"/>
      <c r="L124" s="1356"/>
      <c r="M124" s="1356"/>
      <c r="N124" s="1356"/>
      <c r="O124" s="1356"/>
      <c r="P124" s="1356"/>
      <c r="Q124" s="1356"/>
      <c r="R124" s="1356"/>
      <c r="S124" s="1356"/>
      <c r="T124" s="1356"/>
      <c r="U124" s="1356"/>
      <c r="V124" s="1512"/>
      <c r="W124" s="1512"/>
      <c r="X124" s="1512"/>
    </row>
    <row r="125" spans="1:39">
      <c r="A125" s="1336"/>
      <c r="B125" s="1335"/>
      <c r="C125" s="1454"/>
      <c r="D125" s="1454"/>
      <c r="E125" s="1454"/>
      <c r="F125" s="1454"/>
      <c r="G125" s="1454"/>
      <c r="H125" s="1335"/>
      <c r="I125" s="1358"/>
      <c r="J125" s="1335"/>
      <c r="K125" s="1335"/>
      <c r="L125" s="1335"/>
      <c r="M125" s="1335"/>
      <c r="N125" s="1335"/>
      <c r="O125" s="1335"/>
      <c r="P125" s="1335"/>
      <c r="Q125" s="1335"/>
      <c r="R125" s="1335"/>
      <c r="S125" s="1335"/>
      <c r="T125" s="1335"/>
      <c r="U125" s="1335"/>
      <c r="V125" s="1411"/>
      <c r="W125" s="1411"/>
      <c r="X125" s="1411"/>
    </row>
    <row r="126" spans="1:39" ht="14.25">
      <c r="A126" s="1336" t="s">
        <v>678</v>
      </c>
      <c r="B126" s="1335" t="s">
        <v>360</v>
      </c>
      <c r="C126" s="1454">
        <v>4.7569999999999997</v>
      </c>
      <c r="D126" s="1454">
        <v>3.04</v>
      </c>
      <c r="E126" s="1454">
        <v>1.6950000000000001</v>
      </c>
      <c r="F126" s="1454">
        <v>0.7</v>
      </c>
      <c r="G126" s="1454">
        <v>0.2</v>
      </c>
      <c r="H126" s="1335">
        <v>51.6</v>
      </c>
      <c r="I126" s="1358">
        <v>218.9</v>
      </c>
      <c r="J126" s="1358">
        <f>59.8</f>
        <v>59.8</v>
      </c>
      <c r="K126" s="1358">
        <v>16.899999999999999</v>
      </c>
      <c r="L126" s="1358">
        <v>222.4</v>
      </c>
      <c r="M126" s="1358">
        <v>5.4</v>
      </c>
      <c r="N126" s="1358">
        <v>5.4</v>
      </c>
      <c r="O126" s="1358">
        <v>64.900000000000006</v>
      </c>
      <c r="P126" s="1358">
        <v>4.8</v>
      </c>
      <c r="Q126" s="1358">
        <f>P126*1.1</f>
        <v>5.28</v>
      </c>
      <c r="R126" s="1099">
        <v>10</v>
      </c>
      <c r="S126" s="1099">
        <f>R126</f>
        <v>10</v>
      </c>
      <c r="T126" s="1099">
        <f t="shared" ref="T126" si="118">S126</f>
        <v>10</v>
      </c>
      <c r="U126" s="1335"/>
      <c r="V126" s="1411"/>
      <c r="W126" s="1411"/>
      <c r="X126" s="1411"/>
      <c r="AM126" s="1484" t="s">
        <v>2587</v>
      </c>
    </row>
    <row r="127" spans="1:39" hidden="1">
      <c r="A127" s="1336" t="s">
        <v>678</v>
      </c>
      <c r="B127" s="1335" t="s">
        <v>361</v>
      </c>
      <c r="C127" s="1454"/>
      <c r="D127" s="1454"/>
      <c r="E127" s="1454"/>
      <c r="F127" s="1454"/>
      <c r="G127" s="1454"/>
      <c r="H127" s="1335"/>
      <c r="I127" s="1358"/>
      <c r="J127" s="1335"/>
      <c r="K127" s="1335"/>
      <c r="L127" s="1335"/>
      <c r="M127" s="1335"/>
      <c r="N127" s="1335"/>
      <c r="O127" s="1335"/>
      <c r="P127" s="1335"/>
      <c r="Q127" s="1335"/>
      <c r="R127" s="1335"/>
      <c r="S127" s="1335"/>
      <c r="T127" s="1335"/>
      <c r="U127" s="1335"/>
      <c r="V127" s="1411"/>
      <c r="W127" s="1411"/>
      <c r="X127" s="1411"/>
    </row>
    <row r="128" spans="1:39" hidden="1">
      <c r="A128" s="1336" t="s">
        <v>678</v>
      </c>
      <c r="B128" s="1335" t="s">
        <v>362</v>
      </c>
      <c r="C128" s="1454"/>
      <c r="D128" s="1454"/>
      <c r="E128" s="1454"/>
      <c r="F128" s="1454"/>
      <c r="G128" s="1454"/>
      <c r="H128" s="1335"/>
      <c r="I128" s="1358"/>
      <c r="J128" s="1335"/>
      <c r="K128" s="1335"/>
      <c r="L128" s="1335"/>
      <c r="M128" s="1335"/>
      <c r="N128" s="1335"/>
      <c r="O128" s="1335"/>
      <c r="P128" s="1335"/>
      <c r="Q128" s="1335"/>
      <c r="R128" s="1335"/>
      <c r="S128" s="1335"/>
      <c r="T128" s="1335"/>
      <c r="U128" s="1335"/>
      <c r="V128" s="1411"/>
      <c r="W128" s="1411"/>
      <c r="X128" s="1411"/>
    </row>
    <row r="129" spans="1:41" hidden="1">
      <c r="A129" s="1336" t="s">
        <v>678</v>
      </c>
      <c r="B129" s="1335" t="s">
        <v>364</v>
      </c>
      <c r="C129" s="1454"/>
      <c r="D129" s="1454"/>
      <c r="E129" s="1454"/>
      <c r="F129" s="1454"/>
      <c r="G129" s="1454"/>
      <c r="H129" s="1335"/>
      <c r="I129" s="1358"/>
      <c r="J129" s="1335"/>
      <c r="K129" s="1335"/>
      <c r="L129" s="1335"/>
      <c r="M129" s="1335"/>
      <c r="N129" s="1335"/>
      <c r="O129" s="1335"/>
      <c r="P129" s="1335"/>
      <c r="Q129" s="1335"/>
      <c r="R129" s="1335"/>
      <c r="S129" s="1335"/>
      <c r="T129" s="1335"/>
      <c r="U129" s="1335"/>
      <c r="V129" s="1411"/>
      <c r="W129" s="1411"/>
      <c r="X129" s="1411"/>
    </row>
    <row r="130" spans="1:41" hidden="1">
      <c r="A130" s="1336" t="s">
        <v>678</v>
      </c>
      <c r="B130" s="1335" t="s">
        <v>365</v>
      </c>
      <c r="C130" s="1454">
        <v>6.42</v>
      </c>
      <c r="D130" s="1454">
        <v>6.3109999999999999</v>
      </c>
      <c r="E130" s="1454">
        <v>4.9859999999999998</v>
      </c>
      <c r="F130" s="1454">
        <v>2.7</v>
      </c>
      <c r="G130" s="1454">
        <v>53.2</v>
      </c>
      <c r="H130" s="1335"/>
      <c r="I130" s="1358"/>
      <c r="J130" s="1335"/>
      <c r="K130" s="1335"/>
      <c r="L130" s="1335"/>
      <c r="M130" s="1335"/>
      <c r="N130" s="1335"/>
      <c r="O130" s="1335"/>
      <c r="P130" s="1335"/>
      <c r="Q130" s="1335"/>
      <c r="R130" s="1335"/>
      <c r="S130" s="1335"/>
      <c r="T130" s="1335"/>
      <c r="U130" s="1335"/>
      <c r="V130" s="1411"/>
      <c r="W130" s="1411"/>
      <c r="X130" s="1411"/>
      <c r="AO130" s="1385" t="s">
        <v>2580</v>
      </c>
    </row>
    <row r="131" spans="1:41" s="1424" customFormat="1" ht="15">
      <c r="A131" s="1338"/>
      <c r="B131" s="1504" t="s">
        <v>664</v>
      </c>
      <c r="C131" s="1505">
        <f t="shared" ref="C131:M131" si="119">+SUM(C126:C130)</f>
        <v>11.177</v>
      </c>
      <c r="D131" s="1505">
        <f t="shared" si="119"/>
        <v>9.3509999999999991</v>
      </c>
      <c r="E131" s="1505">
        <f t="shared" si="119"/>
        <v>6.681</v>
      </c>
      <c r="F131" s="1505">
        <f t="shared" si="119"/>
        <v>3.4000000000000004</v>
      </c>
      <c r="G131" s="1505">
        <f t="shared" si="119"/>
        <v>53.400000000000006</v>
      </c>
      <c r="H131" s="1504">
        <f t="shared" si="119"/>
        <v>51.6</v>
      </c>
      <c r="I131" s="1506">
        <f t="shared" si="119"/>
        <v>218.9</v>
      </c>
      <c r="J131" s="1504">
        <f t="shared" si="119"/>
        <v>59.8</v>
      </c>
      <c r="K131" s="1504">
        <f t="shared" si="119"/>
        <v>16.899999999999999</v>
      </c>
      <c r="L131" s="1504">
        <f t="shared" si="119"/>
        <v>222.4</v>
      </c>
      <c r="M131" s="1504">
        <f t="shared" si="119"/>
        <v>5.4</v>
      </c>
      <c r="N131" s="1504">
        <f>+SUM(N126:N130)</f>
        <v>5.4</v>
      </c>
      <c r="O131" s="1504">
        <f>+SUM(O126:O130)</f>
        <v>64.900000000000006</v>
      </c>
      <c r="P131" s="1504">
        <f>+SUM(P126:P130)</f>
        <v>4.8</v>
      </c>
      <c r="Q131" s="1504">
        <f>+SUM(Q126:Q130)</f>
        <v>5.28</v>
      </c>
      <c r="R131" s="1504">
        <f>+SUM(R126:R130)</f>
        <v>10</v>
      </c>
      <c r="S131" s="1504">
        <f t="shared" ref="S131:T131" si="120">+SUM(S126:S130)</f>
        <v>10</v>
      </c>
      <c r="T131" s="1504">
        <f t="shared" si="120"/>
        <v>10</v>
      </c>
      <c r="U131" s="1339"/>
      <c r="V131" s="1422"/>
      <c r="W131" s="1422"/>
      <c r="X131" s="1422"/>
      <c r="AM131" s="1447" t="s">
        <v>2582</v>
      </c>
    </row>
    <row r="132" spans="1:41">
      <c r="A132" s="1336"/>
      <c r="B132" s="1335"/>
      <c r="C132" s="1454"/>
      <c r="D132" s="1454"/>
      <c r="E132" s="1454"/>
      <c r="F132" s="1454"/>
      <c r="G132" s="1454"/>
      <c r="H132" s="1335"/>
      <c r="I132" s="1358"/>
      <c r="J132" s="1335"/>
      <c r="K132" s="1335"/>
      <c r="L132" s="1335"/>
      <c r="M132" s="1335"/>
      <c r="N132" s="1335"/>
      <c r="O132" s="1335"/>
      <c r="P132" s="1335"/>
      <c r="Q132" s="1335"/>
      <c r="R132" s="1335"/>
      <c r="S132" s="1335"/>
      <c r="T132" s="1335"/>
      <c r="U132" s="1335"/>
      <c r="V132" s="1411"/>
      <c r="W132" s="1411"/>
      <c r="X132" s="1411"/>
    </row>
    <row r="133" spans="1:41">
      <c r="A133" s="1336"/>
      <c r="B133" s="1335" t="s">
        <v>366</v>
      </c>
      <c r="C133" s="1549"/>
      <c r="D133" s="1549"/>
      <c r="E133" s="1549"/>
      <c r="F133" s="1549"/>
      <c r="G133" s="1549"/>
      <c r="H133" s="1335"/>
      <c r="I133" s="1358"/>
      <c r="J133" s="1335"/>
      <c r="K133" s="1335"/>
      <c r="L133" s="1335"/>
      <c r="M133" s="1335"/>
      <c r="N133" s="1335"/>
      <c r="O133" s="1335"/>
      <c r="P133" s="1335"/>
      <c r="Q133" s="1335"/>
      <c r="R133" s="1335"/>
      <c r="S133" s="1335"/>
      <c r="T133" s="1335"/>
      <c r="U133" s="1335"/>
      <c r="V133" s="1411"/>
      <c r="W133" s="1411"/>
      <c r="X133" s="1411"/>
    </row>
    <row r="134" spans="1:41">
      <c r="A134" s="1511" t="s">
        <v>316</v>
      </c>
      <c r="B134" s="1335"/>
      <c r="C134" s="1454"/>
      <c r="D134" s="1454"/>
      <c r="E134" s="1454"/>
      <c r="F134" s="1454"/>
      <c r="G134" s="1454"/>
      <c r="H134" s="1335"/>
      <c r="I134" s="1358"/>
      <c r="J134" s="1335"/>
      <c r="K134" s="1335"/>
      <c r="L134" s="1335"/>
      <c r="M134" s="1335"/>
      <c r="N134" s="1335"/>
      <c r="O134" s="1335"/>
      <c r="P134" s="1335"/>
      <c r="Q134" s="1335"/>
      <c r="R134" s="1335"/>
      <c r="S134" s="1335"/>
      <c r="T134" s="1335"/>
      <c r="U134" s="1335"/>
      <c r="V134" s="1411"/>
      <c r="W134" s="1411"/>
      <c r="X134" s="1411"/>
    </row>
    <row r="135" spans="1:41" s="1493" customFormat="1" ht="12.75">
      <c r="A135" s="1355"/>
      <c r="B135" s="1356" t="s">
        <v>367</v>
      </c>
      <c r="C135" s="1494"/>
      <c r="D135" s="1494"/>
      <c r="E135" s="1494"/>
      <c r="F135" s="1494"/>
      <c r="G135" s="1494"/>
      <c r="H135" s="1356"/>
      <c r="I135" s="1357"/>
      <c r="J135" s="1356"/>
      <c r="K135" s="1356"/>
      <c r="L135" s="1356"/>
      <c r="M135" s="1356"/>
      <c r="N135" s="1356"/>
      <c r="O135" s="1356"/>
      <c r="P135" s="1356"/>
      <c r="Q135" s="1356"/>
      <c r="R135" s="1356"/>
      <c r="S135" s="1356"/>
      <c r="T135" s="1356"/>
      <c r="U135" s="1356"/>
      <c r="V135" s="1512"/>
      <c r="W135" s="1512"/>
      <c r="X135" s="1512"/>
    </row>
    <row r="136" spans="1:41">
      <c r="A136" s="1336"/>
      <c r="B136" s="1335"/>
      <c r="C136" s="1454"/>
      <c r="D136" s="1454"/>
      <c r="E136" s="1454"/>
      <c r="F136" s="1454"/>
      <c r="G136" s="1454"/>
      <c r="H136" s="1335"/>
      <c r="I136" s="1358"/>
      <c r="J136" s="1335"/>
      <c r="K136" s="1335"/>
      <c r="L136" s="1335"/>
      <c r="M136" s="1335"/>
      <c r="N136" s="1335"/>
      <c r="O136" s="1335"/>
      <c r="P136" s="1335"/>
      <c r="Q136" s="1335"/>
      <c r="R136" s="1335"/>
      <c r="S136" s="1335"/>
      <c r="T136" s="1335"/>
      <c r="U136" s="1335"/>
      <c r="V136" s="1411"/>
      <c r="W136" s="1411"/>
      <c r="X136" s="1411"/>
    </row>
    <row r="137" spans="1:41" ht="14.25">
      <c r="A137" s="1336" t="s">
        <v>678</v>
      </c>
      <c r="B137" s="1335" t="s">
        <v>368</v>
      </c>
      <c r="C137" s="1454">
        <v>1258.4880000000001</v>
      </c>
      <c r="D137" s="1454">
        <v>1451.4649999999999</v>
      </c>
      <c r="E137" s="1454">
        <f>2079.479</f>
        <v>2079.4789999999998</v>
      </c>
      <c r="F137" s="1454">
        <v>2573.4</v>
      </c>
      <c r="G137" s="1454">
        <v>2460</v>
      </c>
      <c r="H137" s="1335">
        <f>1281.3-16.4</f>
        <v>1264.8999999999999</v>
      </c>
      <c r="I137" s="1358">
        <v>1219</v>
      </c>
      <c r="J137" s="1358">
        <f>1225</f>
        <v>1225</v>
      </c>
      <c r="K137" s="1358">
        <v>3339.3</v>
      </c>
      <c r="L137" s="1358">
        <v>3245.9</v>
      </c>
      <c r="M137" s="1358">
        <f>3243.8+512.9</f>
        <v>3756.7000000000003</v>
      </c>
      <c r="N137" s="1358">
        <f>3412+579.7</f>
        <v>3991.7</v>
      </c>
      <c r="O137" s="1358">
        <f>1842.7+481.8</f>
        <v>2324.5</v>
      </c>
      <c r="P137" s="1358">
        <f>204.6+392.7+1852.1</f>
        <v>2449.3999999999996</v>
      </c>
      <c r="Q137" s="1358">
        <f>+Q145*(AVERAGE('Bal Sheet'!P116:Q116)/100)</f>
        <v>9466.7447999999986</v>
      </c>
      <c r="R137" s="1550">
        <f>+R145*(AVERAGE('Bal Sheet'!Q116:R116)/100)</f>
        <v>10631.951999999997</v>
      </c>
      <c r="S137" s="1099">
        <f>+S145*(AVERAGE('Bal Sheet'!R116:S116)/100)</f>
        <v>12031.951999999997</v>
      </c>
      <c r="T137" s="1099">
        <f>+T145*(AVERAGE('Bal Sheet'!S116:T116)/100)</f>
        <v>11052.957999999999</v>
      </c>
      <c r="U137" s="1358"/>
      <c r="V137" s="1411"/>
      <c r="W137" s="1411"/>
      <c r="X137" s="1411"/>
      <c r="AM137" s="1484" t="s">
        <v>2583</v>
      </c>
    </row>
    <row r="138" spans="1:41" hidden="1">
      <c r="A138" s="1336" t="s">
        <v>678</v>
      </c>
      <c r="B138" s="1335"/>
      <c r="C138" s="1454"/>
      <c r="D138" s="1454"/>
      <c r="E138" s="1454"/>
      <c r="F138" s="1454"/>
      <c r="G138" s="1454"/>
      <c r="H138" s="1335"/>
      <c r="I138" s="1358"/>
      <c r="J138" s="1358"/>
      <c r="K138" s="1358"/>
      <c r="L138" s="1358"/>
      <c r="M138" s="1335"/>
      <c r="N138" s="1335"/>
      <c r="O138" s="1335"/>
      <c r="P138" s="1335"/>
      <c r="Q138" s="1335"/>
      <c r="R138" s="1335"/>
      <c r="S138" s="1335"/>
      <c r="T138" s="1335"/>
      <c r="U138" s="1335"/>
      <c r="V138" s="1411"/>
      <c r="W138" s="1411"/>
      <c r="X138" s="1411"/>
    </row>
    <row r="139" spans="1:41" ht="14.25">
      <c r="A139" s="1336" t="s">
        <v>678</v>
      </c>
      <c r="B139" s="1335" t="s">
        <v>369</v>
      </c>
      <c r="C139" s="1454">
        <f>23.864+98.394</f>
        <v>122.25800000000001</v>
      </c>
      <c r="D139" s="1454">
        <f>234.761+26.367</f>
        <v>261.12799999999999</v>
      </c>
      <c r="E139" s="1454">
        <f>274.421+38.448</f>
        <v>312.86899999999997</v>
      </c>
      <c r="F139" s="1454"/>
      <c r="G139" s="1454"/>
      <c r="H139" s="1335"/>
      <c r="I139" s="1358"/>
      <c r="J139" s="1335"/>
      <c r="K139" s="1335"/>
      <c r="L139" s="1335"/>
      <c r="M139" s="1335">
        <v>1.5</v>
      </c>
      <c r="N139" s="1335">
        <f>270.8</f>
        <v>270.8</v>
      </c>
      <c r="O139" s="1335">
        <v>0</v>
      </c>
      <c r="P139" s="1335">
        <v>891.8</v>
      </c>
      <c r="Q139" s="1335">
        <f>10*76</f>
        <v>760</v>
      </c>
      <c r="R139" s="1100">
        <f>10*76</f>
        <v>760</v>
      </c>
      <c r="S139" s="1100">
        <f t="shared" ref="S139:T139" si="121">10*76</f>
        <v>760</v>
      </c>
      <c r="T139" s="1100">
        <f t="shared" si="121"/>
        <v>760</v>
      </c>
      <c r="U139" s="1335"/>
      <c r="V139" s="1411"/>
      <c r="W139" s="1411"/>
      <c r="X139" s="1411"/>
      <c r="AM139" s="1484" t="s">
        <v>2587</v>
      </c>
    </row>
    <row r="140" spans="1:41" hidden="1">
      <c r="A140" s="1336" t="s">
        <v>678</v>
      </c>
      <c r="B140" s="1335" t="s">
        <v>1514</v>
      </c>
      <c r="C140" s="1454">
        <v>4.9000000000000004</v>
      </c>
      <c r="D140" s="1454">
        <v>0</v>
      </c>
      <c r="E140" s="1454">
        <v>17.271999999999998</v>
      </c>
      <c r="F140" s="1454"/>
      <c r="G140" s="1454"/>
      <c r="H140" s="1335"/>
      <c r="I140" s="1358"/>
      <c r="J140" s="1335"/>
      <c r="K140" s="1513">
        <v>1019.2</v>
      </c>
      <c r="L140" s="1513">
        <f>1618.1-1340</f>
        <v>278.09999999999991</v>
      </c>
      <c r="M140" s="1335"/>
      <c r="N140" s="1335"/>
      <c r="O140" s="1335"/>
      <c r="P140" s="1335"/>
      <c r="Q140" s="1335"/>
      <c r="R140" s="1100"/>
      <c r="S140" s="1100"/>
      <c r="T140" s="1100"/>
      <c r="U140" s="1335"/>
      <c r="V140" s="1411"/>
      <c r="W140" s="1411"/>
      <c r="X140" s="1411"/>
    </row>
    <row r="141" spans="1:41" hidden="1">
      <c r="A141" s="1336" t="s">
        <v>678</v>
      </c>
      <c r="B141" s="1335" t="s">
        <v>370</v>
      </c>
      <c r="C141" s="1454">
        <f>43.928+214.28</f>
        <v>258.20799999999997</v>
      </c>
      <c r="D141" s="1454">
        <v>1113.248</v>
      </c>
      <c r="E141" s="1454">
        <v>1456.8520000000001</v>
      </c>
      <c r="F141" s="1454">
        <v>1080.4000000000001</v>
      </c>
      <c r="G141" s="1454">
        <v>2371.9</v>
      </c>
      <c r="H141" s="1335">
        <v>205.6</v>
      </c>
      <c r="I141" s="1358">
        <v>0</v>
      </c>
      <c r="J141" s="1358">
        <v>345.1</v>
      </c>
      <c r="K141" s="1358">
        <v>528.20000000000005</v>
      </c>
      <c r="L141" s="1358">
        <f>330.9</f>
        <v>330.9</v>
      </c>
      <c r="M141" s="1335">
        <v>482.3</v>
      </c>
      <c r="N141" s="1335">
        <v>548.4</v>
      </c>
      <c r="O141" s="1335">
        <v>1925</v>
      </c>
      <c r="P141" s="1335">
        <v>3597.7</v>
      </c>
      <c r="Q141" s="1335"/>
      <c r="R141" s="1100"/>
      <c r="S141" s="1100"/>
      <c r="T141" s="1100"/>
      <c r="U141" s="1335"/>
      <c r="V141" s="1411"/>
      <c r="W141" s="1411">
        <v>7.5</v>
      </c>
      <c r="X141" s="1411"/>
    </row>
    <row r="142" spans="1:41" ht="14.25">
      <c r="A142" s="1336" t="s">
        <v>678</v>
      </c>
      <c r="B142" s="1335" t="s">
        <v>371</v>
      </c>
      <c r="C142" s="1454"/>
      <c r="D142" s="1454"/>
      <c r="E142" s="1454"/>
      <c r="F142" s="1454"/>
      <c r="G142" s="1454"/>
      <c r="H142" s="1335"/>
      <c r="I142" s="1358">
        <f>H142*1.02</f>
        <v>0</v>
      </c>
      <c r="J142" s="1358"/>
      <c r="K142" s="1358">
        <f>1406.6-K141</f>
        <v>878.39999999999986</v>
      </c>
      <c r="L142" s="1358">
        <f>1216.4-330.9</f>
        <v>885.50000000000011</v>
      </c>
      <c r="M142" s="1335">
        <f>7954.9-SUM(M137:M141)-1319.2-474.2-689.5</f>
        <v>1231.4999999999998</v>
      </c>
      <c r="N142" s="1335">
        <f>7064.1-SUM(N137:N141)-148.5-797.4</f>
        <v>1307.3000000000006</v>
      </c>
      <c r="O142" s="1335">
        <f>5824.2-SUM(O137:O141)-96.4</f>
        <v>1478.2999999999997</v>
      </c>
      <c r="P142" s="1375">
        <f>9132.7-SUM(P137:P141)</f>
        <v>2193.8000000000011</v>
      </c>
      <c r="Q142" s="1335">
        <f>+O142*1.1*1.1</f>
        <v>1788.7429999999999</v>
      </c>
      <c r="R142" s="1100">
        <f>+Q142*1.1</f>
        <v>1967.6173000000001</v>
      </c>
      <c r="S142" s="1100">
        <f t="shared" ref="S142:T142" si="122">+R142*1.1</f>
        <v>2164.3790300000005</v>
      </c>
      <c r="T142" s="1100">
        <f t="shared" si="122"/>
        <v>2380.816933000001</v>
      </c>
      <c r="U142" s="1335"/>
      <c r="V142" s="1411"/>
      <c r="W142" s="1411"/>
      <c r="X142" s="1411"/>
      <c r="AM142" s="1484" t="s">
        <v>2587</v>
      </c>
    </row>
    <row r="143" spans="1:41" s="1424" customFormat="1" ht="15">
      <c r="A143" s="1338"/>
      <c r="B143" s="1504" t="s">
        <v>665</v>
      </c>
      <c r="C143" s="1505">
        <f t="shared" ref="C143:J143" si="123">+SUM(C137:C142)</f>
        <v>1643.8540000000003</v>
      </c>
      <c r="D143" s="1551">
        <f t="shared" si="123"/>
        <v>2825.8409999999999</v>
      </c>
      <c r="E143" s="1505">
        <f t="shared" si="123"/>
        <v>3866.4719999999998</v>
      </c>
      <c r="F143" s="1505">
        <f t="shared" si="123"/>
        <v>3653.8</v>
      </c>
      <c r="G143" s="1505">
        <f t="shared" si="123"/>
        <v>4831.8999999999996</v>
      </c>
      <c r="H143" s="1504">
        <f t="shared" si="123"/>
        <v>1470.4999999999998</v>
      </c>
      <c r="I143" s="1506">
        <f t="shared" si="123"/>
        <v>1219</v>
      </c>
      <c r="J143" s="1504">
        <f t="shared" si="123"/>
        <v>1570.1</v>
      </c>
      <c r="K143" s="1504">
        <f t="shared" ref="K143:Q143" si="124">+SUM(K137:K142)</f>
        <v>5765.0999999999995</v>
      </c>
      <c r="L143" s="1504">
        <f t="shared" si="124"/>
        <v>4740.4000000000005</v>
      </c>
      <c r="M143" s="1504">
        <f t="shared" si="124"/>
        <v>5472</v>
      </c>
      <c r="N143" s="1504">
        <f t="shared" si="124"/>
        <v>6118.2000000000007</v>
      </c>
      <c r="O143" s="1504">
        <f t="shared" si="124"/>
        <v>5727.7999999999993</v>
      </c>
      <c r="P143" s="1504">
        <f t="shared" si="124"/>
        <v>9132.7000000000007</v>
      </c>
      <c r="Q143" s="1504">
        <f t="shared" si="124"/>
        <v>12015.487799999999</v>
      </c>
      <c r="R143" s="1504">
        <f>+SUM(R137:R142)</f>
        <v>13359.569299999997</v>
      </c>
      <c r="S143" s="1504">
        <f t="shared" ref="S143:T143" si="125">+SUM(S137:S142)</f>
        <v>14956.331029999998</v>
      </c>
      <c r="T143" s="1504">
        <f t="shared" si="125"/>
        <v>14193.774933000001</v>
      </c>
      <c r="U143" s="1339"/>
      <c r="V143" s="1422"/>
      <c r="W143" s="1422"/>
      <c r="X143" s="1422"/>
      <c r="AM143" s="1447" t="s">
        <v>2601</v>
      </c>
    </row>
    <row r="144" spans="1:41">
      <c r="A144" s="1336"/>
      <c r="B144" s="1335"/>
      <c r="C144" s="1454"/>
      <c r="D144" s="1454"/>
      <c r="E144" s="1454"/>
      <c r="F144" s="1454"/>
      <c r="G144" s="1454"/>
      <c r="H144" s="1335"/>
      <c r="I144" s="1358"/>
      <c r="J144" s="1335"/>
      <c r="K144" s="1335"/>
      <c r="L144" s="1335"/>
      <c r="M144" s="1335"/>
      <c r="N144" s="1335"/>
      <c r="O144" s="1335"/>
      <c r="P144" s="1335"/>
      <c r="Q144" s="1335"/>
      <c r="R144" s="1335"/>
      <c r="S144" s="1335"/>
      <c r="T144" s="1335"/>
      <c r="U144" s="1335"/>
      <c r="V144" s="1411"/>
      <c r="W144" s="1411"/>
      <c r="X144" s="1411"/>
    </row>
    <row r="145" spans="1:40" s="1424" customFormat="1" ht="14.25">
      <c r="A145" s="1552" t="s">
        <v>316</v>
      </c>
      <c r="B145" s="1339" t="s">
        <v>392</v>
      </c>
      <c r="C145" s="1553">
        <f>(C137/(AVERAGE('Bal Sheet'!B116:C116))*100)</f>
        <v>4.960097341015639</v>
      </c>
      <c r="D145" s="1553">
        <f>(D137/(AVERAGE('Bal Sheet'!C116:D116))*100)</f>
        <v>4.5568281250132454</v>
      </c>
      <c r="E145" s="1553">
        <f>(E137/(AVERAGE('Bal Sheet'!D116:E116))*100)</f>
        <v>4.9678785601707434</v>
      </c>
      <c r="F145" s="1553">
        <f>(F137/(AVERAGE('Bal Sheet'!E116:F116))*100)</f>
        <v>4.9828267323949023</v>
      </c>
      <c r="G145" s="1553">
        <f>(G137/(AVERAGE('Bal Sheet'!F116:G116))*100)</f>
        <v>4.1241365089184443</v>
      </c>
      <c r="H145" s="1553">
        <f>(H137/(AVERAGE('Bal Sheet'!G116:H116))*100)</f>
        <v>3.4324014463356556</v>
      </c>
      <c r="I145" s="1553">
        <f>(I137/(AVERAGE('Bal Sheet'!H116:I116))*100)</f>
        <v>10.711586791093302</v>
      </c>
      <c r="J145" s="1553">
        <f>(J137/(AVERAGE('Bal Sheet'!I116:J116))*100)</f>
        <v>5.8058798159180638</v>
      </c>
      <c r="K145" s="1553">
        <f>(K137/(AVERAGE('Bal Sheet'!J116:K116))*100)</f>
        <v>9.659922588707671</v>
      </c>
      <c r="L145" s="1553">
        <f>(L137/(AVERAGE('Bal Sheet'!K116:L116))*100)</f>
        <v>8.6594049210198474</v>
      </c>
      <c r="M145" s="1553">
        <f>(M137/(AVERAGE('Bal Sheet'!L116:M116))*100)</f>
        <v>8.3762360784401171</v>
      </c>
      <c r="N145" s="1553">
        <f>(N137/(AVERAGE('Bal Sheet'!M116:N116))*100)</f>
        <v>6.3623648672880213</v>
      </c>
      <c r="O145" s="1553">
        <f>(O137/(AVERAGE('Bal Sheet'!N117:O117))*100)</f>
        <v>3.9686909636944594</v>
      </c>
      <c r="P145" s="1553">
        <v>13</v>
      </c>
      <c r="Q145" s="1553">
        <v>9.1999999999999993</v>
      </c>
      <c r="R145" s="1185">
        <v>8</v>
      </c>
      <c r="S145" s="1185">
        <v>8</v>
      </c>
      <c r="T145" s="1185">
        <v>7</v>
      </c>
      <c r="U145" s="1339"/>
      <c r="V145" s="1422"/>
      <c r="W145" s="1422"/>
      <c r="X145" s="1422"/>
      <c r="Y145" s="1545"/>
      <c r="AM145" s="1484" t="s">
        <v>2569</v>
      </c>
    </row>
    <row r="146" spans="1:40" s="1493" customFormat="1" ht="12.75" hidden="1">
      <c r="A146" s="1355"/>
      <c r="B146" s="1356" t="s">
        <v>372</v>
      </c>
      <c r="C146" s="1494"/>
      <c r="D146" s="1494"/>
      <c r="E146" s="1494"/>
      <c r="F146" s="1494"/>
      <c r="G146" s="1494"/>
      <c r="H146" s="1356"/>
      <c r="I146" s="1357"/>
      <c r="J146" s="1356"/>
      <c r="K146" s="1356"/>
      <c r="L146" s="1356"/>
      <c r="M146" s="1356"/>
      <c r="N146" s="1356"/>
      <c r="O146" s="1356"/>
      <c r="P146" s="1356"/>
      <c r="Q146" s="1356"/>
      <c r="R146" s="1356"/>
      <c r="S146" s="1356"/>
      <c r="T146" s="1356"/>
      <c r="U146" s="1356"/>
      <c r="V146" s="1512"/>
      <c r="W146" s="1512"/>
      <c r="X146" s="1512"/>
    </row>
    <row r="147" spans="1:40" hidden="1">
      <c r="A147" s="1336"/>
      <c r="B147" s="1335"/>
      <c r="C147" s="1454"/>
      <c r="D147" s="1454"/>
      <c r="E147" s="1454"/>
      <c r="F147" s="1454"/>
      <c r="G147" s="1454"/>
      <c r="H147" s="1335"/>
      <c r="I147" s="1358"/>
      <c r="J147" s="1335"/>
      <c r="K147" s="1335"/>
      <c r="L147" s="1335"/>
      <c r="M147" s="1335"/>
      <c r="N147" s="1335"/>
      <c r="O147" s="1335"/>
      <c r="P147" s="1335"/>
      <c r="Q147" s="1335"/>
      <c r="R147" s="1335"/>
      <c r="S147" s="1335"/>
      <c r="T147" s="1335"/>
      <c r="U147" s="1335"/>
      <c r="V147" s="1411"/>
      <c r="W147" s="1411"/>
      <c r="X147" s="1411"/>
    </row>
    <row r="148" spans="1:40" hidden="1">
      <c r="A148" s="1336" t="s">
        <v>678</v>
      </c>
      <c r="B148" s="1335" t="s">
        <v>685</v>
      </c>
      <c r="C148" s="1454"/>
      <c r="D148" s="1454"/>
      <c r="E148" s="1454"/>
      <c r="F148" s="1454"/>
      <c r="G148" s="1454"/>
      <c r="H148" s="1335"/>
      <c r="I148" s="1358"/>
      <c r="J148" s="1335"/>
      <c r="K148" s="1335"/>
      <c r="L148" s="1335"/>
      <c r="M148" s="1335"/>
      <c r="N148" s="1335"/>
      <c r="O148" s="1335"/>
      <c r="P148" s="1335"/>
      <c r="Q148" s="1335"/>
      <c r="R148" s="1335"/>
      <c r="S148" s="1335"/>
      <c r="T148" s="1335"/>
      <c r="U148" s="1335"/>
      <c r="V148" s="1411"/>
      <c r="W148" s="1411"/>
      <c r="X148" s="1411"/>
    </row>
    <row r="149" spans="1:40" hidden="1">
      <c r="A149" s="1336" t="s">
        <v>678</v>
      </c>
      <c r="B149" s="1335" t="s">
        <v>373</v>
      </c>
      <c r="C149" s="1454"/>
      <c r="D149" s="1454"/>
      <c r="E149" s="1454"/>
      <c r="F149" s="1454"/>
      <c r="G149" s="1454"/>
      <c r="H149" s="1335"/>
      <c r="I149" s="1358"/>
      <c r="J149" s="1335"/>
      <c r="K149" s="1335">
        <f>((52.82-49.08)+1.39)*10</f>
        <v>51.300000000000018</v>
      </c>
      <c r="L149" s="1335"/>
      <c r="M149" s="1335"/>
      <c r="N149" s="1335"/>
      <c r="O149" s="1335"/>
      <c r="P149" s="1335"/>
      <c r="Q149" s="1335"/>
      <c r="R149" s="1335"/>
      <c r="S149" s="1335"/>
      <c r="T149" s="1335"/>
      <c r="U149" s="1335"/>
      <c r="V149" s="1411"/>
      <c r="W149" s="1411"/>
      <c r="X149" s="1411"/>
    </row>
    <row r="150" spans="1:40" hidden="1">
      <c r="A150" s="1336" t="s">
        <v>678</v>
      </c>
      <c r="B150" s="1335" t="s">
        <v>374</v>
      </c>
      <c r="C150" s="1454"/>
      <c r="D150" s="1454">
        <f>-(234.842+415.484)</f>
        <v>-650.32600000000002</v>
      </c>
      <c r="E150" s="1454">
        <v>-490.22199999999998</v>
      </c>
      <c r="F150" s="1454">
        <v>-226.4</v>
      </c>
      <c r="G150" s="1454">
        <f>-(385.7+103.9)</f>
        <v>-489.6</v>
      </c>
      <c r="H150" s="1335">
        <v>-1023.6</v>
      </c>
      <c r="I150" s="1452">
        <f>-611*3-218</f>
        <v>-2051</v>
      </c>
      <c r="J150" s="1451">
        <f>-1833+218</f>
        <v>-1615</v>
      </c>
      <c r="K150" s="1335">
        <f>7245.5-K149</f>
        <v>7194.2</v>
      </c>
      <c r="L150" s="1335"/>
      <c r="M150" s="1335"/>
      <c r="N150" s="1335"/>
      <c r="O150" s="1335"/>
      <c r="P150" s="1335"/>
      <c r="Q150" s="1335"/>
      <c r="R150" s="1335"/>
      <c r="S150" s="1335"/>
      <c r="T150" s="1335"/>
      <c r="U150" s="1335"/>
      <c r="V150" s="1411"/>
      <c r="W150" s="1411"/>
      <c r="X150" s="1411"/>
    </row>
    <row r="151" spans="1:40" s="1424" customFormat="1" ht="12.75" hidden="1">
      <c r="A151" s="1338"/>
      <c r="B151" s="1339" t="s">
        <v>666</v>
      </c>
      <c r="C151" s="1543">
        <f t="shared" ref="C151:M151" si="126">+SUM(C148:C150)</f>
        <v>0</v>
      </c>
      <c r="D151" s="1543">
        <f t="shared" si="126"/>
        <v>-650.32600000000002</v>
      </c>
      <c r="E151" s="1543">
        <f t="shared" si="126"/>
        <v>-490.22199999999998</v>
      </c>
      <c r="F151" s="1543">
        <f t="shared" si="126"/>
        <v>-226.4</v>
      </c>
      <c r="G151" s="1543">
        <f t="shared" si="126"/>
        <v>-489.6</v>
      </c>
      <c r="H151" s="1339">
        <f t="shared" si="126"/>
        <v>-1023.6</v>
      </c>
      <c r="I151" s="1372">
        <f t="shared" si="126"/>
        <v>-2051</v>
      </c>
      <c r="J151" s="1339">
        <f t="shared" si="126"/>
        <v>-1615</v>
      </c>
      <c r="K151" s="1339">
        <f t="shared" si="126"/>
        <v>7245.5</v>
      </c>
      <c r="L151" s="1339">
        <f t="shared" si="126"/>
        <v>0</v>
      </c>
      <c r="M151" s="1339">
        <f t="shared" si="126"/>
        <v>0</v>
      </c>
      <c r="N151" s="1339">
        <f>+SUM(N148:N150)</f>
        <v>0</v>
      </c>
      <c r="O151" s="1339">
        <f>+SUM(O148:O150)</f>
        <v>0</v>
      </c>
      <c r="P151" s="1339">
        <f>+SUM(P148:P150)</f>
        <v>0</v>
      </c>
      <c r="Q151" s="1339">
        <f>+SUM(Q148:Q150)</f>
        <v>0</v>
      </c>
      <c r="R151" s="1339">
        <f>+SUM(R148:R150)</f>
        <v>0</v>
      </c>
      <c r="S151" s="1339">
        <f t="shared" ref="S151:T151" si="127">+SUM(S148:S150)</f>
        <v>0</v>
      </c>
      <c r="T151" s="1339">
        <f t="shared" si="127"/>
        <v>0</v>
      </c>
      <c r="U151" s="1339"/>
      <c r="V151" s="1422"/>
      <c r="W151" s="1422"/>
      <c r="X151" s="1422"/>
    </row>
    <row r="152" spans="1:40" s="1424" customFormat="1" ht="12.75" hidden="1">
      <c r="A152" s="1338"/>
      <c r="B152" s="1339"/>
      <c r="C152" s="1543"/>
      <c r="D152" s="1543"/>
      <c r="E152" s="1543"/>
      <c r="F152" s="1543"/>
      <c r="G152" s="1543"/>
      <c r="H152" s="1339"/>
      <c r="I152" s="1372"/>
      <c r="J152" s="1339"/>
      <c r="K152" s="1339"/>
      <c r="L152" s="1339"/>
      <c r="M152" s="1339"/>
      <c r="N152" s="1339"/>
      <c r="O152" s="1339"/>
      <c r="P152" s="1339"/>
      <c r="Q152" s="1339"/>
      <c r="R152" s="1339"/>
      <c r="S152" s="1339"/>
      <c r="T152" s="1339"/>
      <c r="U152" s="1339"/>
      <c r="V152" s="1422"/>
      <c r="W152" s="1422"/>
      <c r="X152" s="1422"/>
    </row>
    <row r="153" spans="1:40" s="1424" customFormat="1" ht="12.75" hidden="1">
      <c r="A153" s="1338"/>
      <c r="B153" s="1339"/>
      <c r="C153" s="1543"/>
      <c r="D153" s="1543"/>
      <c r="E153" s="1543"/>
      <c r="F153" s="1543"/>
      <c r="G153" s="1543"/>
      <c r="H153" s="1339"/>
      <c r="I153" s="1372"/>
      <c r="J153" s="1339"/>
      <c r="K153" s="1339"/>
      <c r="L153" s="1339"/>
      <c r="M153" s="1339"/>
      <c r="N153" s="1339"/>
      <c r="O153" s="1339"/>
      <c r="P153" s="1339"/>
      <c r="Q153" s="1339"/>
      <c r="R153" s="1339"/>
      <c r="S153" s="1339"/>
      <c r="T153" s="1339"/>
      <c r="U153" s="1339"/>
      <c r="V153" s="1422"/>
      <c r="W153" s="1422"/>
      <c r="X153" s="1422"/>
    </row>
    <row r="154" spans="1:40" s="1424" customFormat="1" ht="12.75" hidden="1">
      <c r="A154" s="1338"/>
      <c r="B154" s="1339"/>
      <c r="C154" s="1543"/>
      <c r="D154" s="1543"/>
      <c r="E154" s="1543"/>
      <c r="F154" s="1543"/>
      <c r="G154" s="1543"/>
      <c r="H154" s="1339"/>
      <c r="I154" s="1372"/>
      <c r="J154" s="1339"/>
      <c r="K154" s="1339"/>
      <c r="L154" s="1339"/>
      <c r="M154" s="1339"/>
      <c r="N154" s="1339"/>
      <c r="O154" s="1339"/>
      <c r="P154" s="1339"/>
      <c r="Q154" s="1339"/>
      <c r="R154" s="1339"/>
      <c r="S154" s="1339"/>
      <c r="T154" s="1339"/>
      <c r="U154" s="1339"/>
      <c r="V154" s="1422"/>
      <c r="W154" s="1422"/>
      <c r="X154" s="1422"/>
    </row>
    <row r="155" spans="1:40" s="1424" customFormat="1" ht="12.75" hidden="1">
      <c r="A155" s="1338"/>
      <c r="B155" s="1339"/>
      <c r="C155" s="1543"/>
      <c r="D155" s="1543"/>
      <c r="E155" s="1543"/>
      <c r="F155" s="1543"/>
      <c r="G155" s="1543"/>
      <c r="H155" s="1339"/>
      <c r="I155" s="1372"/>
      <c r="J155" s="1339"/>
      <c r="K155" s="1339"/>
      <c r="L155" s="1339"/>
      <c r="M155" s="1339"/>
      <c r="N155" s="1339"/>
      <c r="O155" s="1339"/>
      <c r="P155" s="1339"/>
      <c r="Q155" s="1339"/>
      <c r="R155" s="1339"/>
      <c r="S155" s="1339"/>
      <c r="T155" s="1339"/>
      <c r="U155" s="1339"/>
      <c r="V155" s="1422"/>
      <c r="W155" s="1422"/>
      <c r="X155" s="1422"/>
    </row>
    <row r="156" spans="1:40" s="1424" customFormat="1" ht="12.75">
      <c r="A156" s="1338"/>
      <c r="B156" s="1339"/>
      <c r="C156" s="1543"/>
      <c r="D156" s="1543"/>
      <c r="E156" s="1543"/>
      <c r="F156" s="1543"/>
      <c r="G156" s="1543"/>
      <c r="H156" s="1339"/>
      <c r="I156" s="1372"/>
      <c r="J156" s="1339"/>
      <c r="K156" s="1339"/>
      <c r="L156" s="1339"/>
      <c r="M156" s="1339"/>
      <c r="N156" s="1339"/>
      <c r="O156" s="1339"/>
      <c r="P156" s="1339"/>
      <c r="Q156" s="1339"/>
      <c r="R156" s="1339"/>
      <c r="S156" s="1339"/>
      <c r="T156" s="1339"/>
      <c r="U156" s="1339"/>
      <c r="V156" s="1422"/>
      <c r="W156" s="1422"/>
      <c r="X156" s="1422"/>
    </row>
    <row r="157" spans="1:40" s="1493" customFormat="1" ht="12.75">
      <c r="A157" s="1355"/>
      <c r="B157" s="1356" t="s">
        <v>660</v>
      </c>
      <c r="C157" s="1494"/>
      <c r="D157" s="1494"/>
      <c r="E157" s="1494"/>
      <c r="F157" s="1494"/>
      <c r="G157" s="1494"/>
      <c r="H157" s="1356"/>
      <c r="I157" s="1357"/>
      <c r="J157" s="1356"/>
      <c r="K157" s="1356"/>
      <c r="L157" s="1356"/>
      <c r="M157" s="1356"/>
      <c r="N157" s="1356"/>
      <c r="O157" s="1356"/>
      <c r="P157" s="1356"/>
      <c r="Q157" s="1356"/>
      <c r="R157" s="1356"/>
      <c r="S157" s="1356"/>
      <c r="T157" s="1356"/>
      <c r="U157" s="1356"/>
      <c r="V157" s="1512"/>
      <c r="W157" s="1512"/>
      <c r="X157" s="1512"/>
    </row>
    <row r="158" spans="1:40" s="1424" customFormat="1" ht="12.75">
      <c r="A158" s="1338"/>
      <c r="B158" s="1339"/>
      <c r="C158" s="1543"/>
      <c r="D158" s="1543"/>
      <c r="E158" s="1543"/>
      <c r="F158" s="1543"/>
      <c r="G158" s="1543"/>
      <c r="H158" s="1339"/>
      <c r="I158" s="1372"/>
      <c r="J158" s="1339"/>
      <c r="K158" s="1339"/>
      <c r="L158" s="1339"/>
      <c r="M158" s="1339"/>
      <c r="N158" s="1554"/>
      <c r="O158" s="1554"/>
      <c r="P158" s="1554"/>
      <c r="Q158" s="1554"/>
      <c r="R158" s="1554"/>
      <c r="S158" s="1554"/>
      <c r="T158" s="1554"/>
      <c r="U158" s="1339"/>
      <c r="V158" s="1422"/>
      <c r="W158" s="1422"/>
      <c r="X158" s="1422"/>
      <c r="Y158" s="1555"/>
    </row>
    <row r="159" spans="1:40" s="1424" customFormat="1" ht="16.5">
      <c r="A159" s="1338"/>
      <c r="B159" s="1339" t="s">
        <v>660</v>
      </c>
      <c r="C159" s="1450">
        <v>1711.5650000000001</v>
      </c>
      <c r="D159" s="1450">
        <v>1798.9459999999999</v>
      </c>
      <c r="E159" s="1450">
        <v>1853.663</v>
      </c>
      <c r="F159" s="1450">
        <v>1910</v>
      </c>
      <c r="G159" s="1450">
        <v>1902.6</v>
      </c>
      <c r="H159" s="1451">
        <v>1746.1</v>
      </c>
      <c r="I159" s="1452">
        <v>1306.2</v>
      </c>
      <c r="J159" s="1335">
        <v>1364.5</v>
      </c>
      <c r="K159" s="1452">
        <v>1228.4000000000001</v>
      </c>
      <c r="L159" s="1335">
        <v>1456.2</v>
      </c>
      <c r="M159" s="1335">
        <v>1667.7</v>
      </c>
      <c r="N159" s="1335">
        <v>1796.1</v>
      </c>
      <c r="O159" s="1335">
        <v>2674</v>
      </c>
      <c r="P159" s="1335">
        <v>3071.6</v>
      </c>
      <c r="Q159" s="1335">
        <f>AVERAGE('Bal Sheet'!P86:Q86)*Q161%</f>
        <v>3132.7725</v>
      </c>
      <c r="R159" s="1335">
        <f>AVERAGE('Bal Sheet'!Q86:R86)*R161%</f>
        <v>3374.2725000000005</v>
      </c>
      <c r="S159" s="1100">
        <f>AVERAGE('Bal Sheet'!R86:S86)*S161%</f>
        <v>3650.2725000000005</v>
      </c>
      <c r="T159" s="1100">
        <f>AVERAGE('Bal Sheet'!S86:T86)*T161%</f>
        <v>3983.1750000000002</v>
      </c>
      <c r="U159" s="1339"/>
      <c r="V159" s="1422"/>
      <c r="W159" s="1422"/>
      <c r="X159" s="1422"/>
      <c r="AM159" s="1484" t="s">
        <v>2583</v>
      </c>
      <c r="AN159" s="1447" t="s">
        <v>2584</v>
      </c>
    </row>
    <row r="160" spans="1:40" s="1424" customFormat="1" ht="12.75">
      <c r="A160" s="1338"/>
      <c r="B160" s="1339"/>
      <c r="C160" s="1543"/>
      <c r="D160" s="1543"/>
      <c r="E160" s="1543"/>
      <c r="F160" s="1543"/>
      <c r="G160" s="1543"/>
      <c r="H160" s="1339"/>
      <c r="I160" s="1372"/>
      <c r="J160" s="1339"/>
      <c r="K160" s="1339"/>
      <c r="L160" s="1339"/>
      <c r="M160" s="1339"/>
      <c r="N160" s="1339"/>
      <c r="O160" s="1339"/>
      <c r="P160" s="1339"/>
      <c r="Q160" s="1339"/>
      <c r="R160" s="1339"/>
      <c r="S160" s="1339"/>
      <c r="T160" s="1339"/>
      <c r="U160" s="1339"/>
      <c r="V160" s="1422"/>
      <c r="W160" s="1422"/>
      <c r="X160" s="1422"/>
    </row>
    <row r="161" spans="1:40" s="1424" customFormat="1" ht="14.25">
      <c r="A161" s="1338"/>
      <c r="B161" s="1335" t="s">
        <v>375</v>
      </c>
      <c r="C161" s="1543"/>
      <c r="D161" s="1553">
        <v>6.7563827809674377</v>
      </c>
      <c r="E161" s="1553">
        <v>6.8066807710037178</v>
      </c>
      <c r="F161" s="1553">
        <v>6.7772650080936874</v>
      </c>
      <c r="G161" s="1553">
        <v>6.271663296133859</v>
      </c>
      <c r="H161" s="1553">
        <v>5.6655137281877233</v>
      </c>
      <c r="I161" s="1553">
        <v>3.911352264254337</v>
      </c>
      <c r="J161" s="1553">
        <f>J159/AVERAGE('Bal Sheet'!I86:J86)*100</f>
        <v>4.061761396448154</v>
      </c>
      <c r="K161" s="1553">
        <f>K159/AVERAGE('Bal Sheet'!J86:K86)*100</f>
        <v>3.6288815724365708</v>
      </c>
      <c r="L161" s="1553">
        <f>L159/AVERAGE('Bal Sheet'!K86:L86)*100</f>
        <v>4.2925362575168027</v>
      </c>
      <c r="M161" s="1553">
        <f>M159/AVERAGE('Bal Sheet'!L86:M86)*100</f>
        <v>4.6178959042029586</v>
      </c>
      <c r="N161" s="1553">
        <f>N159/AVERAGE('Bal Sheet'!M86:N86)*100</f>
        <v>4.5437009621940101</v>
      </c>
      <c r="O161" s="1553">
        <f>O159/AVERAGE('Bal Sheet'!N86:O86)*100</f>
        <v>6.5395361918329158</v>
      </c>
      <c r="P161" s="1553">
        <f>P159/AVERAGE('Bal Sheet'!O86:P86)*100</f>
        <v>7.2348183287089158</v>
      </c>
      <c r="Q161" s="1553">
        <v>6.9</v>
      </c>
      <c r="R161" s="1185">
        <v>6.9</v>
      </c>
      <c r="S161" s="1185">
        <v>6.9</v>
      </c>
      <c r="T161" s="1185">
        <v>7</v>
      </c>
      <c r="U161" s="1339"/>
      <c r="V161" s="1422"/>
      <c r="W161" s="1422"/>
      <c r="X161" s="1422"/>
      <c r="Y161" s="1545"/>
      <c r="AM161" s="1484" t="s">
        <v>2569</v>
      </c>
    </row>
    <row r="162" spans="1:40" s="1424" customFormat="1" ht="12.75">
      <c r="A162" s="1338"/>
      <c r="B162" s="1339"/>
      <c r="C162" s="1543"/>
      <c r="D162" s="1543"/>
      <c r="E162" s="1543"/>
      <c r="F162" s="1543"/>
      <c r="G162" s="1543"/>
      <c r="H162" s="1339"/>
      <c r="I162" s="1372"/>
      <c r="J162" s="1339"/>
      <c r="K162" s="1339"/>
      <c r="L162" s="1339"/>
      <c r="M162" s="1339"/>
      <c r="N162" s="1339"/>
      <c r="O162" s="1339"/>
      <c r="P162" s="1339"/>
      <c r="Q162" s="1339"/>
      <c r="R162" s="1339"/>
      <c r="S162" s="1339"/>
      <c r="T162" s="1339"/>
      <c r="U162" s="1339"/>
      <c r="V162" s="1422"/>
      <c r="W162" s="1422"/>
      <c r="X162" s="1422"/>
    </row>
    <row r="163" spans="1:40">
      <c r="A163" s="1336"/>
      <c r="B163" s="1335"/>
      <c r="C163" s="1454"/>
      <c r="D163" s="1454"/>
      <c r="E163" s="1454"/>
      <c r="F163" s="1454"/>
      <c r="G163" s="1454"/>
      <c r="H163" s="1335"/>
      <c r="I163" s="1335"/>
      <c r="J163" s="1335"/>
      <c r="K163" s="1335"/>
      <c r="L163" s="1335"/>
      <c r="M163" s="1335"/>
      <c r="N163" s="1335"/>
      <c r="O163" s="1335"/>
      <c r="P163" s="1335"/>
      <c r="Q163" s="1335"/>
      <c r="R163" s="1335"/>
      <c r="S163" s="1335"/>
      <c r="T163" s="1335"/>
      <c r="U163" s="1335"/>
      <c r="V163" s="1411"/>
      <c r="W163" s="1411"/>
      <c r="X163" s="1411"/>
    </row>
    <row r="164" spans="1:40">
      <c r="A164" s="1511" t="s">
        <v>316</v>
      </c>
      <c r="B164" s="1335"/>
      <c r="C164" s="1454"/>
      <c r="D164" s="1454"/>
      <c r="E164" s="1454"/>
      <c r="F164" s="1454"/>
      <c r="G164" s="1454"/>
      <c r="H164" s="1335"/>
      <c r="I164" s="1335"/>
      <c r="J164" s="1335"/>
      <c r="K164" s="1335"/>
      <c r="L164" s="1335"/>
      <c r="M164" s="1335"/>
      <c r="N164" s="1335"/>
      <c r="O164" s="1335"/>
      <c r="P164" s="1335"/>
      <c r="Q164" s="1335"/>
      <c r="R164" s="1335"/>
      <c r="S164" s="1335"/>
      <c r="T164" s="1335"/>
      <c r="U164" s="1335"/>
      <c r="V164" s="1411"/>
      <c r="W164" s="1411"/>
      <c r="X164" s="1411"/>
    </row>
    <row r="165" spans="1:40" s="1493" customFormat="1" ht="12.75">
      <c r="A165" s="1355"/>
      <c r="B165" s="1356" t="s">
        <v>376</v>
      </c>
      <c r="C165" s="1494"/>
      <c r="D165" s="1494"/>
      <c r="E165" s="1494"/>
      <c r="F165" s="1494"/>
      <c r="G165" s="1494"/>
      <c r="H165" s="1512"/>
      <c r="I165" s="1357"/>
      <c r="J165" s="1356"/>
      <c r="K165" s="1356"/>
      <c r="L165" s="1356"/>
      <c r="M165" s="1356"/>
      <c r="N165" s="1356"/>
      <c r="O165" s="1356"/>
      <c r="P165" s="1356"/>
      <c r="Q165" s="1356"/>
      <c r="R165" s="1356"/>
      <c r="S165" s="1356"/>
      <c r="T165" s="1356"/>
      <c r="U165" s="1356"/>
      <c r="V165" s="1512"/>
      <c r="W165" s="1512"/>
      <c r="X165" s="1512"/>
    </row>
    <row r="166" spans="1:40">
      <c r="A166" s="1336"/>
      <c r="B166" s="1335"/>
      <c r="C166" s="1454"/>
      <c r="D166" s="1454"/>
      <c r="E166" s="1454"/>
      <c r="F166" s="1454"/>
      <c r="G166" s="1454"/>
      <c r="H166" s="1335"/>
      <c r="I166" s="1335"/>
      <c r="J166" s="1335"/>
      <c r="K166" s="1335"/>
      <c r="L166" s="1335"/>
      <c r="M166" s="1335"/>
      <c r="N166" s="1335"/>
      <c r="O166" s="1335"/>
      <c r="P166" s="1335"/>
      <c r="Q166" s="1335"/>
      <c r="R166" s="1335"/>
      <c r="S166" s="1335"/>
      <c r="T166" s="1335"/>
      <c r="U166" s="1335"/>
      <c r="V166" s="1411"/>
      <c r="W166" s="1411"/>
      <c r="X166" s="1411"/>
    </row>
    <row r="167" spans="1:40" ht="16.5">
      <c r="A167" s="1336" t="s">
        <v>678</v>
      </c>
      <c r="B167" s="1335" t="s">
        <v>377</v>
      </c>
      <c r="C167" s="1454">
        <v>2683.6</v>
      </c>
      <c r="D167" s="1454">
        <v>2785</v>
      </c>
      <c r="E167" s="1454">
        <v>3383.6</v>
      </c>
      <c r="F167" s="1454">
        <v>5135.5</v>
      </c>
      <c r="G167" s="1454">
        <v>5005</v>
      </c>
      <c r="H167" s="1335">
        <v>3927.5</v>
      </c>
      <c r="I167" s="1335">
        <v>3009</v>
      </c>
      <c r="J167" s="1335">
        <v>7126.2</v>
      </c>
      <c r="K167" s="1335">
        <v>9830</v>
      </c>
      <c r="L167" s="1556">
        <v>10033.9</v>
      </c>
      <c r="M167" s="1335">
        <v>11560</v>
      </c>
      <c r="N167" s="1335">
        <v>13901</v>
      </c>
      <c r="O167" s="1335">
        <v>12710.5</v>
      </c>
      <c r="P167" s="1335">
        <f>+P32</f>
        <v>16176.5</v>
      </c>
      <c r="Q167" s="1335">
        <f>+Q32</f>
        <v>15080.7</v>
      </c>
      <c r="R167" s="1100">
        <f>R30*R176</f>
        <v>17966.267882898912</v>
      </c>
      <c r="S167" s="1100">
        <f t="shared" ref="S167:T167" si="128">S30*S176</f>
        <v>20809.324228024834</v>
      </c>
      <c r="T167" s="1100">
        <f t="shared" si="128"/>
        <v>22311.928946050346</v>
      </c>
      <c r="U167" s="1335"/>
      <c r="V167" s="1411"/>
      <c r="W167" s="1411"/>
      <c r="X167" s="1411"/>
      <c r="AM167" s="1484" t="s">
        <v>2583</v>
      </c>
      <c r="AN167" s="1447" t="s">
        <v>2602</v>
      </c>
    </row>
    <row r="168" spans="1:40" hidden="1">
      <c r="A168" s="1336" t="s">
        <v>678</v>
      </c>
      <c r="B168" s="1335" t="s">
        <v>378</v>
      </c>
      <c r="C168" s="1454">
        <v>-181.625</v>
      </c>
      <c r="D168" s="1454">
        <v>-495.87099999999998</v>
      </c>
      <c r="E168" s="1454">
        <v>-187.29900000000001</v>
      </c>
      <c r="F168" s="1454">
        <v>-394.4</v>
      </c>
      <c r="G168" s="1454">
        <v>-134.1</v>
      </c>
      <c r="H168" s="1335">
        <v>-276.8</v>
      </c>
      <c r="I168" s="1335">
        <v>-195.2</v>
      </c>
      <c r="J168" s="1335">
        <v>-51.2</v>
      </c>
      <c r="K168" s="1335">
        <v>280.2</v>
      </c>
      <c r="L168" s="1556">
        <v>187.3</v>
      </c>
      <c r="M168" s="1335">
        <v>666.6</v>
      </c>
      <c r="N168" s="1335"/>
      <c r="O168" s="1335"/>
      <c r="P168" s="1335"/>
      <c r="Q168" s="1335"/>
      <c r="R168" s="1335"/>
      <c r="S168" s="1335"/>
      <c r="T168" s="1335"/>
      <c r="U168" s="1335"/>
      <c r="V168" s="1411"/>
      <c r="W168" s="1411"/>
      <c r="X168" s="1411"/>
    </row>
    <row r="169" spans="1:40" hidden="1">
      <c r="A169" s="1336" t="s">
        <v>678</v>
      </c>
      <c r="B169" s="1335" t="s">
        <v>379</v>
      </c>
      <c r="C169" s="1454"/>
      <c r="D169" s="1454"/>
      <c r="E169" s="1454"/>
      <c r="F169" s="1454">
        <v>50</v>
      </c>
      <c r="G169" s="1454">
        <v>30</v>
      </c>
      <c r="H169" s="1335">
        <v>33.5</v>
      </c>
      <c r="I169" s="1335">
        <v>75</v>
      </c>
      <c r="J169" s="1335"/>
      <c r="K169" s="1335"/>
      <c r="L169" s="1335"/>
      <c r="M169" s="1335"/>
      <c r="N169" s="1335"/>
      <c r="O169" s="1335"/>
      <c r="P169" s="1335"/>
      <c r="Q169" s="1335"/>
      <c r="R169" s="1335"/>
      <c r="S169" s="1335"/>
      <c r="T169" s="1335"/>
      <c r="U169" s="1335"/>
      <c r="V169" s="1411"/>
      <c r="W169" s="1411"/>
      <c r="X169" s="1411"/>
    </row>
    <row r="170" spans="1:40" hidden="1">
      <c r="A170" s="1336" t="s">
        <v>678</v>
      </c>
      <c r="B170" s="1335" t="s">
        <v>380</v>
      </c>
      <c r="C170" s="1454"/>
      <c r="D170" s="1454"/>
      <c r="E170" s="1454"/>
      <c r="F170" s="1454"/>
      <c r="G170" s="1454"/>
      <c r="H170" s="1335"/>
      <c r="I170" s="1335"/>
      <c r="J170" s="1335"/>
      <c r="K170" s="1335"/>
      <c r="L170" s="1335"/>
      <c r="M170" s="1335"/>
      <c r="N170" s="1335"/>
      <c r="O170" s="1335"/>
      <c r="P170" s="1335"/>
      <c r="Q170" s="1335"/>
      <c r="R170" s="1335"/>
      <c r="S170" s="1335"/>
      <c r="T170" s="1335"/>
      <c r="U170" s="1335"/>
      <c r="V170" s="1411"/>
      <c r="W170" s="1411"/>
      <c r="X170" s="1411"/>
    </row>
    <row r="171" spans="1:40" hidden="1">
      <c r="A171" s="1336" t="s">
        <v>678</v>
      </c>
      <c r="B171" s="1335" t="s">
        <v>381</v>
      </c>
      <c r="C171" s="1454"/>
      <c r="D171" s="1454"/>
      <c r="E171" s="1454"/>
      <c r="F171" s="1454"/>
      <c r="G171" s="1454"/>
      <c r="H171" s="1335"/>
      <c r="I171" s="1335"/>
      <c r="J171" s="1335"/>
      <c r="K171" s="1335"/>
      <c r="L171" s="1335"/>
      <c r="M171" s="1335"/>
      <c r="N171" s="1335"/>
      <c r="O171" s="1335"/>
      <c r="P171" s="1335"/>
      <c r="Q171" s="1335"/>
      <c r="R171" s="1335"/>
      <c r="S171" s="1335"/>
      <c r="T171" s="1335"/>
      <c r="U171" s="1335"/>
      <c r="V171" s="1411"/>
      <c r="W171" s="1411"/>
      <c r="X171" s="1411"/>
    </row>
    <row r="172" spans="1:40" hidden="1">
      <c r="A172" s="1336" t="s">
        <v>678</v>
      </c>
      <c r="B172" s="1335" t="s">
        <v>382</v>
      </c>
      <c r="C172" s="1454"/>
      <c r="D172" s="1454"/>
      <c r="E172" s="1454"/>
      <c r="F172" s="1454"/>
      <c r="G172" s="1454"/>
      <c r="H172" s="1335"/>
      <c r="I172" s="1335"/>
      <c r="J172" s="1335"/>
      <c r="K172" s="1335"/>
      <c r="L172" s="1335"/>
      <c r="M172" s="1335"/>
      <c r="N172" s="1335"/>
      <c r="O172" s="1335"/>
      <c r="P172" s="1335"/>
      <c r="Q172" s="1335"/>
      <c r="R172" s="1335"/>
      <c r="S172" s="1335"/>
      <c r="T172" s="1335"/>
      <c r="U172" s="1335"/>
      <c r="V172" s="1411"/>
      <c r="W172" s="1411"/>
      <c r="X172" s="1411"/>
    </row>
    <row r="173" spans="1:40" s="1424" customFormat="1" ht="12.75">
      <c r="A173" s="1338"/>
      <c r="B173" s="1339" t="s">
        <v>675</v>
      </c>
      <c r="C173" s="1543">
        <f t="shared" ref="C173:M173" si="129">+SUM(C167:C172)</f>
        <v>2501.9749999999999</v>
      </c>
      <c r="D173" s="1543">
        <f t="shared" si="129"/>
        <v>2289.1289999999999</v>
      </c>
      <c r="E173" s="1543">
        <f t="shared" si="129"/>
        <v>3196.3009999999999</v>
      </c>
      <c r="F173" s="1543">
        <f t="shared" si="129"/>
        <v>4791.1000000000004</v>
      </c>
      <c r="G173" s="1543">
        <f t="shared" si="129"/>
        <v>4900.8999999999996</v>
      </c>
      <c r="H173" s="1339">
        <f t="shared" si="129"/>
        <v>3684.2</v>
      </c>
      <c r="I173" s="1339">
        <f t="shared" si="129"/>
        <v>2888.8</v>
      </c>
      <c r="J173" s="1339">
        <f t="shared" si="129"/>
        <v>7075</v>
      </c>
      <c r="K173" s="1339">
        <f t="shared" si="129"/>
        <v>10110.200000000001</v>
      </c>
      <c r="L173" s="1339">
        <f t="shared" si="129"/>
        <v>10221.199999999999</v>
      </c>
      <c r="M173" s="1339">
        <f t="shared" si="129"/>
        <v>12226.6</v>
      </c>
      <c r="N173" s="1339">
        <f>+SUM(N167:N172)</f>
        <v>13901</v>
      </c>
      <c r="O173" s="1339">
        <f>+SUM(O167:O172)</f>
        <v>12710.5</v>
      </c>
      <c r="P173" s="1339">
        <f>+SUM(P167:P172)</f>
        <v>16176.5</v>
      </c>
      <c r="Q173" s="1339">
        <f>+SUM(Q167:Q172)</f>
        <v>15080.7</v>
      </c>
      <c r="R173" s="1339">
        <f>+SUM(R167:R172)</f>
        <v>17966.267882898912</v>
      </c>
      <c r="S173" s="1339">
        <f t="shared" ref="S173:T173" si="130">+SUM(S167:S172)</f>
        <v>20809.324228024834</v>
      </c>
      <c r="T173" s="1339">
        <f t="shared" si="130"/>
        <v>22311.928946050346</v>
      </c>
      <c r="U173" s="1339"/>
      <c r="V173" s="1422"/>
      <c r="W173" s="1422"/>
      <c r="X173" s="1422"/>
    </row>
    <row r="174" spans="1:40">
      <c r="A174" s="1336"/>
      <c r="B174" s="1335"/>
      <c r="C174" s="1454"/>
      <c r="D174" s="1454"/>
      <c r="E174" s="1454"/>
      <c r="F174" s="1454"/>
      <c r="G174" s="1454"/>
      <c r="H174" s="1335"/>
      <c r="I174" s="1335"/>
      <c r="J174" s="1335"/>
      <c r="K174" s="1335"/>
      <c r="L174" s="1335"/>
      <c r="M174" s="1335"/>
      <c r="N174" s="1335"/>
      <c r="O174" s="1335"/>
      <c r="P174" s="1335"/>
      <c r="Q174" s="1335"/>
      <c r="R174" s="1335"/>
      <c r="S174" s="1335"/>
      <c r="T174" s="1335"/>
      <c r="U174" s="1335"/>
      <c r="V174" s="1411"/>
      <c r="W174" s="1411"/>
      <c r="X174" s="1411"/>
    </row>
    <row r="175" spans="1:40" s="1561" customFormat="1" hidden="1">
      <c r="A175" s="1557" t="s">
        <v>163</v>
      </c>
      <c r="B175" s="1558" t="s">
        <v>383</v>
      </c>
      <c r="C175" s="1559">
        <f t="shared" ref="C175:T175" si="131">+C167/C30</f>
        <v>0.34029059112239218</v>
      </c>
      <c r="D175" s="1559">
        <f t="shared" si="131"/>
        <v>0.28997458427431905</v>
      </c>
      <c r="E175" s="1559">
        <f t="shared" si="131"/>
        <v>0.31143939656822067</v>
      </c>
      <c r="F175" s="1559">
        <f t="shared" si="131"/>
        <v>0.32488154207233366</v>
      </c>
      <c r="G175" s="1559">
        <f t="shared" si="131"/>
        <v>0.28963952754903027</v>
      </c>
      <c r="H175" s="1558">
        <f t="shared" si="131"/>
        <v>0.35887899998172468</v>
      </c>
      <c r="I175" s="1558">
        <f t="shared" si="131"/>
        <v>0.33862255232950672</v>
      </c>
      <c r="J175" s="1558">
        <f t="shared" si="131"/>
        <v>0.29555436662477774</v>
      </c>
      <c r="K175" s="1558">
        <f t="shared" si="131"/>
        <v>0.22593805665689834</v>
      </c>
      <c r="L175" s="1558">
        <f t="shared" si="131"/>
        <v>0.2492169977919462</v>
      </c>
      <c r="M175" s="1558">
        <f t="shared" si="131"/>
        <v>0.287709622343788</v>
      </c>
      <c r="N175" s="1558">
        <f t="shared" si="131"/>
        <v>0.29715690466011124</v>
      </c>
      <c r="O175" s="1558">
        <f t="shared" si="131"/>
        <v>0.30810569718594932</v>
      </c>
      <c r="P175" s="1558">
        <f t="shared" si="131"/>
        <v>0.29160928159904237</v>
      </c>
      <c r="Q175" s="1558">
        <f t="shared" si="131"/>
        <v>0.28264141254172431</v>
      </c>
      <c r="R175" s="1558">
        <f t="shared" si="131"/>
        <v>0.28999999999999998</v>
      </c>
      <c r="S175" s="1558">
        <f t="shared" si="131"/>
        <v>0.28999999999999998</v>
      </c>
      <c r="T175" s="1558">
        <f t="shared" si="131"/>
        <v>0.28999999999999998</v>
      </c>
      <c r="U175" s="1558"/>
      <c r="V175" s="1560"/>
      <c r="W175" s="1560"/>
      <c r="X175" s="1560"/>
    </row>
    <row r="176" spans="1:40" s="1561" customFormat="1" ht="14.25">
      <c r="A176" s="1557" t="s">
        <v>163</v>
      </c>
      <c r="B176" s="1558" t="s">
        <v>384</v>
      </c>
      <c r="C176" s="1559">
        <f t="shared" ref="C176:Q176" si="132">+C173/C30</f>
        <v>0.31725985680557728</v>
      </c>
      <c r="D176" s="1559">
        <f t="shared" si="132"/>
        <v>0.23834442733403507</v>
      </c>
      <c r="E176" s="1559">
        <f t="shared" si="132"/>
        <v>0.2941996851549829</v>
      </c>
      <c r="F176" s="1559">
        <f t="shared" si="132"/>
        <v>0.30309414004921775</v>
      </c>
      <c r="G176" s="1559">
        <f t="shared" si="132"/>
        <v>0.28361525685615235</v>
      </c>
      <c r="H176" s="1558">
        <f t="shared" si="132"/>
        <v>0.3366472340503297</v>
      </c>
      <c r="I176" s="1558">
        <f t="shared" si="132"/>
        <v>0.32509565608822838</v>
      </c>
      <c r="J176" s="1558">
        <f t="shared" si="132"/>
        <v>0.29343088095623227</v>
      </c>
      <c r="K176" s="1558">
        <f t="shared" si="132"/>
        <v>0.23237832557605023</v>
      </c>
      <c r="L176" s="1558">
        <f t="shared" si="132"/>
        <v>0.25386906166406287</v>
      </c>
      <c r="M176" s="1558">
        <f t="shared" si="132"/>
        <v>0.30430021354226283</v>
      </c>
      <c r="N176" s="1558">
        <f t="shared" si="132"/>
        <v>0.29715690466011124</v>
      </c>
      <c r="O176" s="1558">
        <f t="shared" si="132"/>
        <v>0.30810569718594932</v>
      </c>
      <c r="P176" s="1558">
        <f t="shared" si="132"/>
        <v>0.29160928159904237</v>
      </c>
      <c r="Q176" s="1558">
        <f t="shared" si="132"/>
        <v>0.28264141254172431</v>
      </c>
      <c r="R176" s="1190">
        <v>0.28999999999999998</v>
      </c>
      <c r="S176" s="1190">
        <f>R176</f>
        <v>0.28999999999999998</v>
      </c>
      <c r="T176" s="1190">
        <f t="shared" ref="T176" si="133">S176</f>
        <v>0.28999999999999998</v>
      </c>
      <c r="U176" s="1558"/>
      <c r="V176" s="1560"/>
      <c r="W176" s="1560"/>
      <c r="X176" s="1560"/>
      <c r="AM176" s="1484" t="s">
        <v>2569</v>
      </c>
    </row>
    <row r="177" spans="1:24">
      <c r="A177" s="1336"/>
      <c r="B177" s="1335"/>
      <c r="C177" s="1454"/>
      <c r="D177" s="1454"/>
      <c r="E177" s="1454"/>
      <c r="F177" s="1454"/>
      <c r="G177" s="1454"/>
      <c r="H177" s="1335"/>
      <c r="I177" s="1335"/>
      <c r="J177" s="1335"/>
      <c r="K177" s="1335"/>
      <c r="L177" s="1335"/>
      <c r="M177" s="1335"/>
      <c r="N177" s="1335"/>
      <c r="O177" s="1335"/>
      <c r="P177" s="1335"/>
      <c r="Q177" s="1335"/>
      <c r="R177" s="1335"/>
      <c r="S177" s="1335"/>
      <c r="T177" s="1335"/>
      <c r="U177" s="1335"/>
      <c r="V177" s="1411"/>
      <c r="W177" s="1411"/>
      <c r="X177" s="1411"/>
    </row>
    <row r="178" spans="1:24">
      <c r="A178" s="1511" t="s">
        <v>316</v>
      </c>
      <c r="B178" s="1335"/>
      <c r="C178" s="1335"/>
      <c r="D178" s="1335"/>
      <c r="E178" s="1335"/>
      <c r="F178" s="1335"/>
      <c r="G178" s="1335"/>
      <c r="H178" s="1335"/>
      <c r="I178" s="1335"/>
      <c r="J178" s="1335"/>
      <c r="K178" s="1335"/>
      <c r="L178" s="1335"/>
      <c r="M178" s="1335"/>
      <c r="N178" s="1335"/>
      <c r="O178" s="1335"/>
      <c r="P178" s="1335"/>
      <c r="Q178" s="1335"/>
      <c r="R178" s="1335"/>
      <c r="S178" s="1335"/>
      <c r="T178" s="1335"/>
      <c r="U178" s="1335"/>
      <c r="V178" s="1411"/>
      <c r="W178" s="1411"/>
      <c r="X178" s="1411"/>
    </row>
    <row r="179" spans="1:24">
      <c r="A179" s="1336"/>
      <c r="B179" s="1335"/>
      <c r="C179" s="1335"/>
      <c r="D179" s="1335"/>
      <c r="E179" s="1335"/>
      <c r="F179" s="1335"/>
      <c r="G179" s="1335"/>
      <c r="H179" s="1335"/>
      <c r="I179" s="1335"/>
      <c r="J179" s="1335"/>
      <c r="K179" s="1335"/>
      <c r="L179" s="1335"/>
      <c r="M179" s="1335"/>
      <c r="N179" s="1335"/>
      <c r="O179" s="1335"/>
      <c r="P179" s="1335"/>
      <c r="Q179" s="1335"/>
      <c r="R179" s="1335"/>
      <c r="S179" s="1335"/>
      <c r="T179" s="1335"/>
      <c r="U179" s="1335"/>
      <c r="V179" s="1411"/>
      <c r="W179" s="1411"/>
      <c r="X179" s="1411"/>
    </row>
    <row r="180" spans="1:24">
      <c r="A180" s="1336"/>
      <c r="B180" s="1335"/>
      <c r="C180" s="1335"/>
      <c r="D180" s="1335"/>
      <c r="E180" s="1335"/>
      <c r="F180" s="1335"/>
      <c r="G180" s="1335"/>
      <c r="H180" s="1335"/>
      <c r="I180" s="1335"/>
      <c r="J180" s="1335"/>
      <c r="K180" s="1335"/>
      <c r="L180" s="1335"/>
      <c r="M180" s="1335"/>
      <c r="N180" s="1335"/>
      <c r="O180" s="1335"/>
      <c r="P180" s="1335"/>
      <c r="Q180" s="1335"/>
      <c r="R180" s="1335"/>
      <c r="S180" s="1335"/>
      <c r="T180" s="1335"/>
      <c r="U180" s="1335"/>
      <c r="V180" s="1411"/>
      <c r="W180" s="1411"/>
      <c r="X180" s="1411"/>
    </row>
    <row r="181" spans="1:24">
      <c r="A181" s="1336"/>
      <c r="B181" s="1335"/>
      <c r="C181" s="1335"/>
      <c r="D181" s="1335"/>
      <c r="E181" s="1335"/>
      <c r="F181" s="1335"/>
      <c r="G181" s="1335"/>
      <c r="H181" s="1335"/>
      <c r="I181" s="1335"/>
      <c r="J181" s="1335"/>
      <c r="K181" s="1335"/>
      <c r="L181" s="1335"/>
      <c r="M181" s="1335"/>
      <c r="N181" s="1335"/>
      <c r="O181" s="1335"/>
      <c r="P181" s="1335"/>
      <c r="Q181" s="1335"/>
      <c r="R181" s="1335"/>
      <c r="S181" s="1335"/>
      <c r="T181" s="1335"/>
      <c r="U181" s="1335"/>
      <c r="V181" s="1411"/>
      <c r="W181" s="1411"/>
      <c r="X181" s="1411"/>
    </row>
    <row r="184" spans="1:24">
      <c r="L184" s="1562"/>
      <c r="M184" s="1562"/>
      <c r="N184" s="1562"/>
      <c r="O184" s="1562"/>
      <c r="P184" s="1562"/>
      <c r="Q184" s="1562"/>
      <c r="R184" s="1562"/>
      <c r="S184" s="1562"/>
      <c r="T184" s="1562"/>
      <c r="U184" s="1562"/>
    </row>
    <row r="185" spans="1:24">
      <c r="L185" s="1562"/>
      <c r="M185" s="1563"/>
      <c r="N185" s="1564"/>
      <c r="O185" s="1564"/>
      <c r="P185" s="1564"/>
      <c r="Q185" s="1564"/>
      <c r="R185" s="1564"/>
      <c r="S185" s="1564"/>
      <c r="T185" s="1564"/>
      <c r="U185" s="1562"/>
    </row>
    <row r="186" spans="1:24">
      <c r="L186" s="1562"/>
      <c r="M186" s="1565"/>
      <c r="N186" s="1565"/>
      <c r="O186" s="1565"/>
      <c r="P186" s="1565"/>
      <c r="Q186" s="1565"/>
      <c r="R186" s="1565"/>
      <c r="S186" s="1565"/>
      <c r="T186" s="1565"/>
      <c r="U186" s="1562"/>
    </row>
    <row r="187" spans="1:24">
      <c r="L187" s="1562"/>
      <c r="M187" s="1566"/>
      <c r="N187" s="1567"/>
      <c r="O187" s="1567"/>
      <c r="P187" s="1568"/>
      <c r="Q187" s="1567"/>
      <c r="R187" s="1567"/>
      <c r="S187" s="1567"/>
      <c r="T187" s="1567"/>
      <c r="U187" s="1562"/>
    </row>
    <row r="188" spans="1:24">
      <c r="L188" s="1562"/>
      <c r="M188" s="1569"/>
      <c r="N188" s="1570"/>
      <c r="O188" s="1570"/>
      <c r="P188" s="1570"/>
      <c r="Q188" s="1570"/>
      <c r="R188" s="1570"/>
      <c r="S188" s="1570"/>
      <c r="T188" s="1570"/>
      <c r="U188" s="1562"/>
    </row>
    <row r="189" spans="1:24">
      <c r="L189" s="1562"/>
      <c r="M189" s="1562"/>
      <c r="N189" s="1562"/>
      <c r="O189" s="1562"/>
      <c r="P189" s="1562"/>
      <c r="Q189" s="1562"/>
      <c r="R189" s="1562"/>
      <c r="S189" s="1562"/>
      <c r="T189" s="1562"/>
      <c r="U189" s="1562"/>
    </row>
    <row r="190" spans="1:24">
      <c r="L190" s="1562"/>
      <c r="M190" s="1562"/>
      <c r="N190" s="1562"/>
      <c r="O190" s="1562"/>
      <c r="P190" s="1562"/>
      <c r="Q190" s="1562"/>
      <c r="R190" s="1562"/>
      <c r="S190" s="1562"/>
      <c r="T190" s="1562"/>
      <c r="U190" s="1562"/>
    </row>
    <row r="191" spans="1:24">
      <c r="L191" s="1562"/>
      <c r="M191" s="1562"/>
      <c r="N191" s="1562"/>
      <c r="O191" s="1562"/>
      <c r="P191" s="1562"/>
      <c r="Q191" s="1562"/>
      <c r="R191" s="1562"/>
      <c r="S191" s="1562"/>
      <c r="T191" s="1562"/>
      <c r="U191" s="1562"/>
    </row>
    <row r="192" spans="1:24">
      <c r="L192" s="1562"/>
      <c r="M192" s="1562"/>
      <c r="N192" s="1562"/>
      <c r="O192" s="1562"/>
      <c r="P192" s="1562"/>
      <c r="Q192" s="1562"/>
      <c r="R192" s="1562"/>
      <c r="S192" s="1562"/>
      <c r="T192" s="1562"/>
      <c r="U192" s="1562"/>
    </row>
  </sheetData>
  <sheetProtection algorithmName="SHA-512" hashValue="min3RlPixlkoEhY3Lv87RMj1WMKAQsAoah4TDlymQp/gvz/BnSnG5Ako4FeNtoIejmxNJMbzRvsflfj3tZ5nXQ==" saltValue="9/oIjEArN0aPwg8oV//Img==" spinCount="100000" sheet="1" objects="1" scenarios="1" sort="0" autoFilter="0" pivotTables="0"/>
  <mergeCells count="3">
    <mergeCell ref="A1:B1"/>
    <mergeCell ref="A2:K2"/>
    <mergeCell ref="A4:K4"/>
  </mergeCells>
  <phoneticPr fontId="6" type="noConversion"/>
  <hyperlinks>
    <hyperlink ref="B9" location="'Inc Stmt'!A76" display="Net revenues"/>
    <hyperlink ref="B10" location="'Inc Stmt'!A85" display="Cost of revenues"/>
    <hyperlink ref="B15" location="'Inc Stmt'!A96" display="SG&amp;A expenses"/>
    <hyperlink ref="B27" location="'Inc Stmt'!A106" display="Interest expenses"/>
    <hyperlink ref="B28" location="'Inc Stmt'!A117" display="Other income"/>
    <hyperlink ref="B29" location="'Inc Stmt'!A125" display="Exceptional items"/>
    <hyperlink ref="B32" location="'Inc Stmt'!A139" display="Income taxes"/>
    <hyperlink ref="A86" location="'Inc Stmt'!A8" display="To TOP"/>
    <hyperlink ref="A77" location="'Inc Stmt'!A8" display="To TOP"/>
    <hyperlink ref="A110" location="'Inc Stmt'!A8" display="To TOP"/>
    <hyperlink ref="A134" location="'Inc Stmt'!A8" display="To TOP"/>
    <hyperlink ref="A145" location="'Inc Stmt'!A8" display="To TOP"/>
    <hyperlink ref="A164" location="'Inc Stmt'!A8" display="To TOP"/>
    <hyperlink ref="A178" location="'Inc Stmt'!A8" display="To TOP"/>
    <hyperlink ref="A1" location="Dashboard!A1" display="To Dashboard"/>
  </hyperlinks>
  <pageMargins left="0.2" right="0.2" top="0.18" bottom="0.19" header="0.17" footer="0.2"/>
  <pageSetup paperSize="9" pageOrder="overThenDown" orientation="landscape" r:id="rId1"/>
  <headerFooter alignWithMargins="0"/>
  <ignoredErrors>
    <ignoredError sqref="C22:H22 K9:K13 J23 J9:J21 K15:K21 K23 I9:I21 I23 C9:H21 C23:H23 J22:K22 C38:H63 I38:I39 K38:K39 P63:P65 J38:J39 J37 K37 I37 C37:H37 O63:O65 C24:H36 I24:I36 K24:K36 J24:J36 N42 M42 I41:I42 J41:J42 K41:K42 L42 O42:O51 P42:P51 Q55:T55 Q73:T79 J94:T98 J73:P79 S1:T41 Q1:R6 P31 O32 P33 O34:P36 O8:O19 P29 O30:P30 P41 O41 L41 M41 N41 P11:P13 M28:M32 L24:L26 M24:M26 N24:N26 O24:P26 O21 O6 P6 P38:P39 O38:O39 N37 M37 L37 O23 N39 L38:L39 M38:M39 O22:P22 L22:N22 L15:L21 N34:N36 M15:M21 M9:M13 N23 M23 M34:M36 N9:N14 N28:N32 L23 L9:L13 L28:L36 N15:N21 L1:P5 O20 O37:P37 M33:O33 L14:M14 L27:N27 O29 L40:P40 N38 L7:P7 L6:N6 P21 O31 L8:N8 P8 K1 P53 O53:O61 Q87:T89 Q8:R8 R7 Q11:R13 R9 R10 Q16:R22 R14 R15 Q24:R26 R23 Q29:R31 R27 R28 Q33:R41 R32 P16:P20 O28 O27 Q81:T85 S80:T80 J93:P93 R93:T93 R92:T92 Q91:T91 J91:P92 J90:O90 J83:P89 J80:O82 J102:Q103 J101:Q101 P55:P61 Q68:T72 J100:Q100 J99:R99 Q53:Q54 Q58:T60 Q56:Q57 Q64:T65 Q61:Q63" unlockedFormula="1"/>
  </ignoredError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dimension ref="A1:AR113"/>
  <sheetViews>
    <sheetView showGridLines="0" workbookViewId="0">
      <pane xSplit="1" ySplit="2" topLeftCell="Q75" activePane="bottomRight" state="frozen"/>
      <selection activeCell="V96" sqref="V96"/>
      <selection pane="topRight" activeCell="V96" sqref="V96"/>
      <selection pane="bottomLeft" activeCell="V96" sqref="V96"/>
      <selection pane="bottomRight" activeCell="S93" sqref="S93:T93"/>
    </sheetView>
  </sheetViews>
  <sheetFormatPr defaultRowHeight="15" customHeight="1" outlineLevelRow="1" outlineLevelCol="1"/>
  <cols>
    <col min="1" max="1" width="28.875" style="1028" bestFit="1" customWidth="1"/>
    <col min="2" max="9" width="7.875" style="1028" hidden="1" customWidth="1" outlineLevel="1"/>
    <col min="10" max="10" width="9.375" style="1028" hidden="1" customWidth="1" outlineLevel="1"/>
    <col min="11" max="11" width="9.375" style="1097" hidden="1" customWidth="1" outlineLevel="1"/>
    <col min="12" max="16" width="9.375" style="1097" hidden="1" customWidth="1"/>
    <col min="17" max="17" width="9.375" style="1097" bestFit="1" customWidth="1"/>
    <col min="18" max="18" width="11.625" style="1097" bestFit="1" customWidth="1"/>
    <col min="19" max="20" width="9.375" style="1097" bestFit="1" customWidth="1"/>
    <col min="21" max="21" width="9.75" style="1098" bestFit="1" customWidth="1"/>
    <col min="22" max="22" width="9.75" style="1028" hidden="1" customWidth="1"/>
    <col min="23" max="25" width="0" style="1028" hidden="1" customWidth="1"/>
    <col min="26" max="28" width="9.75" style="1028" hidden="1" customWidth="1"/>
    <col min="29" max="43" width="0" style="1028" hidden="1" customWidth="1"/>
    <col min="44" max="16384" width="9" style="1028"/>
  </cols>
  <sheetData>
    <row r="1" spans="1:28" s="992" customFormat="1" ht="15" customHeight="1" outlineLevel="1">
      <c r="A1" s="988" t="s">
        <v>747</v>
      </c>
      <c r="B1" s="989"/>
      <c r="C1" s="989"/>
      <c r="D1" s="989"/>
      <c r="E1" s="990">
        <v>44.87</v>
      </c>
      <c r="F1" s="990">
        <v>44.21</v>
      </c>
      <c r="G1" s="990">
        <v>45.06</v>
      </c>
      <c r="H1" s="990">
        <v>40</v>
      </c>
      <c r="I1" s="990">
        <v>41</v>
      </c>
      <c r="J1" s="990">
        <f>32458/682</f>
        <v>47.592375366568916</v>
      </c>
      <c r="K1" s="991">
        <f>45517.5/974.6</f>
        <v>46.703775908064848</v>
      </c>
      <c r="L1" s="991">
        <f>+L102/1369</f>
        <v>47.108692476260046</v>
      </c>
      <c r="M1" s="991">
        <f>+M102/1309</f>
        <v>49.719404125286474</v>
      </c>
      <c r="N1" s="991">
        <f>+N102/1330</f>
        <v>59.635037593984968</v>
      </c>
      <c r="O1" s="991">
        <f>+O102/1524</f>
        <v>61.748162729658787</v>
      </c>
      <c r="P1" s="991">
        <v>65.7</v>
      </c>
      <c r="Q1" s="991">
        <v>67.3</v>
      </c>
      <c r="R1" s="1580">
        <v>67.5</v>
      </c>
      <c r="S1" s="1580">
        <f>+R1</f>
        <v>67.5</v>
      </c>
      <c r="T1" s="1580">
        <v>67.5</v>
      </c>
      <c r="Y1" s="992">
        <f>70+25+65</f>
        <v>160</v>
      </c>
    </row>
    <row r="2" spans="1:28" s="994" customFormat="1" ht="15" customHeight="1">
      <c r="A2" s="993" t="s">
        <v>748</v>
      </c>
      <c r="B2" s="994" t="s">
        <v>749</v>
      </c>
      <c r="C2" s="994" t="s">
        <v>672</v>
      </c>
      <c r="D2" s="994" t="s">
        <v>673</v>
      </c>
      <c r="E2" s="994" t="s">
        <v>671</v>
      </c>
      <c r="F2" s="994" t="s">
        <v>670</v>
      </c>
      <c r="G2" s="994" t="s">
        <v>669</v>
      </c>
      <c r="H2" s="995" t="s">
        <v>668</v>
      </c>
      <c r="I2" s="995" t="s">
        <v>314</v>
      </c>
      <c r="J2" s="995" t="s">
        <v>612</v>
      </c>
      <c r="K2" s="994" t="s">
        <v>195</v>
      </c>
      <c r="L2" s="994" t="s">
        <v>395</v>
      </c>
      <c r="M2" s="994" t="s">
        <v>279</v>
      </c>
      <c r="N2" s="994" t="s">
        <v>1419</v>
      </c>
      <c r="O2" s="994" t="s">
        <v>1857</v>
      </c>
      <c r="P2" s="994" t="s">
        <v>1858</v>
      </c>
      <c r="Q2" s="994" t="s">
        <v>2377</v>
      </c>
      <c r="R2" s="994" t="s">
        <v>1634</v>
      </c>
      <c r="S2" s="994" t="s">
        <v>1635</v>
      </c>
      <c r="T2" s="994" t="s">
        <v>1636</v>
      </c>
    </row>
    <row r="3" spans="1:28" s="997" customFormat="1" ht="15" customHeight="1">
      <c r="A3" s="996"/>
      <c r="H3" s="998"/>
      <c r="I3" s="998"/>
      <c r="J3" s="998"/>
      <c r="K3" s="999"/>
      <c r="L3" s="999"/>
      <c r="M3" s="999"/>
      <c r="N3" s="999"/>
      <c r="O3" s="999"/>
      <c r="P3" s="999"/>
      <c r="Q3" s="999"/>
      <c r="R3" s="1000"/>
      <c r="S3" s="1000"/>
      <c r="T3" s="1000"/>
      <c r="V3" s="1001" t="s">
        <v>1858</v>
      </c>
      <c r="W3" s="1001" t="s">
        <v>2377</v>
      </c>
      <c r="X3" s="1001" t="s">
        <v>2500</v>
      </c>
    </row>
    <row r="4" spans="1:28" s="1003" customFormat="1" ht="15" customHeight="1">
      <c r="A4" s="1002" t="s">
        <v>750</v>
      </c>
      <c r="H4" s="1004"/>
      <c r="I4" s="1004"/>
      <c r="J4" s="1004"/>
      <c r="K4" s="1005"/>
      <c r="L4" s="1005"/>
      <c r="M4" s="1005"/>
      <c r="N4" s="1005"/>
      <c r="O4" s="1005"/>
      <c r="P4" s="1005"/>
      <c r="Q4" s="1005"/>
      <c r="R4" s="1005"/>
      <c r="S4" s="1005"/>
      <c r="T4" s="1005"/>
      <c r="Z4" s="1003">
        <v>5</v>
      </c>
    </row>
    <row r="5" spans="1:28" s="997" customFormat="1" ht="15" customHeight="1" outlineLevel="1">
      <c r="A5" s="1006" t="s">
        <v>751</v>
      </c>
      <c r="H5" s="998"/>
      <c r="I5" s="1007">
        <f t="shared" ref="I5:P5" si="0">+I12+I16</f>
        <v>2194108</v>
      </c>
      <c r="J5" s="1007">
        <f t="shared" si="0"/>
        <v>2853750</v>
      </c>
      <c r="K5" s="1007">
        <f t="shared" si="0"/>
        <v>3825648</v>
      </c>
      <c r="L5" s="1007">
        <f t="shared" si="0"/>
        <v>4349573</v>
      </c>
      <c r="M5" s="1007">
        <f t="shared" si="0"/>
        <v>4237364</v>
      </c>
      <c r="N5" s="1008">
        <f>+N12+N16</f>
        <v>3870061</v>
      </c>
      <c r="O5" s="1008">
        <f t="shared" si="0"/>
        <v>3811201</v>
      </c>
      <c r="P5" s="1008">
        <f t="shared" si="0"/>
        <v>3893581</v>
      </c>
      <c r="Q5" s="1008">
        <f>+Q12+Q16</f>
        <v>3665871</v>
      </c>
      <c r="R5" s="1009">
        <f>+R12+R16</f>
        <v>4095264.33</v>
      </c>
      <c r="S5" s="1009">
        <f t="shared" ref="S5:T5" si="1">+S12+S16</f>
        <v>4631829.9597000005</v>
      </c>
      <c r="T5" s="1009">
        <f t="shared" si="1"/>
        <v>5208203.666424999</v>
      </c>
      <c r="V5" s="1010"/>
      <c r="W5" s="1010"/>
      <c r="X5" s="1010"/>
      <c r="Z5" s="998">
        <v>4199679.1900000004</v>
      </c>
      <c r="AA5" s="998">
        <v>4785777.5395</v>
      </c>
      <c r="AB5" s="998">
        <v>5439594.5794449998</v>
      </c>
    </row>
    <row r="6" spans="1:28" s="992" customFormat="1" ht="15" customHeight="1" outlineLevel="1">
      <c r="A6" s="1011" t="str">
        <f>+A70</f>
        <v>Platina/CT100</v>
      </c>
      <c r="B6" s="1012"/>
      <c r="C6" s="1012"/>
      <c r="D6" s="1012"/>
      <c r="E6" s="1012"/>
      <c r="F6" s="1012"/>
      <c r="G6" s="1012"/>
      <c r="H6" s="1012"/>
      <c r="I6" s="1013">
        <v>442243</v>
      </c>
      <c r="J6" s="1013">
        <v>428574</v>
      </c>
      <c r="K6" s="1014">
        <v>384483</v>
      </c>
      <c r="L6" s="1014">
        <v>535631</v>
      </c>
      <c r="M6" s="1014">
        <v>484742</v>
      </c>
      <c r="N6" s="1015">
        <v>459785</v>
      </c>
      <c r="O6" s="1015">
        <f>482308+35915</f>
        <v>518223</v>
      </c>
      <c r="P6" s="1015">
        <f>275276+590067</f>
        <v>865343</v>
      </c>
      <c r="Q6" s="1015">
        <f>452712+383545</f>
        <v>836257</v>
      </c>
      <c r="R6" s="1572">
        <f t="shared" ref="R6" si="2">+Q6*R20+Q6</f>
        <v>894794.99</v>
      </c>
      <c r="S6" s="1572">
        <f t="shared" ref="S6" si="3">+R6*S20+R6</f>
        <v>957430.63930000004</v>
      </c>
      <c r="T6" s="1572">
        <f t="shared" ref="T6" si="4">+S6*T20+S6</f>
        <v>1005302.171265</v>
      </c>
      <c r="U6" s="1028" t="s">
        <v>2570</v>
      </c>
      <c r="V6" s="1017">
        <f t="shared" ref="V6:V17" si="5">P6/12</f>
        <v>72111.916666666672</v>
      </c>
      <c r="W6" s="1017">
        <f t="shared" ref="W6:W17" si="6">Q6/12</f>
        <v>69688.083333333328</v>
      </c>
      <c r="X6" s="1017">
        <f t="shared" ref="X6:X17" si="7">R6/12</f>
        <v>74566.249166666661</v>
      </c>
      <c r="Z6" s="1017">
        <v>501165.65</v>
      </c>
      <c r="AA6" s="1017">
        <v>541258.902</v>
      </c>
      <c r="AB6" s="1017">
        <v>584559.61416</v>
      </c>
    </row>
    <row r="7" spans="1:28" s="992" customFormat="1" ht="13.5" outlineLevel="1">
      <c r="A7" s="1011" t="str">
        <f>+A71</f>
        <v>Discover/Boxer/XCD/V</v>
      </c>
      <c r="B7" s="1012"/>
      <c r="C7" s="1012"/>
      <c r="D7" s="1012"/>
      <c r="E7" s="1012"/>
      <c r="F7" s="1012"/>
      <c r="G7" s="1012"/>
      <c r="H7" s="1012"/>
      <c r="I7" s="1013">
        <f>843876-I8</f>
        <v>474035</v>
      </c>
      <c r="J7" s="1013">
        <v>796059</v>
      </c>
      <c r="K7" s="1014">
        <v>1235845</v>
      </c>
      <c r="L7" s="1014">
        <v>1314772</v>
      </c>
      <c r="M7" s="1014">
        <v>1311712</v>
      </c>
      <c r="N7" s="1015">
        <v>985679</v>
      </c>
      <c r="O7" s="1015">
        <v>552864</v>
      </c>
      <c r="P7" s="1015">
        <v>238098</v>
      </c>
      <c r="Q7" s="1015">
        <f>99723+21+234322</f>
        <v>334066</v>
      </c>
      <c r="R7" s="1016">
        <f>+Q7*R21+Q7</f>
        <v>374153.92</v>
      </c>
      <c r="S7" s="1571">
        <f>R7*(1+S21)</f>
        <v>419052.39040000003</v>
      </c>
      <c r="T7" s="1571">
        <f t="shared" ref="T7:T8" si="8">S7*(1+T21)</f>
        <v>460957.62944000005</v>
      </c>
      <c r="U7" s="1017"/>
      <c r="V7" s="1017">
        <f t="shared" si="5"/>
        <v>19841.5</v>
      </c>
      <c r="W7" s="1017">
        <f t="shared" si="6"/>
        <v>27838.833333333332</v>
      </c>
      <c r="X7" s="1017">
        <f t="shared" si="7"/>
        <v>31179.493333333332</v>
      </c>
      <c r="Z7" s="1017">
        <v>837827.15</v>
      </c>
      <c r="AA7" s="1017">
        <v>938366.40800000005</v>
      </c>
      <c r="AB7" s="1017">
        <v>1050970.37696</v>
      </c>
    </row>
    <row r="8" spans="1:28" s="992" customFormat="1" ht="15" customHeight="1" outlineLevel="1">
      <c r="A8" s="1011" t="str">
        <f>+A72</f>
        <v>Pulsar/KTM/Avenger/Ninja</v>
      </c>
      <c r="B8" s="1012"/>
      <c r="C8" s="1012"/>
      <c r="D8" s="1012"/>
      <c r="E8" s="1012"/>
      <c r="F8" s="1012"/>
      <c r="G8" s="1012"/>
      <c r="H8" s="1012"/>
      <c r="I8" s="1013">
        <v>369841</v>
      </c>
      <c r="J8" s="1013">
        <v>561992</v>
      </c>
      <c r="K8" s="1014">
        <v>795999</v>
      </c>
      <c r="L8" s="1014">
        <v>716367</v>
      </c>
      <c r="M8" s="1014">
        <v>667622</v>
      </c>
      <c r="N8" s="1015">
        <v>653750</v>
      </c>
      <c r="O8" s="1015">
        <v>699691</v>
      </c>
      <c r="P8" s="1015">
        <v>795516</v>
      </c>
      <c r="Q8" s="1015">
        <f>821693+9375</f>
        <v>831068</v>
      </c>
      <c r="R8" s="1571">
        <f>Q8*(1+R22)</f>
        <v>955728.2</v>
      </c>
      <c r="S8" s="1571">
        <f t="shared" ref="S8:T8" si="9">R8*(1+S22)</f>
        <v>1108644.7119999998</v>
      </c>
      <c r="T8" s="1571">
        <f t="shared" si="8"/>
        <v>1286027.8659199998</v>
      </c>
      <c r="U8" s="1028" t="s">
        <v>2570</v>
      </c>
      <c r="V8" s="1017">
        <f t="shared" si="5"/>
        <v>66293</v>
      </c>
      <c r="W8" s="1017">
        <f t="shared" si="6"/>
        <v>69255.666666666672</v>
      </c>
      <c r="X8" s="1017">
        <f t="shared" si="7"/>
        <v>79644.016666666663</v>
      </c>
      <c r="Z8" s="1017">
        <v>732200</v>
      </c>
      <c r="AA8" s="1017">
        <v>834708</v>
      </c>
      <c r="AB8" s="1017">
        <v>951567.12</v>
      </c>
    </row>
    <row r="9" spans="1:28" s="997" customFormat="1" ht="15" customHeight="1" outlineLevel="1">
      <c r="A9" s="996" t="s">
        <v>2354</v>
      </c>
      <c r="H9" s="998"/>
      <c r="I9" s="998">
        <v>1286119</v>
      </c>
      <c r="J9" s="998">
        <f t="shared" ref="J9:O9" si="10">+SUM(J6:J8)</f>
        <v>1786625</v>
      </c>
      <c r="K9" s="998">
        <f t="shared" si="10"/>
        <v>2416327</v>
      </c>
      <c r="L9" s="998">
        <f t="shared" si="10"/>
        <v>2566770</v>
      </c>
      <c r="M9" s="998">
        <f t="shared" si="10"/>
        <v>2464076</v>
      </c>
      <c r="N9" s="998">
        <f t="shared" si="10"/>
        <v>2099214</v>
      </c>
      <c r="O9" s="998">
        <f t="shared" si="10"/>
        <v>1770778</v>
      </c>
      <c r="P9" s="998">
        <f>+SUM(P6:P8)</f>
        <v>1898957</v>
      </c>
      <c r="Q9" s="998">
        <f>+SUM(Q6:Q8)</f>
        <v>2001391</v>
      </c>
      <c r="R9" s="1018">
        <f>+SUM(R6:R8)</f>
        <v>2224677.11</v>
      </c>
      <c r="S9" s="1018">
        <f t="shared" ref="S9:T9" si="11">+SUM(S6:S8)</f>
        <v>2485127.7417000001</v>
      </c>
      <c r="T9" s="1018">
        <f t="shared" si="11"/>
        <v>2752287.6666249996</v>
      </c>
      <c r="V9" s="1010">
        <f t="shared" si="5"/>
        <v>158246.41666666666</v>
      </c>
      <c r="W9" s="1010">
        <f t="shared" si="6"/>
        <v>166782.58333333334</v>
      </c>
      <c r="X9" s="1010">
        <f t="shared" si="7"/>
        <v>185389.75916666666</v>
      </c>
      <c r="Z9" s="998">
        <v>2071192.8</v>
      </c>
      <c r="AA9" s="998">
        <v>2314333.31</v>
      </c>
      <c r="AB9" s="998">
        <v>2587097.11112</v>
      </c>
    </row>
    <row r="10" spans="1:28" s="997" customFormat="1" ht="15" customHeight="1" outlineLevel="1">
      <c r="A10" s="1019" t="s">
        <v>1496</v>
      </c>
      <c r="H10" s="998"/>
      <c r="I10" s="1020">
        <v>135470</v>
      </c>
      <c r="J10" s="1020">
        <v>176027</v>
      </c>
      <c r="K10" s="1021">
        <v>205603</v>
      </c>
      <c r="L10" s="1014">
        <v>202979</v>
      </c>
      <c r="M10" s="1014">
        <v>226131</v>
      </c>
      <c r="N10" s="1015">
        <v>186912</v>
      </c>
      <c r="O10" s="1015">
        <v>234345</v>
      </c>
      <c r="P10" s="1015">
        <v>254995</v>
      </c>
      <c r="Q10" s="1015">
        <v>253147</v>
      </c>
      <c r="R10" s="1572">
        <f>+Q10*R24+Q10</f>
        <v>278461.7</v>
      </c>
      <c r="S10" s="1572">
        <f t="shared" ref="S10:T10" si="12">+R10*S24+R10</f>
        <v>306307.87</v>
      </c>
      <c r="T10" s="1572">
        <f t="shared" si="12"/>
        <v>330812.49959999998</v>
      </c>
      <c r="U10" s="1028" t="s">
        <v>2570</v>
      </c>
      <c r="V10" s="1017">
        <f t="shared" si="5"/>
        <v>21249.583333333332</v>
      </c>
      <c r="W10" s="1017">
        <f t="shared" si="6"/>
        <v>21095.583333333332</v>
      </c>
      <c r="X10" s="1017">
        <f t="shared" si="7"/>
        <v>23205.141666666666</v>
      </c>
      <c r="Z10" s="998">
        <v>241116.47999999998</v>
      </c>
      <c r="AA10" s="998">
        <v>253172.30399999997</v>
      </c>
      <c r="AB10" s="998">
        <v>265830.9192</v>
      </c>
    </row>
    <row r="11" spans="1:28" s="997" customFormat="1" ht="15" customHeight="1" outlineLevel="1">
      <c r="A11" s="1019" t="s">
        <v>474</v>
      </c>
      <c r="H11" s="998"/>
      <c r="I11" s="1020"/>
      <c r="J11" s="1020"/>
      <c r="K11" s="1021"/>
      <c r="L11" s="1014"/>
      <c r="M11" s="1014"/>
      <c r="N11" s="1014"/>
      <c r="O11" s="1014">
        <v>0</v>
      </c>
      <c r="P11" s="1014">
        <v>0</v>
      </c>
      <c r="Q11" s="1014">
        <v>0</v>
      </c>
      <c r="R11" s="1572">
        <f>1000*12</f>
        <v>12000</v>
      </c>
      <c r="S11" s="1571">
        <f>2000*12</f>
        <v>24000</v>
      </c>
      <c r="T11" s="1571">
        <f>S11</f>
        <v>24000</v>
      </c>
      <c r="U11" s="1028" t="s">
        <v>2570</v>
      </c>
      <c r="V11" s="1017">
        <f t="shared" si="5"/>
        <v>0</v>
      </c>
      <c r="W11" s="1017">
        <f t="shared" si="6"/>
        <v>0</v>
      </c>
      <c r="X11" s="1017">
        <f t="shared" si="7"/>
        <v>1000</v>
      </c>
      <c r="Z11" s="998">
        <v>1500</v>
      </c>
      <c r="AA11" s="998">
        <v>24000</v>
      </c>
      <c r="AB11" s="998">
        <v>36000</v>
      </c>
    </row>
    <row r="12" spans="1:28" s="997" customFormat="1" ht="15" customHeight="1" outlineLevel="1">
      <c r="A12" s="996" t="s">
        <v>2355</v>
      </c>
      <c r="H12" s="998"/>
      <c r="I12" s="998">
        <f t="shared" ref="I12:N12" si="13">+I9+I10</f>
        <v>1421589</v>
      </c>
      <c r="J12" s="998">
        <f t="shared" si="13"/>
        <v>1962652</v>
      </c>
      <c r="K12" s="998">
        <f t="shared" si="13"/>
        <v>2621930</v>
      </c>
      <c r="L12" s="998">
        <f t="shared" si="13"/>
        <v>2769749</v>
      </c>
      <c r="M12" s="998">
        <f t="shared" si="13"/>
        <v>2690207</v>
      </c>
      <c r="N12" s="998">
        <f t="shared" si="13"/>
        <v>2286126</v>
      </c>
      <c r="O12" s="998">
        <f>+O9+O10+O11</f>
        <v>2005123</v>
      </c>
      <c r="P12" s="998">
        <f>+P9+P10+P11</f>
        <v>2153952</v>
      </c>
      <c r="Q12" s="998">
        <f>+Q9+Q10+Q11</f>
        <v>2254538</v>
      </c>
      <c r="R12" s="1018">
        <f>+R9+R10+R11</f>
        <v>2515138.81</v>
      </c>
      <c r="S12" s="1018">
        <f t="shared" ref="S12:T12" si="14">+S9+S10+S11</f>
        <v>2815435.6117000002</v>
      </c>
      <c r="T12" s="1018">
        <f t="shared" si="14"/>
        <v>3107100.1662249994</v>
      </c>
      <c r="U12" s="1017"/>
      <c r="V12" s="1010">
        <f t="shared" si="5"/>
        <v>179496</v>
      </c>
      <c r="W12" s="1010">
        <f t="shared" si="6"/>
        <v>187878.16666666666</v>
      </c>
      <c r="X12" s="1010">
        <f t="shared" si="7"/>
        <v>209594.90083333335</v>
      </c>
      <c r="Z12" s="998">
        <v>2313809.2800000003</v>
      </c>
      <c r="AA12" s="998">
        <v>2591505.6140000001</v>
      </c>
      <c r="AB12" s="998">
        <v>2888928.0303199999</v>
      </c>
    </row>
    <row r="13" spans="1:28" s="997" customFormat="1" ht="15" customHeight="1" outlineLevel="1">
      <c r="A13" s="1019" t="s">
        <v>752</v>
      </c>
      <c r="H13" s="998"/>
      <c r="I13" s="1014">
        <v>633463</v>
      </c>
      <c r="J13" s="1014">
        <v>726189</v>
      </c>
      <c r="K13" s="1014">
        <v>972437</v>
      </c>
      <c r="L13" s="1014">
        <v>1267648</v>
      </c>
      <c r="M13" s="1014">
        <v>1293231</v>
      </c>
      <c r="N13" s="1015">
        <v>1323173</v>
      </c>
      <c r="O13" s="1015">
        <v>1521306</v>
      </c>
      <c r="P13" s="1015">
        <v>1459295</v>
      </c>
      <c r="Q13" s="1015">
        <v>1218541</v>
      </c>
      <c r="R13" s="1572">
        <f t="shared" ref="R13" si="15">+Q13*R27+Q13</f>
        <v>1364765.92</v>
      </c>
      <c r="S13" s="1572">
        <f t="shared" ref="S13" si="16">+R13*S27+R13</f>
        <v>1569480.808</v>
      </c>
      <c r="T13" s="1572">
        <f t="shared" ref="T13" si="17">+S13*T27+S13</f>
        <v>1804902.9291999999</v>
      </c>
      <c r="U13" s="1028" t="s">
        <v>2570</v>
      </c>
      <c r="V13" s="1017">
        <f t="shared" si="5"/>
        <v>121607.91666666667</v>
      </c>
      <c r="W13" s="1017">
        <f t="shared" si="6"/>
        <v>101545.08333333333</v>
      </c>
      <c r="X13" s="1017">
        <f t="shared" si="7"/>
        <v>113730.49333333333</v>
      </c>
      <c r="Z13" s="998">
        <v>1601039.33</v>
      </c>
      <c r="AA13" s="998">
        <v>1841195.2295000001</v>
      </c>
      <c r="AB13" s="998">
        <v>2117374.5139250001</v>
      </c>
    </row>
    <row r="14" spans="1:28" s="997" customFormat="1" ht="15" customHeight="1" outlineLevel="1">
      <c r="A14" s="1019" t="s">
        <v>753</v>
      </c>
      <c r="H14" s="998"/>
      <c r="I14" s="1014">
        <v>139056</v>
      </c>
      <c r="J14" s="1014">
        <v>164909</v>
      </c>
      <c r="K14" s="1014">
        <v>231281</v>
      </c>
      <c r="L14" s="1014">
        <v>312176</v>
      </c>
      <c r="M14" s="1014">
        <v>253926</v>
      </c>
      <c r="N14" s="1015">
        <v>260762</v>
      </c>
      <c r="O14" s="1015">
        <v>284772</v>
      </c>
      <c r="P14" s="1015">
        <v>280000</v>
      </c>
      <c r="Q14" s="1015">
        <v>191236</v>
      </c>
      <c r="R14" s="1571">
        <f>Q14*(1+R28)</f>
        <v>210359.6</v>
      </c>
      <c r="S14" s="1571">
        <f t="shared" ref="S14:T14" si="18">R14*(1+S28)</f>
        <v>241913.53999999998</v>
      </c>
      <c r="T14" s="1571">
        <f t="shared" si="18"/>
        <v>278200.57099999994</v>
      </c>
      <c r="U14" s="1028" t="s">
        <v>2570</v>
      </c>
      <c r="V14" s="1017">
        <f t="shared" si="5"/>
        <v>23333.333333333332</v>
      </c>
      <c r="W14" s="1017">
        <f t="shared" si="6"/>
        <v>15936.333333333334</v>
      </c>
      <c r="X14" s="1017">
        <f t="shared" si="7"/>
        <v>17529.966666666667</v>
      </c>
      <c r="Z14" s="998">
        <v>284230.58</v>
      </c>
      <c r="AA14" s="998">
        <v>341076.696</v>
      </c>
      <c r="AB14" s="998">
        <v>409292.03519999998</v>
      </c>
    </row>
    <row r="15" spans="1:28" s="997" customFormat="1" ht="15" customHeight="1" outlineLevel="1">
      <c r="A15" s="1019" t="s">
        <v>475</v>
      </c>
      <c r="H15" s="998"/>
      <c r="I15" s="1014"/>
      <c r="J15" s="1014"/>
      <c r="K15" s="1014"/>
      <c r="L15" s="1014"/>
      <c r="M15" s="1014"/>
      <c r="N15" s="1014"/>
      <c r="O15" s="1014">
        <v>0</v>
      </c>
      <c r="P15" s="1014">
        <v>334</v>
      </c>
      <c r="Q15" s="1014">
        <v>1556</v>
      </c>
      <c r="R15" s="1571">
        <f>5000</f>
        <v>5000</v>
      </c>
      <c r="S15" s="1571">
        <f>R15</f>
        <v>5000</v>
      </c>
      <c r="T15" s="1571">
        <f>18000</f>
        <v>18000</v>
      </c>
      <c r="U15" s="1028" t="s">
        <v>2570</v>
      </c>
      <c r="V15" s="1017">
        <f t="shared" si="5"/>
        <v>27.833333333333332</v>
      </c>
      <c r="W15" s="1017">
        <f t="shared" si="6"/>
        <v>129.66666666666666</v>
      </c>
      <c r="X15" s="1017">
        <f t="shared" si="7"/>
        <v>416.66666666666669</v>
      </c>
      <c r="Z15" s="998">
        <v>600</v>
      </c>
      <c r="AA15" s="998">
        <v>12000</v>
      </c>
      <c r="AB15" s="998">
        <v>24000</v>
      </c>
    </row>
    <row r="16" spans="1:28" s="997" customFormat="1" ht="15" customHeight="1" outlineLevel="1">
      <c r="A16" s="996" t="s">
        <v>754</v>
      </c>
      <c r="H16" s="998"/>
      <c r="I16" s="998">
        <f t="shared" ref="I16:N16" si="19">+I13+I14</f>
        <v>772519</v>
      </c>
      <c r="J16" s="998">
        <f t="shared" si="19"/>
        <v>891098</v>
      </c>
      <c r="K16" s="998">
        <f t="shared" si="19"/>
        <v>1203718</v>
      </c>
      <c r="L16" s="998">
        <f t="shared" si="19"/>
        <v>1579824</v>
      </c>
      <c r="M16" s="998">
        <f t="shared" si="19"/>
        <v>1547157</v>
      </c>
      <c r="N16" s="998">
        <f t="shared" si="19"/>
        <v>1583935</v>
      </c>
      <c r="O16" s="998">
        <f>+O13+O14+O15</f>
        <v>1806078</v>
      </c>
      <c r="P16" s="998">
        <f>+P13+P14+P15</f>
        <v>1739629</v>
      </c>
      <c r="Q16" s="998">
        <f>+Q13+Q14+Q15</f>
        <v>1411333</v>
      </c>
      <c r="R16" s="1018">
        <f>+R13+R14+R15</f>
        <v>1580125.52</v>
      </c>
      <c r="S16" s="1018">
        <f t="shared" ref="S16:T16" si="20">+S13+S14+S15</f>
        <v>1816394.348</v>
      </c>
      <c r="T16" s="1018">
        <f t="shared" si="20"/>
        <v>2101103.5001999997</v>
      </c>
      <c r="U16" s="1017"/>
      <c r="V16" s="1010">
        <f t="shared" si="5"/>
        <v>144969.08333333334</v>
      </c>
      <c r="W16" s="1010">
        <f t="shared" si="6"/>
        <v>117611.08333333333</v>
      </c>
      <c r="X16" s="1010">
        <f t="shared" si="7"/>
        <v>131677.12666666668</v>
      </c>
      <c r="Z16" s="998">
        <v>1885869.9100000001</v>
      </c>
      <c r="AA16" s="998">
        <v>2194271.9254999999</v>
      </c>
      <c r="AB16" s="998">
        <v>2550666.5491249999</v>
      </c>
    </row>
    <row r="17" spans="1:28" s="997" customFormat="1" ht="15" customHeight="1" outlineLevel="1">
      <c r="A17" s="1010" t="s">
        <v>595</v>
      </c>
      <c r="H17" s="998"/>
      <c r="I17" s="998">
        <f t="shared" ref="I17:Q17" si="21">I12+I16</f>
        <v>2194108</v>
      </c>
      <c r="J17" s="998">
        <f t="shared" si="21"/>
        <v>2853750</v>
      </c>
      <c r="K17" s="998">
        <f t="shared" si="21"/>
        <v>3825648</v>
      </c>
      <c r="L17" s="998">
        <f t="shared" si="21"/>
        <v>4349573</v>
      </c>
      <c r="M17" s="998">
        <f t="shared" si="21"/>
        <v>4237364</v>
      </c>
      <c r="N17" s="998">
        <f t="shared" si="21"/>
        <v>3870061</v>
      </c>
      <c r="O17" s="998">
        <f t="shared" si="21"/>
        <v>3811201</v>
      </c>
      <c r="P17" s="998">
        <f t="shared" si="21"/>
        <v>3893581</v>
      </c>
      <c r="Q17" s="998">
        <f t="shared" si="21"/>
        <v>3665871</v>
      </c>
      <c r="R17" s="1018">
        <f>R12+R16</f>
        <v>4095264.33</v>
      </c>
      <c r="S17" s="1018">
        <f t="shared" ref="S17:T17" si="22">S12+S16</f>
        <v>4631829.9597000005</v>
      </c>
      <c r="T17" s="1018">
        <f t="shared" si="22"/>
        <v>5208203.666424999</v>
      </c>
      <c r="U17" s="1022"/>
      <c r="V17" s="1010">
        <f t="shared" si="5"/>
        <v>324465.08333333331</v>
      </c>
      <c r="W17" s="1010">
        <f t="shared" si="6"/>
        <v>305489.25</v>
      </c>
      <c r="X17" s="1010">
        <f t="shared" si="7"/>
        <v>341272.02750000003</v>
      </c>
      <c r="Z17" s="998">
        <v>4199679.1900000004</v>
      </c>
      <c r="AA17" s="998">
        <v>4785777.5395</v>
      </c>
      <c r="AB17" s="998">
        <v>5439594.5794449998</v>
      </c>
    </row>
    <row r="18" spans="1:28" s="997" customFormat="1" ht="15" customHeight="1" outlineLevel="1">
      <c r="A18" s="1010"/>
      <c r="H18" s="998"/>
      <c r="I18" s="998"/>
      <c r="J18" s="998"/>
      <c r="K18" s="998"/>
      <c r="L18" s="998"/>
      <c r="M18" s="998"/>
      <c r="N18" s="998"/>
      <c r="O18" s="998"/>
      <c r="P18" s="998"/>
      <c r="Q18" s="998"/>
      <c r="R18" s="1018"/>
      <c r="S18" s="1018"/>
      <c r="T18" s="1018"/>
      <c r="AA18" s="1007"/>
    </row>
    <row r="19" spans="1:28" ht="15" customHeight="1" outlineLevel="1">
      <c r="A19" s="1023" t="s">
        <v>579</v>
      </c>
      <c r="B19" s="1011"/>
      <c r="C19" s="1024"/>
      <c r="D19" s="1025"/>
      <c r="E19" s="1025"/>
      <c r="F19" s="1025"/>
      <c r="G19" s="1025"/>
      <c r="H19" s="1025"/>
      <c r="I19" s="1011"/>
      <c r="J19" s="1011"/>
      <c r="K19" s="1026"/>
      <c r="L19" s="1026"/>
      <c r="M19" s="1026"/>
      <c r="N19" s="1026"/>
      <c r="O19" s="998"/>
      <c r="P19" s="998"/>
      <c r="Q19" s="998"/>
      <c r="R19" s="1027"/>
      <c r="S19" s="1027"/>
      <c r="T19" s="1027"/>
      <c r="U19" s="1028"/>
      <c r="AA19" s="1029"/>
    </row>
    <row r="20" spans="1:28" ht="15" customHeight="1" outlineLevel="1">
      <c r="A20" s="1030" t="str">
        <f>+A6</f>
        <v>Platina/CT100</v>
      </c>
      <c r="E20" s="1031"/>
      <c r="F20" s="1031"/>
      <c r="G20" s="1031"/>
      <c r="H20" s="1031"/>
      <c r="I20" s="1031"/>
      <c r="J20" s="1031">
        <f t="shared" ref="J20:N22" si="23">+J6/I6-1</f>
        <v>-3.0908346768631745E-2</v>
      </c>
      <c r="K20" s="1026">
        <f t="shared" si="23"/>
        <v>-0.10287838272970362</v>
      </c>
      <c r="L20" s="1026">
        <f t="shared" si="23"/>
        <v>0.39312011194253071</v>
      </c>
      <c r="M20" s="1026">
        <f t="shared" si="23"/>
        <v>-9.5007570510295292E-2</v>
      </c>
      <c r="N20" s="1026">
        <f t="shared" si="23"/>
        <v>-5.1485119919462363E-2</v>
      </c>
      <c r="O20" s="1026">
        <f t="shared" ref="O20:Q22" si="24">+O6/N6-1</f>
        <v>0.12709853518492342</v>
      </c>
      <c r="P20" s="1026">
        <f t="shared" si="24"/>
        <v>0.66982746809771077</v>
      </c>
      <c r="Q20" s="1026">
        <f t="shared" si="24"/>
        <v>-3.3612105257683988E-2</v>
      </c>
      <c r="R20" s="1573">
        <v>7.0000000000000007E-2</v>
      </c>
      <c r="S20" s="1573">
        <f>R20</f>
        <v>7.0000000000000007E-2</v>
      </c>
      <c r="T20" s="1573">
        <v>0.05</v>
      </c>
      <c r="U20" s="1028" t="s">
        <v>2569</v>
      </c>
      <c r="Z20" s="1026"/>
      <c r="AA20" s="1026">
        <f>+AA6/Z6-1</f>
        <v>7.9999999999999849E-2</v>
      </c>
      <c r="AB20" s="1026">
        <f>+AB6/AA6-1</f>
        <v>8.0000000000000071E-2</v>
      </c>
    </row>
    <row r="21" spans="1:28" ht="15" customHeight="1" outlineLevel="1">
      <c r="A21" s="1030" t="str">
        <f>+A7</f>
        <v>Discover/Boxer/XCD/V</v>
      </c>
      <c r="E21" s="1031"/>
      <c r="F21" s="1031"/>
      <c r="G21" s="1031"/>
      <c r="H21" s="1031"/>
      <c r="I21" s="1031"/>
      <c r="J21" s="1031">
        <f t="shared" si="23"/>
        <v>0.67932536627042306</v>
      </c>
      <c r="K21" s="1026">
        <f t="shared" si="23"/>
        <v>0.55245402664877852</v>
      </c>
      <c r="L21" s="1026">
        <f t="shared" si="23"/>
        <v>6.3864805052413542E-2</v>
      </c>
      <c r="M21" s="1026">
        <f t="shared" si="23"/>
        <v>-2.3273997316645145E-3</v>
      </c>
      <c r="N21" s="1026">
        <f t="shared" si="23"/>
        <v>-0.24855532311970918</v>
      </c>
      <c r="O21" s="1026">
        <f t="shared" si="24"/>
        <v>-0.43910339978836921</v>
      </c>
      <c r="P21" s="1026">
        <f t="shared" si="24"/>
        <v>-0.56933712450078144</v>
      </c>
      <c r="Q21" s="1026">
        <f t="shared" si="24"/>
        <v>0.40306092449327591</v>
      </c>
      <c r="R21" s="1573">
        <v>0.12</v>
      </c>
      <c r="S21" s="1573">
        <v>0.12</v>
      </c>
      <c r="T21" s="1573">
        <v>0.1</v>
      </c>
      <c r="U21" s="1028" t="s">
        <v>2569</v>
      </c>
      <c r="V21" s="1033"/>
      <c r="AA21" s="1026">
        <f t="shared" ref="AA21:AA30" si="25">+AA7/Z7-1</f>
        <v>0.12000000000000011</v>
      </c>
      <c r="AB21" s="1026">
        <f t="shared" ref="AB21:AB30" si="26">+AB7/AA7-1</f>
        <v>0.11999999999999988</v>
      </c>
    </row>
    <row r="22" spans="1:28" ht="15" customHeight="1" outlineLevel="1">
      <c r="A22" s="1030" t="str">
        <f>+A8</f>
        <v>Pulsar/KTM/Avenger/Ninja</v>
      </c>
      <c r="E22" s="1031"/>
      <c r="F22" s="1031"/>
      <c r="G22" s="1031"/>
      <c r="H22" s="1031"/>
      <c r="I22" s="1031"/>
      <c r="J22" s="1031">
        <f t="shared" si="23"/>
        <v>0.51955029323411961</v>
      </c>
      <c r="K22" s="1026">
        <f t="shared" si="23"/>
        <v>0.41638848951586493</v>
      </c>
      <c r="L22" s="1026">
        <f t="shared" si="23"/>
        <v>-0.10004032668382745</v>
      </c>
      <c r="M22" s="1026">
        <f t="shared" si="23"/>
        <v>-6.8044731262048685E-2</v>
      </c>
      <c r="N22" s="1026">
        <f t="shared" si="23"/>
        <v>-2.0778224803856049E-2</v>
      </c>
      <c r="O22" s="1026">
        <f t="shared" si="24"/>
        <v>7.0273040152963651E-2</v>
      </c>
      <c r="P22" s="1026">
        <f t="shared" si="24"/>
        <v>0.13695331224783502</v>
      </c>
      <c r="Q22" s="1026">
        <f t="shared" si="24"/>
        <v>4.4690490197557331E-2</v>
      </c>
      <c r="R22" s="1573">
        <v>0.15</v>
      </c>
      <c r="S22" s="1573">
        <v>0.16</v>
      </c>
      <c r="T22" s="1573">
        <v>0.16</v>
      </c>
      <c r="U22" s="1028" t="s">
        <v>2569</v>
      </c>
      <c r="AA22" s="1026">
        <f t="shared" si="25"/>
        <v>0.1399999999999999</v>
      </c>
      <c r="AB22" s="1026">
        <f t="shared" si="26"/>
        <v>0.1399999999999999</v>
      </c>
    </row>
    <row r="23" spans="1:28" s="1035" customFormat="1" ht="15" customHeight="1" outlineLevel="1">
      <c r="A23" s="1034" t="s">
        <v>755</v>
      </c>
      <c r="E23" s="1036"/>
      <c r="F23" s="1036"/>
      <c r="G23" s="1036"/>
      <c r="H23" s="1036"/>
      <c r="I23" s="1036"/>
      <c r="J23" s="1036">
        <f t="shared" ref="J23:R23" si="27">+SUM(J6:J8)/SUM(I6:I8)-1</f>
        <v>0.38915994554158684</v>
      </c>
      <c r="K23" s="1037">
        <f t="shared" si="27"/>
        <v>0.35245336878192113</v>
      </c>
      <c r="L23" s="1037">
        <f t="shared" si="27"/>
        <v>6.226102675672629E-2</v>
      </c>
      <c r="M23" s="1037">
        <f t="shared" si="27"/>
        <v>-4.0009038597147439E-2</v>
      </c>
      <c r="N23" s="1037">
        <f t="shared" si="27"/>
        <v>-0.14807254321701113</v>
      </c>
      <c r="O23" s="1037">
        <f t="shared" si="27"/>
        <v>-0.15645665472886516</v>
      </c>
      <c r="P23" s="1037">
        <f t="shared" si="27"/>
        <v>7.2385697134254023E-2</v>
      </c>
      <c r="Q23" s="1037">
        <f t="shared" si="27"/>
        <v>5.3942243031306125E-2</v>
      </c>
      <c r="R23" s="1038">
        <f t="shared" si="27"/>
        <v>0.11156546122172029</v>
      </c>
      <c r="S23" s="1038">
        <f t="shared" ref="S23" si="28">+SUM(S6:S8)/SUM(R6:R8)-1</f>
        <v>0.11707345327969887</v>
      </c>
      <c r="T23" s="1038">
        <f t="shared" ref="T23" si="29">+SUM(T6:T8)/SUM(S6:S8)-1</f>
        <v>0.1075034978854823</v>
      </c>
      <c r="U23" s="1037"/>
      <c r="AA23" s="1026">
        <f t="shared" si="25"/>
        <v>0.11739153882728837</v>
      </c>
      <c r="AB23" s="1026">
        <f t="shared" si="26"/>
        <v>0.11785847783524317</v>
      </c>
    </row>
    <row r="24" spans="1:28" ht="15" customHeight="1" outlineLevel="1">
      <c r="A24" s="1030" t="str">
        <f>+A10</f>
        <v>Domestic 3 Wheelers</v>
      </c>
      <c r="E24" s="1031"/>
      <c r="F24" s="1031"/>
      <c r="G24" s="1031"/>
      <c r="H24" s="1031"/>
      <c r="I24" s="1031"/>
      <c r="J24" s="1031">
        <f t="shared" ref="J24:Q24" si="30">+J10/I10-1</f>
        <v>0.29937993651731021</v>
      </c>
      <c r="K24" s="1026">
        <f t="shared" si="30"/>
        <v>0.16801967879927515</v>
      </c>
      <c r="L24" s="1026">
        <f t="shared" si="30"/>
        <v>-1.2762459691736061E-2</v>
      </c>
      <c r="M24" s="1026">
        <f t="shared" si="30"/>
        <v>0.11406106050379594</v>
      </c>
      <c r="N24" s="1026">
        <f t="shared" si="30"/>
        <v>-0.17343486739987002</v>
      </c>
      <c r="O24" s="1026">
        <f t="shared" si="30"/>
        <v>0.25377182845403179</v>
      </c>
      <c r="P24" s="1026">
        <f t="shared" si="30"/>
        <v>8.8117945763724448E-2</v>
      </c>
      <c r="Q24" s="1026">
        <f t="shared" si="30"/>
        <v>-7.2472009255083458E-3</v>
      </c>
      <c r="R24" s="1573">
        <v>0.1</v>
      </c>
      <c r="S24" s="1573">
        <v>0.1</v>
      </c>
      <c r="T24" s="1573">
        <v>0.08</v>
      </c>
      <c r="U24" s="1028" t="s">
        <v>2569</v>
      </c>
      <c r="AA24" s="1026">
        <f t="shared" si="25"/>
        <v>5.0000000000000044E-2</v>
      </c>
      <c r="AB24" s="1026">
        <f t="shared" si="26"/>
        <v>5.0000000000000044E-2</v>
      </c>
    </row>
    <row r="25" spans="1:28" ht="15" customHeight="1" outlineLevel="1">
      <c r="A25" s="1019" t="s">
        <v>474</v>
      </c>
      <c r="E25" s="1031"/>
      <c r="F25" s="1031"/>
      <c r="G25" s="1031"/>
      <c r="H25" s="1031"/>
      <c r="I25" s="1031"/>
      <c r="J25" s="1031"/>
      <c r="K25" s="1026"/>
      <c r="L25" s="1026"/>
      <c r="M25" s="1026"/>
      <c r="N25" s="1026"/>
      <c r="O25" s="1026"/>
      <c r="P25" s="1026"/>
      <c r="Q25" s="1026" t="e">
        <f t="shared" ref="Q25:R26" si="31">(Q11/P11-1)</f>
        <v>#DIV/0!</v>
      </c>
      <c r="R25" s="1038"/>
      <c r="S25" s="1038"/>
      <c r="T25" s="1038"/>
      <c r="U25" s="1032"/>
      <c r="AA25" s="1026">
        <f t="shared" si="25"/>
        <v>15</v>
      </c>
      <c r="AB25" s="1026">
        <f t="shared" si="26"/>
        <v>0.5</v>
      </c>
    </row>
    <row r="26" spans="1:28" s="1035" customFormat="1" ht="15" customHeight="1" outlineLevel="1">
      <c r="A26" s="996" t="s">
        <v>274</v>
      </c>
      <c r="E26" s="1036"/>
      <c r="F26" s="1036"/>
      <c r="G26" s="1036"/>
      <c r="H26" s="1036"/>
      <c r="I26" s="1036"/>
      <c r="J26" s="1036"/>
      <c r="K26" s="1037"/>
      <c r="L26" s="1037">
        <f t="shared" ref="L26:Q26" si="32">(L12/K12-1)</f>
        <v>5.6377935337709184E-2</v>
      </c>
      <c r="M26" s="1037">
        <f t="shared" si="32"/>
        <v>-2.8718125721861387E-2</v>
      </c>
      <c r="N26" s="1037">
        <f t="shared" si="32"/>
        <v>-0.15020442664820954</v>
      </c>
      <c r="O26" s="1037">
        <f t="shared" si="32"/>
        <v>-0.1229166721344318</v>
      </c>
      <c r="P26" s="1037">
        <f t="shared" si="32"/>
        <v>7.422437426531947E-2</v>
      </c>
      <c r="Q26" s="1037">
        <f t="shared" si="32"/>
        <v>4.6698347966899867E-2</v>
      </c>
      <c r="R26" s="1038">
        <f t="shared" si="31"/>
        <v>0.11558945114254016</v>
      </c>
      <c r="S26" s="1038">
        <f t="shared" ref="S26" si="33">(S12/R12-1)</f>
        <v>0.11939571704990715</v>
      </c>
      <c r="T26" s="1038">
        <f t="shared" ref="T26" si="34">(T12/S12-1)</f>
        <v>0.10359482323550195</v>
      </c>
      <c r="U26" s="1039"/>
      <c r="AA26" s="1026">
        <f t="shared" si="25"/>
        <v>0.12001695057597828</v>
      </c>
      <c r="AB26" s="1026">
        <f t="shared" si="26"/>
        <v>0.11476819294283791</v>
      </c>
    </row>
    <row r="27" spans="1:28" ht="15" customHeight="1" outlineLevel="1">
      <c r="A27" s="1019" t="s">
        <v>752</v>
      </c>
      <c r="B27" s="997"/>
      <c r="C27" s="997"/>
      <c r="D27" s="997"/>
      <c r="E27" s="997"/>
      <c r="F27" s="997"/>
      <c r="G27" s="997"/>
      <c r="H27" s="998"/>
      <c r="I27" s="1026"/>
      <c r="J27" s="1026">
        <f t="shared" ref="J27:N28" si="35">+J13/I13-1</f>
        <v>0.14637950440672931</v>
      </c>
      <c r="K27" s="1026">
        <f t="shared" si="35"/>
        <v>0.33909629586788004</v>
      </c>
      <c r="L27" s="1026">
        <f t="shared" si="35"/>
        <v>0.30357853516474598</v>
      </c>
      <c r="M27" s="1026">
        <f t="shared" si="35"/>
        <v>2.0181469934871465E-2</v>
      </c>
      <c r="N27" s="1026">
        <f t="shared" si="35"/>
        <v>2.3152862868273338E-2</v>
      </c>
      <c r="O27" s="1026">
        <f t="shared" ref="O27:Q28" si="36">+O13/N13-1</f>
        <v>0.14974081242588833</v>
      </c>
      <c r="P27" s="1026">
        <f t="shared" si="36"/>
        <v>-4.0761687655212042E-2</v>
      </c>
      <c r="Q27" s="1026">
        <f t="shared" si="36"/>
        <v>-0.16497966483815818</v>
      </c>
      <c r="R27" s="1573">
        <v>0.12</v>
      </c>
      <c r="S27" s="1573">
        <v>0.15</v>
      </c>
      <c r="T27" s="1573">
        <f>S27</f>
        <v>0.15</v>
      </c>
      <c r="U27" s="1028" t="s">
        <v>2569</v>
      </c>
      <c r="W27" s="1040"/>
      <c r="AA27" s="1026">
        <f t="shared" si="25"/>
        <v>0.15000000000000013</v>
      </c>
      <c r="AB27" s="1026">
        <f t="shared" si="26"/>
        <v>0.14999999999999991</v>
      </c>
    </row>
    <row r="28" spans="1:28" ht="15" customHeight="1" outlineLevel="1">
      <c r="A28" s="1019" t="s">
        <v>753</v>
      </c>
      <c r="B28" s="997"/>
      <c r="C28" s="997"/>
      <c r="D28" s="997"/>
      <c r="E28" s="997"/>
      <c r="F28" s="997"/>
      <c r="G28" s="997"/>
      <c r="H28" s="998"/>
      <c r="I28" s="1026"/>
      <c r="J28" s="1026">
        <f t="shared" si="35"/>
        <v>0.18591790357841442</v>
      </c>
      <c r="K28" s="1026">
        <f t="shared" si="35"/>
        <v>0.40247651735199419</v>
      </c>
      <c r="L28" s="1026">
        <f t="shared" si="35"/>
        <v>0.34976932821978468</v>
      </c>
      <c r="M28" s="1026">
        <f t="shared" si="35"/>
        <v>-0.18659346009943112</v>
      </c>
      <c r="N28" s="1026">
        <f t="shared" si="35"/>
        <v>2.6921229019478021E-2</v>
      </c>
      <c r="O28" s="1026">
        <f t="shared" si="36"/>
        <v>9.2076299460811084E-2</v>
      </c>
      <c r="P28" s="1026">
        <f t="shared" si="36"/>
        <v>-1.6757265461492032E-2</v>
      </c>
      <c r="Q28" s="1026">
        <f t="shared" si="36"/>
        <v>-0.31701428571428569</v>
      </c>
      <c r="R28" s="1573">
        <v>0.1</v>
      </c>
      <c r="S28" s="1573">
        <v>0.15</v>
      </c>
      <c r="T28" s="1573">
        <v>0.15</v>
      </c>
      <c r="U28" s="1028" t="s">
        <v>2569</v>
      </c>
      <c r="W28" s="1040"/>
      <c r="X28" s="1040"/>
      <c r="AA28" s="1026">
        <f t="shared" si="25"/>
        <v>0.19999999999999996</v>
      </c>
      <c r="AB28" s="1026">
        <f t="shared" si="26"/>
        <v>0.19999999999999996</v>
      </c>
    </row>
    <row r="29" spans="1:28" ht="15" customHeight="1" outlineLevel="1">
      <c r="A29" s="1019" t="s">
        <v>475</v>
      </c>
      <c r="B29" s="997"/>
      <c r="C29" s="997"/>
      <c r="D29" s="997"/>
      <c r="E29" s="997"/>
      <c r="F29" s="997"/>
      <c r="G29" s="997"/>
      <c r="H29" s="998"/>
      <c r="I29" s="1026"/>
      <c r="J29" s="1026"/>
      <c r="K29" s="1026"/>
      <c r="L29" s="1026"/>
      <c r="M29" s="1026"/>
      <c r="N29" s="1026"/>
      <c r="O29" s="1026"/>
      <c r="P29" s="1026"/>
      <c r="Q29" s="1026">
        <f>(Q15/P15-1)</f>
        <v>3.658682634730539</v>
      </c>
      <c r="R29" s="1038"/>
      <c r="S29" s="1038"/>
      <c r="T29" s="1038"/>
      <c r="U29" s="1032"/>
      <c r="AA29" s="1026">
        <f t="shared" si="25"/>
        <v>19</v>
      </c>
      <c r="AB29" s="1026">
        <f t="shared" si="26"/>
        <v>1</v>
      </c>
    </row>
    <row r="30" spans="1:28" s="997" customFormat="1" ht="15" customHeight="1" outlineLevel="1">
      <c r="A30" s="996" t="str">
        <f>+A16</f>
        <v>Total exports</v>
      </c>
      <c r="H30" s="998"/>
      <c r="I30" s="998"/>
      <c r="J30" s="1037">
        <f t="shared" ref="J30:R30" si="37">+J16/I16-1</f>
        <v>0.15349654830496084</v>
      </c>
      <c r="K30" s="1037">
        <f t="shared" si="37"/>
        <v>0.35082561065112938</v>
      </c>
      <c r="L30" s="1037">
        <f t="shared" si="37"/>
        <v>0.3124535813205418</v>
      </c>
      <c r="M30" s="1037">
        <f t="shared" si="37"/>
        <v>-2.0677619785495094E-2</v>
      </c>
      <c r="N30" s="1037">
        <f t="shared" si="37"/>
        <v>2.3771343179780802E-2</v>
      </c>
      <c r="O30" s="1037">
        <f t="shared" si="37"/>
        <v>0.14024754803700912</v>
      </c>
      <c r="P30" s="1037">
        <f t="shared" si="37"/>
        <v>-3.6791877205746393E-2</v>
      </c>
      <c r="Q30" s="1037">
        <f t="shared" si="37"/>
        <v>-0.18871609981208637</v>
      </c>
      <c r="R30" s="1038">
        <f t="shared" si="37"/>
        <v>0.11959794038685412</v>
      </c>
      <c r="S30" s="1038">
        <f t="shared" ref="S30:S31" si="38">+S16/R16-1</f>
        <v>0.1495253541630035</v>
      </c>
      <c r="T30" s="1038">
        <f t="shared" ref="T30:T31" si="39">+T16/S16-1</f>
        <v>0.15674413021241107</v>
      </c>
      <c r="U30" s="1037"/>
      <c r="AA30" s="1026">
        <f t="shared" si="25"/>
        <v>0.16353302731257835</v>
      </c>
      <c r="AB30" s="1026">
        <f t="shared" si="26"/>
        <v>0.16242044547135603</v>
      </c>
    </row>
    <row r="31" spans="1:28" s="997" customFormat="1" ht="15" customHeight="1" outlineLevel="1">
      <c r="A31" s="996" t="s">
        <v>595</v>
      </c>
      <c r="H31" s="998"/>
      <c r="I31" s="998"/>
      <c r="J31" s="1037">
        <f t="shared" ref="J31:R31" si="40">+J17/I17-1</f>
        <v>0.30064244786491812</v>
      </c>
      <c r="K31" s="1037">
        <f t="shared" si="40"/>
        <v>0.34056872536136673</v>
      </c>
      <c r="L31" s="1037">
        <f t="shared" si="40"/>
        <v>0.13695065515698257</v>
      </c>
      <c r="M31" s="1037">
        <f t="shared" si="40"/>
        <v>-2.5797704740212479E-2</v>
      </c>
      <c r="N31" s="1037">
        <f t="shared" si="40"/>
        <v>-8.6681956046258946E-2</v>
      </c>
      <c r="O31" s="1037">
        <f>+O17/N17-1</f>
        <v>-1.5209062596170941E-2</v>
      </c>
      <c r="P31" s="1037">
        <f>+P17/O17-1</f>
        <v>2.1615233623206942E-2</v>
      </c>
      <c r="Q31" s="1037">
        <f>+Q17/P17-1</f>
        <v>-5.8483437226553137E-2</v>
      </c>
      <c r="R31" s="1038">
        <f t="shared" si="40"/>
        <v>0.11713268961182766</v>
      </c>
      <c r="S31" s="1038">
        <f t="shared" si="38"/>
        <v>0.13102100046860721</v>
      </c>
      <c r="T31" s="1038">
        <f t="shared" si="39"/>
        <v>0.12443757904323616</v>
      </c>
      <c r="U31" s="1037"/>
    </row>
    <row r="32" spans="1:28" s="997" customFormat="1" ht="15" hidden="1" customHeight="1" outlineLevel="1">
      <c r="A32" s="1019"/>
      <c r="H32" s="998"/>
      <c r="I32" s="998"/>
      <c r="J32" s="998"/>
      <c r="K32" s="1037"/>
      <c r="L32" s="1037"/>
      <c r="M32" s="1037"/>
      <c r="N32" s="1037"/>
      <c r="O32" s="1037"/>
      <c r="P32" s="1037"/>
      <c r="Q32" s="1037"/>
      <c r="R32" s="1038"/>
      <c r="S32" s="1038"/>
      <c r="T32" s="1038"/>
    </row>
    <row r="33" spans="1:21" s="997" customFormat="1" ht="15" hidden="1" customHeight="1" outlineLevel="1">
      <c r="A33" s="1006" t="s">
        <v>574</v>
      </c>
      <c r="H33" s="998"/>
      <c r="I33" s="998"/>
      <c r="J33" s="998"/>
      <c r="K33" s="1026"/>
      <c r="L33" s="1026"/>
      <c r="M33" s="1026"/>
      <c r="N33" s="1026"/>
      <c r="O33" s="1026"/>
      <c r="P33" s="1026"/>
      <c r="Q33" s="1026"/>
      <c r="R33" s="1027"/>
      <c r="S33" s="1027"/>
      <c r="T33" s="1027"/>
    </row>
    <row r="34" spans="1:21" s="997" customFormat="1" ht="15" hidden="1" customHeight="1" outlineLevel="1">
      <c r="A34" s="1030" t="str">
        <f>+A20</f>
        <v>Platina/CT100</v>
      </c>
      <c r="H34" s="998"/>
      <c r="I34" s="998"/>
      <c r="J34" s="1026">
        <f>+J6/J$5</f>
        <v>0.15017923784494086</v>
      </c>
      <c r="K34" s="1026">
        <f t="shared" ref="K34:M36" si="41">+K6/K$5</f>
        <v>0.10050140525212983</v>
      </c>
      <c r="L34" s="1026">
        <f t="shared" si="41"/>
        <v>0.12314565130876065</v>
      </c>
      <c r="M34" s="1026">
        <f t="shared" si="41"/>
        <v>0.1143970638349691</v>
      </c>
      <c r="N34" s="1026">
        <f>+N6/N$5</f>
        <v>0.11880562089331409</v>
      </c>
      <c r="O34" s="1026">
        <f t="shared" ref="O34:O36" si="42">+O6/O$5</f>
        <v>0.13597367339061886</v>
      </c>
      <c r="P34" s="1026">
        <f t="shared" ref="P34:Q34" si="43">+P6/P$5</f>
        <v>0.22224861894487363</v>
      </c>
      <c r="Q34" s="1026">
        <f t="shared" si="43"/>
        <v>0.22811959286074168</v>
      </c>
      <c r="R34" s="1027">
        <f t="shared" ref="R34:R36" si="44">+R6/R$5</f>
        <v>0.21849505133164382</v>
      </c>
      <c r="S34" s="1027">
        <f t="shared" ref="S34:T34" si="45">+S6/S$5</f>
        <v>0.2067067762915053</v>
      </c>
      <c r="T34" s="1027">
        <f t="shared" si="45"/>
        <v>0.19302282238802246</v>
      </c>
    </row>
    <row r="35" spans="1:21" s="997" customFormat="1" ht="15" hidden="1" customHeight="1" outlineLevel="1">
      <c r="A35" s="1030" t="str">
        <f>+A21</f>
        <v>Discover/Boxer/XCD/V</v>
      </c>
      <c r="H35" s="998"/>
      <c r="I35" s="998"/>
      <c r="J35" s="1026">
        <f>+J7/J$5</f>
        <v>0.27895190538764786</v>
      </c>
      <c r="K35" s="1026">
        <f t="shared" si="41"/>
        <v>0.32304200491001783</v>
      </c>
      <c r="L35" s="1026">
        <f t="shared" si="41"/>
        <v>0.30227610848237285</v>
      </c>
      <c r="M35" s="1026">
        <f t="shared" si="41"/>
        <v>0.30955848966480104</v>
      </c>
      <c r="N35" s="1026">
        <f>+N7/N$5</f>
        <v>0.25469340147351682</v>
      </c>
      <c r="O35" s="1026">
        <f t="shared" si="42"/>
        <v>0.14506293422991859</v>
      </c>
      <c r="P35" s="1026">
        <f t="shared" ref="P35:Q35" si="46">+P7/P$5</f>
        <v>6.1151418193174871E-2</v>
      </c>
      <c r="Q35" s="1026">
        <f t="shared" si="46"/>
        <v>9.1128684015340425E-2</v>
      </c>
      <c r="R35" s="1027">
        <f t="shared" si="44"/>
        <v>9.1362581228059569E-2</v>
      </c>
      <c r="S35" s="1027">
        <f t="shared" ref="S35:T35" si="47">+S7/S$5</f>
        <v>9.0472317430914856E-2</v>
      </c>
      <c r="T35" s="1027">
        <f t="shared" si="47"/>
        <v>8.8506068303663199E-2</v>
      </c>
    </row>
    <row r="36" spans="1:21" s="997" customFormat="1" ht="15" hidden="1" customHeight="1" outlineLevel="1">
      <c r="A36" s="1030" t="str">
        <f>+A22</f>
        <v>Pulsar/KTM/Avenger/Ninja</v>
      </c>
      <c r="H36" s="998"/>
      <c r="I36" s="998"/>
      <c r="J36" s="1026">
        <f>+J8/J$5</f>
        <v>0.19693105562855892</v>
      </c>
      <c r="K36" s="1026">
        <f t="shared" si="41"/>
        <v>0.20806906437811321</v>
      </c>
      <c r="L36" s="1026">
        <f t="shared" si="41"/>
        <v>0.16469823589579943</v>
      </c>
      <c r="M36" s="1026">
        <f t="shared" si="41"/>
        <v>0.1575559711178931</v>
      </c>
      <c r="N36" s="1026">
        <f>+N8/N$5</f>
        <v>0.16892498593691418</v>
      </c>
      <c r="O36" s="1026">
        <f t="shared" si="42"/>
        <v>0.18358806056148705</v>
      </c>
      <c r="P36" s="1026">
        <f t="shared" ref="P36:Q36" si="48">+P8/P$5</f>
        <v>0.20431474264950442</v>
      </c>
      <c r="Q36" s="1026">
        <f t="shared" si="48"/>
        <v>0.22670410388145137</v>
      </c>
      <c r="R36" s="1027">
        <f t="shared" si="44"/>
        <v>0.23337399566586706</v>
      </c>
      <c r="S36" s="1027">
        <f t="shared" ref="S36:T36" si="49">+S8/S$5</f>
        <v>0.23935349994407087</v>
      </c>
      <c r="T36" s="1027">
        <f t="shared" si="49"/>
        <v>0.24692349767549537</v>
      </c>
    </row>
    <row r="37" spans="1:21" s="997" customFormat="1" ht="15" hidden="1" customHeight="1" outlineLevel="1">
      <c r="A37" s="1030" t="str">
        <f>+A24</f>
        <v>Domestic 3 Wheelers</v>
      </c>
      <c r="H37" s="998"/>
      <c r="I37" s="998"/>
      <c r="J37" s="1026">
        <f t="shared" ref="J37:O37" si="50">+J10/J$5</f>
        <v>6.1682698204117391E-2</v>
      </c>
      <c r="K37" s="1026">
        <f t="shared" si="50"/>
        <v>5.3743313551063765E-2</v>
      </c>
      <c r="L37" s="1026">
        <f t="shared" si="50"/>
        <v>4.6666419899148721E-2</v>
      </c>
      <c r="M37" s="1026">
        <f t="shared" si="50"/>
        <v>5.3365960535842569E-2</v>
      </c>
      <c r="N37" s="1026">
        <f>+N10/N$5</f>
        <v>4.8296913149430978E-2</v>
      </c>
      <c r="O37" s="1026">
        <f t="shared" si="50"/>
        <v>6.1488491423044862E-2</v>
      </c>
      <c r="P37" s="1026">
        <f t="shared" ref="P37:Q37" si="51">+P10/P$5</f>
        <v>6.5491125008058135E-2</v>
      </c>
      <c r="Q37" s="1026">
        <f t="shared" si="51"/>
        <v>6.905507586055265E-2</v>
      </c>
      <c r="R37" s="1027">
        <f t="shared" ref="R37:R38" si="52">+R10/R$5</f>
        <v>6.7996026034295082E-2</v>
      </c>
      <c r="S37" s="1027">
        <f t="shared" ref="S37:T37" si="53">+S10/S$5</f>
        <v>6.6131069720840804E-2</v>
      </c>
      <c r="T37" s="1027">
        <f t="shared" si="53"/>
        <v>6.351758125985027E-2</v>
      </c>
    </row>
    <row r="38" spans="1:21" s="997" customFormat="1" ht="15" hidden="1" customHeight="1" outlineLevel="1">
      <c r="A38" s="1030" t="s">
        <v>474</v>
      </c>
      <c r="H38" s="998"/>
      <c r="I38" s="998"/>
      <c r="J38" s="1026"/>
      <c r="K38" s="1026"/>
      <c r="L38" s="1026"/>
      <c r="M38" s="1026"/>
      <c r="N38" s="1026"/>
      <c r="O38" s="1026">
        <f>+O11/O$5</f>
        <v>0</v>
      </c>
      <c r="P38" s="1026">
        <f>+P11/P$5</f>
        <v>0</v>
      </c>
      <c r="Q38" s="1026">
        <f>+Q11/Q$5</f>
        <v>0</v>
      </c>
      <c r="R38" s="1027">
        <f t="shared" si="52"/>
        <v>2.9302137867130056E-3</v>
      </c>
      <c r="S38" s="1027">
        <f t="shared" ref="S38:T38" si="54">+S11/S$5</f>
        <v>5.1815373640258719E-3</v>
      </c>
      <c r="T38" s="1027">
        <f t="shared" si="54"/>
        <v>4.6081147238379817E-3</v>
      </c>
    </row>
    <row r="39" spans="1:21" s="997" customFormat="1" ht="15" hidden="1" customHeight="1" outlineLevel="1">
      <c r="A39" s="1034" t="s">
        <v>274</v>
      </c>
      <c r="H39" s="998"/>
      <c r="I39" s="998"/>
      <c r="J39" s="1037"/>
      <c r="K39" s="1037"/>
      <c r="L39" s="1037"/>
      <c r="M39" s="1037"/>
      <c r="N39" s="1037"/>
      <c r="O39" s="1037">
        <f>O12/O$5</f>
        <v>0.52611315960506932</v>
      </c>
      <c r="P39" s="1037">
        <f>P12/P$5</f>
        <v>0.55320590479561105</v>
      </c>
      <c r="Q39" s="1037">
        <f>Q12/Q$5</f>
        <v>0.61500745661808609</v>
      </c>
      <c r="R39" s="1038">
        <f>R12/R$5</f>
        <v>0.61415786804657857</v>
      </c>
      <c r="S39" s="1038">
        <f t="shared" ref="S39:T39" si="55">S12/S$5</f>
        <v>0.60784520075135784</v>
      </c>
      <c r="T39" s="1038">
        <f t="shared" si="55"/>
        <v>0.59657808435086923</v>
      </c>
    </row>
    <row r="40" spans="1:21" s="997" customFormat="1" ht="15" hidden="1" customHeight="1" outlineLevel="1">
      <c r="A40" s="1030" t="str">
        <f>+A27</f>
        <v>Exports - 2 wheelers</v>
      </c>
      <c r="H40" s="998"/>
      <c r="I40" s="998"/>
      <c r="J40" s="1026">
        <f t="shared" ref="J40:O41" si="56">+J13/J$5</f>
        <v>0.25446833114323258</v>
      </c>
      <c r="K40" s="1026">
        <f t="shared" si="56"/>
        <v>0.25418883284609561</v>
      </c>
      <c r="L40" s="1026">
        <f t="shared" si="56"/>
        <v>0.29144194154230774</v>
      </c>
      <c r="M40" s="1026">
        <f t="shared" si="56"/>
        <v>0.30519705175198542</v>
      </c>
      <c r="N40" s="1026">
        <f>+N13/N$5</f>
        <v>0.34189977884069528</v>
      </c>
      <c r="O40" s="1026">
        <f>+O13/O$5</f>
        <v>0.3991670867004915</v>
      </c>
      <c r="P40" s="1026">
        <f>+P13/P$5</f>
        <v>0.37479507938835738</v>
      </c>
      <c r="Q40" s="1026">
        <f>+Q13/Q$5</f>
        <v>0.33240149476072672</v>
      </c>
      <c r="R40" s="1027">
        <f t="shared" ref="R40:R43" si="57">+R13/R$5</f>
        <v>0.33325465953500488</v>
      </c>
      <c r="S40" s="1027">
        <f t="shared" ref="S40:T40" si="58">+S13/S$5</f>
        <v>0.33884681036556313</v>
      </c>
      <c r="T40" s="1027">
        <f t="shared" si="58"/>
        <v>0.34654999013103427</v>
      </c>
    </row>
    <row r="41" spans="1:21" s="997" customFormat="1" ht="15" hidden="1" customHeight="1" outlineLevel="1">
      <c r="A41" s="1030" t="str">
        <f>+A28</f>
        <v>Exports - three wheelers</v>
      </c>
      <c r="H41" s="998"/>
      <c r="I41" s="998"/>
      <c r="J41" s="1026">
        <f t="shared" si="56"/>
        <v>5.7786771791502406E-2</v>
      </c>
      <c r="K41" s="1026">
        <f t="shared" si="56"/>
        <v>6.0455379062579723E-2</v>
      </c>
      <c r="L41" s="1026">
        <f t="shared" si="56"/>
        <v>7.1771642871610614E-2</v>
      </c>
      <c r="M41" s="1026">
        <f t="shared" si="56"/>
        <v>5.9925463094508753E-2</v>
      </c>
      <c r="N41" s="1026">
        <f>+N14/N$5</f>
        <v>6.7379299706128659E-2</v>
      </c>
      <c r="O41" s="1026">
        <f t="shared" si="56"/>
        <v>7.4719753694439103E-2</v>
      </c>
      <c r="P41" s="1026">
        <f t="shared" ref="P41:Q41" si="59">+P14/P$5</f>
        <v>7.1913233601663865E-2</v>
      </c>
      <c r="Q41" s="1026">
        <f t="shared" si="59"/>
        <v>5.2166592877927236E-2</v>
      </c>
      <c r="R41" s="1027">
        <f t="shared" si="57"/>
        <v>5.1366550007286099E-2</v>
      </c>
      <c r="S41" s="1027">
        <f t="shared" ref="S41:T41" si="60">+S14/S$5</f>
        <v>5.2228501932240295E-2</v>
      </c>
      <c r="T41" s="1027">
        <f t="shared" si="60"/>
        <v>5.3415839475218066E-2</v>
      </c>
    </row>
    <row r="42" spans="1:21" s="997" customFormat="1" ht="15" hidden="1" customHeight="1" outlineLevel="1">
      <c r="A42" s="1030" t="str">
        <f>+A29</f>
        <v>Exports - Quadricycles</v>
      </c>
      <c r="H42" s="998"/>
      <c r="I42" s="998"/>
      <c r="J42" s="1026"/>
      <c r="K42" s="1026"/>
      <c r="L42" s="1026"/>
      <c r="M42" s="1026"/>
      <c r="N42" s="1026"/>
      <c r="O42" s="1026">
        <f t="shared" ref="O42:Q43" si="61">+O15/O$5</f>
        <v>0</v>
      </c>
      <c r="P42" s="1026">
        <f t="shared" si="61"/>
        <v>8.5782214367699047E-5</v>
      </c>
      <c r="Q42" s="1026">
        <f t="shared" si="61"/>
        <v>4.2445574325992378E-4</v>
      </c>
      <c r="R42" s="1027">
        <f t="shared" si="57"/>
        <v>1.2209224111304189E-3</v>
      </c>
      <c r="S42" s="1027">
        <f t="shared" ref="S42:T42" si="62">+S15/S$5</f>
        <v>1.0794869508387232E-3</v>
      </c>
      <c r="T42" s="1027">
        <f t="shared" si="62"/>
        <v>3.4560860428784865E-3</v>
      </c>
    </row>
    <row r="43" spans="1:21" s="997" customFormat="1" ht="15" hidden="1" customHeight="1" outlineLevel="1">
      <c r="A43" s="1034" t="str">
        <f>+A30</f>
        <v>Total exports</v>
      </c>
      <c r="H43" s="998"/>
      <c r="I43" s="998"/>
      <c r="J43" s="1037">
        <f>+J16/J$5</f>
        <v>0.31225510293473502</v>
      </c>
      <c r="K43" s="1037">
        <f>+K16/K$5</f>
        <v>0.31464421190867536</v>
      </c>
      <c r="L43" s="1037">
        <f>+L16/L$5</f>
        <v>0.36321358441391832</v>
      </c>
      <c r="M43" s="1037">
        <f>+M16/M$5</f>
        <v>0.36512251484649416</v>
      </c>
      <c r="N43" s="1037">
        <f>+N16/N$5</f>
        <v>0.40927907854682394</v>
      </c>
      <c r="O43" s="1037">
        <f t="shared" si="61"/>
        <v>0.47388684039493062</v>
      </c>
      <c r="P43" s="1037">
        <f t="shared" si="61"/>
        <v>0.44679409520438895</v>
      </c>
      <c r="Q43" s="1037">
        <f t="shared" si="61"/>
        <v>0.38499254338191385</v>
      </c>
      <c r="R43" s="1038">
        <f t="shared" si="57"/>
        <v>0.38584213195342143</v>
      </c>
      <c r="S43" s="1038">
        <f t="shared" ref="S43:T43" si="63">+S16/S$5</f>
        <v>0.39215479924864216</v>
      </c>
      <c r="T43" s="1038">
        <f t="shared" si="63"/>
        <v>0.40342191564913077</v>
      </c>
    </row>
    <row r="44" spans="1:21" s="997" customFormat="1" ht="15" hidden="1" customHeight="1" outlineLevel="1">
      <c r="A44" s="1030" t="str">
        <f>+A31</f>
        <v>Total Volumes</v>
      </c>
      <c r="H44" s="998"/>
      <c r="I44" s="998"/>
      <c r="J44" s="998"/>
      <c r="K44" s="1026"/>
      <c r="L44" s="1026"/>
      <c r="M44" s="1026"/>
      <c r="N44" s="1026"/>
      <c r="O44" s="1026"/>
      <c r="P44" s="1026"/>
      <c r="Q44" s="1026"/>
      <c r="R44" s="1027"/>
      <c r="S44" s="1027"/>
      <c r="T44" s="1027"/>
    </row>
    <row r="45" spans="1:21" s="997" customFormat="1" ht="15" customHeight="1" outlineLevel="1">
      <c r="A45" s="1030"/>
      <c r="H45" s="998"/>
      <c r="I45" s="998"/>
      <c r="J45" s="998"/>
      <c r="K45" s="1026"/>
      <c r="L45" s="1026"/>
      <c r="M45" s="1026"/>
      <c r="N45" s="1026"/>
      <c r="O45" s="1026"/>
      <c r="P45" s="1026"/>
      <c r="Q45" s="1026"/>
      <c r="R45" s="1027"/>
      <c r="S45" s="1027"/>
      <c r="T45" s="1027"/>
    </row>
    <row r="46" spans="1:21" s="997" customFormat="1" ht="15" customHeight="1" outlineLevel="1">
      <c r="A46" s="1006" t="s">
        <v>756</v>
      </c>
      <c r="H46" s="998"/>
      <c r="I46" s="998"/>
      <c r="J46" s="998"/>
      <c r="K46" s="999"/>
      <c r="L46" s="999"/>
      <c r="M46" s="999"/>
      <c r="N46" s="999"/>
      <c r="O46" s="999"/>
      <c r="P46" s="999"/>
      <c r="Q46" s="999"/>
      <c r="R46" s="1000"/>
      <c r="S46" s="1000"/>
      <c r="T46" s="1000"/>
    </row>
    <row r="47" spans="1:21" ht="15" customHeight="1" outlineLevel="1">
      <c r="A47" s="1030" t="str">
        <f>+A6</f>
        <v>Platina/CT100</v>
      </c>
      <c r="B47" s="1011"/>
      <c r="C47" s="1024"/>
      <c r="D47" s="1025"/>
      <c r="E47" s="1025"/>
      <c r="F47" s="1025"/>
      <c r="G47" s="1025"/>
      <c r="H47" s="1025"/>
      <c r="I47" s="1011">
        <v>25000</v>
      </c>
      <c r="J47" s="1011">
        <f t="shared" ref="J47:R47" si="64">+I47*J59+I47</f>
        <v>26000</v>
      </c>
      <c r="K47" s="1011">
        <f t="shared" si="64"/>
        <v>26780</v>
      </c>
      <c r="L47" s="1011">
        <f t="shared" si="64"/>
        <v>28386.799999999999</v>
      </c>
      <c r="M47" s="1011">
        <f t="shared" si="64"/>
        <v>29948.074000000001</v>
      </c>
      <c r="N47" s="1011">
        <f t="shared" si="64"/>
        <v>30397.295109999999</v>
      </c>
      <c r="O47" s="1011">
        <f t="shared" si="64"/>
        <v>30397.295109999999</v>
      </c>
      <c r="P47" s="1011">
        <f t="shared" si="64"/>
        <v>28877.4303545</v>
      </c>
      <c r="Q47" s="1011">
        <f t="shared" si="64"/>
        <v>29454.978961590001</v>
      </c>
      <c r="R47" s="1041">
        <f t="shared" si="64"/>
        <v>30044.0785408218</v>
      </c>
      <c r="S47" s="1574">
        <f>R47*(1+S59)</f>
        <v>30644.960111638236</v>
      </c>
      <c r="T47" s="1574">
        <f t="shared" ref="T47:T48" si="65">S47*(1+T59)</f>
        <v>31257.859313871002</v>
      </c>
      <c r="U47" s="1028" t="s">
        <v>2570</v>
      </c>
    </row>
    <row r="48" spans="1:21" ht="15" customHeight="1" outlineLevel="1">
      <c r="A48" s="1030" t="str">
        <f>+A7</f>
        <v>Discover/Boxer/XCD/V</v>
      </c>
      <c r="B48" s="1011"/>
      <c r="C48" s="1024"/>
      <c r="D48" s="1025"/>
      <c r="E48" s="1025"/>
      <c r="F48" s="1025"/>
      <c r="G48" s="1025"/>
      <c r="H48" s="1025"/>
      <c r="I48" s="1011">
        <v>27500</v>
      </c>
      <c r="J48" s="1011">
        <f t="shared" ref="J48:Q48" si="66">+I48*J60+I48</f>
        <v>28999.999999999996</v>
      </c>
      <c r="K48" s="1011">
        <f t="shared" si="66"/>
        <v>30159.999999999996</v>
      </c>
      <c r="L48" s="1011">
        <f t="shared" si="66"/>
        <v>31969.599999999995</v>
      </c>
      <c r="M48" s="1011">
        <f t="shared" si="66"/>
        <v>34207.471999999994</v>
      </c>
      <c r="N48" s="1011">
        <f t="shared" si="66"/>
        <v>34207.471999999994</v>
      </c>
      <c r="O48" s="1011">
        <f t="shared" si="66"/>
        <v>34207.471999999994</v>
      </c>
      <c r="P48" s="1011">
        <f t="shared" si="66"/>
        <v>35233.696159999992</v>
      </c>
      <c r="Q48" s="1011">
        <f t="shared" si="66"/>
        <v>35938.370083199989</v>
      </c>
      <c r="R48" s="1574">
        <f>Q48*(1+R60)</f>
        <v>36657.13748486399</v>
      </c>
      <c r="S48" s="1574">
        <f t="shared" ref="S48:T48" si="67">R48*(1+S60)</f>
        <v>37390.280234561273</v>
      </c>
      <c r="T48" s="1574">
        <f t="shared" si="65"/>
        <v>38138.085839252497</v>
      </c>
      <c r="U48" s="1028" t="s">
        <v>2570</v>
      </c>
    </row>
    <row r="49" spans="1:21" ht="15" customHeight="1" outlineLevel="1">
      <c r="A49" s="1030" t="str">
        <f>+A8</f>
        <v>Pulsar/KTM/Avenger/Ninja</v>
      </c>
      <c r="B49" s="1011"/>
      <c r="C49" s="1024"/>
      <c r="D49" s="1025"/>
      <c r="E49" s="1025"/>
      <c r="F49" s="1025"/>
      <c r="G49" s="1025"/>
      <c r="H49" s="1025"/>
      <c r="I49" s="1011">
        <v>56000</v>
      </c>
      <c r="J49" s="1011">
        <f t="shared" ref="J49:Q49" si="68">+I49*J61+I49</f>
        <v>57499.999999999993</v>
      </c>
      <c r="K49" s="1011">
        <f t="shared" si="68"/>
        <v>58649.999999999993</v>
      </c>
      <c r="L49" s="1011">
        <f t="shared" si="68"/>
        <v>62168.999999999993</v>
      </c>
      <c r="M49" s="1011">
        <f t="shared" si="68"/>
        <v>65463.956999999995</v>
      </c>
      <c r="N49" s="1011">
        <f t="shared" si="68"/>
        <v>66445.916354999994</v>
      </c>
      <c r="O49" s="1011">
        <f t="shared" si="68"/>
        <v>66445.916354999994</v>
      </c>
      <c r="P49" s="1011">
        <f t="shared" si="68"/>
        <v>68439.293845649998</v>
      </c>
      <c r="Q49" s="1011">
        <f t="shared" si="68"/>
        <v>69808.079722562994</v>
      </c>
      <c r="R49" s="1574">
        <f t="shared" ref="R49:T49" si="69">Q49*(1+R61)</f>
        <v>71204.241317014254</v>
      </c>
      <c r="S49" s="1574">
        <f t="shared" si="69"/>
        <v>72628.326143354541</v>
      </c>
      <c r="T49" s="1574">
        <f t="shared" si="69"/>
        <v>74080.89266622164</v>
      </c>
      <c r="U49" s="1028" t="s">
        <v>2570</v>
      </c>
    </row>
    <row r="50" spans="1:21" ht="15" customHeight="1" outlineLevel="1">
      <c r="A50" s="1030" t="s">
        <v>757</v>
      </c>
      <c r="B50" s="1011"/>
      <c r="C50" s="1024"/>
      <c r="D50" s="1025"/>
      <c r="E50" s="1025"/>
      <c r="F50" s="1025"/>
      <c r="G50" s="1025"/>
      <c r="H50" s="1025"/>
      <c r="I50" s="1011"/>
      <c r="J50" s="1011">
        <f t="shared" ref="J50:P50" si="70">(J70+J71+J72)/(J6+J7+J8)*10^6</f>
        <v>37245.182956692079</v>
      </c>
      <c r="K50" s="1011">
        <f t="shared" si="70"/>
        <v>39007.50241585679</v>
      </c>
      <c r="L50" s="1011">
        <f t="shared" si="70"/>
        <v>39650.379669779526</v>
      </c>
      <c r="M50" s="1011">
        <f t="shared" si="70"/>
        <v>41838.246344360312</v>
      </c>
      <c r="N50" s="1011">
        <f t="shared" si="70"/>
        <v>43412.832108932482</v>
      </c>
      <c r="O50" s="1011">
        <f t="shared" si="70"/>
        <v>45830.853401128668</v>
      </c>
      <c r="P50" s="1011">
        <f t="shared" si="70"/>
        <v>46247.760263383476</v>
      </c>
      <c r="Q50" s="1011">
        <f>(Q70+Q71+Q72)/(Q6+Q7+Q8)*10^6</f>
        <v>47293.597842984025</v>
      </c>
      <c r="R50" s="1574"/>
      <c r="S50" s="1574"/>
      <c r="T50" s="1574"/>
      <c r="U50" s="1028" t="s">
        <v>2570</v>
      </c>
    </row>
    <row r="51" spans="1:21" ht="15" customHeight="1" outlineLevel="1">
      <c r="A51" s="1028" t="s">
        <v>609</v>
      </c>
      <c r="B51" s="1011"/>
      <c r="C51" s="1024"/>
      <c r="D51" s="1025"/>
      <c r="E51" s="1025"/>
      <c r="F51" s="1025"/>
      <c r="G51" s="1025"/>
      <c r="H51" s="1025"/>
      <c r="I51" s="1011">
        <v>77745</v>
      </c>
      <c r="J51" s="1011">
        <f t="shared" ref="J51:P51" si="71">+I51*J63+I51</f>
        <v>79299.899999999994</v>
      </c>
      <c r="K51" s="1011">
        <f t="shared" si="71"/>
        <v>83264.89499999999</v>
      </c>
      <c r="L51" s="1011">
        <f t="shared" si="71"/>
        <v>88260.78869999999</v>
      </c>
      <c r="M51" s="1011">
        <f t="shared" si="71"/>
        <v>93115.132078499984</v>
      </c>
      <c r="N51" s="1011">
        <f t="shared" si="71"/>
        <v>94046.283399284977</v>
      </c>
      <c r="O51" s="1011">
        <f t="shared" si="71"/>
        <v>94046.283399284977</v>
      </c>
      <c r="P51" s="1011">
        <f t="shared" si="71"/>
        <v>96867.671901263529</v>
      </c>
      <c r="Q51" s="1011">
        <f>+P51*Q63+P51</f>
        <v>99773.702058301438</v>
      </c>
      <c r="R51" s="1574">
        <f>Q51*(1+R63)</f>
        <v>101769.17609946747</v>
      </c>
      <c r="S51" s="1574">
        <f t="shared" ref="S51:T51" si="72">R51*(1+S63)</f>
        <v>103804.55962145682</v>
      </c>
      <c r="T51" s="1574">
        <f t="shared" si="72"/>
        <v>105880.65081388596</v>
      </c>
      <c r="U51" s="1028" t="s">
        <v>2570</v>
      </c>
    </row>
    <row r="52" spans="1:21" ht="15" customHeight="1" outlineLevel="1">
      <c r="A52" s="1028" t="s">
        <v>476</v>
      </c>
      <c r="B52" s="1011"/>
      <c r="C52" s="1024"/>
      <c r="D52" s="1025"/>
      <c r="E52" s="1025"/>
      <c r="F52" s="1025"/>
      <c r="G52" s="1025"/>
      <c r="H52" s="1025"/>
      <c r="I52" s="1011"/>
      <c r="J52" s="1011"/>
      <c r="K52" s="1011"/>
      <c r="L52" s="1011"/>
      <c r="M52" s="1011"/>
      <c r="N52" s="1011"/>
      <c r="O52" s="1011">
        <v>135000</v>
      </c>
      <c r="P52" s="1011">
        <f>+O52*P64+O52</f>
        <v>136350</v>
      </c>
      <c r="Q52" s="1011">
        <f>+P52*Q64+P52</f>
        <v>137713.5</v>
      </c>
      <c r="R52" s="1574">
        <f t="shared" ref="R52:T52" si="73">Q52*(1+R64)</f>
        <v>140467.76999999999</v>
      </c>
      <c r="S52" s="1574">
        <f t="shared" si="73"/>
        <v>143277.12539999999</v>
      </c>
      <c r="T52" s="1574">
        <f t="shared" si="73"/>
        <v>146142.667908</v>
      </c>
      <c r="U52" s="1028" t="s">
        <v>2570</v>
      </c>
    </row>
    <row r="53" spans="1:21" s="1035" customFormat="1" ht="15" customHeight="1" outlineLevel="1">
      <c r="A53" s="1035" t="s">
        <v>745</v>
      </c>
      <c r="B53" s="1042"/>
      <c r="C53" s="1043"/>
      <c r="D53" s="1044"/>
      <c r="E53" s="1044"/>
      <c r="F53" s="1044"/>
      <c r="G53" s="1044"/>
      <c r="H53" s="1044"/>
      <c r="I53" s="1042">
        <f t="shared" ref="I53:N53" si="74">(I73+I70+I71+I72)/(I12)*10^6</f>
        <v>38924.927422764253</v>
      </c>
      <c r="J53" s="1042">
        <f t="shared" si="74"/>
        <v>41017.000720097087</v>
      </c>
      <c r="K53" s="1042">
        <f t="shared" si="74"/>
        <v>42478.019434799928</v>
      </c>
      <c r="L53" s="1042">
        <f t="shared" si="74"/>
        <v>43212.757421173279</v>
      </c>
      <c r="M53" s="1042">
        <f>(M73+M70+M71+M72)/(M12)*10^6</f>
        <v>46148.432678700665</v>
      </c>
      <c r="N53" s="1042">
        <f t="shared" si="74"/>
        <v>47552.586281529431</v>
      </c>
      <c r="O53" s="1042">
        <f>(O73+O70+O71+O72+O74)/(O12)*10^6</f>
        <v>51465.941594181131</v>
      </c>
      <c r="P53" s="1042">
        <f>(P73+P70+P71+P72+P74)/(P12)*10^6</f>
        <v>52240.384225338625</v>
      </c>
      <c r="Q53" s="1042">
        <f>(Q73+Q70+Q71+Q72+Q74)/(Q12)*10^6</f>
        <v>53186.237905735223</v>
      </c>
      <c r="R53" s="1018">
        <f>(R73+R70+R71+R72+R74)/(R12)*10^6</f>
        <v>55136.135827814374</v>
      </c>
      <c r="S53" s="1018">
        <f t="shared" ref="S53:T53" si="75">(S73+S70+S71+S72+S74)/(S12)*10^6</f>
        <v>57100.479825121824</v>
      </c>
      <c r="T53" s="1018">
        <f t="shared" si="75"/>
        <v>58835.500879610685</v>
      </c>
    </row>
    <row r="54" spans="1:21" ht="15" customHeight="1" outlineLevel="1">
      <c r="A54" s="1019" t="s">
        <v>2574</v>
      </c>
      <c r="B54" s="1011"/>
      <c r="C54" s="1024"/>
      <c r="D54" s="1025"/>
      <c r="E54" s="1025"/>
      <c r="F54" s="1025"/>
      <c r="G54" s="1025"/>
      <c r="H54" s="1025"/>
      <c r="I54" s="1011">
        <v>36000</v>
      </c>
      <c r="J54" s="1011">
        <f t="shared" ref="J54:P54" si="76">+J102*10^6/J16</f>
        <v>36424.949893277735</v>
      </c>
      <c r="K54" s="1011">
        <f t="shared" si="76"/>
        <v>37814.089346508066</v>
      </c>
      <c r="L54" s="1011">
        <f t="shared" si="76"/>
        <v>40822.142213309839</v>
      </c>
      <c r="M54" s="1011">
        <f t="shared" si="76"/>
        <v>42065.995887941557</v>
      </c>
      <c r="N54" s="1011">
        <f t="shared" si="76"/>
        <v>50074.403305691209</v>
      </c>
      <c r="O54" s="1011">
        <f t="shared" si="76"/>
        <v>52104.172688001294</v>
      </c>
      <c r="P54" s="1011">
        <f t="shared" si="76"/>
        <v>56172.896634857199</v>
      </c>
      <c r="Q54" s="1011">
        <f>+Q102*10^6/Q16</f>
        <v>58116.290760443648</v>
      </c>
      <c r="R54" s="1574">
        <f>R55*R1</f>
        <v>60037.668872508853</v>
      </c>
      <c r="S54" s="1574">
        <f t="shared" ref="S54:T54" si="77">S55*S1</f>
        <v>61838.798938684115</v>
      </c>
      <c r="T54" s="1574">
        <f t="shared" si="77"/>
        <v>63693.962906844645</v>
      </c>
      <c r="U54" s="1028" t="s">
        <v>2576</v>
      </c>
    </row>
    <row r="55" spans="1:21" ht="15" customHeight="1" outlineLevel="1">
      <c r="A55" s="1019" t="s">
        <v>2575</v>
      </c>
      <c r="B55" s="1045"/>
      <c r="C55" s="1045"/>
      <c r="D55" s="1045"/>
      <c r="E55" s="1086" t="e">
        <f t="shared" ref="E55:P55" si="78">+E105*10^6/E16</f>
        <v>#DIV/0!</v>
      </c>
      <c r="F55" s="1086" t="e">
        <f t="shared" si="78"/>
        <v>#DIV/0!</v>
      </c>
      <c r="G55" s="1086" t="e">
        <f t="shared" si="78"/>
        <v>#DIV/0!</v>
      </c>
      <c r="H55" s="1086" t="e">
        <f t="shared" si="78"/>
        <v>#DIV/0!</v>
      </c>
      <c r="I55" s="1086">
        <f t="shared" si="78"/>
        <v>833.63645424902165</v>
      </c>
      <c r="J55" s="1086">
        <f t="shared" si="78"/>
        <v>765.3526350118741</v>
      </c>
      <c r="K55" s="1086">
        <f t="shared" si="78"/>
        <v>809.65807606100429</v>
      </c>
      <c r="L55" s="1086">
        <f t="shared" si="78"/>
        <v>866.55222353882459</v>
      </c>
      <c r="M55" s="1086">
        <f t="shared" si="78"/>
        <v>846.06798146535868</v>
      </c>
      <c r="N55" s="1086">
        <f t="shared" si="78"/>
        <v>839.68092124992506</v>
      </c>
      <c r="O55" s="1086">
        <f t="shared" si="78"/>
        <v>843.81737665815103</v>
      </c>
      <c r="P55" s="1086">
        <f t="shared" si="78"/>
        <v>854.99081636007918</v>
      </c>
      <c r="Q55" s="1086">
        <f>+P55*Q56+P55</f>
        <v>863.54072452367996</v>
      </c>
      <c r="R55" s="1575">
        <f>Q55*(1+R56)</f>
        <v>889.44694625939042</v>
      </c>
      <c r="S55" s="1575">
        <f t="shared" ref="S55:T55" si="79">R55*(1+S56)</f>
        <v>916.13035464717211</v>
      </c>
      <c r="T55" s="1575">
        <f t="shared" si="79"/>
        <v>943.61426528658728</v>
      </c>
      <c r="U55" s="1028" t="s">
        <v>2570</v>
      </c>
    </row>
    <row r="56" spans="1:21" ht="15" customHeight="1" outlineLevel="1">
      <c r="A56" s="1064" t="s">
        <v>579</v>
      </c>
      <c r="B56" s="1091"/>
      <c r="C56" s="1092"/>
      <c r="D56" s="1092"/>
      <c r="E56" s="1092"/>
      <c r="F56" s="1092"/>
      <c r="G56" s="1092"/>
      <c r="H56" s="1093" t="e">
        <f t="shared" ref="H56:K56" si="80">+H55/G55-1</f>
        <v>#DIV/0!</v>
      </c>
      <c r="I56" s="1093" t="e">
        <f t="shared" si="80"/>
        <v>#DIV/0!</v>
      </c>
      <c r="J56" s="1093">
        <f t="shared" si="80"/>
        <v>-8.1910788436742266E-2</v>
      </c>
      <c r="K56" s="1093">
        <f t="shared" si="80"/>
        <v>5.7888924689522669E-2</v>
      </c>
      <c r="L56" s="1093">
        <f>+L55/K55-1</f>
        <v>7.0269350927259389E-2</v>
      </c>
      <c r="M56" s="1093">
        <f>+M55/L55-1</f>
        <v>-2.3638785426932984E-2</v>
      </c>
      <c r="N56" s="1093">
        <f>+N55/M55-1</f>
        <v>-7.5491099478454116E-3</v>
      </c>
      <c r="O56" s="1093">
        <f>+O55/N55-1</f>
        <v>4.926222930096591E-3</v>
      </c>
      <c r="P56" s="1093">
        <f>+P55/O55-1</f>
        <v>1.3241537814946858E-2</v>
      </c>
      <c r="Q56" s="1093">
        <v>0.01</v>
      </c>
      <c r="R56" s="1576">
        <v>0.03</v>
      </c>
      <c r="S56" s="1576">
        <f>R56</f>
        <v>0.03</v>
      </c>
      <c r="T56" s="1576">
        <f t="shared" ref="T56" si="81">S56</f>
        <v>0.03</v>
      </c>
      <c r="U56" s="1028" t="s">
        <v>2569</v>
      </c>
    </row>
    <row r="57" spans="1:21" s="1035" customFormat="1" ht="15" customHeight="1" outlineLevel="1">
      <c r="A57" s="1035" t="s">
        <v>230</v>
      </c>
      <c r="B57" s="1042"/>
      <c r="C57" s="1043"/>
      <c r="D57" s="1044"/>
      <c r="E57" s="1044"/>
      <c r="F57" s="1044"/>
      <c r="G57" s="1044"/>
      <c r="H57" s="1044"/>
      <c r="I57" s="1042">
        <f t="shared" ref="I57:P57" si="82">+I69*10^6/I5</f>
        <v>37253.976855286979</v>
      </c>
      <c r="J57" s="1042">
        <f t="shared" si="82"/>
        <v>39582.864125203676</v>
      </c>
      <c r="K57" s="1042">
        <f t="shared" si="82"/>
        <v>41010.54082777218</v>
      </c>
      <c r="L57" s="1042">
        <f t="shared" si="82"/>
        <v>42344.453502570781</v>
      </c>
      <c r="M57" s="1042">
        <f t="shared" si="82"/>
        <v>44657.843090956841</v>
      </c>
      <c r="N57" s="1042">
        <f t="shared" si="82"/>
        <v>48584.713229442059</v>
      </c>
      <c r="O57" s="1042">
        <f t="shared" si="82"/>
        <v>51768.39091067337</v>
      </c>
      <c r="P57" s="1042">
        <f t="shared" si="82"/>
        <v>53997.407549229509</v>
      </c>
      <c r="Q57" s="1042">
        <f>+Q69*10^6/Q5</f>
        <v>55084.271493276683</v>
      </c>
      <c r="R57" s="1018">
        <f>+R69*10^6/R5</f>
        <v>57027.353787619431</v>
      </c>
      <c r="S57" s="1018">
        <f t="shared" ref="S57:T57" si="83">+S69*10^6/S5</f>
        <v>58958.634405876845</v>
      </c>
      <c r="T57" s="1018">
        <f t="shared" si="83"/>
        <v>60795.510937745967</v>
      </c>
    </row>
    <row r="58" spans="1:21" ht="15" customHeight="1" outlineLevel="1">
      <c r="A58" s="1035" t="s">
        <v>579</v>
      </c>
      <c r="B58" s="1011"/>
      <c r="C58" s="1024"/>
      <c r="D58" s="1025"/>
      <c r="E58" s="1025"/>
      <c r="F58" s="1025"/>
      <c r="G58" s="1025"/>
      <c r="H58" s="1025"/>
      <c r="I58" s="1011"/>
      <c r="J58" s="1011"/>
      <c r="K58" s="1011"/>
      <c r="L58" s="1011"/>
      <c r="M58" s="1011"/>
      <c r="N58" s="1011"/>
      <c r="O58" s="1011"/>
      <c r="P58" s="1011"/>
      <c r="Q58" s="1011"/>
      <c r="R58" s="1041"/>
      <c r="S58" s="1041"/>
      <c r="T58" s="1041"/>
      <c r="U58" s="1028"/>
    </row>
    <row r="59" spans="1:21" ht="15" customHeight="1" outlineLevel="1">
      <c r="A59" s="1030" t="str">
        <f>+A47</f>
        <v>Platina/CT100</v>
      </c>
      <c r="E59" s="1031"/>
      <c r="F59" s="1031"/>
      <c r="G59" s="1031"/>
      <c r="H59" s="1031"/>
      <c r="I59" s="1031"/>
      <c r="J59" s="1031">
        <v>0.04</v>
      </c>
      <c r="K59" s="1026">
        <v>0.03</v>
      </c>
      <c r="L59" s="1026">
        <v>0.06</v>
      </c>
      <c r="M59" s="1026">
        <v>5.5E-2</v>
      </c>
      <c r="N59" s="1026">
        <v>1.4999999999999999E-2</v>
      </c>
      <c r="O59" s="1026">
        <v>0</v>
      </c>
      <c r="P59" s="1026">
        <v>-0.05</v>
      </c>
      <c r="Q59" s="1026">
        <v>0.02</v>
      </c>
      <c r="R59" s="1573">
        <v>0.02</v>
      </c>
      <c r="S59" s="1573">
        <f>R59</f>
        <v>0.02</v>
      </c>
      <c r="T59" s="1573">
        <f t="shared" ref="T59" si="84">S59</f>
        <v>0.02</v>
      </c>
      <c r="U59" s="1028" t="s">
        <v>2569</v>
      </c>
    </row>
    <row r="60" spans="1:21" ht="15" customHeight="1" outlineLevel="1">
      <c r="A60" s="1030" t="str">
        <f>+A48</f>
        <v>Discover/Boxer/XCD/V</v>
      </c>
      <c r="E60" s="1031"/>
      <c r="F60" s="1031"/>
      <c r="G60" s="1031"/>
      <c r="H60" s="1031"/>
      <c r="I60" s="1031"/>
      <c r="J60" s="1031">
        <v>5.4545454545454453E-2</v>
      </c>
      <c r="K60" s="1026">
        <v>0.04</v>
      </c>
      <c r="L60" s="1026">
        <v>0.06</v>
      </c>
      <c r="M60" s="1026">
        <v>7.0000000000000007E-2</v>
      </c>
      <c r="N60" s="1026">
        <v>0</v>
      </c>
      <c r="O60" s="1026">
        <v>0</v>
      </c>
      <c r="P60" s="1026">
        <v>0.03</v>
      </c>
      <c r="Q60" s="1026">
        <v>0.02</v>
      </c>
      <c r="R60" s="1573">
        <v>0.02</v>
      </c>
      <c r="S60" s="1573">
        <v>0.02</v>
      </c>
      <c r="T60" s="1573">
        <v>0.02</v>
      </c>
      <c r="U60" s="1028" t="s">
        <v>2569</v>
      </c>
    </row>
    <row r="61" spans="1:21" ht="15" customHeight="1" outlineLevel="1">
      <c r="A61" s="1030" t="str">
        <f>+A49</f>
        <v>Pulsar/KTM/Avenger/Ninja</v>
      </c>
      <c r="E61" s="1031"/>
      <c r="F61" s="1031"/>
      <c r="G61" s="1031"/>
      <c r="H61" s="1031"/>
      <c r="I61" s="1031"/>
      <c r="J61" s="1031">
        <v>2.6785714285714191E-2</v>
      </c>
      <c r="K61" s="1026">
        <v>0.02</v>
      </c>
      <c r="L61" s="1026">
        <v>0.06</v>
      </c>
      <c r="M61" s="1026">
        <v>5.2999999999999999E-2</v>
      </c>
      <c r="N61" s="1026">
        <v>1.4999999999999999E-2</v>
      </c>
      <c r="O61" s="1026">
        <v>0</v>
      </c>
      <c r="P61" s="1026">
        <v>0.03</v>
      </c>
      <c r="Q61" s="1026">
        <v>0.02</v>
      </c>
      <c r="R61" s="1573">
        <f>R60</f>
        <v>0.02</v>
      </c>
      <c r="S61" s="1573">
        <f t="shared" ref="S61:T61" si="85">S60</f>
        <v>0.02</v>
      </c>
      <c r="T61" s="1573">
        <f t="shared" si="85"/>
        <v>0.02</v>
      </c>
      <c r="U61" s="1028" t="s">
        <v>2569</v>
      </c>
    </row>
    <row r="62" spans="1:21" s="1035" customFormat="1" ht="15" customHeight="1" outlineLevel="1">
      <c r="A62" s="1034" t="s">
        <v>757</v>
      </c>
      <c r="E62" s="1036"/>
      <c r="F62" s="1036"/>
      <c r="G62" s="1036"/>
      <c r="H62" s="1036"/>
      <c r="I62" s="1036"/>
      <c r="J62" s="1036"/>
      <c r="K62" s="1037">
        <f t="shared" ref="K62:Q62" si="86">+K50/J50-1</f>
        <v>4.7316708343570157E-2</v>
      </c>
      <c r="L62" s="1037">
        <f t="shared" si="86"/>
        <v>1.6480861734469832E-2</v>
      </c>
      <c r="M62" s="1037">
        <f t="shared" si="86"/>
        <v>5.5178959011288331E-2</v>
      </c>
      <c r="N62" s="1037">
        <f t="shared" si="86"/>
        <v>3.7635080390610698E-2</v>
      </c>
      <c r="O62" s="1037">
        <f t="shared" si="86"/>
        <v>5.5698307959472171E-2</v>
      </c>
      <c r="P62" s="1037">
        <f t="shared" si="86"/>
        <v>9.096641919492221E-3</v>
      </c>
      <c r="Q62" s="1037">
        <f t="shared" si="86"/>
        <v>2.2613799536333135E-2</v>
      </c>
      <c r="R62" s="1038">
        <f>+R50/Q50-1</f>
        <v>-1</v>
      </c>
      <c r="S62" s="1038" t="e">
        <f t="shared" ref="S62:T62" si="87">+S50/R50-1</f>
        <v>#DIV/0!</v>
      </c>
      <c r="T62" s="1038" t="e">
        <f t="shared" si="87"/>
        <v>#DIV/0!</v>
      </c>
      <c r="U62" s="1028"/>
    </row>
    <row r="63" spans="1:21" ht="15" customHeight="1" outlineLevel="1">
      <c r="A63" s="1030" t="str">
        <f>+A51</f>
        <v>Three wheelers</v>
      </c>
      <c r="E63" s="1031"/>
      <c r="F63" s="1031"/>
      <c r="G63" s="1031"/>
      <c r="H63" s="1031"/>
      <c r="I63" s="1031"/>
      <c r="J63" s="1031">
        <v>0.02</v>
      </c>
      <c r="K63" s="1026">
        <v>0.05</v>
      </c>
      <c r="L63" s="1026">
        <v>0.06</v>
      </c>
      <c r="M63" s="1026">
        <v>5.5E-2</v>
      </c>
      <c r="N63" s="1026">
        <v>0.01</v>
      </c>
      <c r="O63" s="1026">
        <v>0</v>
      </c>
      <c r="P63" s="1026">
        <v>0.03</v>
      </c>
      <c r="Q63" s="1026">
        <v>0.03</v>
      </c>
      <c r="R63" s="1573">
        <v>0.02</v>
      </c>
      <c r="S63" s="1573">
        <f>R63</f>
        <v>0.02</v>
      </c>
      <c r="T63" s="1573">
        <f t="shared" ref="T63:T64" si="88">S63</f>
        <v>0.02</v>
      </c>
      <c r="U63" s="1028" t="s">
        <v>2569</v>
      </c>
    </row>
    <row r="64" spans="1:21" ht="15" customHeight="1" outlineLevel="1">
      <c r="A64" s="1030" t="s">
        <v>476</v>
      </c>
      <c r="E64" s="1031"/>
      <c r="F64" s="1031"/>
      <c r="G64" s="1031"/>
      <c r="H64" s="1031"/>
      <c r="I64" s="1031"/>
      <c r="J64" s="1031"/>
      <c r="K64" s="1026"/>
      <c r="L64" s="1026"/>
      <c r="M64" s="1026"/>
      <c r="N64" s="1026"/>
      <c r="O64" s="1026" t="s">
        <v>679</v>
      </c>
      <c r="P64" s="1026">
        <v>0.01</v>
      </c>
      <c r="Q64" s="1026">
        <v>0.01</v>
      </c>
      <c r="R64" s="1573">
        <v>0.02</v>
      </c>
      <c r="S64" s="1573">
        <f>R64</f>
        <v>0.02</v>
      </c>
      <c r="T64" s="1573">
        <f t="shared" si="88"/>
        <v>0.02</v>
      </c>
      <c r="U64" s="1028" t="s">
        <v>2569</v>
      </c>
    </row>
    <row r="65" spans="1:27" s="1035" customFormat="1" ht="15" customHeight="1" outlineLevel="1">
      <c r="A65" s="1034" t="s">
        <v>2356</v>
      </c>
      <c r="E65" s="1036"/>
      <c r="F65" s="1036"/>
      <c r="G65" s="1036"/>
      <c r="H65" s="1036"/>
      <c r="I65" s="1036"/>
      <c r="J65" s="1036"/>
      <c r="K65" s="1037">
        <f t="shared" ref="K65:Q65" si="89">+K53/J53-1</f>
        <v>3.5619832972989318E-2</v>
      </c>
      <c r="L65" s="1037">
        <f t="shared" si="89"/>
        <v>1.7296898399444149E-2</v>
      </c>
      <c r="M65" s="1037">
        <f t="shared" si="89"/>
        <v>6.793538373204977E-2</v>
      </c>
      <c r="N65" s="1037">
        <f t="shared" si="89"/>
        <v>3.0426896891708299E-2</v>
      </c>
      <c r="O65" s="1037">
        <f t="shared" si="89"/>
        <v>8.2295320163726648E-2</v>
      </c>
      <c r="P65" s="1037">
        <f t="shared" si="89"/>
        <v>1.5047672444509441E-2</v>
      </c>
      <c r="Q65" s="1037">
        <f t="shared" si="89"/>
        <v>1.810579486392494E-2</v>
      </c>
      <c r="R65" s="1038">
        <f>+R53/Q53-1</f>
        <v>3.6661700448432866E-2</v>
      </c>
      <c r="S65" s="1038">
        <f t="shared" ref="S65:T65" si="90">+S53/R53-1</f>
        <v>3.5627161167803623E-2</v>
      </c>
      <c r="T65" s="1038">
        <f t="shared" si="90"/>
        <v>3.0385402360936453E-2</v>
      </c>
    </row>
    <row r="66" spans="1:27" s="1047" customFormat="1" ht="15" customHeight="1" outlineLevel="1">
      <c r="A66" s="1035" t="s">
        <v>587</v>
      </c>
      <c r="B66" s="1045"/>
      <c r="C66" s="1045"/>
      <c r="D66" s="1045"/>
      <c r="E66" s="1045"/>
      <c r="F66" s="1045"/>
      <c r="G66" s="1045"/>
      <c r="H66" s="1045"/>
      <c r="I66" s="1045"/>
      <c r="J66" s="1046">
        <f t="shared" ref="J66:Q66" si="91">+J54/I54-1</f>
        <v>1.1804163702159309E-2</v>
      </c>
      <c r="K66" s="1037">
        <f t="shared" si="91"/>
        <v>3.8137031273904221E-2</v>
      </c>
      <c r="L66" s="1037">
        <f t="shared" si="91"/>
        <v>7.9548467748028706E-2</v>
      </c>
      <c r="M66" s="1037">
        <f t="shared" si="91"/>
        <v>3.0470073523632069E-2</v>
      </c>
      <c r="N66" s="1037">
        <f t="shared" si="91"/>
        <v>0.1903772215231283</v>
      </c>
      <c r="O66" s="1037">
        <f t="shared" si="91"/>
        <v>4.0535068783922767E-2</v>
      </c>
      <c r="P66" s="1037">
        <f t="shared" si="91"/>
        <v>7.8088255449699551E-2</v>
      </c>
      <c r="Q66" s="1037">
        <f t="shared" si="91"/>
        <v>3.4596651445966353E-2</v>
      </c>
      <c r="R66" s="1038">
        <f>+R54/Q54-1</f>
        <v>3.3060921248142972E-2</v>
      </c>
      <c r="S66" s="1038">
        <f t="shared" ref="S66:T66" si="92">+S54/R54-1</f>
        <v>3.0000000000000027E-2</v>
      </c>
      <c r="T66" s="1038">
        <f t="shared" si="92"/>
        <v>3.0000000000000027E-2</v>
      </c>
    </row>
    <row r="67" spans="1:27" s="1047" customFormat="1" ht="15" customHeight="1" outlineLevel="1">
      <c r="A67" s="1035" t="s">
        <v>230</v>
      </c>
      <c r="B67" s="1045"/>
      <c r="C67" s="1045"/>
      <c r="D67" s="1045"/>
      <c r="E67" s="1045"/>
      <c r="F67" s="1045"/>
      <c r="G67" s="1045"/>
      <c r="H67" s="1045"/>
      <c r="I67" s="1045"/>
      <c r="J67" s="1045">
        <f t="shared" ref="J67:O67" si="93">+J57/I57-1</f>
        <v>6.2513789573748202E-2</v>
      </c>
      <c r="K67" s="1037">
        <f t="shared" si="93"/>
        <v>3.6068049498708676E-2</v>
      </c>
      <c r="L67" s="1037">
        <f t="shared" si="93"/>
        <v>3.2526093240284215E-2</v>
      </c>
      <c r="M67" s="1037">
        <f t="shared" si="93"/>
        <v>5.463264718354699E-2</v>
      </c>
      <c r="N67" s="1037">
        <f t="shared" si="93"/>
        <v>8.7932373502391581E-2</v>
      </c>
      <c r="O67" s="1037">
        <f t="shared" si="93"/>
        <v>6.5528382686882214E-2</v>
      </c>
      <c r="P67" s="1037">
        <f>+P57/O57-1</f>
        <v>4.3057483521214968E-2</v>
      </c>
      <c r="Q67" s="1037">
        <f>+Q57/P57-1</f>
        <v>2.0128076390635519E-2</v>
      </c>
      <c r="R67" s="1038">
        <f>+R57/Q57-1</f>
        <v>3.5274720744557841E-2</v>
      </c>
      <c r="S67" s="1038">
        <f t="shared" ref="S67:T67" si="94">+S57/R57-1</f>
        <v>3.3865864185981032E-2</v>
      </c>
      <c r="T67" s="1038">
        <f t="shared" si="94"/>
        <v>3.1155343918312095E-2</v>
      </c>
    </row>
    <row r="68" spans="1:27" s="997" customFormat="1" ht="15" customHeight="1" outlineLevel="1">
      <c r="A68" s="996"/>
      <c r="H68" s="998"/>
      <c r="I68" s="998"/>
      <c r="J68" s="998"/>
      <c r="K68" s="999"/>
      <c r="L68" s="1048"/>
      <c r="M68" s="1048"/>
      <c r="N68" s="1048"/>
      <c r="O68" s="1048"/>
      <c r="P68" s="1048"/>
      <c r="Q68" s="1048"/>
      <c r="R68" s="1049"/>
      <c r="S68" s="1049"/>
      <c r="T68" s="1049"/>
      <c r="X68" s="997" t="s">
        <v>980</v>
      </c>
    </row>
    <row r="69" spans="1:27" s="997" customFormat="1" ht="15" customHeight="1" outlineLevel="1">
      <c r="A69" s="1006" t="s">
        <v>758</v>
      </c>
      <c r="H69" s="998"/>
      <c r="I69" s="1007">
        <f t="shared" ref="I69:N69" si="95">+SUM(I70:I75)</f>
        <v>81739.248649999994</v>
      </c>
      <c r="J69" s="1007">
        <f t="shared" si="95"/>
        <v>112959.59849729999</v>
      </c>
      <c r="K69" s="1007">
        <f>+SUM(K70:K75)</f>
        <v>156891.89349668499</v>
      </c>
      <c r="L69" s="1007">
        <f t="shared" si="95"/>
        <v>184180.29165453729</v>
      </c>
      <c r="M69" s="1007">
        <f t="shared" si="95"/>
        <v>189231.53663126926</v>
      </c>
      <c r="N69" s="1007">
        <f t="shared" si="95"/>
        <v>188025.80386544776</v>
      </c>
      <c r="O69" s="1007">
        <f>+SUM(O70:O75)</f>
        <v>197299.74320714927</v>
      </c>
      <c r="P69" s="1007">
        <f>+SUM(P70:P75)</f>
        <v>210243.28008293657</v>
      </c>
      <c r="Q69" s="1007">
        <f>+SUM(Q70:Q75)</f>
        <v>201931.83342332969</v>
      </c>
      <c r="R69" s="1009">
        <f>+SUM(R70:R75)</f>
        <v>233542.08780072827</v>
      </c>
      <c r="S69" s="1009">
        <f t="shared" ref="S69:T69" si="96">+SUM(S70:S75)</f>
        <v>273086.36922413961</v>
      </c>
      <c r="T69" s="1009">
        <f t="shared" si="96"/>
        <v>316635.40296814963</v>
      </c>
      <c r="X69" s="1050">
        <f>O69/O69*100</f>
        <v>100</v>
      </c>
      <c r="Y69" s="1050">
        <f t="shared" ref="Y69:AA69" si="97">P69/P69*100</f>
        <v>100</v>
      </c>
      <c r="Z69" s="1050">
        <f t="shared" si="97"/>
        <v>100</v>
      </c>
      <c r="AA69" s="1050">
        <f t="shared" si="97"/>
        <v>100</v>
      </c>
    </row>
    <row r="70" spans="1:27" s="997" customFormat="1" ht="15" customHeight="1" outlineLevel="1">
      <c r="A70" s="1051" t="s">
        <v>2411</v>
      </c>
      <c r="H70" s="998"/>
      <c r="I70" s="1020">
        <f t="shared" ref="I70:R70" si="98">+I47*I6/10^6</f>
        <v>11056.075000000001</v>
      </c>
      <c r="J70" s="1020">
        <f t="shared" si="98"/>
        <v>11142.924000000001</v>
      </c>
      <c r="K70" s="1020">
        <f t="shared" si="98"/>
        <v>10296.454739999999</v>
      </c>
      <c r="L70" s="1020">
        <f t="shared" si="98"/>
        <v>15204.850070799999</v>
      </c>
      <c r="M70" s="1020">
        <f t="shared" si="98"/>
        <v>14517.089286908002</v>
      </c>
      <c r="N70" s="1020">
        <f t="shared" si="98"/>
        <v>13976.22033215135</v>
      </c>
      <c r="O70" s="1020">
        <f t="shared" si="98"/>
        <v>15752.57746378953</v>
      </c>
      <c r="P70" s="1020">
        <f t="shared" si="98"/>
        <v>24988.882215254092</v>
      </c>
      <c r="Q70" s="1020">
        <f t="shared" si="98"/>
        <v>24631.93234148237</v>
      </c>
      <c r="R70" s="1041">
        <f t="shared" si="98"/>
        <v>26883.290957493857</v>
      </c>
      <c r="S70" s="1041">
        <f t="shared" ref="S70:T70" si="99">+S47*S6/10^6</f>
        <v>29340.423751008795</v>
      </c>
      <c r="T70" s="1041">
        <f t="shared" si="99"/>
        <v>31423.59383733042</v>
      </c>
      <c r="U70" s="1098" t="s">
        <v>2571</v>
      </c>
      <c r="X70" s="1052">
        <f>O70/O69*100</f>
        <v>7.9840841187768588</v>
      </c>
      <c r="Y70" s="1052">
        <f t="shared" ref="Y70:AA70" si="100">P70/P69*100</f>
        <v>11.885698418230776</v>
      </c>
      <c r="Z70" s="1052">
        <f t="shared" si="100"/>
        <v>12.198142275984795</v>
      </c>
      <c r="AA70" s="1052">
        <f t="shared" si="100"/>
        <v>11.511111855963302</v>
      </c>
    </row>
    <row r="71" spans="1:27" s="997" customFormat="1" ht="15" customHeight="1" outlineLevel="1">
      <c r="A71" s="1051" t="s">
        <v>2499</v>
      </c>
      <c r="H71" s="998"/>
      <c r="I71" s="1020">
        <f t="shared" ref="I71:R71" si="101">+I48*I7/10^6</f>
        <v>13035.9625</v>
      </c>
      <c r="J71" s="1020">
        <f t="shared" si="101"/>
        <v>23085.710999999996</v>
      </c>
      <c r="K71" s="1020">
        <f t="shared" si="101"/>
        <v>37273.085199999994</v>
      </c>
      <c r="L71" s="1020">
        <f t="shared" si="101"/>
        <v>42032.734931200001</v>
      </c>
      <c r="M71" s="1020">
        <f t="shared" si="101"/>
        <v>44870.351512063993</v>
      </c>
      <c r="N71" s="1020">
        <f t="shared" si="101"/>
        <v>33717.586793487993</v>
      </c>
      <c r="O71" s="1020">
        <f t="shared" si="101"/>
        <v>18912.079799807998</v>
      </c>
      <c r="P71" s="1020">
        <f t="shared" si="101"/>
        <v>8389.0725883036794</v>
      </c>
      <c r="Q71" s="1020">
        <f t="shared" si="101"/>
        <v>12005.787540214287</v>
      </c>
      <c r="R71" s="1041">
        <f t="shared" si="101"/>
        <v>13715.411685940802</v>
      </c>
      <c r="S71" s="1041">
        <f t="shared" ref="S71:T71" si="102">+S48*S7/10^6</f>
        <v>15668.486310018776</v>
      </c>
      <c r="T71" s="1041">
        <f t="shared" si="102"/>
        <v>17580.041639841063</v>
      </c>
      <c r="U71" s="1098" t="s">
        <v>2571</v>
      </c>
      <c r="X71" s="1052">
        <f>O71/O69*100</f>
        <v>9.5854558614157934</v>
      </c>
      <c r="Y71" s="1052">
        <f t="shared" ref="Y71:AA71" si="103">P71/P69*100</f>
        <v>3.9901739475308631</v>
      </c>
      <c r="Z71" s="1052">
        <f t="shared" si="103"/>
        <v>5.9454655250147548</v>
      </c>
      <c r="AA71" s="1052">
        <f t="shared" si="103"/>
        <v>5.8727794270827927</v>
      </c>
    </row>
    <row r="72" spans="1:27" s="997" customFormat="1" ht="15" customHeight="1" outlineLevel="1">
      <c r="A72" s="1051" t="s">
        <v>2374</v>
      </c>
      <c r="H72" s="998"/>
      <c r="I72" s="1020">
        <f t="shared" ref="I72:R72" si="104">+I49*I8/10^6</f>
        <v>20711.096000000001</v>
      </c>
      <c r="J72" s="1020">
        <f t="shared" si="104"/>
        <v>32314.539999999997</v>
      </c>
      <c r="K72" s="1020">
        <f t="shared" si="104"/>
        <v>46685.341349999995</v>
      </c>
      <c r="L72" s="1020">
        <f t="shared" si="104"/>
        <v>44535.820022999993</v>
      </c>
      <c r="M72" s="1020">
        <f t="shared" si="104"/>
        <v>43705.177900253999</v>
      </c>
      <c r="N72" s="1020">
        <f t="shared" si="104"/>
        <v>43439.017817081243</v>
      </c>
      <c r="O72" s="1020">
        <f t="shared" si="104"/>
        <v>46491.609660346301</v>
      </c>
      <c r="P72" s="1020">
        <f t="shared" si="104"/>
        <v>54444.553282916109</v>
      </c>
      <c r="Q72" s="1020">
        <f t="shared" si="104"/>
        <v>58015.261198870976</v>
      </c>
      <c r="R72" s="1041">
        <f t="shared" si="104"/>
        <v>68051.901386275655</v>
      </c>
      <c r="S72" s="1041">
        <f t="shared" ref="S72:T72" si="105">+S49*S8/10^6</f>
        <v>80519.009720241345</v>
      </c>
      <c r="T72" s="1041">
        <f t="shared" si="105"/>
        <v>95270.092300989578</v>
      </c>
      <c r="U72" s="1098" t="s">
        <v>2571</v>
      </c>
      <c r="X72" s="1052">
        <f>O72/O69*100</f>
        <v>23.563948388687841</v>
      </c>
      <c r="Y72" s="1052">
        <f t="shared" ref="Y72:AA72" si="106">P72/P69*100</f>
        <v>25.895977869751114</v>
      </c>
      <c r="Z72" s="1052">
        <f t="shared" si="106"/>
        <v>28.730121554063171</v>
      </c>
      <c r="AA72" s="1052">
        <f t="shared" si="106"/>
        <v>29.13903101026548</v>
      </c>
    </row>
    <row r="73" spans="1:27" s="997" customFormat="1" ht="15" customHeight="1" outlineLevel="1">
      <c r="A73" s="1051" t="s">
        <v>609</v>
      </c>
      <c r="H73" s="998"/>
      <c r="I73" s="1020">
        <f t="shared" ref="I73:N73" si="107">+I51*I10/10^6</f>
        <v>10532.11515</v>
      </c>
      <c r="J73" s="1020">
        <f t="shared" si="107"/>
        <v>13958.923497299998</v>
      </c>
      <c r="K73" s="1020">
        <f t="shared" si="107"/>
        <v>17119.512206684998</v>
      </c>
      <c r="L73" s="1020">
        <f t="shared" si="107"/>
        <v>17915.086629537298</v>
      </c>
      <c r="M73" s="1020">
        <f t="shared" si="107"/>
        <v>21056.217932043281</v>
      </c>
      <c r="N73" s="1020">
        <f t="shared" si="107"/>
        <v>17578.378922727155</v>
      </c>
      <c r="O73" s="1020">
        <f t="shared" ref="O73:R74" si="108">+O51*O10/10^6</f>
        <v>22039.276283205436</v>
      </c>
      <c r="P73" s="1020">
        <f t="shared" si="108"/>
        <v>24700.771996462692</v>
      </c>
      <c r="Q73" s="1020">
        <f t="shared" si="108"/>
        <v>25257.413354952834</v>
      </c>
      <c r="R73" s="1041">
        <f t="shared" si="108"/>
        <v>28338.81778425708</v>
      </c>
      <c r="S73" s="1041">
        <f t="shared" ref="S73:T73" si="109">+S51*S10/10^6</f>
        <v>31796.153553936445</v>
      </c>
      <c r="T73" s="1041">
        <f t="shared" si="109"/>
        <v>35026.642755016386</v>
      </c>
      <c r="U73" s="1098" t="s">
        <v>2571</v>
      </c>
      <c r="X73" s="1052">
        <f>O73/O69*100</f>
        <v>11.170453607770753</v>
      </c>
      <c r="Y73" s="1052">
        <f t="shared" ref="Y73:AA73" si="110">P73/P69*100</f>
        <v>11.748661829628396</v>
      </c>
      <c r="Z73" s="1052">
        <f t="shared" si="110"/>
        <v>12.507890869293114</v>
      </c>
      <c r="AA73" s="1052">
        <f t="shared" si="110"/>
        <v>12.134351478624021</v>
      </c>
    </row>
    <row r="74" spans="1:27" s="997" customFormat="1" ht="15" customHeight="1" outlineLevel="1">
      <c r="A74" s="1051" t="s">
        <v>474</v>
      </c>
      <c r="H74" s="998"/>
      <c r="I74" s="1020"/>
      <c r="J74" s="1020"/>
      <c r="K74" s="1020"/>
      <c r="L74" s="1020"/>
      <c r="M74" s="1020"/>
      <c r="N74" s="1020"/>
      <c r="O74" s="1020">
        <f t="shared" si="108"/>
        <v>0</v>
      </c>
      <c r="P74" s="1020">
        <f t="shared" si="108"/>
        <v>0</v>
      </c>
      <c r="Q74" s="1020">
        <f t="shared" si="108"/>
        <v>0</v>
      </c>
      <c r="R74" s="1041">
        <f t="shared" si="108"/>
        <v>1685.6132399999997</v>
      </c>
      <c r="S74" s="1041">
        <f t="shared" ref="S74:T74" si="111">+S52*S11/10^6</f>
        <v>3438.6510095999997</v>
      </c>
      <c r="T74" s="1041">
        <f t="shared" si="111"/>
        <v>3507.4240297920005</v>
      </c>
      <c r="U74" s="1098" t="s">
        <v>2571</v>
      </c>
      <c r="X74" s="1052">
        <f>O74/O69*100</f>
        <v>0</v>
      </c>
      <c r="Y74" s="1052">
        <f t="shared" ref="Y74:AA74" si="112">P74/P69*100</f>
        <v>0</v>
      </c>
      <c r="Z74" s="1052">
        <f t="shared" si="112"/>
        <v>0</v>
      </c>
      <c r="AA74" s="1052">
        <f t="shared" si="112"/>
        <v>0.72175994308925728</v>
      </c>
    </row>
    <row r="75" spans="1:27" s="997" customFormat="1" ht="15" customHeight="1" outlineLevel="1">
      <c r="A75" s="1051" t="s">
        <v>587</v>
      </c>
      <c r="H75" s="998"/>
      <c r="I75" s="1020">
        <f>+'Driver Sheet'!E83</f>
        <v>26404</v>
      </c>
      <c r="J75" s="1020">
        <f>+'Driver Sheet'!F83</f>
        <v>32457.5</v>
      </c>
      <c r="K75" s="1020">
        <f>+'Driver Sheet'!G83</f>
        <v>45517.5</v>
      </c>
      <c r="L75" s="1020">
        <f>+'Driver Sheet'!H83</f>
        <v>64491.8</v>
      </c>
      <c r="M75" s="1020">
        <f>+'Driver Sheet'!I83</f>
        <v>65082.7</v>
      </c>
      <c r="N75" s="1020">
        <f>+'Driver Sheet'!J83</f>
        <v>79314.600000000006</v>
      </c>
      <c r="O75" s="1020">
        <f>+'Driver Sheet'!K83</f>
        <v>94104.2</v>
      </c>
      <c r="P75" s="1020">
        <f>+'Driver Sheet'!L83</f>
        <v>97720</v>
      </c>
      <c r="Q75" s="1020">
        <f>+'Driver Sheet'!M83</f>
        <v>82021.438987809219</v>
      </c>
      <c r="R75" s="1726">
        <f>R16*R1*R55/10^6</f>
        <v>94867.052746760863</v>
      </c>
      <c r="S75" s="1726">
        <f t="shared" ref="S75:T75" si="113">S16*S1*S55/10^6</f>
        <v>112323.64487933423</v>
      </c>
      <c r="T75" s="1726">
        <f t="shared" si="113"/>
        <v>133827.60840518022</v>
      </c>
      <c r="U75" s="1028" t="s">
        <v>2576</v>
      </c>
      <c r="X75" s="1052">
        <f>O75/O69*100</f>
        <v>47.696058023348748</v>
      </c>
      <c r="Y75" s="1052">
        <f t="shared" ref="Y75:AA75" si="114">P75/P69*100</f>
        <v>46.479487934858845</v>
      </c>
      <c r="Z75" s="1052">
        <f t="shared" si="114"/>
        <v>40.618379775644172</v>
      </c>
      <c r="AA75" s="1052">
        <f t="shared" si="114"/>
        <v>40.620966284975133</v>
      </c>
    </row>
    <row r="76" spans="1:27" s="997" customFormat="1" ht="15" customHeight="1">
      <c r="A76" s="1051"/>
      <c r="H76" s="998"/>
      <c r="I76" s="1020"/>
      <c r="J76" s="1020"/>
      <c r="K76" s="1020"/>
      <c r="L76" s="1020"/>
      <c r="M76" s="1020"/>
      <c r="N76" s="1020"/>
      <c r="O76" s="1020"/>
      <c r="P76" s="1020"/>
      <c r="Q76" s="1020"/>
      <c r="R76" s="1041"/>
      <c r="S76" s="1041"/>
      <c r="T76" s="1041"/>
    </row>
    <row r="77" spans="1:27" s="1003" customFormat="1" ht="15" customHeight="1">
      <c r="A77" s="1002" t="s">
        <v>760</v>
      </c>
      <c r="H77" s="1004"/>
      <c r="I77" s="1004"/>
      <c r="J77" s="1004"/>
      <c r="K77" s="1053"/>
      <c r="L77" s="1053"/>
      <c r="M77" s="1053"/>
      <c r="N77" s="1053"/>
      <c r="O77" s="1053"/>
      <c r="P77" s="1053"/>
      <c r="Q77" s="1053"/>
      <c r="R77" s="1053"/>
      <c r="S77" s="1053"/>
      <c r="T77" s="1053"/>
    </row>
    <row r="78" spans="1:27" s="1056" customFormat="1" ht="15" customHeight="1" outlineLevel="1">
      <c r="A78" s="1054" t="s">
        <v>761</v>
      </c>
      <c r="B78" s="1055">
        <f t="shared" ref="B78:L78" si="115">B79+B81</f>
        <v>41255.739872999999</v>
      </c>
      <c r="C78" s="1055">
        <f t="shared" si="115"/>
        <v>47443.232292000001</v>
      </c>
      <c r="D78" s="1055">
        <f t="shared" si="115"/>
        <v>54184.791537000005</v>
      </c>
      <c r="E78" s="1055">
        <f t="shared" si="115"/>
        <v>65415.8</v>
      </c>
      <c r="F78" s="1055">
        <f t="shared" si="115"/>
        <v>85498.6</v>
      </c>
      <c r="G78" s="1055">
        <f t="shared" si="115"/>
        <v>106060.9</v>
      </c>
      <c r="H78" s="1055">
        <f t="shared" si="115"/>
        <v>96899.5</v>
      </c>
      <c r="I78" s="1055">
        <f t="shared" si="115"/>
        <v>90496.599999999991</v>
      </c>
      <c r="J78" s="1055">
        <f t="shared" si="115"/>
        <v>121180.8</v>
      </c>
      <c r="K78" s="998">
        <f t="shared" si="115"/>
        <v>168302.30000000002</v>
      </c>
      <c r="L78" s="998">
        <f t="shared" si="115"/>
        <v>198270.30000000002</v>
      </c>
      <c r="M78" s="998">
        <f t="shared" ref="M78:R78" si="116">M79+M81</f>
        <v>206178.69999999998</v>
      </c>
      <c r="N78" s="998">
        <f t="shared" si="116"/>
        <v>207270.39999999999</v>
      </c>
      <c r="O78" s="998">
        <f t="shared" si="116"/>
        <v>220132.09999999998</v>
      </c>
      <c r="P78" s="998">
        <f t="shared" si="116"/>
        <v>235462.39999999999</v>
      </c>
      <c r="Q78" s="998">
        <f t="shared" si="116"/>
        <v>231160.1184233297</v>
      </c>
      <c r="R78" s="1018">
        <f t="shared" si="116"/>
        <v>267154.61555072828</v>
      </c>
      <c r="S78" s="1018">
        <f t="shared" ref="S78:T78" si="117">S79+S81</f>
        <v>310060.14974913961</v>
      </c>
      <c r="T78" s="1018">
        <f t="shared" si="117"/>
        <v>359155.25057189964</v>
      </c>
    </row>
    <row r="79" spans="1:27" s="1056" customFormat="1" ht="15" customHeight="1" outlineLevel="1">
      <c r="A79" s="1019" t="s">
        <v>258</v>
      </c>
      <c r="B79" s="1057">
        <v>39063.01</v>
      </c>
      <c r="C79" s="1057">
        <v>45120.472999999998</v>
      </c>
      <c r="D79" s="1057">
        <v>51545.19</v>
      </c>
      <c r="E79" s="1057">
        <v>62032.800000000003</v>
      </c>
      <c r="F79" s="1057">
        <v>81238.600000000006</v>
      </c>
      <c r="G79" s="1057">
        <v>100976.5</v>
      </c>
      <c r="H79" s="1057">
        <v>91108.1</v>
      </c>
      <c r="I79" s="1057">
        <v>83168.7</v>
      </c>
      <c r="J79" s="1057">
        <v>112801.8</v>
      </c>
      <c r="K79" s="1058">
        <v>156833.20000000001</v>
      </c>
      <c r="L79" s="1058">
        <v>184271.6</v>
      </c>
      <c r="M79" s="1058">
        <v>189237.4</v>
      </c>
      <c r="N79" s="1058">
        <v>188005.3</v>
      </c>
      <c r="O79" s="1058">
        <v>197276.4</v>
      </c>
      <c r="P79" s="1058">
        <f>301+209745.5</f>
        <v>210046.5</v>
      </c>
      <c r="Q79" s="1058">
        <f>+Q69</f>
        <v>201931.83342332969</v>
      </c>
      <c r="R79" s="1059">
        <f>+R69</f>
        <v>233542.08780072827</v>
      </c>
      <c r="S79" s="1059">
        <f t="shared" ref="S79:T79" si="118">+S69</f>
        <v>273086.36922413961</v>
      </c>
      <c r="T79" s="1059">
        <f t="shared" si="118"/>
        <v>316635.40296814963</v>
      </c>
    </row>
    <row r="80" spans="1:27" ht="15" customHeight="1" outlineLevel="1">
      <c r="A80" s="988" t="s">
        <v>762</v>
      </c>
      <c r="B80" s="1060"/>
      <c r="C80" s="1061">
        <f t="shared" ref="C80:O80" si="119">C79/B79-1</f>
        <v>0.15506902821876745</v>
      </c>
      <c r="D80" s="1061">
        <f t="shared" si="119"/>
        <v>0.14239028478269722</v>
      </c>
      <c r="E80" s="1061">
        <f t="shared" si="119"/>
        <v>0.20346437756849856</v>
      </c>
      <c r="F80" s="1061">
        <f t="shared" si="119"/>
        <v>0.30960717555873662</v>
      </c>
      <c r="G80" s="1061">
        <f t="shared" si="119"/>
        <v>0.24296208945008901</v>
      </c>
      <c r="H80" s="1061">
        <f t="shared" si="119"/>
        <v>-9.7729669774650474E-2</v>
      </c>
      <c r="I80" s="1061">
        <f t="shared" si="119"/>
        <v>-8.7142636055411171E-2</v>
      </c>
      <c r="J80" s="1061">
        <f t="shared" si="119"/>
        <v>0.35630110846989327</v>
      </c>
      <c r="K80" s="1062">
        <f t="shared" si="119"/>
        <v>0.39034306190149448</v>
      </c>
      <c r="L80" s="1062">
        <f t="shared" si="119"/>
        <v>0.17495275235090535</v>
      </c>
      <c r="M80" s="1062">
        <f t="shared" si="119"/>
        <v>2.6948265495062573E-2</v>
      </c>
      <c r="N80" s="1062">
        <f t="shared" si="119"/>
        <v>-6.5108694158766411E-3</v>
      </c>
      <c r="O80" s="1062">
        <f t="shared" si="119"/>
        <v>4.9312971496016322E-2</v>
      </c>
      <c r="P80" s="1062">
        <f>P79/O79-1</f>
        <v>6.4732020657311207E-2</v>
      </c>
      <c r="Q80" s="1062">
        <f>Q79/P79-1</f>
        <v>-3.8632715025817221E-2</v>
      </c>
      <c r="R80" s="1063">
        <f>R79/Q79-1</f>
        <v>0.15653923327250174</v>
      </c>
      <c r="S80" s="1063">
        <f t="shared" ref="S80:T80" si="120">S79/R79-1</f>
        <v>0.16932400406196946</v>
      </c>
      <c r="T80" s="1063">
        <f t="shared" si="120"/>
        <v>0.15946981853300235</v>
      </c>
      <c r="U80" s="1028"/>
    </row>
    <row r="81" spans="1:44" s="1056" customFormat="1" ht="15" customHeight="1" outlineLevel="1">
      <c r="A81" s="1019" t="s">
        <v>763</v>
      </c>
      <c r="B81" s="1057">
        <v>2192.7298730000002</v>
      </c>
      <c r="C81" s="1057">
        <v>2322.7592920000002</v>
      </c>
      <c r="D81" s="1057">
        <v>2639.601537</v>
      </c>
      <c r="E81" s="1057">
        <v>3383</v>
      </c>
      <c r="F81" s="1057">
        <v>4260</v>
      </c>
      <c r="G81" s="1057">
        <v>5084.3999999999996</v>
      </c>
      <c r="H81" s="1057">
        <v>5791.4</v>
      </c>
      <c r="I81" s="1057">
        <v>7327.9</v>
      </c>
      <c r="J81" s="1057">
        <v>8379</v>
      </c>
      <c r="K81" s="1057">
        <v>11469.1</v>
      </c>
      <c r="L81" s="1057">
        <v>13998.7</v>
      </c>
      <c r="M81" s="1057">
        <f>14792.2+2136.1+13</f>
        <v>16941.3</v>
      </c>
      <c r="N81" s="1057">
        <f>245.7+2419.7+16599.7</f>
        <v>19265.099999999999</v>
      </c>
      <c r="O81" s="1057">
        <f>338+2950.1+19567.6</f>
        <v>22855.699999999997</v>
      </c>
      <c r="P81" s="1057">
        <f>22592+2823.9</f>
        <v>25415.9</v>
      </c>
      <c r="Q81" s="1057">
        <f>P81*(1+Q82)</f>
        <v>29228.285</v>
      </c>
      <c r="R81" s="1637">
        <f>Q81*(1+R82)</f>
        <v>33612.527749999994</v>
      </c>
      <c r="S81" s="1637">
        <f t="shared" ref="S81:T81" si="121">R81*(1+S82)</f>
        <v>36973.780524999995</v>
      </c>
      <c r="T81" s="1637">
        <f t="shared" si="121"/>
        <v>42519.847603749993</v>
      </c>
      <c r="U81" s="1028" t="s">
        <v>2570</v>
      </c>
    </row>
    <row r="82" spans="1:44" ht="15" customHeight="1" outlineLevel="1">
      <c r="A82" s="988" t="s">
        <v>762</v>
      </c>
      <c r="B82" s="1060"/>
      <c r="C82" s="1061">
        <f t="shared" ref="C82:P82" si="122">C81/B81-1</f>
        <v>5.9300245142416497E-2</v>
      </c>
      <c r="D82" s="1061">
        <f t="shared" si="122"/>
        <v>0.13640769669559027</v>
      </c>
      <c r="E82" s="1061">
        <f t="shared" si="122"/>
        <v>0.28163283456975807</v>
      </c>
      <c r="F82" s="1061">
        <f t="shared" si="122"/>
        <v>0.25923736328702329</v>
      </c>
      <c r="G82" s="1061">
        <f t="shared" si="122"/>
        <v>0.19352112676056321</v>
      </c>
      <c r="H82" s="1061">
        <f t="shared" si="122"/>
        <v>0.13905278892298001</v>
      </c>
      <c r="I82" s="1061">
        <f t="shared" si="122"/>
        <v>0.26530717961114747</v>
      </c>
      <c r="J82" s="1061">
        <f t="shared" si="122"/>
        <v>0.14343809276873332</v>
      </c>
      <c r="K82" s="1062">
        <f t="shared" si="122"/>
        <v>0.36879102518200257</v>
      </c>
      <c r="L82" s="1062">
        <f t="shared" si="122"/>
        <v>0.22055784673601253</v>
      </c>
      <c r="M82" s="1062">
        <f t="shared" si="122"/>
        <v>0.21020523334309593</v>
      </c>
      <c r="N82" s="1062">
        <f t="shared" si="122"/>
        <v>0.13716774981849089</v>
      </c>
      <c r="O82" s="1062">
        <f t="shared" si="122"/>
        <v>0.18637847714260491</v>
      </c>
      <c r="P82" s="1062">
        <f t="shared" si="122"/>
        <v>0.11201582099870078</v>
      </c>
      <c r="Q82" s="1062">
        <v>0.15</v>
      </c>
      <c r="R82" s="1576">
        <v>0.15</v>
      </c>
      <c r="S82" s="1576">
        <v>0.1</v>
      </c>
      <c r="T82" s="1576">
        <v>0.15</v>
      </c>
      <c r="U82" s="1028" t="s">
        <v>2569</v>
      </c>
    </row>
    <row r="83" spans="1:44" ht="15" customHeight="1" outlineLevel="1">
      <c r="A83" s="996" t="s">
        <v>2535</v>
      </c>
      <c r="B83" s="1030">
        <v>5255.8789999999999</v>
      </c>
      <c r="C83" s="1030">
        <v>5852.5609999999997</v>
      </c>
      <c r="D83" s="1030">
        <v>6633.1949999999997</v>
      </c>
      <c r="E83" s="1030">
        <v>8176.4</v>
      </c>
      <c r="F83" s="1030">
        <v>10804.8</v>
      </c>
      <c r="G83" s="1030">
        <v>13138.6</v>
      </c>
      <c r="H83" s="1030">
        <v>10266.6</v>
      </c>
      <c r="I83" s="1030">
        <v>6127.2</v>
      </c>
      <c r="J83" s="1030">
        <v>6095.8</v>
      </c>
      <c r="K83" s="1030">
        <v>9334.1</v>
      </c>
      <c r="L83" s="1030">
        <v>9467.6</v>
      </c>
      <c r="M83" s="1030">
        <v>11289.1</v>
      </c>
      <c r="N83" s="1030">
        <v>10094</v>
      </c>
      <c r="O83" s="1030">
        <v>9092.7999999999993</v>
      </c>
      <c r="P83" s="1030">
        <v>12934.6</v>
      </c>
      <c r="Q83" s="1030">
        <f>+(Q78-Q105)*Q85</f>
        <v>12646.775619608105</v>
      </c>
      <c r="R83" s="1635">
        <f>(R78-R75)*R85</f>
        <v>9475.8159542182075</v>
      </c>
      <c r="S83" s="1635">
        <f t="shared" ref="S83:T83" si="123">(S78-S75)*S85</f>
        <v>10875.507767839297</v>
      </c>
      <c r="T83" s="1635">
        <f t="shared" si="123"/>
        <v>12393.020319169569</v>
      </c>
      <c r="U83" s="1028" t="s">
        <v>2570</v>
      </c>
      <c r="V83" s="1030">
        <f>R83-Q83</f>
        <v>-3170.9596653898971</v>
      </c>
    </row>
    <row r="84" spans="1:44" ht="15" customHeight="1" outlineLevel="1">
      <c r="A84" s="1064" t="s">
        <v>2239</v>
      </c>
      <c r="B84" s="1065"/>
      <c r="C84" s="1065"/>
      <c r="D84" s="1065"/>
      <c r="E84" s="1065"/>
      <c r="F84" s="1065"/>
      <c r="G84" s="1065"/>
      <c r="H84" s="1065"/>
      <c r="I84" s="1065"/>
      <c r="J84" s="1065"/>
      <c r="K84" s="1065"/>
      <c r="L84" s="1065"/>
      <c r="M84" s="1065"/>
      <c r="N84" s="1065"/>
      <c r="O84" s="1065"/>
      <c r="P84" s="1065"/>
      <c r="Q84" s="1065"/>
      <c r="R84" s="1066"/>
      <c r="S84" s="1066"/>
      <c r="T84" s="1066"/>
      <c r="U84" s="1028"/>
    </row>
    <row r="85" spans="1:44" ht="15" customHeight="1" outlineLevel="1">
      <c r="A85" s="988" t="s">
        <v>629</v>
      </c>
      <c r="B85" s="989">
        <f t="shared" ref="B85:P85" si="124">B83/(B78-B103)</f>
        <v>0.12739752131896034</v>
      </c>
      <c r="C85" s="989">
        <f t="shared" si="124"/>
        <v>0.12335923834150048</v>
      </c>
      <c r="D85" s="989">
        <f t="shared" si="124"/>
        <v>0.1224180219549342</v>
      </c>
      <c r="E85" s="989">
        <f t="shared" si="124"/>
        <v>0.12499121007463028</v>
      </c>
      <c r="F85" s="989">
        <f t="shared" si="124"/>
        <v>0.12637399910641811</v>
      </c>
      <c r="G85" s="989">
        <f t="shared" si="124"/>
        <v>0.12387788525271802</v>
      </c>
      <c r="H85" s="989">
        <f t="shared" si="124"/>
        <v>0.10595101109912848</v>
      </c>
      <c r="I85" s="989">
        <f t="shared" si="124"/>
        <v>6.770641106958715E-2</v>
      </c>
      <c r="J85" s="989">
        <f t="shared" si="124"/>
        <v>5.030334838522274E-2</v>
      </c>
      <c r="K85" s="989">
        <f t="shared" si="124"/>
        <v>5.5469888976721657E-2</v>
      </c>
      <c r="L85" s="989">
        <f t="shared" si="124"/>
        <v>4.775940468477366E-2</v>
      </c>
      <c r="M85" s="989">
        <f t="shared" si="124"/>
        <v>5.4763093458868449E-2</v>
      </c>
      <c r="N85" s="989">
        <f t="shared" si="124"/>
        <v>4.8709583867486417E-2</v>
      </c>
      <c r="O85" s="989">
        <f t="shared" si="124"/>
        <v>4.1315059451323792E-2</v>
      </c>
      <c r="P85" s="989">
        <f t="shared" si="124"/>
        <v>5.4943607772428023E-2</v>
      </c>
      <c r="Q85" s="989">
        <v>5.5E-2</v>
      </c>
      <c r="R85" s="1636">
        <v>5.5E-2</v>
      </c>
      <c r="S85" s="1636">
        <f>R85</f>
        <v>5.5E-2</v>
      </c>
      <c r="T85" s="1636">
        <f t="shared" ref="T85" si="125">S85</f>
        <v>5.5E-2</v>
      </c>
      <c r="U85" s="1028" t="s">
        <v>2569</v>
      </c>
    </row>
    <row r="86" spans="1:44" s="1035" customFormat="1" ht="15" customHeight="1" outlineLevel="1">
      <c r="A86" s="1101" t="s">
        <v>764</v>
      </c>
      <c r="B86" s="1102">
        <f t="shared" ref="B86:L86" si="126">B78-B83</f>
        <v>35999.860872999998</v>
      </c>
      <c r="C86" s="1102">
        <f t="shared" si="126"/>
        <v>41590.671291999999</v>
      </c>
      <c r="D86" s="1102">
        <f t="shared" si="126"/>
        <v>47551.596537000005</v>
      </c>
      <c r="E86" s="1102">
        <f t="shared" si="126"/>
        <v>57239.4</v>
      </c>
      <c r="F86" s="1102">
        <f t="shared" si="126"/>
        <v>74693.8</v>
      </c>
      <c r="G86" s="1102">
        <f t="shared" si="126"/>
        <v>92922.299999999988</v>
      </c>
      <c r="H86" s="1102">
        <f t="shared" si="126"/>
        <v>86632.9</v>
      </c>
      <c r="I86" s="1102">
        <f t="shared" si="126"/>
        <v>84369.4</v>
      </c>
      <c r="J86" s="1102">
        <f t="shared" si="126"/>
        <v>115085</v>
      </c>
      <c r="K86" s="1102">
        <f t="shared" si="126"/>
        <v>158968.20000000001</v>
      </c>
      <c r="L86" s="1103">
        <f t="shared" si="126"/>
        <v>188802.7</v>
      </c>
      <c r="M86" s="1103">
        <f t="shared" ref="M86:T86" si="127">M78-M83</f>
        <v>194889.59999999998</v>
      </c>
      <c r="N86" s="1103">
        <f t="shared" si="127"/>
        <v>197176.4</v>
      </c>
      <c r="O86" s="1103">
        <f t="shared" si="127"/>
        <v>211039.3</v>
      </c>
      <c r="P86" s="1103">
        <f t="shared" si="127"/>
        <v>222527.8</v>
      </c>
      <c r="Q86" s="1103">
        <f t="shared" si="127"/>
        <v>218513.34280372158</v>
      </c>
      <c r="R86" s="1103">
        <f>R78-R83</f>
        <v>257678.79959651007</v>
      </c>
      <c r="S86" s="1103">
        <f t="shared" si="127"/>
        <v>299184.64198130032</v>
      </c>
      <c r="T86" s="1103">
        <f t="shared" si="127"/>
        <v>346762.23025273008</v>
      </c>
      <c r="U86" s="1104" t="s">
        <v>2573</v>
      </c>
    </row>
    <row r="87" spans="1:44" s="1035" customFormat="1" ht="15" customHeight="1" outlineLevel="1">
      <c r="A87" s="988" t="s">
        <v>762</v>
      </c>
      <c r="B87" s="1062"/>
      <c r="C87" s="1062">
        <f t="shared" ref="C87:Q87" si="128">C86/B86-1</f>
        <v>0.15530088959852417</v>
      </c>
      <c r="D87" s="1062">
        <f t="shared" si="128"/>
        <v>0.14332361223865586</v>
      </c>
      <c r="E87" s="1062">
        <f t="shared" si="128"/>
        <v>0.20373245418714592</v>
      </c>
      <c r="F87" s="1062">
        <f t="shared" si="128"/>
        <v>0.30493680926075406</v>
      </c>
      <c r="G87" s="1062">
        <f t="shared" si="128"/>
        <v>0.24404301294083286</v>
      </c>
      <c r="H87" s="1062">
        <f t="shared" si="128"/>
        <v>-6.7684506302577496E-2</v>
      </c>
      <c r="I87" s="1062">
        <f t="shared" si="128"/>
        <v>-2.6127487363345803E-2</v>
      </c>
      <c r="J87" s="1062">
        <f t="shared" si="128"/>
        <v>0.36406090359775001</v>
      </c>
      <c r="K87" s="1062">
        <f t="shared" si="128"/>
        <v>0.381311204761698</v>
      </c>
      <c r="L87" s="1062">
        <f t="shared" si="128"/>
        <v>0.18767589995986622</v>
      </c>
      <c r="M87" s="1062">
        <f t="shared" si="128"/>
        <v>3.2239475388858185E-2</v>
      </c>
      <c r="N87" s="1062">
        <f t="shared" si="128"/>
        <v>1.1733822635995095E-2</v>
      </c>
      <c r="O87" s="1062">
        <f t="shared" si="128"/>
        <v>7.0307095575332434E-2</v>
      </c>
      <c r="P87" s="1062">
        <f t="shared" si="128"/>
        <v>5.4437727949249171E-2</v>
      </c>
      <c r="Q87" s="1062">
        <f t="shared" si="128"/>
        <v>-1.8040250235154431E-2</v>
      </c>
      <c r="R87" s="1067">
        <f>R86/Q86-1</f>
        <v>0.17923599671425405</v>
      </c>
      <c r="S87" s="1067">
        <f t="shared" ref="S87:T87" si="129">S86/R86-1</f>
        <v>0.16107589157424962</v>
      </c>
      <c r="T87" s="1067">
        <f t="shared" si="129"/>
        <v>0.15902416633539462</v>
      </c>
    </row>
    <row r="88" spans="1:44" s="1035" customFormat="1" ht="15" customHeight="1" outlineLevel="1">
      <c r="A88" s="988"/>
      <c r="B88" s="1062"/>
      <c r="C88" s="1062"/>
      <c r="D88" s="1062"/>
      <c r="E88" s="1062"/>
      <c r="F88" s="1062"/>
      <c r="G88" s="1062"/>
      <c r="H88" s="1062"/>
      <c r="I88" s="1062"/>
      <c r="J88" s="1062"/>
      <c r="K88" s="1062"/>
      <c r="L88" s="1062"/>
      <c r="M88" s="1062"/>
      <c r="N88" s="1062"/>
      <c r="O88" s="1062"/>
      <c r="P88" s="1062"/>
      <c r="Q88" s="1062"/>
      <c r="R88" s="1067"/>
      <c r="S88" s="1067"/>
      <c r="T88" s="1067"/>
    </row>
    <row r="89" spans="1:44" s="1056" customFormat="1" ht="15" customHeight="1" outlineLevel="1">
      <c r="A89" s="1019" t="s">
        <v>765</v>
      </c>
      <c r="B89" s="1057">
        <v>0</v>
      </c>
      <c r="C89" s="1057">
        <v>0</v>
      </c>
      <c r="D89" s="1057">
        <v>0</v>
      </c>
      <c r="E89" s="1057">
        <v>2.4</v>
      </c>
      <c r="F89" s="1057">
        <v>3.7</v>
      </c>
      <c r="G89" s="1057">
        <v>10.9</v>
      </c>
      <c r="H89" s="1057">
        <v>10.9</v>
      </c>
      <c r="I89" s="1057">
        <v>10.9</v>
      </c>
      <c r="J89" s="1057">
        <v>7.4</v>
      </c>
      <c r="K89" s="1057">
        <v>114.5</v>
      </c>
      <c r="L89" s="1057">
        <v>270.8</v>
      </c>
      <c r="M89" s="1057">
        <f>8.3+368.5</f>
        <v>376.8</v>
      </c>
      <c r="N89" s="1057">
        <f>5.2+405.9</f>
        <v>411.09999999999997</v>
      </c>
      <c r="O89" s="1057">
        <f>422.9+2.8</f>
        <v>425.7</v>
      </c>
      <c r="P89" s="1057">
        <v>580.70000000000005</v>
      </c>
      <c r="Q89" s="1057">
        <f>P89*(1+Q90)</f>
        <v>661.99800000000016</v>
      </c>
      <c r="R89" s="1058">
        <f>Q89*(1+R90)</f>
        <v>754.67772000000025</v>
      </c>
      <c r="S89" s="1577"/>
      <c r="T89" s="1577"/>
      <c r="U89" s="1028" t="s">
        <v>2570</v>
      </c>
      <c r="AR89" s="1104" t="s">
        <v>2572</v>
      </c>
    </row>
    <row r="90" spans="1:44" ht="15" customHeight="1" outlineLevel="1">
      <c r="A90" s="988" t="s">
        <v>762</v>
      </c>
      <c r="B90" s="1060"/>
      <c r="C90" s="1061" t="e">
        <f t="shared" ref="C90:P90" si="130">C89/B89-1</f>
        <v>#DIV/0!</v>
      </c>
      <c r="D90" s="1061" t="e">
        <f t="shared" si="130"/>
        <v>#DIV/0!</v>
      </c>
      <c r="E90" s="1061" t="e">
        <f t="shared" si="130"/>
        <v>#DIV/0!</v>
      </c>
      <c r="F90" s="1061">
        <f t="shared" si="130"/>
        <v>0.54166666666666674</v>
      </c>
      <c r="G90" s="1061">
        <f t="shared" si="130"/>
        <v>1.9459459459459461</v>
      </c>
      <c r="H90" s="1061">
        <f t="shared" si="130"/>
        <v>0</v>
      </c>
      <c r="I90" s="1061">
        <f t="shared" si="130"/>
        <v>0</v>
      </c>
      <c r="J90" s="1061">
        <f t="shared" si="130"/>
        <v>-0.32110091743119262</v>
      </c>
      <c r="K90" s="1062">
        <f t="shared" si="130"/>
        <v>14.472972972972972</v>
      </c>
      <c r="L90" s="1062">
        <f t="shared" si="130"/>
        <v>1.3650655021834064</v>
      </c>
      <c r="M90" s="1062">
        <f t="shared" si="130"/>
        <v>0.39143279172821277</v>
      </c>
      <c r="N90" s="1062">
        <f t="shared" si="130"/>
        <v>9.1029723991507216E-2</v>
      </c>
      <c r="O90" s="1062">
        <f t="shared" si="130"/>
        <v>3.5514473364145038E-2</v>
      </c>
      <c r="P90" s="1062">
        <f t="shared" si="130"/>
        <v>0.36410617805966661</v>
      </c>
      <c r="Q90" s="1062">
        <v>0.14000000000000001</v>
      </c>
      <c r="R90" s="1576">
        <v>0.14000000000000001</v>
      </c>
      <c r="S90" s="1576">
        <f>R90</f>
        <v>0.14000000000000001</v>
      </c>
      <c r="T90" s="1576">
        <f t="shared" ref="T90:T91" si="131">S90</f>
        <v>0.14000000000000001</v>
      </c>
      <c r="U90" s="1028" t="s">
        <v>2569</v>
      </c>
    </row>
    <row r="91" spans="1:44" s="1056" customFormat="1" ht="15" customHeight="1" outlineLevel="1">
      <c r="A91" s="1019" t="s">
        <v>766</v>
      </c>
      <c r="B91" s="1057"/>
      <c r="C91" s="1057"/>
      <c r="D91" s="1057"/>
      <c r="E91" s="1057"/>
      <c r="F91" s="1057"/>
      <c r="G91" s="1057"/>
      <c r="H91" s="1057"/>
      <c r="I91" s="1057"/>
      <c r="J91" s="1057"/>
      <c r="K91" s="1057">
        <v>464.3</v>
      </c>
      <c r="L91" s="1057">
        <v>573.9</v>
      </c>
      <c r="M91" s="1057">
        <v>538.6</v>
      </c>
      <c r="N91" s="1057">
        <v>548.20000000000005</v>
      </c>
      <c r="O91" s="1057">
        <v>560.9</v>
      </c>
      <c r="P91" s="1057">
        <v>461.1</v>
      </c>
      <c r="Q91" s="1057">
        <f>P91*(1+Q92)</f>
        <v>530.26499999999999</v>
      </c>
      <c r="R91" s="1577">
        <f>Q91*(1+R92)</f>
        <v>609.8047499999999</v>
      </c>
      <c r="S91" s="1577">
        <f t="shared" ref="S91:T91" si="132">R91*(1+S92)</f>
        <v>701.27546249999978</v>
      </c>
      <c r="T91" s="1577">
        <f t="shared" si="132"/>
        <v>806.4667818749997</v>
      </c>
      <c r="U91" s="1028" t="s">
        <v>2570</v>
      </c>
      <c r="AR91" s="1104" t="s">
        <v>2572</v>
      </c>
    </row>
    <row r="92" spans="1:44" ht="15" customHeight="1" outlineLevel="1">
      <c r="A92" s="988" t="s">
        <v>762</v>
      </c>
      <c r="B92" s="1060"/>
      <c r="C92" s="1061"/>
      <c r="D92" s="1061"/>
      <c r="E92" s="1061"/>
      <c r="F92" s="1061"/>
      <c r="G92" s="1061"/>
      <c r="H92" s="1061"/>
      <c r="I92" s="1061"/>
      <c r="J92" s="1061"/>
      <c r="K92" s="1062" t="e">
        <f t="shared" ref="K92:P92" si="133">K91/J91-1</f>
        <v>#DIV/0!</v>
      </c>
      <c r="L92" s="1062">
        <f t="shared" si="133"/>
        <v>0.23605427525306899</v>
      </c>
      <c r="M92" s="1062">
        <f t="shared" si="133"/>
        <v>-6.1508973688795932E-2</v>
      </c>
      <c r="N92" s="1062">
        <f t="shared" si="133"/>
        <v>1.7823988117341205E-2</v>
      </c>
      <c r="O92" s="1062">
        <f t="shared" si="133"/>
        <v>2.3166727471725546E-2</v>
      </c>
      <c r="P92" s="1062">
        <f t="shared" si="133"/>
        <v>-0.17792832947049375</v>
      </c>
      <c r="Q92" s="1062">
        <v>0.15</v>
      </c>
      <c r="R92" s="1576">
        <v>0.15</v>
      </c>
      <c r="S92" s="1576">
        <v>0.15</v>
      </c>
      <c r="T92" s="1576">
        <v>0.15</v>
      </c>
      <c r="U92" s="1028" t="s">
        <v>2569</v>
      </c>
    </row>
    <row r="93" spans="1:44" s="992" customFormat="1" ht="15" customHeight="1" outlineLevel="1">
      <c r="A93" s="1019" t="s">
        <v>348</v>
      </c>
      <c r="B93" s="1017">
        <v>220.59200000000001</v>
      </c>
      <c r="C93" s="1017">
        <v>533.952</v>
      </c>
      <c r="D93" s="1017">
        <v>799.55600000000004</v>
      </c>
      <c r="E93" s="1017">
        <v>1036.8</v>
      </c>
      <c r="F93" s="1017">
        <v>831.9</v>
      </c>
      <c r="G93" s="1017">
        <v>1016.8</v>
      </c>
      <c r="H93" s="1017">
        <v>1653.4</v>
      </c>
      <c r="I93" s="1017">
        <v>2592.9</v>
      </c>
      <c r="J93" s="1017">
        <v>3021.3</v>
      </c>
      <c r="K93" s="1017">
        <v>4435.3</v>
      </c>
      <c r="L93" s="1017">
        <v>5642.4</v>
      </c>
      <c r="M93" s="1017">
        <v>4167.5</v>
      </c>
      <c r="N93" s="1017">
        <v>3359.4</v>
      </c>
      <c r="O93" s="1017">
        <v>4094.2</v>
      </c>
      <c r="P93" s="1017">
        <v>3306.3</v>
      </c>
      <c r="Q93" s="1017">
        <f>Q94*Q102</f>
        <v>2870.7503645733227</v>
      </c>
      <c r="R93" s="1105">
        <f>R94*R75</f>
        <v>3320.3468461366306</v>
      </c>
      <c r="S93" s="1578">
        <f>S94*S75</f>
        <v>3931.3275707766984</v>
      </c>
      <c r="T93" s="1578">
        <f t="shared" ref="T93" si="134">T94*T75</f>
        <v>4683.9662941813076</v>
      </c>
      <c r="U93" s="1028" t="s">
        <v>2570</v>
      </c>
      <c r="AR93" s="1104" t="s">
        <v>2572</v>
      </c>
    </row>
    <row r="94" spans="1:44" ht="15" customHeight="1" outlineLevel="1">
      <c r="A94" s="1028" t="s">
        <v>770</v>
      </c>
      <c r="B94" s="1068">
        <f t="shared" ref="B94:P94" si="135">B93/B102</f>
        <v>0.13837107625990619</v>
      </c>
      <c r="C94" s="1068">
        <f t="shared" si="135"/>
        <v>0.15134273481065436</v>
      </c>
      <c r="D94" s="1068">
        <f t="shared" si="135"/>
        <v>0.14379665645383255</v>
      </c>
      <c r="E94" s="1068">
        <f t="shared" si="135"/>
        <v>0.14919026723447606</v>
      </c>
      <c r="F94" s="1068">
        <f t="shared" si="135"/>
        <v>9.2533063412789343E-2</v>
      </c>
      <c r="G94" s="1068">
        <f t="shared" si="135"/>
        <v>6.021948604966567E-2</v>
      </c>
      <c r="H94" s="1068">
        <f t="shared" si="135"/>
        <v>8.0739912394216268E-2</v>
      </c>
      <c r="I94" s="1068">
        <f t="shared" si="135"/>
        <v>9.8201030146947435E-2</v>
      </c>
      <c r="J94" s="1068">
        <f t="shared" si="135"/>
        <v>9.3082795718801417E-2</v>
      </c>
      <c r="K94" s="1068">
        <f t="shared" si="135"/>
        <v>9.7441643323996269E-2</v>
      </c>
      <c r="L94" s="1068">
        <f t="shared" si="135"/>
        <v>8.7490192551611209E-2</v>
      </c>
      <c r="M94" s="1068">
        <f t="shared" si="135"/>
        <v>6.403391377432098E-2</v>
      </c>
      <c r="N94" s="1068">
        <f t="shared" si="135"/>
        <v>4.2355379715714382E-2</v>
      </c>
      <c r="O94" s="1068">
        <f t="shared" si="135"/>
        <v>4.3507091075637432E-2</v>
      </c>
      <c r="P94" s="1068">
        <f t="shared" si="135"/>
        <v>3.3834424887433483E-2</v>
      </c>
      <c r="Q94" s="1068">
        <v>3.5000000000000003E-2</v>
      </c>
      <c r="R94" s="1579">
        <v>3.5000000000000003E-2</v>
      </c>
      <c r="S94" s="1579">
        <v>3.5000000000000003E-2</v>
      </c>
      <c r="T94" s="1579">
        <v>3.5000000000000003E-2</v>
      </c>
      <c r="U94" s="1028" t="s">
        <v>2569</v>
      </c>
    </row>
    <row r="95" spans="1:44" ht="15" customHeight="1" outlineLevel="1">
      <c r="A95" s="988" t="s">
        <v>762</v>
      </c>
      <c r="B95" s="1060"/>
      <c r="C95" s="1061">
        <f t="shared" ref="C95:O95" si="136">C93/B93-1</f>
        <v>1.4205410894320734</v>
      </c>
      <c r="D95" s="1061">
        <f t="shared" si="136"/>
        <v>0.49743048064245476</v>
      </c>
      <c r="E95" s="1061">
        <f t="shared" si="136"/>
        <v>0.29671967942207922</v>
      </c>
      <c r="F95" s="1061">
        <f t="shared" si="136"/>
        <v>-0.19762731481481477</v>
      </c>
      <c r="G95" s="1061">
        <f t="shared" si="136"/>
        <v>0.22226229114076212</v>
      </c>
      <c r="H95" s="1061">
        <f t="shared" si="136"/>
        <v>0.6260818253343825</v>
      </c>
      <c r="I95" s="1061">
        <f t="shared" si="136"/>
        <v>0.56822305552195473</v>
      </c>
      <c r="J95" s="1061">
        <f t="shared" si="136"/>
        <v>0.16522040958000694</v>
      </c>
      <c r="K95" s="1062">
        <f t="shared" si="136"/>
        <v>0.46801045907390848</v>
      </c>
      <c r="L95" s="1062">
        <f t="shared" si="136"/>
        <v>0.27215746398214313</v>
      </c>
      <c r="M95" s="1062">
        <f t="shared" si="136"/>
        <v>-0.26139585991776548</v>
      </c>
      <c r="N95" s="1062">
        <f t="shared" si="136"/>
        <v>-0.19390521895620871</v>
      </c>
      <c r="O95" s="1062">
        <f t="shared" si="136"/>
        <v>0.21872953503601833</v>
      </c>
      <c r="P95" s="1062">
        <f>P93/O93-1</f>
        <v>-0.19244296810121631</v>
      </c>
      <c r="Q95" s="1062">
        <f>Q93/P93-1</f>
        <v>-0.13173324726330871</v>
      </c>
      <c r="R95" s="1063">
        <f>R93/Q93-1</f>
        <v>0.15661287972356708</v>
      </c>
      <c r="S95" s="1063">
        <f t="shared" ref="S95:T95" si="137">S93/R93-1</f>
        <v>0.18401111478789356</v>
      </c>
      <c r="T95" s="1063">
        <f t="shared" si="137"/>
        <v>0.19144645411878325</v>
      </c>
      <c r="U95" s="1028"/>
    </row>
    <row r="96" spans="1:44" s="1071" customFormat="1" ht="15" hidden="1" customHeight="1" outlineLevel="1">
      <c r="A96" s="1054" t="s">
        <v>767</v>
      </c>
      <c r="B96" s="1069">
        <f t="shared" ref="B96:J96" si="138">B86+B93+B89+B91</f>
        <v>36220.452872999995</v>
      </c>
      <c r="C96" s="1069">
        <f t="shared" si="138"/>
        <v>42124.623291999997</v>
      </c>
      <c r="D96" s="1069">
        <f t="shared" si="138"/>
        <v>48351.152537000002</v>
      </c>
      <c r="E96" s="1069">
        <f t="shared" si="138"/>
        <v>58278.600000000006</v>
      </c>
      <c r="F96" s="1069">
        <f t="shared" si="138"/>
        <v>75529.399999999994</v>
      </c>
      <c r="G96" s="1069">
        <f t="shared" si="138"/>
        <v>93949.999999999985</v>
      </c>
      <c r="H96" s="1069">
        <f t="shared" si="138"/>
        <v>88297.199999999983</v>
      </c>
      <c r="I96" s="1069">
        <f t="shared" si="138"/>
        <v>86973.199999999983</v>
      </c>
      <c r="J96" s="1069">
        <f t="shared" si="138"/>
        <v>118113.7</v>
      </c>
      <c r="K96" s="1069">
        <f t="shared" ref="K96:P96" si="139">K86+K93+K89+K91</f>
        <v>163982.29999999999</v>
      </c>
      <c r="L96" s="1069">
        <f t="shared" si="139"/>
        <v>195289.8</v>
      </c>
      <c r="M96" s="1069">
        <f t="shared" si="139"/>
        <v>199972.49999999997</v>
      </c>
      <c r="N96" s="1069">
        <f t="shared" si="139"/>
        <v>201495.1</v>
      </c>
      <c r="O96" s="1069">
        <f t="shared" si="139"/>
        <v>216120.1</v>
      </c>
      <c r="P96" s="1069">
        <f t="shared" si="139"/>
        <v>226875.9</v>
      </c>
      <c r="Q96" s="1069">
        <f>Q86+Q93+Q89+Q91</f>
        <v>222576.35616829491</v>
      </c>
      <c r="R96" s="1070">
        <f>R86+R93+R89+R91</f>
        <v>262363.62891264673</v>
      </c>
      <c r="S96" s="1070">
        <f t="shared" ref="S96:T96" si="140">S86+S93+S89+S91</f>
        <v>303817.245014577</v>
      </c>
      <c r="T96" s="1070">
        <f t="shared" si="140"/>
        <v>352252.66332878638</v>
      </c>
    </row>
    <row r="97" spans="1:22" s="1076" customFormat="1" ht="15" hidden="1" customHeight="1" outlineLevel="1">
      <c r="A97" s="1072" t="s">
        <v>762</v>
      </c>
      <c r="B97" s="1073"/>
      <c r="C97" s="1073">
        <f t="shared" ref="C97:O97" si="141">C96/B96-1</f>
        <v>0.16300653224027406</v>
      </c>
      <c r="D97" s="1073">
        <f t="shared" si="141"/>
        <v>0.14781210509204734</v>
      </c>
      <c r="E97" s="1073">
        <f t="shared" si="141"/>
        <v>0.20531976885976344</v>
      </c>
      <c r="F97" s="1073">
        <f t="shared" si="141"/>
        <v>0.29600573795526985</v>
      </c>
      <c r="G97" s="1073">
        <f t="shared" si="141"/>
        <v>0.24388648658668011</v>
      </c>
      <c r="H97" s="1073">
        <f t="shared" si="141"/>
        <v>-6.0168174560936705E-2</v>
      </c>
      <c r="I97" s="1073">
        <f t="shared" si="141"/>
        <v>-1.4994812972551785E-2</v>
      </c>
      <c r="J97" s="1073">
        <f t="shared" si="141"/>
        <v>0.358047076570714</v>
      </c>
      <c r="K97" s="1074">
        <f t="shared" si="141"/>
        <v>0.38834275786805428</v>
      </c>
      <c r="L97" s="1074">
        <f t="shared" si="141"/>
        <v>0.19091999563367512</v>
      </c>
      <c r="M97" s="1074">
        <f t="shared" si="141"/>
        <v>2.3978210843577097E-2</v>
      </c>
      <c r="N97" s="1074">
        <f t="shared" si="141"/>
        <v>7.6140469314531778E-3</v>
      </c>
      <c r="O97" s="1074">
        <f t="shared" si="141"/>
        <v>7.258241019260514E-2</v>
      </c>
      <c r="P97" s="1074">
        <f>P96/O96-1</f>
        <v>4.9767698608319977E-2</v>
      </c>
      <c r="Q97" s="1074">
        <f>Q96/P96-1</f>
        <v>-1.8951082207079195E-2</v>
      </c>
      <c r="R97" s="1075">
        <f>R96/Q96-1</f>
        <v>0.17875785833364888</v>
      </c>
      <c r="S97" s="1075">
        <f t="shared" ref="S97:T97" si="142">S96/R96-1</f>
        <v>0.15800062026025774</v>
      </c>
      <c r="T97" s="1075">
        <f t="shared" si="142"/>
        <v>0.15942287381312226</v>
      </c>
    </row>
    <row r="98" spans="1:22" s="992" customFormat="1" ht="15" hidden="1" customHeight="1">
      <c r="A98" s="1019" t="s">
        <v>578</v>
      </c>
      <c r="B98" s="1017"/>
      <c r="C98" s="1017"/>
      <c r="D98" s="1017"/>
      <c r="E98" s="1017"/>
      <c r="F98" s="1017"/>
      <c r="G98" s="1017"/>
      <c r="H98" s="1017"/>
      <c r="I98" s="1017">
        <f t="shared" ref="I98:Q98" si="143">I96*10^6/I17</f>
        <v>39639.434339604057</v>
      </c>
      <c r="J98" s="1017">
        <f t="shared" si="143"/>
        <v>41388.944371441088</v>
      </c>
      <c r="K98" s="1017">
        <f t="shared" si="143"/>
        <v>42863.927888817787</v>
      </c>
      <c r="L98" s="1017">
        <f t="shared" si="143"/>
        <v>44898.614185806284</v>
      </c>
      <c r="M98" s="1017">
        <f t="shared" si="143"/>
        <v>47192.665062524713</v>
      </c>
      <c r="N98" s="1017">
        <f t="shared" si="143"/>
        <v>52065.096648347404</v>
      </c>
      <c r="O98" s="1017">
        <f t="shared" si="143"/>
        <v>56706.560477917592</v>
      </c>
      <c r="P98" s="1017">
        <f t="shared" si="143"/>
        <v>58269.212840313325</v>
      </c>
      <c r="Q98" s="1017">
        <f t="shared" si="143"/>
        <v>60715.817923842631</v>
      </c>
      <c r="R98" s="1077">
        <f>R96*10^6/R17</f>
        <v>64065.126880991033</v>
      </c>
      <c r="S98" s="1077">
        <f t="shared" ref="S98:T98" si="144">S96*10^6/S17</f>
        <v>65593.350286601417</v>
      </c>
      <c r="T98" s="1077">
        <f t="shared" si="144"/>
        <v>67634.195183188509</v>
      </c>
    </row>
    <row r="99" spans="1:22" s="992" customFormat="1" ht="15" hidden="1" customHeight="1">
      <c r="A99" s="1019"/>
      <c r="B99" s="1017"/>
      <c r="C99" s="1017"/>
      <c r="D99" s="1017"/>
      <c r="E99" s="1017"/>
      <c r="F99" s="1017"/>
      <c r="G99" s="1017"/>
      <c r="H99" s="1017"/>
      <c r="I99" s="1017"/>
      <c r="J99" s="1017"/>
      <c r="K99" s="1017"/>
      <c r="L99" s="1017"/>
      <c r="M99" s="1017"/>
      <c r="N99" s="1078">
        <f t="shared" ref="N99" si="145">(N98/M98-1)*100</f>
        <v>10.324552723113412</v>
      </c>
      <c r="O99" s="1078">
        <f t="shared" ref="O99" si="146">(O98/N98-1)*100</f>
        <v>8.9147319958302838</v>
      </c>
      <c r="P99" s="1078">
        <f t="shared" ref="P99" si="147">(P98/O98-1)*100</f>
        <v>2.7556817927693711</v>
      </c>
      <c r="Q99" s="1078">
        <f>(Q98/P98-1)*100</f>
        <v>4.1987954946881123</v>
      </c>
      <c r="R99" s="1079">
        <f t="shared" ref="R99" si="148">(R98/Q98-1)*100</f>
        <v>5.5163696573264032</v>
      </c>
      <c r="S99" s="1079">
        <f t="shared" ref="S99" si="149">(S98/R98-1)*100</f>
        <v>2.3854216482693369</v>
      </c>
      <c r="T99" s="1079">
        <f t="shared" ref="T99" si="150">(T98/S98-1)*100</f>
        <v>3.111359440659589</v>
      </c>
    </row>
    <row r="100" spans="1:22" s="1082" customFormat="1" ht="15" hidden="1" customHeight="1">
      <c r="A100" s="1080" t="s">
        <v>769</v>
      </c>
      <c r="B100" s="1081">
        <f t="shared" ref="B100:K100" si="151">B79</f>
        <v>39063.01</v>
      </c>
      <c r="C100" s="1081">
        <f t="shared" si="151"/>
        <v>45120.472999999998</v>
      </c>
      <c r="D100" s="1081">
        <f t="shared" si="151"/>
        <v>51545.19</v>
      </c>
      <c r="E100" s="1081">
        <f t="shared" si="151"/>
        <v>62032.800000000003</v>
      </c>
      <c r="F100" s="1081">
        <f t="shared" si="151"/>
        <v>81238.600000000006</v>
      </c>
      <c r="G100" s="1081">
        <f t="shared" si="151"/>
        <v>100976.5</v>
      </c>
      <c r="H100" s="1081">
        <f t="shared" si="151"/>
        <v>91108.1</v>
      </c>
      <c r="I100" s="1081">
        <f t="shared" si="151"/>
        <v>83168.7</v>
      </c>
      <c r="J100" s="1081">
        <f t="shared" si="151"/>
        <v>112801.8</v>
      </c>
      <c r="K100" s="1081">
        <f t="shared" si="151"/>
        <v>156833.20000000001</v>
      </c>
      <c r="L100" s="1081">
        <f>L79</f>
        <v>184271.6</v>
      </c>
      <c r="M100" s="1081">
        <f>M79</f>
        <v>189237.4</v>
      </c>
      <c r="N100" s="1081">
        <f>N79</f>
        <v>188005.3</v>
      </c>
      <c r="O100" s="1081">
        <f>O79</f>
        <v>197276.4</v>
      </c>
      <c r="P100" s="1081">
        <f>P101+P102</f>
        <v>210243.28008293657</v>
      </c>
      <c r="Q100" s="1081">
        <f>Q101+Q102</f>
        <v>201931.83342332969</v>
      </c>
      <c r="R100" s="1081">
        <f>R101+R102</f>
        <v>233542.08780072827</v>
      </c>
      <c r="S100" s="1081">
        <f t="shared" ref="S100:T100" si="152">S101+S102</f>
        <v>273086.36922413961</v>
      </c>
      <c r="T100" s="1081">
        <f t="shared" si="152"/>
        <v>316635.40296814963</v>
      </c>
    </row>
    <row r="101" spans="1:22" s="992" customFormat="1" ht="15" hidden="1" customHeight="1">
      <c r="A101" s="996" t="s">
        <v>744</v>
      </c>
      <c r="B101" s="1083">
        <f t="shared" ref="B101:O101" si="153">B100-B102</f>
        <v>37468.804000000004</v>
      </c>
      <c r="C101" s="1083">
        <f t="shared" si="153"/>
        <v>41592.375</v>
      </c>
      <c r="D101" s="1083">
        <f t="shared" si="153"/>
        <v>45984.866000000002</v>
      </c>
      <c r="E101" s="1083">
        <f t="shared" si="153"/>
        <v>55083.285000000003</v>
      </c>
      <c r="F101" s="1083">
        <f t="shared" si="153"/>
        <v>72248.3</v>
      </c>
      <c r="G101" s="1083">
        <f t="shared" si="153"/>
        <v>84091.6</v>
      </c>
      <c r="H101" s="1083">
        <f t="shared" si="153"/>
        <v>70630</v>
      </c>
      <c r="I101" s="1083">
        <f t="shared" si="153"/>
        <v>56764.7</v>
      </c>
      <c r="J101" s="1083">
        <f t="shared" si="153"/>
        <v>80343.600000000006</v>
      </c>
      <c r="K101" s="1083">
        <f t="shared" si="153"/>
        <v>111315.70000000001</v>
      </c>
      <c r="L101" s="1083">
        <f t="shared" si="153"/>
        <v>119779.8</v>
      </c>
      <c r="M101" s="1083">
        <f t="shared" si="153"/>
        <v>124154.7</v>
      </c>
      <c r="N101" s="1083">
        <f t="shared" si="153"/>
        <v>108690.69999999998</v>
      </c>
      <c r="O101" s="1083">
        <f t="shared" si="153"/>
        <v>103172.2</v>
      </c>
      <c r="P101" s="1083">
        <f>+SUM(P70:P74)</f>
        <v>112523.28008293657</v>
      </c>
      <c r="Q101" s="1083">
        <f>+SUM(Q70:Q74)</f>
        <v>119910.39443552047</v>
      </c>
      <c r="R101" s="1084">
        <f>+SUM(R70:R74)</f>
        <v>138675.03505396741</v>
      </c>
      <c r="S101" s="1084">
        <f t="shared" ref="S101:T101" si="154">+SUM(S70:S74)</f>
        <v>160762.72434480538</v>
      </c>
      <c r="T101" s="1084">
        <f t="shared" si="154"/>
        <v>182807.79456296944</v>
      </c>
      <c r="U101" s="1083">
        <f>((Q101+Q81+Q83+Q89+Q91+Q93)*10^6)/Q12</f>
        <v>73562.063899433895</v>
      </c>
      <c r="V101" s="1085"/>
    </row>
    <row r="102" spans="1:22" s="992" customFormat="1" ht="15" hidden="1" customHeight="1">
      <c r="A102" s="996" t="s">
        <v>587</v>
      </c>
      <c r="B102" s="1083">
        <v>1594.2059999999999</v>
      </c>
      <c r="C102" s="1083">
        <v>3528.098</v>
      </c>
      <c r="D102" s="1083">
        <v>5560.3239999999996</v>
      </c>
      <c r="E102" s="1083">
        <v>6949.5150000000003</v>
      </c>
      <c r="F102" s="1083">
        <v>8990.2999999999993</v>
      </c>
      <c r="G102" s="1083">
        <v>16884.900000000001</v>
      </c>
      <c r="H102" s="1083">
        <f>20458+20.1</f>
        <v>20478.099999999999</v>
      </c>
      <c r="I102" s="1083">
        <f>26384+20</f>
        <v>26404</v>
      </c>
      <c r="J102" s="1083">
        <f>32457.5+0.7</f>
        <v>32458.2</v>
      </c>
      <c r="K102" s="1086">
        <v>45517.5</v>
      </c>
      <c r="L102" s="1086">
        <v>64491.8</v>
      </c>
      <c r="M102" s="1086">
        <v>65082.7</v>
      </c>
      <c r="N102" s="1086">
        <v>79314.600000000006</v>
      </c>
      <c r="O102" s="1086">
        <v>94104.2</v>
      </c>
      <c r="P102" s="1086">
        <v>97720</v>
      </c>
      <c r="Q102" s="1086">
        <f>+Q55*Q1*Q16/10^6</f>
        <v>82021.438987809219</v>
      </c>
      <c r="R102" s="1084">
        <f>+R55*R1*R16/10^6</f>
        <v>94867.052746760863</v>
      </c>
      <c r="S102" s="1084">
        <f>+S55*S1*S16/10^6</f>
        <v>112323.64487933423</v>
      </c>
      <c r="T102" s="1084">
        <f>+T55*T1*T16/10^6</f>
        <v>133827.60840518022</v>
      </c>
      <c r="U102" s="1083">
        <f>(Q102*10^6)/Q16</f>
        <v>58116.290760443648</v>
      </c>
    </row>
    <row r="103" spans="1:22" s="992" customFormat="1" ht="15" hidden="1" customHeight="1">
      <c r="A103" s="996"/>
      <c r="B103" s="1045"/>
      <c r="C103" s="1045"/>
      <c r="D103" s="1045"/>
      <c r="E103" s="1045"/>
      <c r="F103" s="1045"/>
      <c r="G103" s="1045"/>
      <c r="H103" s="1045"/>
      <c r="I103" s="1045"/>
      <c r="J103" s="1045"/>
      <c r="K103" s="1087">
        <f t="shared" ref="K103:Q103" si="155">K102/K100*100</f>
        <v>29.022872708074566</v>
      </c>
      <c r="L103" s="1087">
        <f t="shared" si="155"/>
        <v>34.998230872255952</v>
      </c>
      <c r="M103" s="1087">
        <f t="shared" si="155"/>
        <v>34.392091626708037</v>
      </c>
      <c r="N103" s="1087">
        <f t="shared" si="155"/>
        <v>42.18742769485754</v>
      </c>
      <c r="O103" s="1087">
        <f t="shared" si="155"/>
        <v>47.7017017747688</v>
      </c>
      <c r="P103" s="1087">
        <f t="shared" si="155"/>
        <v>46.479487934858845</v>
      </c>
      <c r="Q103" s="1087">
        <f t="shared" si="155"/>
        <v>40.618379775644172</v>
      </c>
      <c r="R103" s="1088">
        <f>R102/R100*100</f>
        <v>40.620966284975133</v>
      </c>
      <c r="S103" s="1088">
        <f t="shared" ref="S103:T103" si="156">S102/S100*100</f>
        <v>41.131179559951953</v>
      </c>
      <c r="T103" s="1088">
        <f t="shared" si="156"/>
        <v>42.265522790779634</v>
      </c>
    </row>
    <row r="104" spans="1:22" s="1082" customFormat="1" ht="15" hidden="1" customHeight="1">
      <c r="A104" s="1080" t="s">
        <v>587</v>
      </c>
      <c r="B104" s="1081"/>
      <c r="C104" s="1081"/>
      <c r="D104" s="1081"/>
      <c r="E104" s="1081"/>
      <c r="F104" s="1081"/>
      <c r="G104" s="1081"/>
      <c r="H104" s="1081"/>
      <c r="I104" s="1081"/>
      <c r="J104" s="1081"/>
      <c r="K104" s="1089"/>
      <c r="L104" s="1089"/>
      <c r="M104" s="1089"/>
      <c r="N104" s="1089"/>
      <c r="O104" s="1089"/>
      <c r="P104" s="1089"/>
      <c r="Q104" s="1089"/>
      <c r="R104" s="1089"/>
      <c r="S104" s="1089"/>
      <c r="T104" s="1089"/>
    </row>
    <row r="105" spans="1:22" s="992" customFormat="1" ht="15" hidden="1" customHeight="1">
      <c r="A105" s="1019" t="s">
        <v>979</v>
      </c>
      <c r="B105" s="1045"/>
      <c r="C105" s="1090"/>
      <c r="D105" s="1090"/>
      <c r="E105" s="1086">
        <f t="shared" ref="E105:P105" si="157">+E102/E1</f>
        <v>154.88110095832405</v>
      </c>
      <c r="F105" s="1086">
        <f t="shared" si="157"/>
        <v>203.35444469577016</v>
      </c>
      <c r="G105" s="1086">
        <f t="shared" si="157"/>
        <v>374.72037283621842</v>
      </c>
      <c r="H105" s="1086">
        <f t="shared" si="157"/>
        <v>511.95249999999999</v>
      </c>
      <c r="I105" s="1086">
        <f t="shared" si="157"/>
        <v>644</v>
      </c>
      <c r="J105" s="1086">
        <f t="shared" si="157"/>
        <v>682.00420235381102</v>
      </c>
      <c r="K105" s="1086">
        <f t="shared" si="157"/>
        <v>974.6</v>
      </c>
      <c r="L105" s="1086">
        <f t="shared" si="157"/>
        <v>1369</v>
      </c>
      <c r="M105" s="1086">
        <f t="shared" si="157"/>
        <v>1309</v>
      </c>
      <c r="N105" s="1086">
        <f t="shared" si="157"/>
        <v>1330</v>
      </c>
      <c r="O105" s="1086">
        <f t="shared" si="157"/>
        <v>1524</v>
      </c>
      <c r="P105" s="1086">
        <f t="shared" si="157"/>
        <v>1487.3668188736681</v>
      </c>
      <c r="Q105" s="1086">
        <f>+Q55*Q16/10^6</f>
        <v>1218.7435213641788</v>
      </c>
      <c r="R105" s="1084">
        <f>+R55*R16/10^6</f>
        <v>1405.4378184705315</v>
      </c>
      <c r="S105" s="1084">
        <f>+S55*S16/10^6</f>
        <v>1664.0539982123589</v>
      </c>
      <c r="T105" s="1084">
        <f>+T55*T16/10^6</f>
        <v>1982.6312356322996</v>
      </c>
    </row>
    <row r="106" spans="1:22" s="992" customFormat="1" ht="15" hidden="1" customHeight="1"/>
    <row r="107" spans="1:22" s="1056" customFormat="1" ht="15" hidden="1" customHeight="1"/>
    <row r="108" spans="1:22" s="1095" customFormat="1" ht="15" hidden="1" customHeight="1">
      <c r="A108" s="1094"/>
      <c r="K108" s="1096"/>
      <c r="L108" s="1096"/>
      <c r="M108" s="1096"/>
      <c r="N108" s="1096"/>
      <c r="O108" s="1096"/>
      <c r="P108" s="1096"/>
      <c r="Q108" s="1096"/>
      <c r="R108" s="1096"/>
      <c r="S108" s="1096"/>
      <c r="T108" s="1096"/>
    </row>
    <row r="109" spans="1:22" ht="15" hidden="1" customHeight="1"/>
    <row r="110" spans="1:22" ht="15" hidden="1" customHeight="1"/>
    <row r="111" spans="1:22" ht="15" hidden="1" customHeight="1"/>
    <row r="112" spans="1:22" ht="15" hidden="1" customHeight="1"/>
    <row r="113" ht="15" hidden="1" customHeight="1"/>
  </sheetData>
  <sheetProtection algorithmName="SHA-512" hashValue="Pz1qXMbBHaPCmvAIUVG3h2Y2qprn+ArvjFhjO2PIR6Lx9/ovNCyDzid5AZSQn4OZOkf6351NGtZsgN1SVQxDKQ==" saltValue="w/1xT4XbhN2GYcZW70r8Dw==" spinCount="100000" sheet="1" objects="1" scenarios="1"/>
  <phoneticPr fontId="63" type="noConversion"/>
  <pageMargins left="0.75" right="0.75" top="1" bottom="1" header="0.5" footer="0.5"/>
  <pageSetup orientation="portrait" r:id="rId1"/>
  <headerFooter alignWithMargins="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Y192"/>
  <sheetViews>
    <sheetView showGridLines="0" zoomScale="85" workbookViewId="0">
      <pane xSplit="2" ySplit="7" topLeftCell="P76" activePane="bottomRight" state="frozen"/>
      <selection activeCell="V96" sqref="V96"/>
      <selection pane="topRight" activeCell="V96" sqref="V96"/>
      <selection pane="bottomLeft" activeCell="V96" sqref="V96"/>
      <selection pane="bottomRight" activeCell="R185" sqref="R185:T185"/>
    </sheetView>
  </sheetViews>
  <sheetFormatPr defaultColWidth="9.25" defaultRowHeight="13.5" outlineLevelRow="1"/>
  <cols>
    <col min="1" max="1" width="6.25" style="1373" customWidth="1"/>
    <col min="2" max="2" width="35" style="1374" bestFit="1" customWidth="1"/>
    <col min="3" max="3" width="10.625" style="1374" hidden="1" customWidth="1"/>
    <col min="4" max="5" width="11.25" style="1374" hidden="1" customWidth="1"/>
    <col min="6" max="6" width="0" style="1374" hidden="1" customWidth="1"/>
    <col min="7" max="7" width="10.125" style="1374" hidden="1" customWidth="1"/>
    <col min="8" max="10" width="0" style="1374" hidden="1" customWidth="1"/>
    <col min="11" max="13" width="10.125" style="1374" hidden="1" customWidth="1"/>
    <col min="14" max="15" width="11.25" style="1374" hidden="1" customWidth="1"/>
    <col min="16" max="16" width="10.125" style="1374" bestFit="1" customWidth="1"/>
    <col min="17" max="17" width="10.875" style="1374" bestFit="1" customWidth="1"/>
    <col min="18" max="18" width="10.125" style="1374" bestFit="1" customWidth="1"/>
    <col min="19" max="20" width="10.125" style="1385" bestFit="1" customWidth="1"/>
    <col min="21" max="21" width="9.25" style="1385"/>
    <col min="22" max="22" width="26.625" style="1385" bestFit="1" customWidth="1"/>
    <col min="23" max="16384" width="9.25" style="1385"/>
  </cols>
  <sheetData>
    <row r="1" spans="1:23">
      <c r="A1" s="1688" t="s">
        <v>537</v>
      </c>
      <c r="B1" s="1689"/>
      <c r="C1" s="1335"/>
      <c r="D1" s="1335"/>
      <c r="E1" s="1335"/>
      <c r="F1" s="1335"/>
      <c r="G1" s="1335"/>
      <c r="H1" s="1335"/>
      <c r="I1" s="1335"/>
      <c r="J1" s="1335"/>
      <c r="K1" s="1335"/>
      <c r="L1" s="1335"/>
      <c r="M1" s="1335"/>
      <c r="N1" s="1335"/>
      <c r="O1" s="1335"/>
      <c r="P1" s="1335"/>
      <c r="Q1" s="1335"/>
      <c r="R1" s="1335"/>
    </row>
    <row r="2" spans="1:23" ht="18">
      <c r="A2" s="1707" t="s">
        <v>559</v>
      </c>
      <c r="B2" s="1708"/>
      <c r="C2" s="1708"/>
      <c r="D2" s="1708"/>
      <c r="E2" s="1708"/>
      <c r="F2" s="1708"/>
      <c r="G2" s="1708"/>
      <c r="H2" s="1708"/>
      <c r="I2" s="1708"/>
      <c r="J2" s="1708"/>
      <c r="K2" s="1708"/>
      <c r="L2" s="1335"/>
      <c r="M2" s="1335"/>
      <c r="N2" s="1335"/>
      <c r="O2" s="1335"/>
      <c r="P2" s="1335"/>
      <c r="Q2" s="1335"/>
      <c r="R2" s="1335"/>
    </row>
    <row r="3" spans="1:23" ht="7.5" customHeight="1">
      <c r="A3" s="1336"/>
      <c r="B3" s="1335"/>
      <c r="C3" s="1335"/>
      <c r="D3" s="1335"/>
      <c r="E3" s="1335"/>
      <c r="F3" s="1335"/>
      <c r="G3" s="1335"/>
      <c r="H3" s="1335"/>
      <c r="I3" s="1335"/>
      <c r="J3" s="1335"/>
      <c r="K3" s="1335"/>
      <c r="L3" s="1335"/>
      <c r="M3" s="1335"/>
      <c r="N3" s="1335"/>
      <c r="O3" s="1335"/>
      <c r="P3" s="1335"/>
      <c r="Q3" s="1335"/>
      <c r="R3" s="1335"/>
    </row>
    <row r="4" spans="1:23" s="1417" customFormat="1" ht="18">
      <c r="A4" s="1709" t="s">
        <v>694</v>
      </c>
      <c r="B4" s="1710"/>
      <c r="C4" s="1710"/>
      <c r="D4" s="1710"/>
      <c r="E4" s="1710"/>
      <c r="F4" s="1710"/>
      <c r="G4" s="1710"/>
      <c r="H4" s="1710"/>
      <c r="I4" s="1710"/>
      <c r="J4" s="1710"/>
      <c r="K4" s="1710"/>
      <c r="L4" s="1337"/>
      <c r="M4" s="1337"/>
      <c r="N4" s="1337"/>
      <c r="O4" s="1337"/>
      <c r="P4" s="1337"/>
      <c r="Q4" s="1337"/>
      <c r="R4" s="1337"/>
    </row>
    <row r="5" spans="1:23" s="1424" customFormat="1" ht="12.75">
      <c r="A5" s="1338"/>
      <c r="B5" s="1339" t="s">
        <v>674</v>
      </c>
      <c r="C5" s="1340"/>
      <c r="D5" s="1340"/>
      <c r="E5" s="1340"/>
      <c r="F5" s="1340"/>
      <c r="G5" s="1340"/>
      <c r="H5" s="1340"/>
      <c r="I5" s="1339"/>
      <c r="J5" s="1339"/>
      <c r="K5" s="1339"/>
      <c r="L5" s="1339"/>
      <c r="M5" s="1339"/>
      <c r="N5" s="1339"/>
      <c r="O5" s="1339"/>
      <c r="P5" s="1339"/>
      <c r="Q5" s="1339"/>
      <c r="R5" s="1339"/>
    </row>
    <row r="6" spans="1:23" ht="14.25" thickBot="1">
      <c r="A6" s="1336"/>
      <c r="B6" s="1335"/>
      <c r="C6" s="1341"/>
      <c r="D6" s="1341"/>
      <c r="E6" s="1341"/>
      <c r="F6" s="1341"/>
      <c r="G6" s="1341"/>
      <c r="H6" s="1341"/>
      <c r="I6" s="1341"/>
      <c r="J6" s="1341"/>
      <c r="K6" s="1341"/>
      <c r="L6" s="1341"/>
      <c r="M6" s="1341"/>
      <c r="N6" s="1341"/>
      <c r="O6" s="1341"/>
      <c r="P6" s="1341"/>
      <c r="Q6" s="1341"/>
      <c r="R6" s="1341"/>
    </row>
    <row r="7" spans="1:23" s="1584" customFormat="1" thickBot="1">
      <c r="A7" s="1581"/>
      <c r="B7" s="1582"/>
      <c r="C7" s="1428" t="s">
        <v>672</v>
      </c>
      <c r="D7" s="1429" t="s">
        <v>673</v>
      </c>
      <c r="E7" s="1429" t="s">
        <v>671</v>
      </c>
      <c r="F7" s="1429" t="s">
        <v>670</v>
      </c>
      <c r="G7" s="1429" t="s">
        <v>669</v>
      </c>
      <c r="H7" s="1345" t="s">
        <v>668</v>
      </c>
      <c r="I7" s="1346" t="s">
        <v>314</v>
      </c>
      <c r="J7" s="1347" t="s">
        <v>612</v>
      </c>
      <c r="K7" s="1583" t="s">
        <v>690</v>
      </c>
      <c r="L7" s="1583" t="s">
        <v>395</v>
      </c>
      <c r="M7" s="1583" t="s">
        <v>279</v>
      </c>
      <c r="N7" s="1583" t="s">
        <v>1419</v>
      </c>
      <c r="O7" s="1583" t="s">
        <v>1857</v>
      </c>
      <c r="P7" s="1350" t="s">
        <v>1858</v>
      </c>
      <c r="Q7" s="1350" t="s">
        <v>1633</v>
      </c>
      <c r="R7" s="1350" t="s">
        <v>1634</v>
      </c>
      <c r="S7" s="1350" t="s">
        <v>1635</v>
      </c>
      <c r="T7" s="1350" t="s">
        <v>1636</v>
      </c>
    </row>
    <row r="8" spans="1:23">
      <c r="A8" s="1336"/>
      <c r="B8" s="1335"/>
      <c r="C8" s="1437"/>
      <c r="D8" s="1437"/>
      <c r="E8" s="1437"/>
      <c r="F8" s="1437"/>
      <c r="G8" s="1437"/>
      <c r="H8" s="1353"/>
      <c r="I8" s="1354"/>
      <c r="J8" s="1352"/>
      <c r="K8" s="1352"/>
      <c r="L8" s="1352"/>
      <c r="M8" s="1352"/>
      <c r="N8" s="1352"/>
      <c r="O8" s="1352"/>
      <c r="P8" s="1352"/>
      <c r="Q8" s="1352"/>
      <c r="R8" s="1352"/>
      <c r="S8" s="1352"/>
      <c r="T8" s="1352"/>
    </row>
    <row r="9" spans="1:23" s="1453" customFormat="1" ht="15.75" outlineLevel="1">
      <c r="A9" s="1448" t="s">
        <v>678</v>
      </c>
      <c r="B9" s="1585" t="s">
        <v>695</v>
      </c>
      <c r="C9" s="1450">
        <f t="shared" ref="C9:H9" si="0">+C43</f>
        <v>2079.81</v>
      </c>
      <c r="D9" s="1450">
        <f t="shared" si="0"/>
        <v>2025.605</v>
      </c>
      <c r="E9" s="1450">
        <f t="shared" si="0"/>
        <v>2241.7299999999996</v>
      </c>
      <c r="F9" s="1450">
        <f t="shared" si="0"/>
        <v>2729.2999999999997</v>
      </c>
      <c r="G9" s="1450">
        <f t="shared" si="0"/>
        <v>3097</v>
      </c>
      <c r="H9" s="1451">
        <f t="shared" si="0"/>
        <v>3661.3</v>
      </c>
      <c r="I9" s="1452">
        <f t="shared" ref="I9:O9" si="1">+I43</f>
        <v>3717.6</v>
      </c>
      <c r="J9" s="1451">
        <f t="shared" si="1"/>
        <v>4462.1000000000004</v>
      </c>
      <c r="K9" s="1451">
        <f t="shared" si="1"/>
        <v>5472.7999999999993</v>
      </c>
      <c r="L9" s="1451">
        <f t="shared" si="1"/>
        <v>6785.3</v>
      </c>
      <c r="M9" s="1451">
        <f t="shared" si="1"/>
        <v>6362.8</v>
      </c>
      <c r="N9" s="1451">
        <f t="shared" si="1"/>
        <v>6397.2</v>
      </c>
      <c r="O9" s="1451">
        <f t="shared" si="1"/>
        <v>8141.5</v>
      </c>
      <c r="P9" s="1451">
        <f>+P43</f>
        <v>7190.7</v>
      </c>
      <c r="Q9" s="1451">
        <f>+Q43</f>
        <v>6811.2479452054804</v>
      </c>
      <c r="R9" s="1451">
        <f>+R43</f>
        <v>7832.0934263895824</v>
      </c>
      <c r="S9" s="1451">
        <f t="shared" ref="S9:T9" si="2">+S43</f>
        <v>9096.2050781350608</v>
      </c>
      <c r="T9" s="1451">
        <f t="shared" si="2"/>
        <v>10669.87793359743</v>
      </c>
      <c r="U9" s="1447" t="s">
        <v>2611</v>
      </c>
    </row>
    <row r="10" spans="1:23" s="1453" customFormat="1" ht="15.75" outlineLevel="1">
      <c r="A10" s="1448" t="s">
        <v>678</v>
      </c>
      <c r="B10" s="1585" t="s">
        <v>696</v>
      </c>
      <c r="C10" s="1450">
        <f t="shared" ref="C10:H10" si="3">+C51</f>
        <v>1670.3989999999999</v>
      </c>
      <c r="D10" s="1450">
        <f t="shared" si="3"/>
        <v>1339.4799999999998</v>
      </c>
      <c r="E10" s="1450">
        <f t="shared" si="3"/>
        <v>1763.451</v>
      </c>
      <c r="F10" s="1450">
        <f t="shared" si="3"/>
        <v>3015.5</v>
      </c>
      <c r="G10" s="1450">
        <f t="shared" si="3"/>
        <v>5298.2999999999993</v>
      </c>
      <c r="H10" s="1451">
        <f t="shared" si="3"/>
        <v>2528.5</v>
      </c>
      <c r="I10" s="1452">
        <f t="shared" ref="I10:O10" si="4">+I51</f>
        <v>2809.4</v>
      </c>
      <c r="J10" s="1451">
        <f t="shared" si="4"/>
        <v>2728.4</v>
      </c>
      <c r="K10" s="1451">
        <f t="shared" si="4"/>
        <v>3627.6</v>
      </c>
      <c r="L10" s="1451">
        <f t="shared" si="4"/>
        <v>4227.8999999999996</v>
      </c>
      <c r="M10" s="1451">
        <f t="shared" si="4"/>
        <v>7675.8</v>
      </c>
      <c r="N10" s="1451">
        <f t="shared" si="4"/>
        <v>7962.1</v>
      </c>
      <c r="O10" s="1451">
        <f t="shared" si="4"/>
        <v>7169.6</v>
      </c>
      <c r="P10" s="1451">
        <f>+P51</f>
        <v>7179.3</v>
      </c>
      <c r="Q10" s="1451">
        <f>+Q51</f>
        <v>6559.8213698630143</v>
      </c>
      <c r="R10" s="1451">
        <f>+R51</f>
        <v>7188.0446277437441</v>
      </c>
      <c r="S10" s="1451">
        <f t="shared" ref="S10:T10" si="5">+S51</f>
        <v>8323.7601373856705</v>
      </c>
      <c r="T10" s="1451">
        <f t="shared" si="5"/>
        <v>9650.7578994188043</v>
      </c>
      <c r="U10" s="1447" t="s">
        <v>2612</v>
      </c>
    </row>
    <row r="11" spans="1:23" s="1453" customFormat="1" ht="15.75" outlineLevel="1">
      <c r="A11" s="1448" t="s">
        <v>678</v>
      </c>
      <c r="B11" s="1585" t="s">
        <v>697</v>
      </c>
      <c r="C11" s="1450">
        <f t="shared" ref="C11:H11" si="6">+C61</f>
        <v>16906.384000000002</v>
      </c>
      <c r="D11" s="1450">
        <f t="shared" si="6"/>
        <v>15916.822</v>
      </c>
      <c r="E11" s="1450">
        <f t="shared" si="6"/>
        <v>20120.097000000002</v>
      </c>
      <c r="F11" s="1450">
        <f t="shared" si="6"/>
        <v>21274.000000000004</v>
      </c>
      <c r="G11" s="1450">
        <f t="shared" si="6"/>
        <v>28594</v>
      </c>
      <c r="H11" s="1451">
        <f t="shared" si="6"/>
        <v>8978.7999999999993</v>
      </c>
      <c r="I11" s="1452">
        <f t="shared" ref="I11:O11" si="7">+I61</f>
        <v>13809</v>
      </c>
      <c r="J11" s="1451">
        <f t="shared" si="7"/>
        <v>20745.2</v>
      </c>
      <c r="K11" s="1451">
        <f t="shared" si="7"/>
        <v>11896.4</v>
      </c>
      <c r="L11" s="1451">
        <f t="shared" si="7"/>
        <v>16227.1</v>
      </c>
      <c r="M11" s="1451">
        <f t="shared" si="7"/>
        <v>17741.099999999999</v>
      </c>
      <c r="N11" s="1451">
        <f t="shared" si="7"/>
        <v>16983.7</v>
      </c>
      <c r="O11" s="1451">
        <f t="shared" si="7"/>
        <v>17726.8</v>
      </c>
      <c r="P11" s="1451">
        <f>+P61</f>
        <v>15536.9</v>
      </c>
      <c r="Q11" s="1451">
        <f>+Q61</f>
        <v>14148.342000000002</v>
      </c>
      <c r="R11" s="1451">
        <f>+R61</f>
        <v>15217.090476933507</v>
      </c>
      <c r="S11" s="1451">
        <f t="shared" ref="S11:T11" si="8">+S61</f>
        <v>17621.400210845466</v>
      </c>
      <c r="T11" s="1451">
        <f t="shared" si="8"/>
        <v>20430.654473069611</v>
      </c>
      <c r="U11" s="1447" t="s">
        <v>2613</v>
      </c>
    </row>
    <row r="12" spans="1:23" s="1453" customFormat="1" ht="15.75" outlineLevel="1">
      <c r="A12" s="1448" t="s">
        <v>678</v>
      </c>
      <c r="B12" s="1585" t="s">
        <v>698</v>
      </c>
      <c r="C12" s="1450">
        <f t="shared" ref="C12:H12" si="9">+C70</f>
        <v>594.44700000000012</v>
      </c>
      <c r="D12" s="1450">
        <f t="shared" si="9"/>
        <v>454.83</v>
      </c>
      <c r="E12" s="1450">
        <f t="shared" si="9"/>
        <v>685.30899999999997</v>
      </c>
      <c r="F12" s="1450">
        <f t="shared" si="9"/>
        <v>721.3</v>
      </c>
      <c r="G12" s="1450">
        <f t="shared" si="9"/>
        <v>362.20000000000005</v>
      </c>
      <c r="H12" s="1451">
        <f t="shared" si="9"/>
        <v>799.5</v>
      </c>
      <c r="I12" s="1452">
        <f t="shared" ref="I12:O12" si="10">+I70</f>
        <v>1256.8</v>
      </c>
      <c r="J12" s="1451">
        <f t="shared" si="10"/>
        <v>1059.7</v>
      </c>
      <c r="K12" s="1451">
        <f t="shared" si="10"/>
        <v>2164.1999999999998</v>
      </c>
      <c r="L12" s="1451">
        <f t="shared" si="10"/>
        <v>2970.2</v>
      </c>
      <c r="M12" s="1451">
        <f t="shared" si="10"/>
        <v>2133.6999999999998</v>
      </c>
      <c r="N12" s="1451">
        <f t="shared" si="10"/>
        <v>4180.8999999999996</v>
      </c>
      <c r="O12" s="1451">
        <f t="shared" si="10"/>
        <v>3468.4</v>
      </c>
      <c r="P12" s="1451">
        <f>+P70</f>
        <v>2319.6</v>
      </c>
      <c r="Q12" s="1451">
        <f>+Q70</f>
        <v>2551.56</v>
      </c>
      <c r="R12" s="1451">
        <f>+R70</f>
        <v>2806.7160000000003</v>
      </c>
      <c r="S12" s="1451">
        <f t="shared" ref="S12:T12" si="11">+S70</f>
        <v>3087.3876000000005</v>
      </c>
      <c r="T12" s="1451">
        <f t="shared" si="11"/>
        <v>3396.1263600000007</v>
      </c>
      <c r="U12" s="1447" t="s">
        <v>2614</v>
      </c>
    </row>
    <row r="13" spans="1:23" s="1453" customFormat="1" ht="15.75" outlineLevel="1">
      <c r="A13" s="1448" t="s">
        <v>678</v>
      </c>
      <c r="B13" s="1585" t="s">
        <v>716</v>
      </c>
      <c r="C13" s="1450">
        <f t="shared" ref="C13:I13" si="12">+C81</f>
        <v>300.25200000000001</v>
      </c>
      <c r="D13" s="1450">
        <f t="shared" si="12"/>
        <v>793.70399999999995</v>
      </c>
      <c r="E13" s="1450">
        <f t="shared" si="12"/>
        <v>1086.8060000000003</v>
      </c>
      <c r="F13" s="1450">
        <f t="shared" si="12"/>
        <v>819.9</v>
      </c>
      <c r="G13" s="1450">
        <f t="shared" si="12"/>
        <v>834.7</v>
      </c>
      <c r="H13" s="1451">
        <f t="shared" si="12"/>
        <v>712.4000000000002</v>
      </c>
      <c r="I13" s="1451">
        <f t="shared" si="12"/>
        <v>1426.4</v>
      </c>
      <c r="J13" s="1451">
        <f t="shared" ref="J13:O13" si="13">+J81</f>
        <v>1014.1</v>
      </c>
      <c r="K13" s="1451">
        <f t="shared" si="13"/>
        <v>5564.9</v>
      </c>
      <c r="L13" s="1451">
        <f t="shared" si="13"/>
        <v>16538.3</v>
      </c>
      <c r="M13" s="1586">
        <f t="shared" si="13"/>
        <v>5588.5</v>
      </c>
      <c r="N13" s="1451">
        <f t="shared" si="13"/>
        <v>4862.8</v>
      </c>
      <c r="O13" s="1451">
        <f t="shared" si="13"/>
        <v>5750.7</v>
      </c>
      <c r="P13" s="1451">
        <f>+P81</f>
        <v>8595.2000000000007</v>
      </c>
      <c r="Q13" s="1451">
        <f>+Q81</f>
        <v>5567.4985222216674</v>
      </c>
      <c r="R13" s="1451">
        <f>+R81</f>
        <v>5362</v>
      </c>
      <c r="S13" s="1451">
        <f t="shared" ref="S13:T13" si="14">+S81</f>
        <v>10610</v>
      </c>
      <c r="T13" s="1451">
        <f t="shared" si="14"/>
        <v>33834</v>
      </c>
      <c r="U13" s="1447" t="s">
        <v>2616</v>
      </c>
    </row>
    <row r="14" spans="1:23" s="1474" customFormat="1">
      <c r="A14" s="1469" t="s">
        <v>678</v>
      </c>
      <c r="B14" s="1470" t="s">
        <v>699</v>
      </c>
      <c r="C14" s="1471">
        <f t="shared" ref="C14:H14" si="15">+SUM(C9:C13)</f>
        <v>21551.292000000001</v>
      </c>
      <c r="D14" s="1471">
        <f t="shared" si="15"/>
        <v>20530.441000000003</v>
      </c>
      <c r="E14" s="1471">
        <f t="shared" si="15"/>
        <v>25897.393000000004</v>
      </c>
      <c r="F14" s="1471">
        <f t="shared" si="15"/>
        <v>28560.000000000004</v>
      </c>
      <c r="G14" s="1471">
        <f t="shared" si="15"/>
        <v>38186.199999999997</v>
      </c>
      <c r="H14" s="1470">
        <f t="shared" si="15"/>
        <v>16680.5</v>
      </c>
      <c r="I14" s="1470">
        <f t="shared" ref="I14:O14" si="16">+SUM(I9:I13)</f>
        <v>23019.200000000001</v>
      </c>
      <c r="J14" s="1470">
        <f t="shared" si="16"/>
        <v>30009.5</v>
      </c>
      <c r="K14" s="1470">
        <f t="shared" si="16"/>
        <v>28725.9</v>
      </c>
      <c r="L14" s="1470">
        <f t="shared" si="16"/>
        <v>46748.800000000003</v>
      </c>
      <c r="M14" s="1470">
        <f t="shared" si="16"/>
        <v>39501.899999999994</v>
      </c>
      <c r="N14" s="1470">
        <f t="shared" si="16"/>
        <v>40386.700000000004</v>
      </c>
      <c r="O14" s="1470">
        <f t="shared" si="16"/>
        <v>42257</v>
      </c>
      <c r="P14" s="1470">
        <f>+SUM(P9:P13)</f>
        <v>40821.699999999997</v>
      </c>
      <c r="Q14" s="1470">
        <f>+SUM(Q9:Q13)</f>
        <v>35638.469837290162</v>
      </c>
      <c r="R14" s="1470">
        <f>+SUM(R9:R13)</f>
        <v>38405.944531066838</v>
      </c>
      <c r="S14" s="1470">
        <f t="shared" ref="S14:T14" si="17">+SUM(S9:S13)</f>
        <v>48738.753026366197</v>
      </c>
      <c r="T14" s="1470">
        <f t="shared" si="17"/>
        <v>77981.416666085846</v>
      </c>
      <c r="U14" s="1453"/>
      <c r="V14" s="1453"/>
      <c r="W14" s="1453"/>
    </row>
    <row r="15" spans="1:23" s="1453" customFormat="1" ht="15.75">
      <c r="A15" s="1448" t="s">
        <v>678</v>
      </c>
      <c r="B15" s="1449" t="s">
        <v>725</v>
      </c>
      <c r="C15" s="1450">
        <f t="shared" ref="C15:H15" si="18">+C90</f>
        <v>12807.304599999999</v>
      </c>
      <c r="D15" s="1450">
        <f t="shared" si="18"/>
        <v>12145.77</v>
      </c>
      <c r="E15" s="1450">
        <f t="shared" si="18"/>
        <v>11233.272999999999</v>
      </c>
      <c r="F15" s="1450">
        <f t="shared" si="18"/>
        <v>11383.399999999998</v>
      </c>
      <c r="G15" s="1450">
        <f t="shared" si="18"/>
        <v>12789.000000000002</v>
      </c>
      <c r="H15" s="1451">
        <f t="shared" si="18"/>
        <v>12974.999999999998</v>
      </c>
      <c r="I15" s="1452">
        <f t="shared" ref="I15:O15" si="19">+I90</f>
        <v>15521.799999999997</v>
      </c>
      <c r="J15" s="1451">
        <f t="shared" si="19"/>
        <v>15211.100000000002</v>
      </c>
      <c r="K15" s="1451">
        <f t="shared" si="19"/>
        <v>15482.900000000003</v>
      </c>
      <c r="L15" s="1451">
        <f t="shared" si="19"/>
        <v>15212.399999999998</v>
      </c>
      <c r="M15" s="1451">
        <f t="shared" si="19"/>
        <v>20979.8</v>
      </c>
      <c r="N15" s="1451">
        <f t="shared" si="19"/>
        <v>21501</v>
      </c>
      <c r="O15" s="1451">
        <f t="shared" si="19"/>
        <v>21721.8</v>
      </c>
      <c r="P15" s="1451">
        <f>+P90</f>
        <v>20779.100000000002</v>
      </c>
      <c r="Q15" s="1451">
        <f>+Q90</f>
        <v>20706.2</v>
      </c>
      <c r="R15" s="1451">
        <f>+R90</f>
        <v>21331.927500000002</v>
      </c>
      <c r="S15" s="1451">
        <f t="shared" ref="S15:T15" si="20">+S90</f>
        <v>21681.654999999999</v>
      </c>
      <c r="T15" s="1451">
        <f t="shared" si="20"/>
        <v>21698.479999999996</v>
      </c>
      <c r="U15" s="1447" t="s">
        <v>2590</v>
      </c>
    </row>
    <row r="16" spans="1:23" s="1453" customFormat="1">
      <c r="A16" s="1448" t="s">
        <v>678</v>
      </c>
      <c r="B16" s="1449" t="s">
        <v>728</v>
      </c>
      <c r="C16" s="1450">
        <f t="shared" ref="C16:H16" si="21">+C100</f>
        <v>106.818</v>
      </c>
      <c r="D16" s="1450">
        <f t="shared" si="21"/>
        <v>76.733000000000004</v>
      </c>
      <c r="E16" s="1450">
        <f t="shared" si="21"/>
        <v>40.555</v>
      </c>
      <c r="F16" s="1450">
        <f t="shared" si="21"/>
        <v>13.400000000000002</v>
      </c>
      <c r="G16" s="1450">
        <f t="shared" si="21"/>
        <v>41.3</v>
      </c>
      <c r="H16" s="1451">
        <f t="shared" si="21"/>
        <v>105.29999999999998</v>
      </c>
      <c r="I16" s="1452">
        <f t="shared" ref="I16:O16" si="22">+I100</f>
        <v>162.6</v>
      </c>
      <c r="J16" s="1451">
        <f t="shared" si="22"/>
        <v>0</v>
      </c>
      <c r="K16" s="1451">
        <f t="shared" si="22"/>
        <v>42.800000000000004</v>
      </c>
      <c r="L16" s="1451">
        <f t="shared" si="22"/>
        <v>21.4</v>
      </c>
      <c r="M16" s="1451">
        <f t="shared" si="22"/>
        <v>0</v>
      </c>
      <c r="N16" s="1451">
        <f t="shared" si="22"/>
        <v>0</v>
      </c>
      <c r="O16" s="1451">
        <f t="shared" si="22"/>
        <v>0</v>
      </c>
      <c r="P16" s="1451">
        <f>+P100</f>
        <v>0</v>
      </c>
      <c r="Q16" s="1451">
        <f>+Q100</f>
        <v>0</v>
      </c>
      <c r="R16" s="1451">
        <f>+R100</f>
        <v>0</v>
      </c>
      <c r="S16" s="1451">
        <f t="shared" ref="S16:T16" si="23">+S100</f>
        <v>0</v>
      </c>
      <c r="T16" s="1451">
        <f t="shared" si="23"/>
        <v>0</v>
      </c>
    </row>
    <row r="17" spans="1:25" s="1453" customFormat="1" ht="15.75">
      <c r="A17" s="1448" t="s">
        <v>678</v>
      </c>
      <c r="B17" s="1449" t="s">
        <v>60</v>
      </c>
      <c r="C17" s="1450">
        <f t="shared" ref="C17:H17" si="24">+C114</f>
        <v>27298.938000000002</v>
      </c>
      <c r="D17" s="1450">
        <f t="shared" si="24"/>
        <v>38554.399999999994</v>
      </c>
      <c r="E17" s="1450">
        <f t="shared" si="24"/>
        <v>45605.754000000001</v>
      </c>
      <c r="F17" s="1450">
        <f t="shared" si="24"/>
        <v>58570.100000000006</v>
      </c>
      <c r="G17" s="1450">
        <f t="shared" si="24"/>
        <v>64474.9</v>
      </c>
      <c r="H17" s="1451">
        <f t="shared" si="24"/>
        <v>15632.6</v>
      </c>
      <c r="I17" s="1452">
        <f t="shared" ref="I17:O17" si="25">+I114</f>
        <v>14231.9</v>
      </c>
      <c r="J17" s="1451">
        <f t="shared" si="25"/>
        <v>40215.199999999997</v>
      </c>
      <c r="K17" s="1451">
        <f t="shared" si="25"/>
        <v>47952</v>
      </c>
      <c r="L17" s="1451">
        <f t="shared" si="25"/>
        <v>48828.399999999994</v>
      </c>
      <c r="M17" s="1451">
        <f t="shared" si="25"/>
        <v>64304.899999999994</v>
      </c>
      <c r="N17" s="1451">
        <f t="shared" si="25"/>
        <v>85588.3</v>
      </c>
      <c r="O17" s="1451">
        <f t="shared" si="25"/>
        <v>91644</v>
      </c>
      <c r="P17" s="1451">
        <f>+P114</f>
        <v>95126.6</v>
      </c>
      <c r="Q17" s="1451">
        <f>+Q114</f>
        <v>135126.59999999998</v>
      </c>
      <c r="R17" s="1451">
        <f>+R114</f>
        <v>155126.59999999998</v>
      </c>
      <c r="S17" s="1451">
        <f t="shared" ref="S17:T17" si="26">+S114</f>
        <v>170126.59999999998</v>
      </c>
      <c r="T17" s="1451">
        <f t="shared" si="26"/>
        <v>170126.59999999998</v>
      </c>
      <c r="U17" s="1447" t="s">
        <v>2617</v>
      </c>
    </row>
    <row r="18" spans="1:25" s="1453" customFormat="1" ht="15.75">
      <c r="A18" s="1448" t="s">
        <v>678</v>
      </c>
      <c r="B18" s="1449" t="s">
        <v>730</v>
      </c>
      <c r="C18" s="1450">
        <f>+C122</f>
        <v>-1724.1079999999997</v>
      </c>
      <c r="D18" s="1450">
        <f t="shared" ref="D18:M18" si="27">+D122</f>
        <v>-1228.2359999999999</v>
      </c>
      <c r="E18" s="1450">
        <f t="shared" si="27"/>
        <v>-1398.9650000000001</v>
      </c>
      <c r="F18" s="1450">
        <f t="shared" si="27"/>
        <v>-875.8</v>
      </c>
      <c r="G18" s="1450">
        <f t="shared" si="27"/>
        <v>-741.7</v>
      </c>
      <c r="H18" s="1451">
        <f t="shared" si="27"/>
        <v>-109.80000000000018</v>
      </c>
      <c r="I18" s="1452">
        <f t="shared" si="27"/>
        <v>221.69999999999982</v>
      </c>
      <c r="J18" s="1452">
        <f t="shared" si="27"/>
        <v>-16.899999999999864</v>
      </c>
      <c r="K18" s="1451">
        <f t="shared" si="27"/>
        <v>-297.09999999999991</v>
      </c>
      <c r="L18" s="1451">
        <f t="shared" si="27"/>
        <v>-484.40000000000009</v>
      </c>
      <c r="M18" s="1451">
        <f t="shared" si="27"/>
        <v>-1151</v>
      </c>
      <c r="N18" s="1451">
        <f>+N122</f>
        <v>-1431.8</v>
      </c>
      <c r="O18" s="1451">
        <f>+O122</f>
        <v>-1415.8</v>
      </c>
      <c r="P18" s="1451">
        <f>+P122</f>
        <v>-1882.5</v>
      </c>
      <c r="Q18" s="1451">
        <f>+Q122</f>
        <v>-1882.5</v>
      </c>
      <c r="R18" s="1451">
        <f>+R122</f>
        <v>-1882.5</v>
      </c>
      <c r="S18" s="1451">
        <f t="shared" ref="S18:T18" si="28">+S122</f>
        <v>-1882.5</v>
      </c>
      <c r="T18" s="1451">
        <f t="shared" si="28"/>
        <v>-1882.5</v>
      </c>
      <c r="U18" s="1447" t="s">
        <v>2619</v>
      </c>
    </row>
    <row r="19" spans="1:25" s="1453" customFormat="1">
      <c r="A19" s="1448" t="s">
        <v>678</v>
      </c>
      <c r="B19" s="1449" t="s">
        <v>153</v>
      </c>
      <c r="C19" s="1450">
        <f>+C131</f>
        <v>0</v>
      </c>
      <c r="D19" s="1450">
        <f t="shared" ref="D19:M19" si="29">+D131</f>
        <v>0</v>
      </c>
      <c r="E19" s="1450">
        <f t="shared" si="29"/>
        <v>0</v>
      </c>
      <c r="F19" s="1450">
        <f t="shared" si="29"/>
        <v>0</v>
      </c>
      <c r="G19" s="1450">
        <f t="shared" si="29"/>
        <v>0</v>
      </c>
      <c r="H19" s="1451">
        <f t="shared" si="29"/>
        <v>0</v>
      </c>
      <c r="I19" s="1452">
        <f t="shared" si="29"/>
        <v>1833</v>
      </c>
      <c r="J19" s="1451">
        <f t="shared" si="29"/>
        <v>0</v>
      </c>
      <c r="K19" s="1451">
        <f t="shared" si="29"/>
        <v>0</v>
      </c>
      <c r="L19" s="1451">
        <f t="shared" si="29"/>
        <v>0</v>
      </c>
      <c r="M19" s="1451">
        <f t="shared" si="29"/>
        <v>0</v>
      </c>
      <c r="N19" s="1451">
        <f>+N131</f>
        <v>0</v>
      </c>
      <c r="O19" s="1451">
        <f>+O131</f>
        <v>0</v>
      </c>
      <c r="P19" s="1451">
        <f>+P131</f>
        <v>0</v>
      </c>
      <c r="Q19" s="1451">
        <f>+Q131</f>
        <v>0</v>
      </c>
      <c r="R19" s="1451">
        <f>+R131</f>
        <v>0</v>
      </c>
      <c r="S19" s="1451">
        <f t="shared" ref="S19:T19" si="30">+S131</f>
        <v>0</v>
      </c>
      <c r="T19" s="1451">
        <f t="shared" si="30"/>
        <v>0</v>
      </c>
    </row>
    <row r="20" spans="1:25" s="1453" customFormat="1">
      <c r="A20" s="1448" t="s">
        <v>678</v>
      </c>
      <c r="B20" s="1451" t="s">
        <v>731</v>
      </c>
      <c r="C20" s="1450">
        <v>175</v>
      </c>
      <c r="D20" s="1450">
        <v>175</v>
      </c>
      <c r="E20" s="1450">
        <v>175</v>
      </c>
      <c r="F20" s="1450">
        <v>175</v>
      </c>
      <c r="G20" s="1450">
        <v>175</v>
      </c>
      <c r="H20" s="1451">
        <f>3117.2+140.9</f>
        <v>3258.1</v>
      </c>
      <c r="I20" s="1452">
        <v>3672.3</v>
      </c>
      <c r="J20" s="1452"/>
      <c r="K20" s="1452">
        <f>J20</f>
        <v>0</v>
      </c>
      <c r="L20" s="1452">
        <f>K20</f>
        <v>0</v>
      </c>
      <c r="M20" s="1452">
        <f>L20</f>
        <v>0</v>
      </c>
      <c r="N20" s="1452">
        <f>M20</f>
        <v>0</v>
      </c>
      <c r="O20" s="1452">
        <v>0.4</v>
      </c>
      <c r="P20" s="1452"/>
      <c r="Q20" s="1452">
        <f>P20</f>
        <v>0</v>
      </c>
      <c r="R20" s="1452">
        <f>Q20</f>
        <v>0</v>
      </c>
      <c r="S20" s="1452">
        <f t="shared" ref="S20:T20" si="31">R20</f>
        <v>0</v>
      </c>
      <c r="T20" s="1452">
        <f t="shared" si="31"/>
        <v>0</v>
      </c>
    </row>
    <row r="21" spans="1:25" s="1457" customFormat="1">
      <c r="A21" s="1368"/>
      <c r="B21" s="1369" t="s">
        <v>732</v>
      </c>
      <c r="C21" s="1455">
        <f t="shared" ref="C21:H21" si="32">+SUM(C14:C20)</f>
        <v>60215.244600000005</v>
      </c>
      <c r="D21" s="1455">
        <f t="shared" si="32"/>
        <v>70254.107999999993</v>
      </c>
      <c r="E21" s="1455">
        <f t="shared" si="32"/>
        <v>81553.010000000009</v>
      </c>
      <c r="F21" s="1455">
        <f t="shared" si="32"/>
        <v>97826.1</v>
      </c>
      <c r="G21" s="1455">
        <f t="shared" si="32"/>
        <v>114924.7</v>
      </c>
      <c r="H21" s="1369">
        <f t="shared" si="32"/>
        <v>48541.7</v>
      </c>
      <c r="I21" s="1370">
        <f t="shared" ref="I21:O21" si="33">+SUM(I14:I20)</f>
        <v>58662.5</v>
      </c>
      <c r="J21" s="1369">
        <f t="shared" si="33"/>
        <v>85418.900000000009</v>
      </c>
      <c r="K21" s="1369">
        <f t="shared" si="33"/>
        <v>91906.5</v>
      </c>
      <c r="L21" s="1369">
        <f t="shared" si="33"/>
        <v>110326.6</v>
      </c>
      <c r="M21" s="1369">
        <f t="shared" si="33"/>
        <v>123635.59999999999</v>
      </c>
      <c r="N21" s="1369">
        <f t="shared" si="33"/>
        <v>146044.20000000001</v>
      </c>
      <c r="O21" s="1369">
        <f t="shared" si="33"/>
        <v>154207.4</v>
      </c>
      <c r="P21" s="1369">
        <f>+SUM(P14:P20)</f>
        <v>154844.90000000002</v>
      </c>
      <c r="Q21" s="1369">
        <f>+SUM(Q14:Q20)</f>
        <v>189588.76983729014</v>
      </c>
      <c r="R21" s="1369">
        <f>+SUM(R14:R20)</f>
        <v>212981.97203106683</v>
      </c>
      <c r="S21" s="1369">
        <f t="shared" ref="S21:T21" si="34">+SUM(S14:S20)</f>
        <v>238664.50802636618</v>
      </c>
      <c r="T21" s="1369">
        <f t="shared" si="34"/>
        <v>267923.99666608579</v>
      </c>
      <c r="U21" s="1453"/>
      <c r="V21" s="1453"/>
      <c r="W21" s="1453"/>
    </row>
    <row r="22" spans="1:25">
      <c r="A22" s="1336"/>
      <c r="B22" s="1335"/>
      <c r="C22" s="1454"/>
      <c r="D22" s="1454"/>
      <c r="E22" s="1454"/>
      <c r="F22" s="1454"/>
      <c r="G22" s="1454"/>
      <c r="H22" s="1335"/>
      <c r="I22" s="1358"/>
      <c r="J22" s="1335"/>
      <c r="K22" s="1335"/>
      <c r="L22" s="1335"/>
      <c r="M22" s="1335"/>
      <c r="N22" s="1335"/>
      <c r="O22" s="1335"/>
      <c r="P22" s="1335"/>
      <c r="Q22" s="1335"/>
      <c r="R22" s="1335"/>
      <c r="S22" s="1335"/>
      <c r="T22" s="1335"/>
      <c r="U22" s="1453"/>
      <c r="V22" s="1453"/>
      <c r="W22" s="1453"/>
    </row>
    <row r="23" spans="1:25" s="1453" customFormat="1" ht="15.75">
      <c r="A23" s="1448" t="s">
        <v>678</v>
      </c>
      <c r="B23" s="1449" t="s">
        <v>69</v>
      </c>
      <c r="C23" s="1450">
        <f t="shared" ref="C23:H23" si="35">+C140</f>
        <v>4549.0340000000006</v>
      </c>
      <c r="D23" s="1450">
        <f t="shared" si="35"/>
        <v>6725.9619999999995</v>
      </c>
      <c r="E23" s="1450">
        <f t="shared" si="35"/>
        <v>7850.7017999999998</v>
      </c>
      <c r="F23" s="1450">
        <f t="shared" si="35"/>
        <v>12288.7</v>
      </c>
      <c r="G23" s="1450">
        <f t="shared" si="35"/>
        <v>14989.7</v>
      </c>
      <c r="H23" s="1451">
        <f t="shared" si="35"/>
        <v>10496.999999999998</v>
      </c>
      <c r="I23" s="1452">
        <f t="shared" ref="I23:O23" si="36">+I140</f>
        <v>12339.5</v>
      </c>
      <c r="J23" s="1451">
        <f t="shared" si="36"/>
        <v>20262.5</v>
      </c>
      <c r="K23" s="1451">
        <f t="shared" si="36"/>
        <v>24266.5</v>
      </c>
      <c r="L23" s="1451">
        <f t="shared" si="36"/>
        <v>27191.9</v>
      </c>
      <c r="M23" s="1451">
        <f t="shared" si="36"/>
        <v>26478.299999999996</v>
      </c>
      <c r="N23" s="1451">
        <f t="shared" si="36"/>
        <v>29649.7</v>
      </c>
      <c r="O23" s="1451">
        <f t="shared" si="36"/>
        <v>26247.520000000004</v>
      </c>
      <c r="P23" s="1451">
        <f>+P140</f>
        <v>26613.5</v>
      </c>
      <c r="Q23" s="1451">
        <f>+Q140</f>
        <v>24823.069837290142</v>
      </c>
      <c r="R23" s="1451">
        <f>+R140</f>
        <v>19341.127542303315</v>
      </c>
      <c r="S23" s="1451">
        <f t="shared" ref="S23:T23" si="37">+S140</f>
        <v>19705.25074592459</v>
      </c>
      <c r="T23" s="1451">
        <f t="shared" si="37"/>
        <v>19990.001579155585</v>
      </c>
      <c r="U23" s="1447" t="s">
        <v>2620</v>
      </c>
    </row>
    <row r="24" spans="1:25" s="1453" customFormat="1" ht="15.75">
      <c r="A24" s="1448" t="s">
        <v>678</v>
      </c>
      <c r="B24" s="1449" t="s">
        <v>70</v>
      </c>
      <c r="C24" s="1450">
        <f t="shared" ref="C24:H24" si="38">+C149</f>
        <v>14857.838699999998</v>
      </c>
      <c r="D24" s="1450">
        <f t="shared" si="38"/>
        <v>16534.689999999999</v>
      </c>
      <c r="E24" s="1450">
        <f t="shared" si="38"/>
        <v>20088.960999999999</v>
      </c>
      <c r="F24" s="1450">
        <f t="shared" si="38"/>
        <v>23158.9</v>
      </c>
      <c r="G24" s="1450">
        <f t="shared" si="38"/>
        <v>28337.9</v>
      </c>
      <c r="H24" s="1451">
        <f t="shared" si="38"/>
        <v>8341.2999999999993</v>
      </c>
      <c r="I24" s="1452">
        <f t="shared" ref="I24:O24" si="39">+I149</f>
        <v>12241.5</v>
      </c>
      <c r="J24" s="1451">
        <f t="shared" si="39"/>
        <v>22487.200000000001</v>
      </c>
      <c r="K24" s="1451">
        <f t="shared" si="39"/>
        <v>15286.3</v>
      </c>
      <c r="L24" s="1451">
        <f t="shared" si="39"/>
        <v>21748.9</v>
      </c>
      <c r="M24" s="1451">
        <f t="shared" si="39"/>
        <v>17424.7</v>
      </c>
      <c r="N24" s="1451">
        <f t="shared" si="39"/>
        <v>19736.900000000001</v>
      </c>
      <c r="O24" s="1451">
        <f t="shared" si="39"/>
        <v>19920.100000000002</v>
      </c>
      <c r="P24" s="1451">
        <f>+P149</f>
        <v>3690.2</v>
      </c>
      <c r="Q24" s="1451">
        <f>+Q149</f>
        <v>23955.261871000006</v>
      </c>
      <c r="R24" s="1451">
        <f>+R149</f>
        <v>27340.856005000005</v>
      </c>
      <c r="S24" s="1451">
        <f t="shared" ref="S24:T24" si="40">+S149</f>
        <v>27340.856005000005</v>
      </c>
      <c r="T24" s="1451">
        <f t="shared" si="40"/>
        <v>27340.856005000005</v>
      </c>
      <c r="U24" s="1447" t="s">
        <v>2622</v>
      </c>
    </row>
    <row r="25" spans="1:25" s="1453" customFormat="1" ht="15.75">
      <c r="A25" s="1448" t="s">
        <v>678</v>
      </c>
      <c r="B25" s="1449" t="s">
        <v>72</v>
      </c>
      <c r="C25" s="1450">
        <f t="shared" ref="C25:H25" si="41">+C159</f>
        <v>7863.1460000000006</v>
      </c>
      <c r="D25" s="1450">
        <f t="shared" si="41"/>
        <v>10057.24</v>
      </c>
      <c r="E25" s="1450">
        <f t="shared" si="41"/>
        <v>12269.925000000001</v>
      </c>
      <c r="F25" s="1450">
        <f t="shared" si="41"/>
        <v>14671.300000000001</v>
      </c>
      <c r="G25" s="1450">
        <f t="shared" si="41"/>
        <v>16029.699999999999</v>
      </c>
      <c r="H25" s="1451">
        <f t="shared" si="41"/>
        <v>13273.4</v>
      </c>
      <c r="I25" s="1452">
        <f t="shared" ref="I25:O25" si="42">+I159</f>
        <v>13214.7</v>
      </c>
      <c r="J25" s="1451">
        <f t="shared" si="42"/>
        <v>13255.8</v>
      </c>
      <c r="K25" s="1451">
        <f t="shared" si="42"/>
        <v>1673.1</v>
      </c>
      <c r="L25" s="1451">
        <f t="shared" si="42"/>
        <v>974.8</v>
      </c>
      <c r="M25" s="1451">
        <f t="shared" si="42"/>
        <v>712.7</v>
      </c>
      <c r="N25" s="1451">
        <f t="shared" si="42"/>
        <v>577.4</v>
      </c>
      <c r="O25" s="1451">
        <f t="shared" si="42"/>
        <v>1118.28</v>
      </c>
      <c r="P25" s="1451">
        <f>+P159</f>
        <v>1624.8</v>
      </c>
      <c r="Q25" s="1451">
        <f>+Q159</f>
        <v>1624.8</v>
      </c>
      <c r="R25" s="1451">
        <f>+R159</f>
        <v>1624.8</v>
      </c>
      <c r="S25" s="1451">
        <f t="shared" ref="S25:T25" si="43">+S159</f>
        <v>1624.8</v>
      </c>
      <c r="T25" s="1451">
        <f t="shared" si="43"/>
        <v>1624.8</v>
      </c>
      <c r="U25" s="1447" t="s">
        <v>2592</v>
      </c>
      <c r="Y25" s="1587">
        <f>T25/(T25+R29)</f>
        <v>1.0192902798751839E-2</v>
      </c>
    </row>
    <row r="26" spans="1:25" s="1453" customFormat="1">
      <c r="A26" s="1448" t="s">
        <v>678</v>
      </c>
      <c r="B26" s="1449" t="s">
        <v>71</v>
      </c>
      <c r="C26" s="1450">
        <f t="shared" ref="C26:H26" si="44">+C168</f>
        <v>539.17700000000002</v>
      </c>
      <c r="D26" s="1450">
        <f t="shared" si="44"/>
        <v>0</v>
      </c>
      <c r="E26" s="1450">
        <f t="shared" si="44"/>
        <v>0</v>
      </c>
      <c r="F26" s="1450">
        <f t="shared" si="44"/>
        <v>0.2</v>
      </c>
      <c r="G26" s="1450">
        <f>+G168</f>
        <v>224.6</v>
      </c>
      <c r="H26" s="1451">
        <f t="shared" si="44"/>
        <v>190.4</v>
      </c>
      <c r="I26" s="1452">
        <f t="shared" ref="I26:O26" si="45">+I168</f>
        <v>2738.9</v>
      </c>
      <c r="J26" s="1451">
        <f t="shared" si="45"/>
        <v>129.80000000000001</v>
      </c>
      <c r="K26" s="1451">
        <f t="shared" si="45"/>
        <v>1578.3999999999999</v>
      </c>
      <c r="L26" s="1451">
        <f t="shared" si="45"/>
        <v>0</v>
      </c>
      <c r="M26" s="1451">
        <f t="shared" si="45"/>
        <v>0</v>
      </c>
      <c r="N26" s="1451">
        <f t="shared" si="45"/>
        <v>0</v>
      </c>
      <c r="O26" s="1451">
        <f t="shared" si="45"/>
        <v>0</v>
      </c>
      <c r="P26" s="1451">
        <f>+P168</f>
        <v>0</v>
      </c>
      <c r="Q26" s="1451">
        <f>+Q168</f>
        <v>0</v>
      </c>
      <c r="R26" s="1451">
        <f>+R168</f>
        <v>0</v>
      </c>
      <c r="S26" s="1451">
        <f t="shared" ref="S26:T26" si="46">+S168</f>
        <v>0</v>
      </c>
      <c r="T26" s="1451">
        <f t="shared" si="46"/>
        <v>0</v>
      </c>
    </row>
    <row r="27" spans="1:25" s="1453" customFormat="1">
      <c r="A27" s="1448" t="s">
        <v>678</v>
      </c>
      <c r="B27" s="1451" t="s">
        <v>93</v>
      </c>
      <c r="C27" s="1450"/>
      <c r="D27" s="1450"/>
      <c r="E27" s="1450"/>
      <c r="F27" s="1450"/>
      <c r="G27" s="1450"/>
      <c r="H27" s="1451"/>
      <c r="I27" s="1452"/>
      <c r="J27" s="1451"/>
      <c r="K27" s="1451"/>
      <c r="L27" s="1451"/>
      <c r="M27" s="1451"/>
      <c r="N27" s="1451"/>
      <c r="O27" s="1451"/>
      <c r="P27" s="1451"/>
      <c r="Q27" s="1451"/>
      <c r="R27" s="1451"/>
      <c r="S27" s="1451"/>
      <c r="T27" s="1451"/>
    </row>
    <row r="28" spans="1:25" s="1453" customFormat="1">
      <c r="A28" s="1448" t="s">
        <v>678</v>
      </c>
      <c r="B28" s="1451" t="s">
        <v>92</v>
      </c>
      <c r="C28" s="1450"/>
      <c r="D28" s="1450"/>
      <c r="E28" s="1450"/>
      <c r="F28" s="1450"/>
      <c r="G28" s="1450"/>
      <c r="H28" s="1451">
        <v>4.2</v>
      </c>
      <c r="I28" s="1451"/>
      <c r="J28" s="1451"/>
      <c r="K28" s="1451"/>
      <c r="L28" s="1451"/>
      <c r="M28" s="1451"/>
      <c r="N28" s="1451"/>
      <c r="O28" s="1451"/>
      <c r="P28" s="1451"/>
      <c r="Q28" s="1451"/>
      <c r="R28" s="1451"/>
      <c r="S28" s="1451"/>
      <c r="T28" s="1451"/>
    </row>
    <row r="29" spans="1:25" s="1453" customFormat="1" ht="15.75">
      <c r="A29" s="1448" t="s">
        <v>678</v>
      </c>
      <c r="B29" s="1449" t="s">
        <v>94</v>
      </c>
      <c r="C29" s="1450">
        <f>+C188</f>
        <v>32406.056464000001</v>
      </c>
      <c r="D29" s="1450">
        <f t="shared" ref="D29:M29" si="47">+D188</f>
        <v>36936.255099999995</v>
      </c>
      <c r="E29" s="1450">
        <f t="shared" si="47"/>
        <v>41343.495099999993</v>
      </c>
      <c r="F29" s="1450">
        <f t="shared" si="47"/>
        <v>47707.335099999997</v>
      </c>
      <c r="G29" s="1450">
        <f t="shared" si="47"/>
        <v>55343.235099999998</v>
      </c>
      <c r="H29" s="1451">
        <f t="shared" si="47"/>
        <v>16235.7351</v>
      </c>
      <c r="I29" s="1452">
        <f t="shared" si="47"/>
        <v>18127.935100000002</v>
      </c>
      <c r="J29" s="1451">
        <f t="shared" si="47"/>
        <v>29283.535100000001</v>
      </c>
      <c r="K29" s="1451">
        <f t="shared" si="47"/>
        <v>49102.1702</v>
      </c>
      <c r="L29" s="1451">
        <f t="shared" si="47"/>
        <v>60410.6702</v>
      </c>
      <c r="M29" s="1451">
        <f t="shared" si="47"/>
        <v>79019.470200000011</v>
      </c>
      <c r="N29" s="1451">
        <f>+N188</f>
        <v>96080.170199999993</v>
      </c>
      <c r="O29" s="1451">
        <f>+O188</f>
        <v>106921.50000000001</v>
      </c>
      <c r="P29" s="1451">
        <f>+P188</f>
        <v>122916.57019999999</v>
      </c>
      <c r="Q29" s="1451">
        <f>+Q188</f>
        <v>139185.80832899996</v>
      </c>
      <c r="R29" s="1451">
        <f>+R188</f>
        <v>157780.23231316629</v>
      </c>
      <c r="S29" s="1451">
        <f t="shared" ref="S29:T29" si="48">+S188</f>
        <v>183335.24252160639</v>
      </c>
      <c r="T29" s="1451">
        <f t="shared" si="48"/>
        <v>237960.99959641931</v>
      </c>
      <c r="U29" s="1447" t="s">
        <v>2623</v>
      </c>
    </row>
    <row r="30" spans="1:25" s="1457" customFormat="1">
      <c r="A30" s="1368"/>
      <c r="B30" s="1369" t="s">
        <v>95</v>
      </c>
      <c r="C30" s="1455">
        <f t="shared" ref="C30:H30" si="49">+SUM(C23:C29)</f>
        <v>60215.252164000005</v>
      </c>
      <c r="D30" s="1455">
        <f t="shared" si="49"/>
        <v>70254.147100000002</v>
      </c>
      <c r="E30" s="1455">
        <f t="shared" si="49"/>
        <v>81553.082899999994</v>
      </c>
      <c r="F30" s="1455">
        <f t="shared" si="49"/>
        <v>97826.435100000002</v>
      </c>
      <c r="G30" s="1455">
        <f t="shared" si="49"/>
        <v>114925.1351</v>
      </c>
      <c r="H30" s="1369">
        <f t="shared" si="49"/>
        <v>48542.035100000001</v>
      </c>
      <c r="I30" s="1370">
        <f t="shared" ref="I30:O30" si="50">+SUM(I23:I29)</f>
        <v>58662.535100000001</v>
      </c>
      <c r="J30" s="1369">
        <f t="shared" si="50"/>
        <v>85418.835099999997</v>
      </c>
      <c r="K30" s="1369">
        <f t="shared" si="50"/>
        <v>91906.470200000011</v>
      </c>
      <c r="L30" s="1369">
        <f t="shared" si="50"/>
        <v>110326.2702</v>
      </c>
      <c r="M30" s="1369">
        <f t="shared" si="50"/>
        <v>123635.17020000001</v>
      </c>
      <c r="N30" s="1369">
        <f t="shared" si="50"/>
        <v>146044.17019999999</v>
      </c>
      <c r="O30" s="1369">
        <f t="shared" si="50"/>
        <v>154207.40000000002</v>
      </c>
      <c r="P30" s="1369">
        <f>+SUM(P23:P29)</f>
        <v>154845.07019999999</v>
      </c>
      <c r="Q30" s="1369">
        <f>+SUM(Q23:Q29)</f>
        <v>189588.9400372901</v>
      </c>
      <c r="R30" s="1369">
        <f>+SUM(R23:R29)</f>
        <v>206087.0158604696</v>
      </c>
      <c r="S30" s="1369">
        <f t="shared" ref="S30:T30" si="51">+SUM(S23:S29)</f>
        <v>232006.14927253098</v>
      </c>
      <c r="T30" s="1369">
        <f t="shared" si="51"/>
        <v>286916.6571805749</v>
      </c>
      <c r="U30" s="1453"/>
      <c r="V30" s="1453"/>
      <c r="W30" s="1453"/>
    </row>
    <row r="31" spans="1:25">
      <c r="A31" s="1336"/>
      <c r="B31" s="1335"/>
      <c r="C31" s="1454"/>
      <c r="D31" s="1454"/>
      <c r="E31" s="1454"/>
      <c r="F31" s="1454"/>
      <c r="G31" s="1454"/>
      <c r="H31" s="1335"/>
      <c r="I31" s="1358"/>
      <c r="J31" s="1335"/>
      <c r="K31" s="1335"/>
      <c r="L31" s="1335"/>
      <c r="M31" s="1335"/>
      <c r="N31" s="1335"/>
      <c r="O31" s="1335"/>
      <c r="P31" s="1335"/>
      <c r="Q31" s="1335"/>
      <c r="R31" s="1335"/>
      <c r="S31" s="1335"/>
      <c r="T31" s="1335"/>
      <c r="U31" s="1453"/>
      <c r="V31" s="1453"/>
      <c r="W31" s="1453"/>
    </row>
    <row r="32" spans="1:25">
      <c r="A32" s="1336"/>
      <c r="B32" s="1335" t="s">
        <v>107</v>
      </c>
      <c r="C32" s="1454">
        <f>+C21-C30</f>
        <v>-7.5639999995473772E-3</v>
      </c>
      <c r="D32" s="1454">
        <f t="shared" ref="D32:M32" si="52">+D21-D30</f>
        <v>-3.9100000009057112E-2</v>
      </c>
      <c r="E32" s="1454">
        <f t="shared" si="52"/>
        <v>-7.2899999984656461E-2</v>
      </c>
      <c r="F32" s="1454">
        <f t="shared" si="52"/>
        <v>-0.33509999999660067</v>
      </c>
      <c r="G32" s="1454">
        <f t="shared" si="52"/>
        <v>-0.43510000000242144</v>
      </c>
      <c r="H32" s="1335">
        <f t="shared" si="52"/>
        <v>-0.33510000000387663</v>
      </c>
      <c r="I32" s="1358">
        <f t="shared" si="52"/>
        <v>-3.5100000000966247E-2</v>
      </c>
      <c r="J32" s="1335">
        <f t="shared" si="52"/>
        <v>6.4900000012130477E-2</v>
      </c>
      <c r="K32" s="1335">
        <f t="shared" si="52"/>
        <v>2.9799999989336357E-2</v>
      </c>
      <c r="L32" s="1335">
        <f t="shared" si="52"/>
        <v>0.32980000000679865</v>
      </c>
      <c r="M32" s="1335">
        <f t="shared" si="52"/>
        <v>0.42979999998351559</v>
      </c>
      <c r="N32" s="1335">
        <f>+N21-N30</f>
        <v>2.9800000018440187E-2</v>
      </c>
      <c r="O32" s="1466">
        <f>+O21-O30</f>
        <v>0</v>
      </c>
      <c r="P32" s="1335">
        <f>+P21-P30</f>
        <v>-0.17019999996409751</v>
      </c>
      <c r="Q32" s="1335">
        <f>+Q21-Q30</f>
        <v>-0.17019999996409751</v>
      </c>
      <c r="R32" s="1335">
        <f>+R21-R30</f>
        <v>6894.9561705972301</v>
      </c>
      <c r="S32" s="1335">
        <f t="shared" ref="S32:T32" si="53">+S21-S30</f>
        <v>6658.3587538352003</v>
      </c>
      <c r="T32" s="1335">
        <f t="shared" si="53"/>
        <v>-18992.660514489107</v>
      </c>
      <c r="U32" s="1453"/>
      <c r="V32" s="1453"/>
      <c r="W32" s="1453"/>
    </row>
    <row r="33" spans="1:23">
      <c r="A33" s="1336"/>
      <c r="B33" s="1335"/>
      <c r="C33" s="1454"/>
      <c r="D33" s="1454"/>
      <c r="E33" s="1454"/>
      <c r="F33" s="1454"/>
      <c r="G33" s="1454"/>
      <c r="H33" s="1335"/>
      <c r="I33" s="1588"/>
      <c r="J33" s="1588"/>
      <c r="K33" s="1588"/>
      <c r="L33" s="1588"/>
      <c r="M33" s="1335"/>
      <c r="N33" s="1335"/>
      <c r="O33" s="1335"/>
      <c r="P33" s="1335"/>
      <c r="Q33" s="1335"/>
      <c r="R33" s="1335"/>
      <c r="S33" s="1335"/>
      <c r="T33" s="1335"/>
      <c r="V33" s="1453"/>
      <c r="W33" s="1453"/>
    </row>
    <row r="34" spans="1:23">
      <c r="A34" s="1336"/>
      <c r="B34" s="1335"/>
      <c r="C34" s="1454"/>
      <c r="D34" s="1454"/>
      <c r="E34" s="1454"/>
      <c r="F34" s="1454"/>
      <c r="G34" s="1454"/>
      <c r="H34" s="1335"/>
      <c r="I34" s="1358"/>
      <c r="J34" s="1335"/>
      <c r="K34" s="1335"/>
      <c r="L34" s="1335"/>
      <c r="M34" s="1335"/>
      <c r="N34" s="1335"/>
      <c r="O34" s="1335"/>
      <c r="P34" s="1335"/>
      <c r="Q34" s="1335"/>
      <c r="R34" s="1335"/>
      <c r="S34" s="1335"/>
      <c r="T34" s="1335"/>
      <c r="V34" s="1453"/>
      <c r="W34" s="1453"/>
    </row>
    <row r="35" spans="1:23">
      <c r="A35" s="1336"/>
      <c r="B35" s="1335"/>
      <c r="C35" s="1454"/>
      <c r="D35" s="1454"/>
      <c r="E35" s="1454"/>
      <c r="F35" s="1454"/>
      <c r="G35" s="1454"/>
      <c r="H35" s="1335"/>
      <c r="I35" s="1358"/>
      <c r="J35" s="1335"/>
      <c r="K35" s="1335"/>
      <c r="L35" s="1335"/>
      <c r="M35" s="1335"/>
      <c r="N35" s="1335"/>
      <c r="O35" s="1335"/>
      <c r="P35" s="1335"/>
      <c r="Q35" s="1335"/>
      <c r="R35" s="1335"/>
      <c r="S35" s="1335"/>
      <c r="T35" s="1335"/>
      <c r="V35" s="1453"/>
      <c r="W35" s="1453"/>
    </row>
    <row r="36" spans="1:23">
      <c r="A36" s="1336"/>
      <c r="B36" s="1335" t="s">
        <v>2206</v>
      </c>
      <c r="C36" s="1454">
        <f>-((C25+C26)-(SUM(C109:C112)+C13))</f>
        <v>17748.033000000003</v>
      </c>
      <c r="D36" s="1454">
        <f t="shared" ref="D36:M36" si="54">-((D25+D26)-(SUM(D109:D112)+D13))</f>
        <v>29614.989000000001</v>
      </c>
      <c r="E36" s="1454">
        <f t="shared" si="54"/>
        <v>34789.700999999994</v>
      </c>
      <c r="F36" s="1454">
        <f t="shared" si="54"/>
        <v>44704.80000000001</v>
      </c>
      <c r="G36" s="1454">
        <f t="shared" si="54"/>
        <v>46545</v>
      </c>
      <c r="H36" s="1335">
        <f t="shared" si="54"/>
        <v>449.90000000000146</v>
      </c>
      <c r="I36" s="1335">
        <f t="shared" si="54"/>
        <v>-3565.9000000000015</v>
      </c>
      <c r="J36" s="1335">
        <f t="shared" si="54"/>
        <v>19756.900000000001</v>
      </c>
      <c r="K36" s="1335">
        <f t="shared" si="54"/>
        <v>40807.699999999997</v>
      </c>
      <c r="L36" s="1335">
        <f t="shared" si="54"/>
        <v>54252.799999999988</v>
      </c>
      <c r="M36" s="1335">
        <f t="shared" si="54"/>
        <v>58406</v>
      </c>
      <c r="N36" s="1335">
        <f>-((N25+N26)-(SUM(N109:N112)+N13))</f>
        <v>79681.700000000012</v>
      </c>
      <c r="O36" s="1335">
        <f>-((O25+O26)-(SUM(O109:O112)+O13))</f>
        <v>86084.42</v>
      </c>
      <c r="P36" s="1335">
        <f>-((P25+P26)-(SUM(P109:P112)+P13))</f>
        <v>91905</v>
      </c>
      <c r="Q36" s="1335">
        <f>-((Q25+Q26)-(SUM(Q109:Q112)+Q13))</f>
        <v>128877.29852222167</v>
      </c>
      <c r="R36" s="1335">
        <f>-((R25+R26)-(SUM(R109:R112)+R13))</f>
        <v>148671.80000000002</v>
      </c>
      <c r="S36" s="1335">
        <f t="shared" ref="S36:T36" si="55">-((S25+S26)-(SUM(S109:S112)+S13))</f>
        <v>168919.80000000002</v>
      </c>
      <c r="T36" s="1335">
        <f t="shared" si="55"/>
        <v>192143.80000000002</v>
      </c>
      <c r="V36" s="1453"/>
      <c r="W36" s="1453"/>
    </row>
    <row r="37" spans="1:23" s="1493" customFormat="1">
      <c r="A37" s="1355"/>
      <c r="B37" s="1356" t="s">
        <v>695</v>
      </c>
      <c r="C37" s="1356"/>
      <c r="D37" s="1356"/>
      <c r="E37" s="1356"/>
      <c r="F37" s="1356"/>
      <c r="G37" s="1356"/>
      <c r="H37" s="1356"/>
      <c r="I37" s="1357"/>
      <c r="J37" s="1356"/>
      <c r="K37" s="1356"/>
      <c r="L37" s="1356"/>
      <c r="M37" s="1356"/>
      <c r="N37" s="1356"/>
      <c r="O37" s="1356"/>
      <c r="P37" s="1356"/>
      <c r="Q37" s="1356"/>
      <c r="R37" s="1356"/>
      <c r="S37" s="1356"/>
      <c r="T37" s="1356"/>
      <c r="V37" s="1453"/>
      <c r="W37" s="1453"/>
    </row>
    <row r="38" spans="1:23">
      <c r="A38" s="1336"/>
      <c r="B38" s="1335"/>
      <c r="C38" s="1454"/>
      <c r="D38" s="1454"/>
      <c r="E38" s="1454"/>
      <c r="F38" s="1454"/>
      <c r="G38" s="1454"/>
      <c r="H38" s="1335"/>
      <c r="I38" s="1358"/>
      <c r="J38" s="1335"/>
      <c r="K38" s="1335"/>
      <c r="L38" s="1335"/>
      <c r="M38" s="1335"/>
      <c r="N38" s="1335"/>
      <c r="O38" s="1335"/>
      <c r="P38" s="1335"/>
      <c r="Q38" s="1335"/>
      <c r="R38" s="1335"/>
      <c r="S38" s="1335"/>
      <c r="T38" s="1335"/>
      <c r="V38" s="1453"/>
      <c r="W38" s="1453"/>
    </row>
    <row r="39" spans="1:23" ht="14.25">
      <c r="A39" s="1336" t="s">
        <v>678</v>
      </c>
      <c r="B39" s="1335" t="s">
        <v>700</v>
      </c>
      <c r="C39" s="1454">
        <v>561.63</v>
      </c>
      <c r="D39" s="1454">
        <v>512.80999999999995</v>
      </c>
      <c r="E39" s="1454">
        <v>841.41</v>
      </c>
      <c r="F39" s="1454">
        <v>696.3</v>
      </c>
      <c r="G39" s="1454">
        <v>938.5</v>
      </c>
      <c r="H39" s="1335">
        <v>1038.0999999999999</v>
      </c>
      <c r="I39" s="1358">
        <v>3717.6</v>
      </c>
      <c r="J39" s="1358">
        <v>4462.1000000000004</v>
      </c>
      <c r="K39" s="1358">
        <v>5472.7999999999993</v>
      </c>
      <c r="L39" s="1358">
        <v>6785.3</v>
      </c>
      <c r="M39" s="1358">
        <v>6362.8</v>
      </c>
      <c r="N39" s="1358">
        <v>6397.2</v>
      </c>
      <c r="O39" s="1358">
        <v>8141.5</v>
      </c>
      <c r="P39" s="1358">
        <v>7190.7</v>
      </c>
      <c r="Q39" s="1358">
        <f>Q45*'Inc Stmt'!Q10/365</f>
        <v>6811.2479452054804</v>
      </c>
      <c r="R39" s="1099">
        <f>R45/365*'Inc Stmt'!R10</f>
        <v>7832.0934263895824</v>
      </c>
      <c r="S39" s="1099">
        <f>S45/365*'Inc Stmt'!S10</f>
        <v>9096.2050781350608</v>
      </c>
      <c r="T39" s="1099">
        <f>T45/365*'Inc Stmt'!T10</f>
        <v>10669.87793359743</v>
      </c>
      <c r="U39" s="1484" t="s">
        <v>2570</v>
      </c>
      <c r="V39" s="1453"/>
      <c r="W39" s="1453"/>
    </row>
    <row r="40" spans="1:23">
      <c r="A40" s="1336" t="s">
        <v>678</v>
      </c>
      <c r="B40" s="1335" t="s">
        <v>701</v>
      </c>
      <c r="C40" s="1454">
        <v>862.17899999999997</v>
      </c>
      <c r="D40" s="1454">
        <f>921.15+246.31</f>
        <v>1167.46</v>
      </c>
      <c r="E40" s="1454">
        <f>759.79+225.21</f>
        <v>985</v>
      </c>
      <c r="F40" s="1454">
        <f>879.2+396.2</f>
        <v>1275.4000000000001</v>
      </c>
      <c r="G40" s="1454">
        <f>1123.2+381.4</f>
        <v>1504.6</v>
      </c>
      <c r="H40" s="1335">
        <f>1673.7+504.7</f>
        <v>2178.4</v>
      </c>
      <c r="I40" s="1358"/>
      <c r="J40" s="1335"/>
      <c r="K40" s="1335"/>
      <c r="L40" s="1335"/>
      <c r="M40" s="1335"/>
      <c r="N40" s="1335"/>
      <c r="O40" s="1335"/>
      <c r="P40" s="1335"/>
      <c r="Q40" s="1335"/>
      <c r="R40" s="1335"/>
      <c r="S40" s="1335"/>
      <c r="T40" s="1335"/>
      <c r="V40" s="1453"/>
      <c r="W40" s="1453"/>
    </row>
    <row r="41" spans="1:23" ht="14.25">
      <c r="A41" s="1336" t="s">
        <v>678</v>
      </c>
      <c r="B41" s="1335" t="s">
        <v>702</v>
      </c>
      <c r="C41" s="1454">
        <v>160.417</v>
      </c>
      <c r="D41" s="1454">
        <v>162.83000000000001</v>
      </c>
      <c r="E41" s="1454">
        <v>234.31</v>
      </c>
      <c r="F41" s="1454">
        <v>434</v>
      </c>
      <c r="G41" s="1454">
        <v>195.8</v>
      </c>
      <c r="H41" s="1335">
        <v>179.4</v>
      </c>
      <c r="I41" s="1358"/>
      <c r="J41" s="1335"/>
      <c r="K41" s="1335"/>
      <c r="L41" s="1335"/>
      <c r="M41" s="1335"/>
      <c r="N41" s="1335"/>
      <c r="O41" s="1335"/>
      <c r="P41" s="1335"/>
      <c r="Q41" s="1335"/>
      <c r="R41" s="1335"/>
      <c r="S41" s="1335"/>
      <c r="T41" s="1335"/>
      <c r="U41" s="1589"/>
      <c r="V41" s="1453"/>
      <c r="W41" s="1453"/>
    </row>
    <row r="42" spans="1:23" ht="14.25">
      <c r="A42" s="1336" t="s">
        <v>678</v>
      </c>
      <c r="B42" s="1335" t="s">
        <v>703</v>
      </c>
      <c r="C42" s="1454">
        <f>201.755+33.268+178.217+82.344</f>
        <v>495.584</v>
      </c>
      <c r="D42" s="1454">
        <f>37.4+139.848+5.257</f>
        <v>182.50500000000002</v>
      </c>
      <c r="E42" s="1454">
        <f>54.46+126.55</f>
        <v>181.01</v>
      </c>
      <c r="F42" s="1454">
        <f>129+64.9+129.7</f>
        <v>323.60000000000002</v>
      </c>
      <c r="G42" s="1454">
        <f>273.5+71.3+113.3</f>
        <v>458.1</v>
      </c>
      <c r="H42" s="1335">
        <f>56.2+78.9+130.3</f>
        <v>265.40000000000003</v>
      </c>
      <c r="I42" s="1358"/>
      <c r="J42" s="1335"/>
      <c r="K42" s="1335"/>
      <c r="L42" s="1335"/>
      <c r="M42" s="1335"/>
      <c r="N42" s="1335"/>
      <c r="O42" s="1335"/>
      <c r="P42" s="1335"/>
      <c r="Q42" s="1335"/>
      <c r="R42" s="1335"/>
      <c r="S42" s="1335"/>
      <c r="T42" s="1335"/>
      <c r="U42" s="1590"/>
      <c r="V42" s="1453"/>
      <c r="W42" s="1453"/>
    </row>
    <row r="43" spans="1:23" s="1424" customFormat="1" ht="15.75">
      <c r="A43" s="1338"/>
      <c r="B43" s="1504" t="s">
        <v>695</v>
      </c>
      <c r="C43" s="1505">
        <f>+SUM(C39:C42)</f>
        <v>2079.81</v>
      </c>
      <c r="D43" s="1505">
        <f t="shared" ref="D43:M43" si="56">+SUM(D39:D42)</f>
        <v>2025.605</v>
      </c>
      <c r="E43" s="1505">
        <f t="shared" si="56"/>
        <v>2241.7299999999996</v>
      </c>
      <c r="F43" s="1505">
        <f t="shared" si="56"/>
        <v>2729.2999999999997</v>
      </c>
      <c r="G43" s="1505">
        <f t="shared" si="56"/>
        <v>3097</v>
      </c>
      <c r="H43" s="1504">
        <f t="shared" si="56"/>
        <v>3661.3</v>
      </c>
      <c r="I43" s="1506">
        <f t="shared" si="56"/>
        <v>3717.6</v>
      </c>
      <c r="J43" s="1504">
        <f t="shared" si="56"/>
        <v>4462.1000000000004</v>
      </c>
      <c r="K43" s="1504">
        <f t="shared" si="56"/>
        <v>5472.7999999999993</v>
      </c>
      <c r="L43" s="1504">
        <f t="shared" si="56"/>
        <v>6785.3</v>
      </c>
      <c r="M43" s="1504">
        <f t="shared" si="56"/>
        <v>6362.8</v>
      </c>
      <c r="N43" s="1504">
        <f>+SUM(N39:N42)</f>
        <v>6397.2</v>
      </c>
      <c r="O43" s="1504">
        <f>+SUM(O39:O42)</f>
        <v>8141.5</v>
      </c>
      <c r="P43" s="1504">
        <f>+SUM(P39:P42)</f>
        <v>7190.7</v>
      </c>
      <c r="Q43" s="1504">
        <f>+SUM(Q39:Q42)</f>
        <v>6811.2479452054804</v>
      </c>
      <c r="R43" s="1504">
        <f>+SUM(R39:R42)</f>
        <v>7832.0934263895824</v>
      </c>
      <c r="S43" s="1504">
        <f t="shared" ref="S43:T43" si="57">+SUM(S39:S42)</f>
        <v>9096.2050781350608</v>
      </c>
      <c r="T43" s="1504">
        <f t="shared" si="57"/>
        <v>10669.87793359743</v>
      </c>
      <c r="U43" s="1591" t="s">
        <v>2610</v>
      </c>
      <c r="V43" s="1453"/>
      <c r="W43" s="1453"/>
    </row>
    <row r="44" spans="1:23" ht="14.25">
      <c r="A44" s="1336"/>
      <c r="B44" s="1335"/>
      <c r="C44" s="1454"/>
      <c r="D44" s="1454"/>
      <c r="E44" s="1454"/>
      <c r="F44" s="1454"/>
      <c r="G44" s="1454"/>
      <c r="H44" s="1335"/>
      <c r="I44" s="1358"/>
      <c r="J44" s="1335"/>
      <c r="K44" s="1335"/>
      <c r="L44" s="1335"/>
      <c r="M44" s="1335"/>
      <c r="N44" s="1335"/>
      <c r="O44" s="1335"/>
      <c r="P44" s="1335"/>
      <c r="Q44" s="1335"/>
      <c r="R44" s="1335"/>
      <c r="S44" s="1335"/>
      <c r="T44" s="1335"/>
      <c r="U44" s="1484"/>
      <c r="V44" s="1453"/>
      <c r="W44" s="1453"/>
    </row>
    <row r="45" spans="1:23" s="1542" customFormat="1" ht="14.25">
      <c r="A45" s="1537" t="s">
        <v>316</v>
      </c>
      <c r="B45" s="1489" t="s">
        <v>555</v>
      </c>
      <c r="C45" s="1538">
        <f>C43/('Inc Stmt'!C10/365)</f>
        <v>28.23823095276914</v>
      </c>
      <c r="D45" s="1538">
        <f>D43/('Inc Stmt'!D10/365)</f>
        <v>23.110176415083927</v>
      </c>
      <c r="E45" s="1538">
        <f>E43/('Inc Stmt'!E10/365)</f>
        <v>19.946722455535838</v>
      </c>
      <c r="F45" s="1538">
        <f>F43/('Inc Stmt'!F10/365)</f>
        <v>18.709283326447053</v>
      </c>
      <c r="G45" s="1538">
        <f>G43/('Inc Stmt'!G10/365)</f>
        <v>16.380283465753568</v>
      </c>
      <c r="H45" s="1489">
        <f>H43/('Inc Stmt'!H10/365)</f>
        <v>20.18909127716115</v>
      </c>
      <c r="I45" s="1489">
        <f>I43/('Inc Stmt'!I10/365)</f>
        <v>20.999911786144853</v>
      </c>
      <c r="J45" s="1489">
        <f>J43/('Inc Stmt'!J10/365)</f>
        <v>20.180640708561121</v>
      </c>
      <c r="K45" s="1489">
        <f>K43/('Inc Stmt'!K10/365)</f>
        <v>16.930283647249169</v>
      </c>
      <c r="L45" s="1489">
        <f>L43/('Inc Stmt'!L10/365)</f>
        <v>17.561620105314365</v>
      </c>
      <c r="M45" s="1489">
        <f>M43/('Inc Stmt'!M10/365)</f>
        <v>16.12057554296408</v>
      </c>
      <c r="N45" s="1489">
        <f>N43/('Inc Stmt'!N10/365)</f>
        <v>16.826645009213305</v>
      </c>
      <c r="O45" s="1489">
        <f>O43/('Inc Stmt'!O10/365)</f>
        <v>20.011363789411305</v>
      </c>
      <c r="P45" s="1489">
        <f>P43/('Inc Stmt'!P10/365)</f>
        <v>17.431293775727475</v>
      </c>
      <c r="Q45" s="1592">
        <v>17</v>
      </c>
      <c r="R45" s="1260">
        <v>16</v>
      </c>
      <c r="S45" s="1260">
        <v>16</v>
      </c>
      <c r="T45" s="1260">
        <v>16</v>
      </c>
      <c r="U45" s="1484" t="s">
        <v>2569</v>
      </c>
      <c r="V45" s="1453"/>
      <c r="W45" s="1453"/>
    </row>
    <row r="46" spans="1:23" s="1493" customFormat="1">
      <c r="A46" s="1355"/>
      <c r="B46" s="1356" t="s">
        <v>704</v>
      </c>
      <c r="C46" s="1356"/>
      <c r="D46" s="1356"/>
      <c r="E46" s="1356"/>
      <c r="F46" s="1356"/>
      <c r="G46" s="1356"/>
      <c r="H46" s="1356"/>
      <c r="I46" s="1357"/>
      <c r="J46" s="1356"/>
      <c r="K46" s="1356"/>
      <c r="L46" s="1356"/>
      <c r="M46" s="1356"/>
      <c r="N46" s="1356"/>
      <c r="O46" s="1356"/>
      <c r="P46" s="1356"/>
      <c r="Q46" s="1356"/>
      <c r="R46" s="1356"/>
      <c r="S46" s="1356"/>
      <c r="T46" s="1356"/>
      <c r="V46" s="1453"/>
      <c r="W46" s="1453"/>
    </row>
    <row r="47" spans="1:23">
      <c r="A47" s="1336"/>
      <c r="B47" s="1335"/>
      <c r="C47" s="1454"/>
      <c r="D47" s="1454"/>
      <c r="E47" s="1454"/>
      <c r="F47" s="1454"/>
      <c r="G47" s="1454"/>
      <c r="H47" s="1335"/>
      <c r="I47" s="1358"/>
      <c r="J47" s="1335"/>
      <c r="K47" s="1335"/>
      <c r="L47" s="1335"/>
      <c r="M47" s="1335"/>
      <c r="N47" s="1335"/>
      <c r="O47" s="1335"/>
      <c r="P47" s="1335"/>
      <c r="Q47" s="1335"/>
      <c r="R47" s="1335"/>
      <c r="S47" s="1335"/>
      <c r="T47" s="1335"/>
      <c r="V47" s="1453"/>
      <c r="W47" s="1453"/>
    </row>
    <row r="48" spans="1:23" ht="14.25">
      <c r="A48" s="1336" t="s">
        <v>678</v>
      </c>
      <c r="B48" s="1335" t="s">
        <v>705</v>
      </c>
      <c r="C48" s="1454">
        <f>12.279+6.837</f>
        <v>19.116</v>
      </c>
      <c r="D48" s="1454">
        <f>3.441+19.833</f>
        <v>23.273999999999997</v>
      </c>
      <c r="E48" s="1454">
        <f>1.952+18.388</f>
        <v>20.340000000000003</v>
      </c>
      <c r="F48" s="1454">
        <f>1.4+19.7</f>
        <v>21.099999999999998</v>
      </c>
      <c r="G48" s="1454">
        <f>1.1+21.3</f>
        <v>22.400000000000002</v>
      </c>
      <c r="H48" s="1335">
        <v>26.7</v>
      </c>
      <c r="I48" s="1358">
        <v>2809.4</v>
      </c>
      <c r="J48" s="1358">
        <v>2728.4</v>
      </c>
      <c r="K48" s="1358">
        <v>3627.6</v>
      </c>
      <c r="L48" s="1358">
        <v>4227.8999999999996</v>
      </c>
      <c r="M48" s="1358">
        <v>7675.8</v>
      </c>
      <c r="N48" s="1358">
        <v>7962.1</v>
      </c>
      <c r="O48" s="1358">
        <v>7169.6</v>
      </c>
      <c r="P48" s="1358">
        <v>7179.3</v>
      </c>
      <c r="Q48" s="1358">
        <f>Q53*'Inc Stmt'!Q9/365</f>
        <v>6559.8213698630143</v>
      </c>
      <c r="R48" s="1099">
        <f>R53/365*'Inc Stmt'!R9</f>
        <v>7188.0446277437441</v>
      </c>
      <c r="S48" s="1099">
        <f>S53/365*'Inc Stmt'!S9</f>
        <v>8323.7601373856705</v>
      </c>
      <c r="T48" s="1099">
        <f>T53/365*'Inc Stmt'!T9</f>
        <v>9650.7578994188043</v>
      </c>
      <c r="U48" s="1484" t="s">
        <v>2570</v>
      </c>
      <c r="V48" s="1453"/>
      <c r="W48" s="1453"/>
    </row>
    <row r="49" spans="1:23">
      <c r="A49" s="1336" t="s">
        <v>678</v>
      </c>
      <c r="B49" s="1335" t="s">
        <v>706</v>
      </c>
      <c r="C49" s="1454">
        <v>1658.12</v>
      </c>
      <c r="D49" s="1454">
        <v>1336.039</v>
      </c>
      <c r="E49" s="1454">
        <v>1761.499</v>
      </c>
      <c r="F49" s="1454">
        <v>3014.1</v>
      </c>
      <c r="G49" s="1454">
        <v>5297.2</v>
      </c>
      <c r="H49" s="1335">
        <v>2524.5</v>
      </c>
      <c r="I49" s="1358"/>
      <c r="J49" s="1335"/>
      <c r="K49" s="1335"/>
      <c r="L49" s="1335"/>
      <c r="M49" s="1335"/>
      <c r="N49" s="1335"/>
      <c r="O49" s="1335"/>
      <c r="P49" s="1335"/>
      <c r="Q49" s="1335"/>
      <c r="R49" s="1335"/>
      <c r="S49" s="1335"/>
      <c r="T49" s="1335"/>
      <c r="V49" s="1453"/>
      <c r="W49" s="1453"/>
    </row>
    <row r="50" spans="1:23" ht="14.25">
      <c r="A50" s="1336" t="s">
        <v>679</v>
      </c>
      <c r="B50" s="1335" t="s">
        <v>707</v>
      </c>
      <c r="C50" s="1454">
        <v>6.8369999999999997</v>
      </c>
      <c r="D50" s="1454">
        <v>19.832999999999998</v>
      </c>
      <c r="E50" s="1454">
        <v>18.388000000000002</v>
      </c>
      <c r="F50" s="1454">
        <v>19.7</v>
      </c>
      <c r="G50" s="1454">
        <v>21.3</v>
      </c>
      <c r="H50" s="1335">
        <v>22.7</v>
      </c>
      <c r="I50" s="1358"/>
      <c r="J50" s="1358"/>
      <c r="K50" s="1358"/>
      <c r="L50" s="1358">
        <f>K50</f>
        <v>0</v>
      </c>
      <c r="M50" s="1335"/>
      <c r="N50" s="1335"/>
      <c r="O50" s="1335"/>
      <c r="P50" s="1335"/>
      <c r="Q50" s="1335"/>
      <c r="R50" s="1335"/>
      <c r="S50" s="1335"/>
      <c r="T50" s="1335"/>
      <c r="U50" s="1589"/>
      <c r="V50" s="1453"/>
      <c r="W50" s="1453"/>
    </row>
    <row r="51" spans="1:23" s="1424" customFormat="1" ht="14.25">
      <c r="A51" s="1338"/>
      <c r="B51" s="1339" t="s">
        <v>696</v>
      </c>
      <c r="C51" s="1543">
        <f t="shared" ref="C51:H51" si="58">+C48+C49-C50</f>
        <v>1670.3989999999999</v>
      </c>
      <c r="D51" s="1543">
        <f t="shared" si="58"/>
        <v>1339.4799999999998</v>
      </c>
      <c r="E51" s="1543">
        <f t="shared" si="58"/>
        <v>1763.451</v>
      </c>
      <c r="F51" s="1543">
        <f t="shared" si="58"/>
        <v>3015.5</v>
      </c>
      <c r="G51" s="1543">
        <f t="shared" si="58"/>
        <v>5298.2999999999993</v>
      </c>
      <c r="H51" s="1339">
        <f t="shared" si="58"/>
        <v>2528.5</v>
      </c>
      <c r="I51" s="1372">
        <f t="shared" ref="I51:O51" si="59">+I48+I49-I50</f>
        <v>2809.4</v>
      </c>
      <c r="J51" s="1339">
        <f t="shared" si="59"/>
        <v>2728.4</v>
      </c>
      <c r="K51" s="1339">
        <f t="shared" si="59"/>
        <v>3627.6</v>
      </c>
      <c r="L51" s="1339">
        <f t="shared" si="59"/>
        <v>4227.8999999999996</v>
      </c>
      <c r="M51" s="1339">
        <f t="shared" si="59"/>
        <v>7675.8</v>
      </c>
      <c r="N51" s="1339">
        <f t="shared" si="59"/>
        <v>7962.1</v>
      </c>
      <c r="O51" s="1339">
        <f t="shared" si="59"/>
        <v>7169.6</v>
      </c>
      <c r="P51" s="1339">
        <f>+P48+P49-P50</f>
        <v>7179.3</v>
      </c>
      <c r="Q51" s="1339">
        <f>+Q48+Q49-Q50</f>
        <v>6559.8213698630143</v>
      </c>
      <c r="R51" s="1339">
        <f>+R48+R49-R50</f>
        <v>7188.0446277437441</v>
      </c>
      <c r="S51" s="1339">
        <f t="shared" ref="S51:T51" si="60">+S48+S49-S50</f>
        <v>8323.7601373856705</v>
      </c>
      <c r="T51" s="1339">
        <f t="shared" si="60"/>
        <v>9650.7578994188043</v>
      </c>
      <c r="U51" s="1590"/>
      <c r="V51" s="1453"/>
      <c r="W51" s="1453"/>
    </row>
    <row r="52" spans="1:23">
      <c r="A52" s="1336"/>
      <c r="B52" s="1335"/>
      <c r="C52" s="1454"/>
      <c r="D52" s="1454"/>
      <c r="E52" s="1454"/>
      <c r="F52" s="1454"/>
      <c r="G52" s="1454"/>
      <c r="H52" s="1335"/>
      <c r="I52" s="1358"/>
      <c r="J52" s="1335"/>
      <c r="K52" s="1335"/>
      <c r="L52" s="1335"/>
      <c r="M52" s="1335"/>
      <c r="N52" s="1335"/>
      <c r="O52" s="1335"/>
      <c r="P52" s="1335"/>
      <c r="Q52" s="1335"/>
      <c r="R52" s="1335"/>
      <c r="S52" s="1335"/>
      <c r="T52" s="1335"/>
      <c r="U52" s="1591" t="s">
        <v>2610</v>
      </c>
      <c r="V52" s="1453"/>
      <c r="W52" s="1453"/>
    </row>
    <row r="53" spans="1:23" ht="14.25">
      <c r="A53" s="1511" t="s">
        <v>316</v>
      </c>
      <c r="B53" s="1335"/>
      <c r="C53" s="1454">
        <f>C51/('Inc Stmt'!C9/365)</f>
        <v>14.123401538940582</v>
      </c>
      <c r="D53" s="1454">
        <f>D51/('Inc Stmt'!D9/365)</f>
        <v>9.8023452157974642</v>
      </c>
      <c r="E53" s="1454">
        <f>E51/('Inc Stmt'!E9/365)</f>
        <v>10.820478676771973</v>
      </c>
      <c r="F53" s="1454">
        <f>F51/('Inc Stmt'!F9/365)</f>
        <v>14.218617587482688</v>
      </c>
      <c r="G53" s="1454">
        <f>G51/('Inc Stmt'!G9/365)</f>
        <v>20.159655867617651</v>
      </c>
      <c r="H53" s="1335">
        <f>H51/('Inc Stmt'!H9/365)</f>
        <v>10.235195936541736</v>
      </c>
      <c r="I53" s="1335">
        <f>I51/('Inc Stmt'!I9/365)</f>
        <v>11.633047110487917</v>
      </c>
      <c r="J53" s="1335">
        <f>J51/('Inc Stmt'!J9/365)</f>
        <v>8.3781475913370418</v>
      </c>
      <c r="K53" s="1335">
        <f>K51/('Inc Stmt'!K9/365)</f>
        <v>8.0744934056907365</v>
      </c>
      <c r="L53" s="1335">
        <f>L51/('Inc Stmt'!L9/365)</f>
        <v>7.9020179241312132</v>
      </c>
      <c r="M53" s="1335">
        <f>M51/('Inc Stmt'!M9/365)</f>
        <v>14.010261410944006</v>
      </c>
      <c r="N53" s="1335">
        <f>N51/('Inc Stmt'!N9/365)</f>
        <v>14.423013264342407</v>
      </c>
      <c r="O53" s="1335">
        <f>O51/('Inc Stmt'!O9/365)</f>
        <v>12.108563710640521</v>
      </c>
      <c r="P53" s="1335">
        <f>P51/('Inc Stmt'!P9/365)</f>
        <v>11.601807184108043</v>
      </c>
      <c r="Q53" s="1593">
        <v>11</v>
      </c>
      <c r="R53" s="1261">
        <v>10</v>
      </c>
      <c r="S53" s="1261">
        <v>10</v>
      </c>
      <c r="T53" s="1261">
        <v>10</v>
      </c>
      <c r="U53" s="1484" t="s">
        <v>2569</v>
      </c>
      <c r="V53" s="1453"/>
      <c r="W53" s="1453"/>
    </row>
    <row r="54" spans="1:23" s="1493" customFormat="1">
      <c r="A54" s="1355"/>
      <c r="B54" s="1356" t="s">
        <v>708</v>
      </c>
      <c r="C54" s="1356"/>
      <c r="D54" s="1356"/>
      <c r="E54" s="1356"/>
      <c r="F54" s="1356"/>
      <c r="G54" s="1356"/>
      <c r="H54" s="1356"/>
      <c r="I54" s="1357"/>
      <c r="J54" s="1356"/>
      <c r="K54" s="1356"/>
      <c r="L54" s="1356"/>
      <c r="M54" s="1356"/>
      <c r="N54" s="1356"/>
      <c r="O54" s="1356"/>
      <c r="P54" s="1356"/>
      <c r="Q54" s="1356"/>
      <c r="R54" s="1356"/>
      <c r="S54" s="1356"/>
      <c r="T54" s="1356"/>
      <c r="V54" s="1453"/>
      <c r="W54" s="1453"/>
    </row>
    <row r="55" spans="1:23">
      <c r="A55" s="1336"/>
      <c r="B55" s="1335"/>
      <c r="C55" s="1454"/>
      <c r="D55" s="1454"/>
      <c r="E55" s="1454"/>
      <c r="F55" s="1454"/>
      <c r="G55" s="1454"/>
      <c r="H55" s="1335"/>
      <c r="I55" s="1358"/>
      <c r="J55" s="1335"/>
      <c r="K55" s="1335"/>
      <c r="L55" s="1335"/>
      <c r="M55" s="1335"/>
      <c r="N55" s="1335"/>
      <c r="O55" s="1335"/>
      <c r="P55" s="1335"/>
      <c r="Q55" s="1335"/>
      <c r="R55" s="1335"/>
      <c r="S55" s="1335"/>
      <c r="T55" s="1335"/>
      <c r="V55" s="1453"/>
      <c r="W55" s="1453"/>
    </row>
    <row r="56" spans="1:23" ht="14.25">
      <c r="A56" s="1336" t="s">
        <v>678</v>
      </c>
      <c r="B56" s="1335" t="s">
        <v>317</v>
      </c>
      <c r="C56" s="1454">
        <f>140+920+637.1</f>
        <v>1697.1</v>
      </c>
      <c r="D56" s="1454">
        <v>137</v>
      </c>
      <c r="E56" s="1454">
        <v>48.5</v>
      </c>
      <c r="F56" s="1454">
        <v>41</v>
      </c>
      <c r="G56" s="1454">
        <v>0</v>
      </c>
      <c r="H56" s="1335">
        <v>405</v>
      </c>
      <c r="I56" s="1358">
        <v>13809</v>
      </c>
      <c r="J56" s="1358">
        <v>20745.2</v>
      </c>
      <c r="K56" s="1358">
        <v>11896.4</v>
      </c>
      <c r="L56" s="1358">
        <v>16227.1</v>
      </c>
      <c r="M56" s="1358">
        <f>4623.9+13117.2</f>
        <v>17741.099999999999</v>
      </c>
      <c r="N56" s="1358">
        <f>7199.2+9784.5</f>
        <v>16983.7</v>
      </c>
      <c r="O56" s="1358">
        <f>5110.7+12616.1</f>
        <v>17726.8</v>
      </c>
      <c r="P56" s="1358">
        <f>6822.4+8714.5</f>
        <v>15536.9</v>
      </c>
      <c r="Q56" s="1358">
        <f>Q63/100*'Inc Stmt'!Q9</f>
        <v>14148.342000000002</v>
      </c>
      <c r="R56" s="1099">
        <f>R63*'Inc Stmt'!R9/100</f>
        <v>15217.090476933507</v>
      </c>
      <c r="S56" s="1099">
        <f>S63*'Inc Stmt'!S9/100</f>
        <v>17621.400210845466</v>
      </c>
      <c r="T56" s="1099">
        <f>T63*'Inc Stmt'!T9/100</f>
        <v>20430.654473069611</v>
      </c>
      <c r="U56" s="1484" t="s">
        <v>2570</v>
      </c>
      <c r="V56" s="1453" t="s">
        <v>2580</v>
      </c>
      <c r="W56" s="1453"/>
    </row>
    <row r="57" spans="1:23">
      <c r="A57" s="1336" t="s">
        <v>678</v>
      </c>
      <c r="B57" s="1335" t="s">
        <v>710</v>
      </c>
      <c r="C57" s="1454">
        <v>948.50099999999998</v>
      </c>
      <c r="D57" s="1454">
        <v>1202.8599999999999</v>
      </c>
      <c r="E57" s="1454">
        <v>1066.6469999999999</v>
      </c>
      <c r="F57" s="1454">
        <v>1163.9000000000001</v>
      </c>
      <c r="G57" s="1454">
        <v>1832.8</v>
      </c>
      <c r="H57" s="1335">
        <f>1411.5+830.8</f>
        <v>2242.3000000000002</v>
      </c>
      <c r="I57" s="1358"/>
      <c r="J57" s="1335"/>
      <c r="K57" s="1335"/>
      <c r="L57" s="1335"/>
      <c r="M57" s="1335"/>
      <c r="N57" s="1335"/>
      <c r="O57" s="1335"/>
      <c r="P57" s="1335"/>
      <c r="Q57" s="1335"/>
      <c r="R57" s="1335"/>
      <c r="S57" s="1335"/>
      <c r="T57" s="1335"/>
      <c r="V57" s="1453"/>
      <c r="W57" s="1453"/>
    </row>
    <row r="58" spans="1:23" ht="14.25">
      <c r="A58" s="1336" t="s">
        <v>678</v>
      </c>
      <c r="B58" s="1335" t="s">
        <v>159</v>
      </c>
      <c r="C58" s="1454">
        <v>13877.956</v>
      </c>
      <c r="D58" s="1454">
        <v>13933.272999999999</v>
      </c>
      <c r="E58" s="1454">
        <v>18215.695</v>
      </c>
      <c r="F58" s="1454">
        <v>18670.400000000001</v>
      </c>
      <c r="G58" s="1454">
        <v>23781.7</v>
      </c>
      <c r="H58" s="1335">
        <v>4006.1</v>
      </c>
      <c r="I58" s="1358"/>
      <c r="J58" s="1335"/>
      <c r="K58" s="1335"/>
      <c r="L58" s="1335"/>
      <c r="M58" s="1335"/>
      <c r="N58" s="1335"/>
      <c r="O58" s="1335"/>
      <c r="P58" s="1335"/>
      <c r="Q58" s="1335"/>
      <c r="R58" s="1335"/>
      <c r="S58" s="1335"/>
      <c r="T58" s="1335"/>
      <c r="U58" s="1589"/>
      <c r="V58" s="1453"/>
      <c r="W58" s="1453"/>
    </row>
    <row r="59" spans="1:23" ht="14.25">
      <c r="A59" s="1336" t="s">
        <v>678</v>
      </c>
      <c r="B59" s="1335" t="s">
        <v>713</v>
      </c>
      <c r="C59" s="1454">
        <f>94+132.402+38.745+117.68</f>
        <v>382.827</v>
      </c>
      <c r="D59" s="1454">
        <f>32.595+50.043+380.596+45.585+134.87</f>
        <v>643.68900000000008</v>
      </c>
      <c r="E59" s="1454">
        <f>200+144.447+228.096+77.564+139.148</f>
        <v>789.255</v>
      </c>
      <c r="F59" s="1454">
        <f>21273.7-19875</f>
        <v>1398.7000000000007</v>
      </c>
      <c r="G59" s="1454">
        <f>450.9+16.1+807+1360.2+159.5+185.8</f>
        <v>2979.5</v>
      </c>
      <c r="H59" s="1335">
        <f>283.8+1335.6+440.3+265.7</f>
        <v>2325.3999999999996</v>
      </c>
      <c r="I59" s="1358"/>
      <c r="J59" s="1335"/>
      <c r="K59" s="1335"/>
      <c r="L59" s="1335"/>
      <c r="M59" s="1335"/>
      <c r="N59" s="1335"/>
      <c r="O59" s="1335"/>
      <c r="P59" s="1335"/>
      <c r="Q59" s="1335"/>
      <c r="R59" s="1335"/>
      <c r="S59" s="1335"/>
      <c r="T59" s="1335"/>
      <c r="U59" s="1590"/>
      <c r="V59" s="1453"/>
      <c r="W59" s="1453"/>
    </row>
    <row r="60" spans="1:23">
      <c r="A60" s="1336" t="s">
        <v>679</v>
      </c>
      <c r="B60" s="1335" t="s">
        <v>711</v>
      </c>
      <c r="C60" s="1454"/>
      <c r="D60" s="1454"/>
      <c r="E60" s="1454"/>
      <c r="F60" s="1454"/>
      <c r="G60" s="1454"/>
      <c r="H60" s="1335"/>
      <c r="I60" s="1358"/>
      <c r="J60" s="1335"/>
      <c r="K60" s="1335"/>
      <c r="L60" s="1335"/>
      <c r="M60" s="1335"/>
      <c r="N60" s="1335"/>
      <c r="O60" s="1335"/>
      <c r="P60" s="1335"/>
      <c r="Q60" s="1335"/>
      <c r="R60" s="1335"/>
      <c r="S60" s="1335"/>
      <c r="T60" s="1335"/>
      <c r="V60" s="1453"/>
      <c r="W60" s="1453"/>
    </row>
    <row r="61" spans="1:23" s="1424" customFormat="1">
      <c r="A61" s="1338"/>
      <c r="B61" s="1339" t="s">
        <v>714</v>
      </c>
      <c r="C61" s="1543">
        <f t="shared" ref="C61:H61" si="61">+SUM(C56:C59)-C60</f>
        <v>16906.384000000002</v>
      </c>
      <c r="D61" s="1543">
        <f t="shared" si="61"/>
        <v>15916.822</v>
      </c>
      <c r="E61" s="1543">
        <f t="shared" si="61"/>
        <v>20120.097000000002</v>
      </c>
      <c r="F61" s="1543">
        <f t="shared" si="61"/>
        <v>21274.000000000004</v>
      </c>
      <c r="G61" s="1543">
        <f t="shared" si="61"/>
        <v>28594</v>
      </c>
      <c r="H61" s="1339">
        <f t="shared" si="61"/>
        <v>8978.7999999999993</v>
      </c>
      <c r="I61" s="1372">
        <f t="shared" ref="I61:O61" si="62">+SUM(I56:I59)-I60</f>
        <v>13809</v>
      </c>
      <c r="J61" s="1339">
        <f t="shared" si="62"/>
        <v>20745.2</v>
      </c>
      <c r="K61" s="1339">
        <f t="shared" si="62"/>
        <v>11896.4</v>
      </c>
      <c r="L61" s="1339">
        <f t="shared" si="62"/>
        <v>16227.1</v>
      </c>
      <c r="M61" s="1339">
        <f t="shared" si="62"/>
        <v>17741.099999999999</v>
      </c>
      <c r="N61" s="1339">
        <f t="shared" si="62"/>
        <v>16983.7</v>
      </c>
      <c r="O61" s="1339">
        <f t="shared" si="62"/>
        <v>17726.8</v>
      </c>
      <c r="P61" s="1339">
        <f>+SUM(P56:P59)-P60</f>
        <v>15536.9</v>
      </c>
      <c r="Q61" s="1339">
        <f>+SUM(Q56:Q59)-Q60</f>
        <v>14148.342000000002</v>
      </c>
      <c r="R61" s="1339">
        <f>+SUM(R56:R59)-R60</f>
        <v>15217.090476933507</v>
      </c>
      <c r="S61" s="1339">
        <f t="shared" ref="S61:T61" si="63">+SUM(S56:S59)-S60</f>
        <v>17621.400210845466</v>
      </c>
      <c r="T61" s="1339">
        <f t="shared" si="63"/>
        <v>20430.654473069611</v>
      </c>
      <c r="U61" s="1591" t="s">
        <v>2610</v>
      </c>
      <c r="V61" s="1453"/>
      <c r="W61" s="1453"/>
    </row>
    <row r="62" spans="1:23">
      <c r="A62" s="1336"/>
      <c r="B62" s="1335"/>
      <c r="C62" s="1454"/>
      <c r="D62" s="1454"/>
      <c r="E62" s="1454"/>
      <c r="F62" s="1454"/>
      <c r="G62" s="1454"/>
      <c r="H62" s="1335"/>
      <c r="I62" s="1358"/>
      <c r="J62" s="1335"/>
      <c r="K62" s="1335"/>
      <c r="L62" s="1335"/>
      <c r="M62" s="1335"/>
      <c r="N62" s="1335"/>
      <c r="O62" s="1335"/>
      <c r="P62" s="1335"/>
      <c r="Q62" s="1335"/>
      <c r="R62" s="1335"/>
      <c r="S62" s="1335"/>
      <c r="T62" s="1335"/>
      <c r="V62" s="1453"/>
      <c r="W62" s="1453"/>
    </row>
    <row r="63" spans="1:23" s="1542" customFormat="1" ht="14.25">
      <c r="A63" s="1537" t="s">
        <v>316</v>
      </c>
      <c r="B63" s="1489" t="s">
        <v>556</v>
      </c>
      <c r="C63" s="1538">
        <f>C61/'Inc Stmt'!C9*100</f>
        <v>39.163089924945993</v>
      </c>
      <c r="D63" s="1538">
        <f>D61/'Inc Stmt'!D9*100</f>
        <v>31.91223745841258</v>
      </c>
      <c r="E63" s="1538">
        <f>E61/'Inc Stmt'!E9*100</f>
        <v>33.8236352708075</v>
      </c>
      <c r="F63" s="1538">
        <f>F61/'Inc Stmt'!F9*100</f>
        <v>27.482379446476923</v>
      </c>
      <c r="G63" s="1538">
        <f>G61/'Inc Stmt'!G9*100</f>
        <v>29.807710350032629</v>
      </c>
      <c r="H63" s="1489">
        <f>H61/'Inc Stmt'!H9*100</f>
        <v>9.9576907934501122</v>
      </c>
      <c r="I63" s="1489">
        <f>I61/'Inc Stmt'!I9*100</f>
        <v>15.665680825792046</v>
      </c>
      <c r="J63" s="1489">
        <f>J61/'Inc Stmt'!J9*100</f>
        <v>17.45278455252064</v>
      </c>
      <c r="K63" s="1489">
        <f>K61/'Inc Stmt'!K9*100</f>
        <v>7.2546854142184856</v>
      </c>
      <c r="L63" s="1539">
        <f>L61/'Inc Stmt'!L9*100</f>
        <v>8.3092409332182235</v>
      </c>
      <c r="M63" s="1539">
        <f>M61/'Inc Stmt'!M9*100</f>
        <v>8.871769868356898</v>
      </c>
      <c r="N63" s="1539">
        <f>N61/'Inc Stmt'!N9*100</f>
        <v>8.4288402050471696</v>
      </c>
      <c r="O63" s="1539">
        <f>O61/'Inc Stmt'!O9*100</f>
        <v>8.2022912260358929</v>
      </c>
      <c r="P63" s="1539">
        <f>P61/'Inc Stmt'!P9*100</f>
        <v>6.8788374658867317</v>
      </c>
      <c r="Q63" s="1594">
        <v>6.5</v>
      </c>
      <c r="R63" s="1262">
        <v>5.8</v>
      </c>
      <c r="S63" s="1262">
        <v>5.8</v>
      </c>
      <c r="T63" s="1262">
        <v>5.8</v>
      </c>
      <c r="U63" s="1484" t="s">
        <v>2569</v>
      </c>
      <c r="V63" s="1453"/>
      <c r="W63" s="1453"/>
    </row>
    <row r="64" spans="1:23" s="1493" customFormat="1">
      <c r="A64" s="1355"/>
      <c r="B64" s="1356" t="s">
        <v>715</v>
      </c>
      <c r="C64" s="1356"/>
      <c r="D64" s="1356"/>
      <c r="E64" s="1356"/>
      <c r="F64" s="1356"/>
      <c r="G64" s="1356"/>
      <c r="H64" s="1356"/>
      <c r="I64" s="1357"/>
      <c r="J64" s="1356"/>
      <c r="K64" s="1356"/>
      <c r="L64" s="1356"/>
      <c r="M64" s="1356"/>
      <c r="N64" s="1356"/>
      <c r="O64" s="1356"/>
      <c r="P64" s="1356"/>
      <c r="Q64" s="1356"/>
      <c r="R64" s="1356"/>
      <c r="S64" s="1356"/>
      <c r="T64" s="1356"/>
      <c r="V64" s="1453"/>
      <c r="W64" s="1453"/>
    </row>
    <row r="65" spans="1:23">
      <c r="A65" s="1336"/>
      <c r="B65" s="1335"/>
      <c r="C65" s="1454"/>
      <c r="D65" s="1454"/>
      <c r="E65" s="1454"/>
      <c r="F65" s="1454"/>
      <c r="G65" s="1454"/>
      <c r="H65" s="1335"/>
      <c r="I65" s="1358"/>
      <c r="J65" s="1335"/>
      <c r="K65" s="1335"/>
      <c r="L65" s="1335"/>
      <c r="M65" s="1335"/>
      <c r="N65" s="1335"/>
      <c r="O65" s="1335"/>
      <c r="P65" s="1335"/>
      <c r="Q65" s="1335"/>
      <c r="R65" s="1335"/>
      <c r="S65" s="1335"/>
      <c r="T65" s="1335"/>
      <c r="V65" s="1453"/>
      <c r="W65" s="1453"/>
    </row>
    <row r="66" spans="1:23" ht="14.25">
      <c r="A66" s="1336" t="s">
        <v>678</v>
      </c>
      <c r="B66" s="1335" t="s">
        <v>550</v>
      </c>
      <c r="C66" s="1454">
        <v>275.84300000000002</v>
      </c>
      <c r="D66" s="1454">
        <v>346.20299999999997</v>
      </c>
      <c r="E66" s="1454">
        <v>604.23299999999995</v>
      </c>
      <c r="F66" s="1454">
        <v>590.6</v>
      </c>
      <c r="G66" s="1454">
        <v>297.3</v>
      </c>
      <c r="H66" s="1335">
        <v>771.3</v>
      </c>
      <c r="I66" s="1358">
        <v>1256.8</v>
      </c>
      <c r="J66" s="1335">
        <v>1059.7</v>
      </c>
      <c r="K66" s="1335">
        <v>2164.1999999999998</v>
      </c>
      <c r="L66" s="1335">
        <v>2970.2</v>
      </c>
      <c r="M66" s="1335">
        <f>10.2+2123.5</f>
        <v>2133.6999999999998</v>
      </c>
      <c r="N66" s="1335">
        <f>4170.7+10.2</f>
        <v>4180.8999999999996</v>
      </c>
      <c r="O66" s="1335">
        <v>3468.4</v>
      </c>
      <c r="P66" s="1335">
        <v>2319.6</v>
      </c>
      <c r="Q66" s="1335">
        <f>P66*1.1</f>
        <v>2551.56</v>
      </c>
      <c r="R66" s="1100">
        <f>Q66*1.1</f>
        <v>2806.7160000000003</v>
      </c>
      <c r="S66" s="1100">
        <f t="shared" ref="S66:T66" si="64">R66*1.1</f>
        <v>3087.3876000000005</v>
      </c>
      <c r="T66" s="1100">
        <f t="shared" si="64"/>
        <v>3396.1263600000007</v>
      </c>
      <c r="U66" s="1484" t="s">
        <v>2570</v>
      </c>
      <c r="V66" s="1453"/>
      <c r="W66" s="1453"/>
    </row>
    <row r="67" spans="1:23">
      <c r="A67" s="1336" t="s">
        <v>678</v>
      </c>
      <c r="B67" s="1335" t="s">
        <v>709</v>
      </c>
      <c r="C67" s="1454"/>
      <c r="D67" s="1454">
        <f>21.893+9.818</f>
        <v>31.710999999999999</v>
      </c>
      <c r="E67" s="1454">
        <f>15.762+3.667</f>
        <v>19.429000000000002</v>
      </c>
      <c r="F67" s="1454">
        <v>6.3</v>
      </c>
      <c r="G67" s="1454">
        <v>2.6</v>
      </c>
      <c r="H67" s="1335">
        <v>20.2</v>
      </c>
      <c r="I67" s="1358"/>
      <c r="J67" s="1335"/>
      <c r="K67" s="1335"/>
      <c r="L67" s="1335"/>
      <c r="M67" s="1335"/>
      <c r="N67" s="1335"/>
      <c r="O67" s="1335"/>
      <c r="P67" s="1335"/>
      <c r="Q67" s="1335"/>
      <c r="R67" s="1335"/>
      <c r="S67" s="1335"/>
      <c r="T67" s="1335"/>
      <c r="V67" s="1453"/>
      <c r="W67" s="1453"/>
    </row>
    <row r="68" spans="1:23" ht="14.25">
      <c r="A68" s="1336" t="s">
        <v>678</v>
      </c>
      <c r="B68" s="1335" t="s">
        <v>717</v>
      </c>
      <c r="C68" s="1454"/>
      <c r="D68" s="1454"/>
      <c r="E68" s="1454"/>
      <c r="F68" s="1454"/>
      <c r="G68" s="1454"/>
      <c r="H68" s="1335"/>
      <c r="I68" s="1358"/>
      <c r="J68" s="1335"/>
      <c r="K68" s="1335"/>
      <c r="L68" s="1335"/>
      <c r="M68" s="1335"/>
      <c r="N68" s="1335"/>
      <c r="O68" s="1335"/>
      <c r="P68" s="1335"/>
      <c r="Q68" s="1335"/>
      <c r="R68" s="1335"/>
      <c r="S68" s="1335"/>
      <c r="T68" s="1335"/>
      <c r="U68" s="1589"/>
      <c r="V68" s="1453"/>
      <c r="W68" s="1453"/>
    </row>
    <row r="69" spans="1:23" ht="14.25">
      <c r="A69" s="1336" t="s">
        <v>678</v>
      </c>
      <c r="B69" s="1335" t="s">
        <v>698</v>
      </c>
      <c r="C69" s="1454">
        <f>66.973+135.389+40.989+75.253</f>
        <v>318.60400000000004</v>
      </c>
      <c r="D69" s="1454">
        <f>65.927+10.989</f>
        <v>76.916000000000011</v>
      </c>
      <c r="E69" s="1454">
        <v>61.646999999999998</v>
      </c>
      <c r="F69" s="1454">
        <f>89.9+34.5</f>
        <v>124.4</v>
      </c>
      <c r="G69" s="1454">
        <f>25+11.8+25.5</f>
        <v>62.3</v>
      </c>
      <c r="H69" s="1335">
        <v>8</v>
      </c>
      <c r="I69" s="1358"/>
      <c r="J69" s="1335"/>
      <c r="K69" s="1335"/>
      <c r="L69" s="1335"/>
      <c r="M69" s="1335"/>
      <c r="N69" s="1335"/>
      <c r="O69" s="1335"/>
      <c r="P69" s="1335"/>
      <c r="Q69" s="1335"/>
      <c r="R69" s="1335"/>
      <c r="S69" s="1335"/>
      <c r="T69" s="1335"/>
      <c r="U69" s="1590"/>
      <c r="V69" s="1453"/>
      <c r="W69" s="1453"/>
    </row>
    <row r="70" spans="1:23" s="1424" customFormat="1">
      <c r="A70" s="1338"/>
      <c r="B70" s="1339" t="s">
        <v>698</v>
      </c>
      <c r="C70" s="1543">
        <f t="shared" ref="C70:H70" si="65">+SUM(C66:C69)</f>
        <v>594.44700000000012</v>
      </c>
      <c r="D70" s="1543">
        <f t="shared" si="65"/>
        <v>454.83</v>
      </c>
      <c r="E70" s="1543">
        <f t="shared" si="65"/>
        <v>685.30899999999997</v>
      </c>
      <c r="F70" s="1543">
        <f t="shared" si="65"/>
        <v>721.3</v>
      </c>
      <c r="G70" s="1543">
        <f t="shared" si="65"/>
        <v>362.20000000000005</v>
      </c>
      <c r="H70" s="1339">
        <f t="shared" si="65"/>
        <v>799.5</v>
      </c>
      <c r="I70" s="1372">
        <f t="shared" ref="I70:O70" si="66">+SUM(I66:I69)</f>
        <v>1256.8</v>
      </c>
      <c r="J70" s="1339">
        <f t="shared" si="66"/>
        <v>1059.7</v>
      </c>
      <c r="K70" s="1339">
        <f t="shared" si="66"/>
        <v>2164.1999999999998</v>
      </c>
      <c r="L70" s="1339">
        <f t="shared" si="66"/>
        <v>2970.2</v>
      </c>
      <c r="M70" s="1339">
        <f t="shared" si="66"/>
        <v>2133.6999999999998</v>
      </c>
      <c r="N70" s="1339">
        <f t="shared" si="66"/>
        <v>4180.8999999999996</v>
      </c>
      <c r="O70" s="1339">
        <f t="shared" si="66"/>
        <v>3468.4</v>
      </c>
      <c r="P70" s="1339">
        <f>+SUM(P66:P69)</f>
        <v>2319.6</v>
      </c>
      <c r="Q70" s="1339">
        <f>+SUM(Q66:Q69)</f>
        <v>2551.56</v>
      </c>
      <c r="R70" s="1339">
        <f>+SUM(R66:R69)</f>
        <v>2806.7160000000003</v>
      </c>
      <c r="S70" s="1339">
        <f t="shared" ref="S70:T70" si="67">+SUM(S66:S69)</f>
        <v>3087.3876000000005</v>
      </c>
      <c r="T70" s="1339">
        <f t="shared" si="67"/>
        <v>3396.1263600000007</v>
      </c>
      <c r="U70" s="1591" t="s">
        <v>2610</v>
      </c>
      <c r="V70" s="1453"/>
      <c r="W70" s="1453"/>
    </row>
    <row r="71" spans="1:23">
      <c r="A71" s="1336"/>
      <c r="B71" s="1335"/>
      <c r="C71" s="1454"/>
      <c r="D71" s="1454"/>
      <c r="E71" s="1454"/>
      <c r="F71" s="1454"/>
      <c r="G71" s="1454"/>
      <c r="H71" s="1335"/>
      <c r="I71" s="1358"/>
      <c r="J71" s="1335"/>
      <c r="K71" s="1335"/>
      <c r="L71" s="1335"/>
      <c r="M71" s="1335"/>
      <c r="N71" s="1335"/>
      <c r="O71" s="1335"/>
      <c r="P71" s="1335"/>
      <c r="Q71" s="1335"/>
      <c r="R71" s="1335"/>
      <c r="S71" s="1335"/>
      <c r="T71" s="1335"/>
      <c r="V71" s="1453"/>
      <c r="W71" s="1453"/>
    </row>
    <row r="72" spans="1:23">
      <c r="A72" s="1511" t="s">
        <v>316</v>
      </c>
      <c r="B72" s="1335"/>
      <c r="C72" s="1454"/>
      <c r="D72" s="1454"/>
      <c r="E72" s="1454"/>
      <c r="F72" s="1454"/>
      <c r="G72" s="1454"/>
      <c r="H72" s="1335"/>
      <c r="I72" s="1358"/>
      <c r="J72" s="1335"/>
      <c r="K72" s="1335"/>
      <c r="L72" s="1335"/>
      <c r="M72" s="1335"/>
      <c r="N72" s="1335"/>
      <c r="O72" s="1335"/>
      <c r="P72" s="1335"/>
      <c r="Q72" s="1335"/>
      <c r="R72" s="1335"/>
      <c r="S72" s="1335"/>
      <c r="T72" s="1335"/>
      <c r="V72" s="1453"/>
      <c r="W72" s="1453"/>
    </row>
    <row r="73" spans="1:23" s="1493" customFormat="1" ht="14.25">
      <c r="A73" s="1355"/>
      <c r="B73" s="1356" t="s">
        <v>718</v>
      </c>
      <c r="C73" s="1356"/>
      <c r="D73" s="1356"/>
      <c r="E73" s="1356"/>
      <c r="F73" s="1356"/>
      <c r="G73" s="1356"/>
      <c r="H73" s="1356"/>
      <c r="I73" s="1357"/>
      <c r="J73" s="1356"/>
      <c r="K73" s="1356"/>
      <c r="L73" s="1356"/>
      <c r="M73" s="1356"/>
      <c r="N73" s="1356"/>
      <c r="O73" s="1356"/>
      <c r="P73" s="1356"/>
      <c r="Q73" s="1356"/>
      <c r="R73" s="1356"/>
      <c r="S73" s="1356"/>
      <c r="T73" s="1356"/>
      <c r="U73" s="1484"/>
      <c r="V73" s="1453"/>
      <c r="W73" s="1453"/>
    </row>
    <row r="74" spans="1:23">
      <c r="A74" s="1336"/>
      <c r="B74" s="1335"/>
      <c r="C74" s="1454"/>
      <c r="D74" s="1454"/>
      <c r="E74" s="1454"/>
      <c r="F74" s="1454"/>
      <c r="G74" s="1454"/>
      <c r="H74" s="1335"/>
      <c r="I74" s="1358"/>
      <c r="J74" s="1335"/>
      <c r="K74" s="1335"/>
      <c r="L74" s="1335"/>
      <c r="M74" s="1335"/>
      <c r="N74" s="1335"/>
      <c r="O74" s="1335"/>
      <c r="P74" s="1335"/>
      <c r="Q74" s="1335"/>
      <c r="R74" s="1335"/>
      <c r="S74" s="1335"/>
      <c r="T74" s="1335"/>
      <c r="V74" s="1453"/>
      <c r="W74" s="1453"/>
    </row>
    <row r="75" spans="1:23">
      <c r="A75" s="1336" t="s">
        <v>678</v>
      </c>
      <c r="B75" s="1335" t="s">
        <v>719</v>
      </c>
      <c r="C75" s="1454">
        <f>10.676+3.02</f>
        <v>13.696</v>
      </c>
      <c r="D75" s="1454">
        <v>141.16300000000001</v>
      </c>
      <c r="E75" s="1454">
        <v>53.901000000000003</v>
      </c>
      <c r="F75" s="1454">
        <v>5</v>
      </c>
      <c r="G75" s="1454">
        <v>1.4</v>
      </c>
      <c r="H75" s="1335">
        <v>0.7</v>
      </c>
      <c r="I75" s="1358"/>
      <c r="J75" s="1335"/>
      <c r="K75" s="1335"/>
      <c r="L75" s="1335"/>
      <c r="M75" s="1335"/>
      <c r="N75" s="1335"/>
      <c r="O75" s="1335"/>
      <c r="P75" s="1335"/>
      <c r="Q75" s="1335"/>
      <c r="R75" s="1335"/>
      <c r="S75" s="1335"/>
      <c r="T75" s="1335"/>
      <c r="V75" s="1453"/>
      <c r="W75" s="1453"/>
    </row>
    <row r="76" spans="1:23">
      <c r="A76" s="1336" t="s">
        <v>678</v>
      </c>
      <c r="B76" s="1335" t="s">
        <v>720</v>
      </c>
      <c r="C76" s="1454">
        <f>273.681+0.229</f>
        <v>273.90999999999997</v>
      </c>
      <c r="D76" s="1454">
        <f>641.525+0.192</f>
        <v>641.71699999999998</v>
      </c>
      <c r="E76" s="1454">
        <f>1018.964+0.072+1.479</f>
        <v>1020.5150000000001</v>
      </c>
      <c r="F76" s="1454">
        <f>798+5.4</f>
        <v>803.4</v>
      </c>
      <c r="G76" s="1454">
        <f>619.2+1</f>
        <v>620.20000000000005</v>
      </c>
      <c r="H76" s="1335">
        <f>546.1+152.3</f>
        <v>698.40000000000009</v>
      </c>
      <c r="I76" s="1358"/>
      <c r="J76" s="1335"/>
      <c r="K76" s="1335"/>
      <c r="L76" s="1335"/>
      <c r="M76" s="1335"/>
      <c r="N76" s="1335"/>
      <c r="O76" s="1335"/>
      <c r="P76" s="1335"/>
      <c r="Q76" s="1335"/>
      <c r="R76" s="1335"/>
      <c r="S76" s="1335"/>
      <c r="T76" s="1335"/>
      <c r="V76" s="1453"/>
      <c r="W76" s="1453"/>
    </row>
    <row r="77" spans="1:23">
      <c r="A77" s="1336" t="s">
        <v>678</v>
      </c>
      <c r="B77" s="1335" t="s">
        <v>721</v>
      </c>
      <c r="C77" s="1454">
        <v>10.01</v>
      </c>
      <c r="D77" s="1454">
        <f>0.5+0.009</f>
        <v>0.50900000000000001</v>
      </c>
      <c r="E77" s="1454">
        <f>0.878+0.012</f>
        <v>0.89</v>
      </c>
      <c r="F77" s="1454">
        <v>1.5</v>
      </c>
      <c r="G77" s="1454">
        <v>203.1</v>
      </c>
      <c r="H77" s="1335">
        <v>3.2</v>
      </c>
      <c r="I77" s="1358"/>
      <c r="J77" s="1335"/>
      <c r="K77" s="1335"/>
      <c r="L77" s="1335"/>
      <c r="M77" s="1335"/>
      <c r="N77" s="1335"/>
      <c r="O77" s="1335"/>
      <c r="P77" s="1335"/>
      <c r="Q77" s="1335"/>
      <c r="R77" s="1335"/>
      <c r="S77" s="1335"/>
      <c r="T77" s="1335"/>
      <c r="V77" s="1453"/>
      <c r="W77" s="1453"/>
    </row>
    <row r="78" spans="1:23">
      <c r="A78" s="1336" t="s">
        <v>678</v>
      </c>
      <c r="B78" s="1335" t="s">
        <v>723</v>
      </c>
      <c r="C78" s="1454">
        <v>2.5649999999999999</v>
      </c>
      <c r="D78" s="1454">
        <v>10.029999999999999</v>
      </c>
      <c r="E78" s="1454">
        <v>10</v>
      </c>
      <c r="F78" s="1454">
        <v>10</v>
      </c>
      <c r="G78" s="1454">
        <v>10</v>
      </c>
      <c r="H78" s="1335">
        <v>10</v>
      </c>
      <c r="I78" s="1358"/>
      <c r="J78" s="1335"/>
      <c r="K78" s="1335"/>
      <c r="L78" s="1335"/>
      <c r="M78" s="1335"/>
      <c r="N78" s="1335"/>
      <c r="O78" s="1335"/>
      <c r="P78" s="1335"/>
      <c r="Q78" s="1335"/>
      <c r="R78" s="1335"/>
      <c r="S78" s="1335"/>
      <c r="T78" s="1335"/>
      <c r="V78" s="1453"/>
      <c r="W78" s="1453"/>
    </row>
    <row r="79" spans="1:23">
      <c r="A79" s="1336" t="s">
        <v>678</v>
      </c>
      <c r="B79" s="1335" t="s">
        <v>724</v>
      </c>
      <c r="C79" s="1454">
        <v>7.0999999999999994E-2</v>
      </c>
      <c r="D79" s="1454"/>
      <c r="E79" s="1454"/>
      <c r="F79" s="1454"/>
      <c r="G79" s="1454"/>
      <c r="H79" s="1335"/>
      <c r="I79" s="1358"/>
      <c r="J79" s="1335"/>
      <c r="K79" s="1335"/>
      <c r="L79" s="1335"/>
      <c r="M79" s="1335"/>
      <c r="N79" s="1335"/>
      <c r="O79" s="1335"/>
      <c r="P79" s="1335"/>
      <c r="Q79" s="1335"/>
      <c r="R79" s="1335"/>
      <c r="S79" s="1335"/>
      <c r="T79" s="1335"/>
      <c r="V79" s="1453"/>
      <c r="W79" s="1453"/>
    </row>
    <row r="80" spans="1:23" ht="14.25">
      <c r="A80" s="1336" t="s">
        <v>678</v>
      </c>
      <c r="B80" s="1335" t="s">
        <v>318</v>
      </c>
      <c r="C80" s="1454"/>
      <c r="D80" s="1454">
        <v>0.28499999999999998</v>
      </c>
      <c r="E80" s="1454">
        <v>1.5</v>
      </c>
      <c r="F80" s="1454"/>
      <c r="G80" s="1454"/>
      <c r="H80" s="1335">
        <v>0.1</v>
      </c>
      <c r="I80" s="1358">
        <v>1426.4</v>
      </c>
      <c r="J80" s="1358">
        <v>1014.1</v>
      </c>
      <c r="K80" s="1358">
        <v>5564.9</v>
      </c>
      <c r="L80" s="1358">
        <v>16538.3</v>
      </c>
      <c r="M80" s="1358">
        <v>5588.5</v>
      </c>
      <c r="N80" s="1358">
        <f>4954.8-92</f>
        <v>4862.8</v>
      </c>
      <c r="O80" s="1358">
        <f>5861.5-110.8</f>
        <v>5750.7</v>
      </c>
      <c r="P80" s="1358">
        <v>8595.2000000000007</v>
      </c>
      <c r="Q80" s="1358">
        <f>Cashflow!Q56</f>
        <v>5567.4985222216674</v>
      </c>
      <c r="R80" s="1099">
        <v>5362</v>
      </c>
      <c r="S80" s="1099">
        <v>10610</v>
      </c>
      <c r="T80" s="1099">
        <v>33834</v>
      </c>
      <c r="U80" s="1484" t="s">
        <v>2615</v>
      </c>
      <c r="V80" s="1453"/>
      <c r="W80" s="1453"/>
    </row>
    <row r="81" spans="1:23" s="1424" customFormat="1">
      <c r="A81" s="1338"/>
      <c r="B81" s="1339" t="s">
        <v>716</v>
      </c>
      <c r="C81" s="1543">
        <f t="shared" ref="C81:H81" si="68">+SUM(C75:C80)</f>
        <v>300.25200000000001</v>
      </c>
      <c r="D81" s="1543">
        <f t="shared" si="68"/>
        <v>793.70399999999995</v>
      </c>
      <c r="E81" s="1543">
        <f t="shared" si="68"/>
        <v>1086.8060000000003</v>
      </c>
      <c r="F81" s="1543">
        <f t="shared" si="68"/>
        <v>819.9</v>
      </c>
      <c r="G81" s="1543">
        <f t="shared" si="68"/>
        <v>834.7</v>
      </c>
      <c r="H81" s="1339">
        <f t="shared" si="68"/>
        <v>712.4000000000002</v>
      </c>
      <c r="I81" s="1372">
        <f t="shared" ref="I81:O81" si="69">+SUM(I75:I80)</f>
        <v>1426.4</v>
      </c>
      <c r="J81" s="1339">
        <f t="shared" si="69"/>
        <v>1014.1</v>
      </c>
      <c r="K81" s="1339">
        <f t="shared" si="69"/>
        <v>5564.9</v>
      </c>
      <c r="L81" s="1339">
        <f t="shared" si="69"/>
        <v>16538.3</v>
      </c>
      <c r="M81" s="1339">
        <f t="shared" si="69"/>
        <v>5588.5</v>
      </c>
      <c r="N81" s="1339">
        <f t="shared" si="69"/>
        <v>4862.8</v>
      </c>
      <c r="O81" s="1339">
        <f t="shared" si="69"/>
        <v>5750.7</v>
      </c>
      <c r="P81" s="1339">
        <f>+SUM(P75:P80)</f>
        <v>8595.2000000000007</v>
      </c>
      <c r="Q81" s="1339">
        <f>+SUM(Q75:Q80)</f>
        <v>5567.4985222216674</v>
      </c>
      <c r="R81" s="1339">
        <f>+SUM(R75:R80)</f>
        <v>5362</v>
      </c>
      <c r="S81" s="1339">
        <f t="shared" ref="S81:T81" si="70">+SUM(S75:S80)</f>
        <v>10610</v>
      </c>
      <c r="T81" s="1339">
        <f t="shared" si="70"/>
        <v>33834</v>
      </c>
      <c r="U81" s="1591" t="s">
        <v>2610</v>
      </c>
      <c r="V81" s="1453"/>
      <c r="W81" s="1453"/>
    </row>
    <row r="82" spans="1:23">
      <c r="A82" s="1336"/>
      <c r="B82" s="1335"/>
      <c r="C82" s="1454"/>
      <c r="D82" s="1454"/>
      <c r="E82" s="1454"/>
      <c r="F82" s="1454"/>
      <c r="G82" s="1454"/>
      <c r="H82" s="1335"/>
      <c r="I82" s="1358"/>
      <c r="J82" s="1335"/>
      <c r="K82" s="1335"/>
      <c r="L82" s="1335"/>
      <c r="M82" s="1335"/>
      <c r="N82" s="1335"/>
      <c r="O82" s="1335"/>
      <c r="P82" s="1335"/>
      <c r="Q82" s="1335"/>
      <c r="R82" s="1335"/>
      <c r="S82" s="1335"/>
      <c r="T82" s="1335"/>
      <c r="V82" s="1453"/>
      <c r="W82" s="1453"/>
    </row>
    <row r="83" spans="1:23">
      <c r="A83" s="1511" t="s">
        <v>316</v>
      </c>
      <c r="B83" s="1335"/>
      <c r="C83" s="1454"/>
      <c r="D83" s="1454"/>
      <c r="E83" s="1454"/>
      <c r="F83" s="1454"/>
      <c r="G83" s="1454"/>
      <c r="H83" s="1335"/>
      <c r="I83" s="1358"/>
      <c r="J83" s="1335"/>
      <c r="K83" s="1335"/>
      <c r="L83" s="1335"/>
      <c r="M83" s="1335"/>
      <c r="N83" s="1335"/>
      <c r="O83" s="1335"/>
      <c r="P83" s="1335"/>
      <c r="Q83" s="1335"/>
      <c r="R83" s="1335"/>
      <c r="S83" s="1335"/>
      <c r="T83" s="1335"/>
      <c r="V83" s="1453"/>
      <c r="W83" s="1453"/>
    </row>
    <row r="84" spans="1:23" s="1493" customFormat="1">
      <c r="A84" s="1355"/>
      <c r="B84" s="1356" t="s">
        <v>736</v>
      </c>
      <c r="C84" s="1494"/>
      <c r="D84" s="1494"/>
      <c r="E84" s="1494"/>
      <c r="F84" s="1494"/>
      <c r="G84" s="1494"/>
      <c r="H84" s="1356"/>
      <c r="I84" s="1357"/>
      <c r="J84" s="1356"/>
      <c r="K84" s="1356"/>
      <c r="L84" s="1356"/>
      <c r="M84" s="1356"/>
      <c r="N84" s="1356"/>
      <c r="O84" s="1356"/>
      <c r="P84" s="1356"/>
      <c r="Q84" s="1356"/>
      <c r="R84" s="1356"/>
      <c r="S84" s="1356"/>
      <c r="T84" s="1356"/>
      <c r="V84" s="1453"/>
      <c r="W84" s="1453"/>
    </row>
    <row r="85" spans="1:23">
      <c r="A85" s="1336"/>
      <c r="B85" s="1335"/>
      <c r="C85" s="1454"/>
      <c r="D85" s="1454"/>
      <c r="E85" s="1454"/>
      <c r="F85" s="1454"/>
      <c r="G85" s="1454"/>
      <c r="H85" s="1335"/>
      <c r="I85" s="1358"/>
      <c r="J85" s="1335"/>
      <c r="K85" s="1335"/>
      <c r="L85" s="1335"/>
      <c r="M85" s="1335"/>
      <c r="N85" s="1335"/>
      <c r="O85" s="1335"/>
      <c r="P85" s="1335"/>
      <c r="Q85" s="1335"/>
      <c r="R85" s="1335"/>
      <c r="S85" s="1335"/>
      <c r="T85" s="1335"/>
      <c r="V85" s="1453"/>
      <c r="W85" s="1453"/>
    </row>
    <row r="86" spans="1:23" s="1453" customFormat="1">
      <c r="A86" s="1448" t="s">
        <v>678</v>
      </c>
      <c r="B86" s="1449" t="s">
        <v>733</v>
      </c>
      <c r="C86" s="1450">
        <f>+'Fixed Assets'!D32</f>
        <v>26221.88</v>
      </c>
      <c r="D86" s="1450">
        <f>+'Fixed Assets'!E32</f>
        <v>27029.869000000002</v>
      </c>
      <c r="E86" s="1450">
        <f>+'Fixed Assets'!F32</f>
        <v>27436.12</v>
      </c>
      <c r="F86" s="1450">
        <f>+'Fixed Assets'!G32</f>
        <v>28928.799999999999</v>
      </c>
      <c r="G86" s="1450">
        <f>+'Fixed Assets'!H32</f>
        <v>31744.1</v>
      </c>
      <c r="H86" s="1451">
        <f>+'Fixed Assets'!I32</f>
        <v>29895.5</v>
      </c>
      <c r="I86" s="1451">
        <f>+'Fixed Assets'!J32</f>
        <v>33395.1</v>
      </c>
      <c r="J86" s="1451">
        <f>+'Fixed Assets'!K32</f>
        <v>33792.5</v>
      </c>
      <c r="K86" s="1451">
        <f>+'Fixed Assets'!L32</f>
        <v>33908.800000000003</v>
      </c>
      <c r="L86" s="1451">
        <f>+'Fixed Assets'!M32</f>
        <v>33939.199999999997</v>
      </c>
      <c r="M86" s="1451">
        <f>+'Fixed Assets'!N32</f>
        <v>38288.5</v>
      </c>
      <c r="N86" s="1451">
        <f>+'Fixed Assets'!O32</f>
        <v>40770.400000000001</v>
      </c>
      <c r="O86" s="1451">
        <f>+'Fixed Assets'!P32</f>
        <v>41009.1</v>
      </c>
      <c r="P86" s="1451">
        <f>+'Fixed Assets'!Q32</f>
        <v>43902.5</v>
      </c>
      <c r="Q86" s="1451">
        <f>+'Fixed Assets'!R32</f>
        <v>46902.5</v>
      </c>
      <c r="R86" s="1451">
        <f>+'Fixed Assets'!S32</f>
        <v>50902.5</v>
      </c>
      <c r="S86" s="1451">
        <f>+'Fixed Assets'!T32</f>
        <v>54902.5</v>
      </c>
      <c r="T86" s="1451">
        <f>+'Fixed Assets'!U32</f>
        <v>58902.5</v>
      </c>
      <c r="V86" s="1474" t="s">
        <v>2586</v>
      </c>
      <c r="W86" s="1474" t="s">
        <v>2598</v>
      </c>
    </row>
    <row r="87" spans="1:23" s="1453" customFormat="1">
      <c r="A87" s="1448" t="s">
        <v>679</v>
      </c>
      <c r="B87" s="1449" t="s">
        <v>734</v>
      </c>
      <c r="C87" s="1450">
        <f>+'Fixed Assets'!D56</f>
        <v>13454.636399999998</v>
      </c>
      <c r="D87" s="1450">
        <f>+'Fixed Assets'!E56</f>
        <v>14966.813999999998</v>
      </c>
      <c r="E87" s="1450">
        <f>+'Fixed Assets'!F56</f>
        <v>16286.413</v>
      </c>
      <c r="F87" s="1450">
        <f>+'Fixed Assets'!G56</f>
        <v>17787.199999999997</v>
      </c>
      <c r="G87" s="1450">
        <f>+'Fixed Assets'!H56</f>
        <v>19224.300000000003</v>
      </c>
      <c r="H87" s="1451">
        <f>+'Fixed Assets'!I56</f>
        <v>17267.899999999998</v>
      </c>
      <c r="I87" s="1451">
        <f>+'Fixed Assets'!J56</f>
        <v>18093.900000000001</v>
      </c>
      <c r="J87" s="1451">
        <f>+'Fixed Assets'!K56</f>
        <v>18996.599999999999</v>
      </c>
      <c r="K87" s="1451">
        <f>+'Fixed Assets'!L56</f>
        <v>19124.5</v>
      </c>
      <c r="L87" s="1451">
        <f>+'Fixed Assets'!M56</f>
        <v>19143.3</v>
      </c>
      <c r="M87" s="1451">
        <f>+'Fixed Assets'!N56</f>
        <v>20244.2</v>
      </c>
      <c r="N87" s="1451">
        <f>+'Fixed Assets'!O56</f>
        <v>20710</v>
      </c>
      <c r="O87" s="1451">
        <f>+'Fixed Assets'!P56</f>
        <v>21836.7</v>
      </c>
      <c r="P87" s="1451">
        <f>+'Fixed Assets'!Q56</f>
        <v>23645.8</v>
      </c>
      <c r="Q87" s="1451">
        <f>+'Fixed Assets'!R56</f>
        <v>26718.7</v>
      </c>
      <c r="R87" s="1451">
        <f>+'Fixed Assets'!S56</f>
        <v>30092.9725</v>
      </c>
      <c r="S87" s="1451">
        <f>+'Fixed Assets'!T56</f>
        <v>33743.245000000003</v>
      </c>
      <c r="T87" s="1451">
        <f>+'Fixed Assets'!U56</f>
        <v>37726.420000000006</v>
      </c>
      <c r="V87" s="1474" t="s">
        <v>2586</v>
      </c>
      <c r="W87" s="1474" t="s">
        <v>2598</v>
      </c>
    </row>
    <row r="88" spans="1:23" s="1453" customFormat="1">
      <c r="A88" s="1448"/>
      <c r="B88" s="1449" t="s">
        <v>727</v>
      </c>
      <c r="C88" s="1450">
        <f>+'Fixed Assets'!D70</f>
        <v>12767.2436</v>
      </c>
      <c r="D88" s="1450">
        <f>+'Fixed Assets'!E70</f>
        <v>12063.055</v>
      </c>
      <c r="E88" s="1450">
        <f>+'Fixed Assets'!F70</f>
        <v>11149.706999999999</v>
      </c>
      <c r="F88" s="1450">
        <f>+'Fixed Assets'!G70</f>
        <v>11141.599999999999</v>
      </c>
      <c r="G88" s="1450">
        <f>+'Fixed Assets'!H70</f>
        <v>12519.800000000001</v>
      </c>
      <c r="H88" s="1451">
        <f>+'Fixed Assets'!I70</f>
        <v>12627.599999999999</v>
      </c>
      <c r="I88" s="1451">
        <f>+'Fixed Assets'!J70</f>
        <v>15301.199999999997</v>
      </c>
      <c r="J88" s="1451">
        <f>+'Fixed Assets'!K70</f>
        <v>14795.900000000001</v>
      </c>
      <c r="K88" s="1451">
        <f>+'Fixed Assets'!L70</f>
        <v>14784.300000000003</v>
      </c>
      <c r="L88" s="1451">
        <f>+'Fixed Assets'!M70</f>
        <v>14795.899999999998</v>
      </c>
      <c r="M88" s="1451">
        <f>+'Fixed Assets'!N70</f>
        <v>18044.3</v>
      </c>
      <c r="N88" s="1451">
        <f>+'Fixed Assets'!O70</f>
        <v>20060.400000000001</v>
      </c>
      <c r="O88" s="1451">
        <f>+'Fixed Assets'!P70</f>
        <v>19172.399999999998</v>
      </c>
      <c r="P88" s="1451">
        <f>+'Fixed Assets'!Q70</f>
        <v>20256.7</v>
      </c>
      <c r="Q88" s="1451">
        <f>+'Fixed Assets'!R70</f>
        <v>20183.8</v>
      </c>
      <c r="R88" s="1451">
        <f>+'Fixed Assets'!S70</f>
        <v>20809.5275</v>
      </c>
      <c r="S88" s="1451">
        <f>+'Fixed Assets'!T70</f>
        <v>21159.254999999997</v>
      </c>
      <c r="T88" s="1451">
        <f>+'Fixed Assets'!U70</f>
        <v>21176.079999999994</v>
      </c>
      <c r="V88" s="1474" t="s">
        <v>2586</v>
      </c>
      <c r="W88" s="1474" t="s">
        <v>2598</v>
      </c>
    </row>
    <row r="89" spans="1:23" s="1453" customFormat="1" ht="14.25">
      <c r="A89" s="1448" t="s">
        <v>678</v>
      </c>
      <c r="B89" s="1449" t="s">
        <v>726</v>
      </c>
      <c r="C89" s="1450">
        <f>+'Fixed Assets'!D71</f>
        <v>40.061</v>
      </c>
      <c r="D89" s="1450">
        <f>+'Fixed Assets'!E71</f>
        <v>82.715000000000003</v>
      </c>
      <c r="E89" s="1450">
        <f>+'Fixed Assets'!F71</f>
        <v>83.566000000000003</v>
      </c>
      <c r="F89" s="1450">
        <f>+'Fixed Assets'!G71</f>
        <v>241.8</v>
      </c>
      <c r="G89" s="1450">
        <f>+'Fixed Assets'!H71</f>
        <v>269.2</v>
      </c>
      <c r="H89" s="1451">
        <f>+'Fixed Assets'!I71</f>
        <v>347.4</v>
      </c>
      <c r="I89" s="1451">
        <f>+'Fixed Assets'!J71</f>
        <v>220.6</v>
      </c>
      <c r="J89" s="1451">
        <f>+'Fixed Assets'!K71</f>
        <v>415.2</v>
      </c>
      <c r="K89" s="1451">
        <f>+'Fixed Assets'!L71</f>
        <v>698.6</v>
      </c>
      <c r="L89" s="1451">
        <f>+'Fixed Assets'!M71</f>
        <v>416.5</v>
      </c>
      <c r="M89" s="1451">
        <f>+'Fixed Assets'!N71</f>
        <v>2935.5</v>
      </c>
      <c r="N89" s="1451">
        <f>+'Fixed Assets'!O71</f>
        <v>1440.6</v>
      </c>
      <c r="O89" s="1451">
        <f>+'Fixed Assets'!P71</f>
        <v>2549.4</v>
      </c>
      <c r="P89" s="1451">
        <f>+'Fixed Assets'!Q71</f>
        <v>522.4</v>
      </c>
      <c r="Q89" s="1451">
        <f>+'Fixed Assets'!R71</f>
        <v>522.4</v>
      </c>
      <c r="R89" s="1451">
        <f>+'Fixed Assets'!S71</f>
        <v>522.4</v>
      </c>
      <c r="S89" s="1451">
        <f>+'Fixed Assets'!T71</f>
        <v>522.4</v>
      </c>
      <c r="T89" s="1451">
        <f>+'Fixed Assets'!U71</f>
        <v>522.4</v>
      </c>
      <c r="U89" s="1484" t="s">
        <v>2615</v>
      </c>
    </row>
    <row r="90" spans="1:23" s="1424" customFormat="1">
      <c r="A90" s="1338"/>
      <c r="B90" s="1339" t="s">
        <v>725</v>
      </c>
      <c r="C90" s="1543">
        <f t="shared" ref="C90:H90" si="71">+C88+C89</f>
        <v>12807.304599999999</v>
      </c>
      <c r="D90" s="1543">
        <f t="shared" si="71"/>
        <v>12145.77</v>
      </c>
      <c r="E90" s="1543">
        <f t="shared" si="71"/>
        <v>11233.272999999999</v>
      </c>
      <c r="F90" s="1543">
        <f t="shared" si="71"/>
        <v>11383.399999999998</v>
      </c>
      <c r="G90" s="1543">
        <f t="shared" si="71"/>
        <v>12789.000000000002</v>
      </c>
      <c r="H90" s="1339">
        <f t="shared" si="71"/>
        <v>12974.999999999998</v>
      </c>
      <c r="I90" s="1372">
        <f t="shared" ref="I90:O90" si="72">+I88+I89</f>
        <v>15521.799999999997</v>
      </c>
      <c r="J90" s="1339">
        <f t="shared" si="72"/>
        <v>15211.100000000002</v>
      </c>
      <c r="K90" s="1339">
        <f t="shared" si="72"/>
        <v>15482.900000000003</v>
      </c>
      <c r="L90" s="1339">
        <f t="shared" si="72"/>
        <v>15212.399999999998</v>
      </c>
      <c r="M90" s="1339">
        <f t="shared" si="72"/>
        <v>20979.8</v>
      </c>
      <c r="N90" s="1339">
        <f t="shared" si="72"/>
        <v>21501</v>
      </c>
      <c r="O90" s="1339">
        <f t="shared" si="72"/>
        <v>21721.8</v>
      </c>
      <c r="P90" s="1339">
        <f>+P88+P89</f>
        <v>20779.100000000002</v>
      </c>
      <c r="Q90" s="1339">
        <f>+Q88+Q89</f>
        <v>20706.2</v>
      </c>
      <c r="R90" s="1339">
        <f>+R88+R89</f>
        <v>21331.927500000002</v>
      </c>
      <c r="S90" s="1339">
        <f t="shared" ref="S90:T90" si="73">+S88+S89</f>
        <v>21681.654999999999</v>
      </c>
      <c r="T90" s="1339">
        <f t="shared" si="73"/>
        <v>21698.479999999996</v>
      </c>
      <c r="U90" s="1591" t="s">
        <v>2610</v>
      </c>
      <c r="V90" s="1453"/>
      <c r="W90" s="1453"/>
    </row>
    <row r="91" spans="1:23">
      <c r="A91" s="1336"/>
      <c r="B91" s="1335"/>
      <c r="C91" s="1454"/>
      <c r="D91" s="1454"/>
      <c r="E91" s="1454"/>
      <c r="F91" s="1454"/>
      <c r="G91" s="1454"/>
      <c r="H91" s="1335"/>
      <c r="I91" s="1358"/>
      <c r="J91" s="1335"/>
      <c r="K91" s="1335"/>
      <c r="L91" s="1335"/>
      <c r="M91" s="1335"/>
      <c r="N91" s="1335"/>
      <c r="O91" s="1335"/>
      <c r="P91" s="1335"/>
      <c r="Q91" s="1335"/>
      <c r="R91" s="1335"/>
      <c r="S91" s="1335"/>
      <c r="T91" s="1335"/>
      <c r="U91" s="1453"/>
      <c r="V91" s="1453"/>
      <c r="W91" s="1453"/>
    </row>
    <row r="92" spans="1:23">
      <c r="A92" s="1336"/>
      <c r="B92" s="1335" t="s">
        <v>737</v>
      </c>
      <c r="C92" s="1454"/>
      <c r="D92" s="1454"/>
      <c r="E92" s="1454"/>
      <c r="F92" s="1454"/>
      <c r="G92" s="1454"/>
      <c r="H92" s="1335"/>
      <c r="I92" s="1358"/>
      <c r="J92" s="1335"/>
      <c r="K92" s="1335"/>
      <c r="L92" s="1335"/>
      <c r="M92" s="1335"/>
      <c r="N92" s="1335"/>
      <c r="O92" s="1335"/>
      <c r="P92" s="1335"/>
      <c r="Q92" s="1335"/>
      <c r="R92" s="1335"/>
      <c r="S92" s="1335"/>
      <c r="T92" s="1335"/>
      <c r="U92" s="1453"/>
      <c r="V92" s="1453"/>
      <c r="W92" s="1453"/>
    </row>
    <row r="93" spans="1:23">
      <c r="A93" s="1511" t="s">
        <v>316</v>
      </c>
      <c r="B93" s="1335"/>
      <c r="C93" s="1454"/>
      <c r="D93" s="1454"/>
      <c r="E93" s="1454"/>
      <c r="F93" s="1454"/>
      <c r="G93" s="1454"/>
      <c r="H93" s="1335"/>
      <c r="I93" s="1358"/>
      <c r="J93" s="1335"/>
      <c r="K93" s="1335"/>
      <c r="L93" s="1335"/>
      <c r="M93" s="1335"/>
      <c r="N93" s="1335"/>
      <c r="O93" s="1335"/>
      <c r="P93" s="1335"/>
      <c r="Q93" s="1335"/>
      <c r="R93" s="1335"/>
      <c r="S93" s="1335"/>
      <c r="T93" s="1335"/>
      <c r="U93" s="1453"/>
      <c r="V93" s="1453"/>
      <c r="W93" s="1453"/>
    </row>
    <row r="94" spans="1:23" s="1493" customFormat="1">
      <c r="A94" s="1355"/>
      <c r="B94" s="1356" t="s">
        <v>735</v>
      </c>
      <c r="C94" s="1494"/>
      <c r="D94" s="1494"/>
      <c r="E94" s="1494"/>
      <c r="F94" s="1494"/>
      <c r="G94" s="1494"/>
      <c r="H94" s="1356"/>
      <c r="I94" s="1357"/>
      <c r="J94" s="1356"/>
      <c r="K94" s="1356"/>
      <c r="L94" s="1356"/>
      <c r="M94" s="1356"/>
      <c r="N94" s="1356"/>
      <c r="O94" s="1356"/>
      <c r="P94" s="1356"/>
      <c r="Q94" s="1356"/>
      <c r="R94" s="1356"/>
      <c r="S94" s="1356"/>
      <c r="T94" s="1356"/>
      <c r="U94" s="1453"/>
      <c r="V94" s="1453"/>
      <c r="W94" s="1453"/>
    </row>
    <row r="95" spans="1:23">
      <c r="A95" s="1336"/>
      <c r="B95" s="1335"/>
      <c r="C95" s="1454"/>
      <c r="D95" s="1454"/>
      <c r="E95" s="1454"/>
      <c r="F95" s="1454"/>
      <c r="G95" s="1454"/>
      <c r="H95" s="1335"/>
      <c r="I95" s="1358"/>
      <c r="J95" s="1335"/>
      <c r="K95" s="1335"/>
      <c r="L95" s="1335"/>
      <c r="M95" s="1335"/>
      <c r="N95" s="1335"/>
      <c r="O95" s="1335"/>
      <c r="P95" s="1335"/>
      <c r="Q95" s="1335"/>
      <c r="R95" s="1335"/>
      <c r="S95" s="1335"/>
      <c r="T95" s="1335"/>
      <c r="U95" s="1453"/>
      <c r="V95" s="1453"/>
      <c r="W95" s="1453"/>
    </row>
    <row r="96" spans="1:23">
      <c r="A96" s="1336" t="s">
        <v>678</v>
      </c>
      <c r="B96" s="1335" t="s">
        <v>56</v>
      </c>
      <c r="C96" s="1454">
        <v>106.818</v>
      </c>
      <c r="D96" s="1454">
        <f>72.263+6.704</f>
        <v>78.966999999999999</v>
      </c>
      <c r="E96" s="1454">
        <f>38.32+4.469</f>
        <v>42.789000000000001</v>
      </c>
      <c r="F96" s="1454">
        <f>4.4+6.7+9</f>
        <v>20.100000000000001</v>
      </c>
      <c r="G96" s="1454">
        <f>2.2+11.7+35.8</f>
        <v>49.699999999999996</v>
      </c>
      <c r="H96" s="1335">
        <f>37.3+86.6</f>
        <v>123.89999999999999</v>
      </c>
      <c r="I96" s="1358">
        <v>162.6</v>
      </c>
      <c r="J96" s="1358"/>
      <c r="K96" s="1358">
        <v>42.800000000000004</v>
      </c>
      <c r="L96" s="1358">
        <v>21.4</v>
      </c>
      <c r="M96" s="1358"/>
      <c r="N96" s="1358">
        <f>M96</f>
        <v>0</v>
      </c>
      <c r="O96" s="1358">
        <f>N96</f>
        <v>0</v>
      </c>
      <c r="P96" s="1358">
        <f>O96</f>
        <v>0</v>
      </c>
      <c r="Q96" s="1358">
        <f>P96</f>
        <v>0</v>
      </c>
      <c r="R96" s="1358">
        <f>Q96</f>
        <v>0</v>
      </c>
      <c r="S96" s="1358">
        <f t="shared" ref="S96:T96" si="74">R96</f>
        <v>0</v>
      </c>
      <c r="T96" s="1358">
        <f t="shared" si="74"/>
        <v>0</v>
      </c>
      <c r="U96" s="1453"/>
      <c r="V96" s="1453"/>
      <c r="W96" s="1453"/>
    </row>
    <row r="97" spans="1:23">
      <c r="A97" s="1336" t="s">
        <v>678</v>
      </c>
      <c r="B97" s="1335" t="s">
        <v>55</v>
      </c>
      <c r="C97" s="1454"/>
      <c r="D97" s="1454"/>
      <c r="E97" s="1454"/>
      <c r="F97" s="1454"/>
      <c r="G97" s="1454"/>
      <c r="H97" s="1335"/>
      <c r="I97" s="1358"/>
      <c r="J97" s="1335"/>
      <c r="K97" s="1335"/>
      <c r="L97" s="1335"/>
      <c r="M97" s="1335"/>
      <c r="N97" s="1335"/>
      <c r="O97" s="1335"/>
      <c r="P97" s="1335"/>
      <c r="Q97" s="1335"/>
      <c r="R97" s="1335"/>
      <c r="S97" s="1335"/>
      <c r="T97" s="1335"/>
      <c r="U97" s="1453"/>
      <c r="V97" s="1453"/>
      <c r="W97" s="1453"/>
    </row>
    <row r="98" spans="1:23">
      <c r="A98" s="1336" t="s">
        <v>678</v>
      </c>
      <c r="B98" s="1335" t="s">
        <v>57</v>
      </c>
      <c r="C98" s="1454"/>
      <c r="D98" s="1454"/>
      <c r="E98" s="1454"/>
      <c r="F98" s="1454"/>
      <c r="G98" s="1454"/>
      <c r="H98" s="1335"/>
      <c r="I98" s="1358"/>
      <c r="J98" s="1335"/>
      <c r="K98" s="1335"/>
      <c r="L98" s="1335"/>
      <c r="M98" s="1335"/>
      <c r="N98" s="1335"/>
      <c r="O98" s="1335"/>
      <c r="P98" s="1335"/>
      <c r="Q98" s="1335"/>
      <c r="R98" s="1335"/>
      <c r="S98" s="1335"/>
      <c r="T98" s="1335"/>
      <c r="U98" s="1453"/>
      <c r="V98" s="1453"/>
      <c r="W98" s="1453"/>
    </row>
    <row r="99" spans="1:23">
      <c r="A99" s="1336" t="s">
        <v>679</v>
      </c>
      <c r="B99" s="1335" t="s">
        <v>58</v>
      </c>
      <c r="C99" s="1454"/>
      <c r="D99" s="1454">
        <v>2.234</v>
      </c>
      <c r="E99" s="1454">
        <v>2.234</v>
      </c>
      <c r="F99" s="1454">
        <v>6.7</v>
      </c>
      <c r="G99" s="1454">
        <v>8.4</v>
      </c>
      <c r="H99" s="1335">
        <v>18.600000000000001</v>
      </c>
      <c r="I99" s="1358"/>
      <c r="J99" s="1358"/>
      <c r="K99" s="1358"/>
      <c r="L99" s="1358"/>
      <c r="M99" s="1335"/>
      <c r="N99" s="1335"/>
      <c r="O99" s="1335"/>
      <c r="P99" s="1335"/>
      <c r="Q99" s="1335"/>
      <c r="R99" s="1335"/>
      <c r="S99" s="1335"/>
      <c r="T99" s="1335"/>
      <c r="U99" s="1453"/>
      <c r="V99" s="1453"/>
      <c r="W99" s="1453"/>
    </row>
    <row r="100" spans="1:23" s="1424" customFormat="1">
      <c r="A100" s="1338"/>
      <c r="B100" s="1339" t="s">
        <v>728</v>
      </c>
      <c r="C100" s="1543">
        <f t="shared" ref="C100:H100" si="75">+SUM(C96:C98)-C99</f>
        <v>106.818</v>
      </c>
      <c r="D100" s="1543">
        <f t="shared" si="75"/>
        <v>76.733000000000004</v>
      </c>
      <c r="E100" s="1543">
        <f t="shared" si="75"/>
        <v>40.555</v>
      </c>
      <c r="F100" s="1543">
        <f t="shared" si="75"/>
        <v>13.400000000000002</v>
      </c>
      <c r="G100" s="1543">
        <f t="shared" si="75"/>
        <v>41.3</v>
      </c>
      <c r="H100" s="1339">
        <f t="shared" si="75"/>
        <v>105.29999999999998</v>
      </c>
      <c r="I100" s="1372">
        <f t="shared" ref="I100:O100" si="76">+SUM(I96:I98)-I99</f>
        <v>162.6</v>
      </c>
      <c r="J100" s="1339">
        <f t="shared" si="76"/>
        <v>0</v>
      </c>
      <c r="K100" s="1339">
        <f t="shared" si="76"/>
        <v>42.800000000000004</v>
      </c>
      <c r="L100" s="1339">
        <f t="shared" si="76"/>
        <v>21.4</v>
      </c>
      <c r="M100" s="1339">
        <f t="shared" si="76"/>
        <v>0</v>
      </c>
      <c r="N100" s="1339">
        <f t="shared" si="76"/>
        <v>0</v>
      </c>
      <c r="O100" s="1339">
        <f t="shared" si="76"/>
        <v>0</v>
      </c>
      <c r="P100" s="1339">
        <f>+SUM(P96:P98)-P99</f>
        <v>0</v>
      </c>
      <c r="Q100" s="1339">
        <f>+SUM(Q96:Q98)-Q99</f>
        <v>0</v>
      </c>
      <c r="R100" s="1339">
        <f>+SUM(R96:R98)-R99</f>
        <v>0</v>
      </c>
      <c r="S100" s="1339">
        <f t="shared" ref="S100:T100" si="77">+SUM(S96:S98)-S99</f>
        <v>0</v>
      </c>
      <c r="T100" s="1339">
        <f t="shared" si="77"/>
        <v>0</v>
      </c>
      <c r="U100" s="1453"/>
      <c r="V100" s="1453"/>
      <c r="W100" s="1453"/>
    </row>
    <row r="101" spans="1:23">
      <c r="A101" s="1336"/>
      <c r="B101" s="1335"/>
      <c r="C101" s="1454"/>
      <c r="D101" s="1454"/>
      <c r="E101" s="1454"/>
      <c r="F101" s="1454"/>
      <c r="G101" s="1454"/>
      <c r="H101" s="1335"/>
      <c r="I101" s="1358"/>
      <c r="J101" s="1335"/>
      <c r="K101" s="1335"/>
      <c r="L101" s="1335"/>
      <c r="M101" s="1335"/>
      <c r="N101" s="1335"/>
      <c r="O101" s="1335"/>
      <c r="P101" s="1335"/>
      <c r="Q101" s="1335"/>
      <c r="R101" s="1335"/>
      <c r="S101" s="1335"/>
      <c r="T101" s="1335"/>
      <c r="U101" s="1453"/>
      <c r="V101" s="1453"/>
      <c r="W101" s="1453"/>
    </row>
    <row r="102" spans="1:23">
      <c r="A102" s="1336"/>
      <c r="B102" s="1335" t="s">
        <v>59</v>
      </c>
      <c r="C102" s="1454"/>
      <c r="D102" s="1454"/>
      <c r="E102" s="1454"/>
      <c r="F102" s="1454"/>
      <c r="G102" s="1454"/>
      <c r="H102" s="1335"/>
      <c r="I102" s="1358"/>
      <c r="J102" s="1335"/>
      <c r="K102" s="1335"/>
      <c r="L102" s="1335"/>
      <c r="M102" s="1335"/>
      <c r="N102" s="1335"/>
      <c r="O102" s="1335"/>
      <c r="P102" s="1335"/>
      <c r="Q102" s="1335"/>
      <c r="R102" s="1335"/>
      <c r="S102" s="1335"/>
      <c r="T102" s="1335"/>
      <c r="U102" s="1453"/>
      <c r="V102" s="1453"/>
      <c r="W102" s="1453"/>
    </row>
    <row r="103" spans="1:23">
      <c r="A103" s="1336"/>
      <c r="B103" s="1335"/>
      <c r="C103" s="1454"/>
      <c r="D103" s="1454"/>
      <c r="E103" s="1454"/>
      <c r="F103" s="1454"/>
      <c r="G103" s="1454"/>
      <c r="H103" s="1335"/>
      <c r="I103" s="1358"/>
      <c r="J103" s="1335"/>
      <c r="K103" s="1335"/>
      <c r="L103" s="1335"/>
      <c r="M103" s="1335"/>
      <c r="N103" s="1335"/>
      <c r="O103" s="1335"/>
      <c r="P103" s="1335"/>
      <c r="Q103" s="1335"/>
      <c r="R103" s="1335"/>
      <c r="S103" s="1335"/>
      <c r="T103" s="1335"/>
      <c r="U103" s="1453"/>
      <c r="V103" s="1453"/>
      <c r="W103" s="1453"/>
    </row>
    <row r="104" spans="1:23">
      <c r="A104" s="1511" t="s">
        <v>316</v>
      </c>
      <c r="B104" s="1335"/>
      <c r="C104" s="1454"/>
      <c r="D104" s="1454"/>
      <c r="E104" s="1454"/>
      <c r="F104" s="1454"/>
      <c r="G104" s="1454"/>
      <c r="H104" s="1335"/>
      <c r="I104" s="1358"/>
      <c r="J104" s="1335"/>
      <c r="K104" s="1335"/>
      <c r="L104" s="1335"/>
      <c r="M104" s="1335"/>
      <c r="N104" s="1335"/>
      <c r="O104" s="1335"/>
      <c r="P104" s="1335"/>
      <c r="Q104" s="1335"/>
      <c r="R104" s="1335"/>
      <c r="S104" s="1335"/>
      <c r="T104" s="1335"/>
      <c r="U104" s="1453"/>
      <c r="V104" s="1453"/>
      <c r="W104" s="1453"/>
    </row>
    <row r="105" spans="1:23" s="1493" customFormat="1">
      <c r="A105" s="1355"/>
      <c r="B105" s="1356" t="s">
        <v>60</v>
      </c>
      <c r="C105" s="1494"/>
      <c r="D105" s="1494"/>
      <c r="E105" s="1494"/>
      <c r="F105" s="1494"/>
      <c r="G105" s="1494"/>
      <c r="H105" s="1356"/>
      <c r="I105" s="1357"/>
      <c r="J105" s="1356"/>
      <c r="K105" s="1356"/>
      <c r="L105" s="1356"/>
      <c r="M105" s="1356"/>
      <c r="N105" s="1356"/>
      <c r="O105" s="1356"/>
      <c r="P105" s="1356"/>
      <c r="Q105" s="1356"/>
      <c r="R105" s="1356"/>
      <c r="S105" s="1356"/>
      <c r="T105" s="1356"/>
      <c r="U105" s="1453"/>
      <c r="V105" s="1453"/>
      <c r="W105" s="1453"/>
    </row>
    <row r="106" spans="1:23">
      <c r="A106" s="1336"/>
      <c r="B106" s="1335"/>
      <c r="C106" s="1454"/>
      <c r="D106" s="1454"/>
      <c r="E106" s="1454"/>
      <c r="F106" s="1454"/>
      <c r="G106" s="1454"/>
      <c r="H106" s="1335"/>
      <c r="I106" s="1358"/>
      <c r="J106" s="1335"/>
      <c r="K106" s="1335"/>
      <c r="L106" s="1335"/>
      <c r="M106" s="1335"/>
      <c r="N106" s="1335"/>
      <c r="O106" s="1335"/>
      <c r="P106" s="1335"/>
      <c r="Q106" s="1335"/>
      <c r="R106" s="1335"/>
      <c r="S106" s="1335"/>
      <c r="T106" s="1335"/>
      <c r="U106" s="1453"/>
      <c r="V106" s="1453"/>
      <c r="W106" s="1453"/>
    </row>
    <row r="107" spans="1:23">
      <c r="A107" s="1336" t="s">
        <v>678</v>
      </c>
      <c r="B107" s="1335" t="s">
        <v>61</v>
      </c>
      <c r="C107" s="1454">
        <f>1926.694</f>
        <v>1926.694</v>
      </c>
      <c r="D107" s="1454">
        <v>221.58600000000001</v>
      </c>
      <c r="E107" s="1454">
        <v>221.58600000000001</v>
      </c>
      <c r="F107" s="1454">
        <v>663.5</v>
      </c>
      <c r="G107" s="1454">
        <v>3083.8</v>
      </c>
      <c r="H107" s="1335">
        <v>3320.2</v>
      </c>
      <c r="I107" s="1358">
        <v>3783.9</v>
      </c>
      <c r="J107" s="1358">
        <v>8464.6</v>
      </c>
      <c r="K107" s="1358">
        <v>10565.4</v>
      </c>
      <c r="L107" s="1358">
        <v>11246.8</v>
      </c>
      <c r="M107" s="1358">
        <v>12187.5</v>
      </c>
      <c r="N107" s="1358">
        <v>12227.2</v>
      </c>
      <c r="O107" s="1358">
        <v>12227.2</v>
      </c>
      <c r="P107" s="1358">
        <f>O107</f>
        <v>12227.2</v>
      </c>
      <c r="Q107" s="1358">
        <f>P107</f>
        <v>12227.2</v>
      </c>
      <c r="R107" s="1099">
        <f>Q107</f>
        <v>12227.2</v>
      </c>
      <c r="S107" s="1099">
        <f>R107</f>
        <v>12227.2</v>
      </c>
      <c r="T107" s="1099">
        <f>S107</f>
        <v>12227.2</v>
      </c>
      <c r="U107" s="1453" t="s">
        <v>2599</v>
      </c>
      <c r="V107" s="1453"/>
      <c r="W107" s="1453"/>
    </row>
    <row r="108" spans="1:23" s="1417" customFormat="1">
      <c r="A108" s="1489"/>
      <c r="B108" s="1337" t="s">
        <v>62</v>
      </c>
      <c r="C108" s="1491"/>
      <c r="D108" s="1491"/>
      <c r="E108" s="1491"/>
      <c r="F108" s="1491"/>
      <c r="G108" s="1491"/>
      <c r="H108" s="1337"/>
      <c r="I108" s="1595"/>
      <c r="J108" s="1358"/>
      <c r="K108" s="1337"/>
      <c r="L108" s="1337"/>
      <c r="M108" s="1337"/>
      <c r="N108" s="1337"/>
      <c r="O108" s="1337"/>
      <c r="P108" s="1337"/>
      <c r="Q108" s="1337"/>
      <c r="R108" s="1337"/>
      <c r="S108" s="1337"/>
      <c r="T108" s="1337"/>
      <c r="U108" s="1453"/>
      <c r="V108" s="1453"/>
      <c r="W108" s="1453"/>
    </row>
    <row r="109" spans="1:23">
      <c r="A109" s="1336" t="s">
        <v>678</v>
      </c>
      <c r="B109" s="1371" t="s">
        <v>63</v>
      </c>
      <c r="C109" s="1454">
        <f>4688.185+221.586</f>
        <v>4909.7710000000006</v>
      </c>
      <c r="D109" s="1454">
        <v>4337.2330000000002</v>
      </c>
      <c r="E109" s="1454">
        <v>6044.7839999999997</v>
      </c>
      <c r="F109" s="1454">
        <v>7660.4</v>
      </c>
      <c r="G109" s="1454">
        <v>16824</v>
      </c>
      <c r="H109" s="1335">
        <v>5.7</v>
      </c>
      <c r="I109" s="1358">
        <v>5.7</v>
      </c>
      <c r="J109" s="1358"/>
      <c r="K109" s="1358"/>
      <c r="L109" s="1358">
        <f>636.2+5.7</f>
        <v>641.90000000000009</v>
      </c>
      <c r="M109" s="1358">
        <f>653.7+51</f>
        <v>704.7</v>
      </c>
      <c r="N109" s="1358">
        <v>641</v>
      </c>
      <c r="O109" s="1358">
        <v>615.30000000000007</v>
      </c>
      <c r="P109" s="1358">
        <v>604.29999999999995</v>
      </c>
      <c r="Q109" s="1358">
        <f>P109</f>
        <v>604.29999999999995</v>
      </c>
      <c r="R109" s="1099">
        <f>Q109</f>
        <v>604.29999999999995</v>
      </c>
      <c r="S109" s="1099">
        <f t="shared" ref="S109:T109" si="78">R109</f>
        <v>604.29999999999995</v>
      </c>
      <c r="T109" s="1099">
        <f t="shared" si="78"/>
        <v>604.29999999999995</v>
      </c>
      <c r="U109" s="1453" t="s">
        <v>2599</v>
      </c>
      <c r="V109" s="1453"/>
      <c r="W109" s="1453"/>
    </row>
    <row r="110" spans="1:23">
      <c r="A110" s="1336" t="s">
        <v>678</v>
      </c>
      <c r="B110" s="1371" t="s">
        <v>64</v>
      </c>
      <c r="C110" s="1454">
        <f>1514.771</f>
        <v>1514.771</v>
      </c>
      <c r="D110" s="1454">
        <v>1933.068</v>
      </c>
      <c r="E110" s="1454">
        <v>1513.223</v>
      </c>
      <c r="F110" s="1454">
        <f>4836.2</f>
        <v>4836.2</v>
      </c>
      <c r="G110" s="1454">
        <f>2400.7+100</f>
        <v>2500.6999999999998</v>
      </c>
      <c r="H110" s="1335">
        <v>1090</v>
      </c>
      <c r="I110" s="1358">
        <v>3390.8</v>
      </c>
      <c r="J110" s="1358">
        <v>550</v>
      </c>
      <c r="K110" s="1358">
        <v>250</v>
      </c>
      <c r="L110" s="1358">
        <v>6999</v>
      </c>
      <c r="M110" s="1358">
        <f>11230+1050</f>
        <v>12280</v>
      </c>
      <c r="N110" s="1358">
        <v>57550</v>
      </c>
      <c r="O110" s="1358">
        <v>62406</v>
      </c>
      <c r="P110" s="1337">
        <f>95126.6-P107-P109-P111+P113</f>
        <v>54330.3</v>
      </c>
      <c r="Q110" s="1358">
        <f>P110</f>
        <v>54330.3</v>
      </c>
      <c r="R110" s="1099">
        <f>Q110+15000</f>
        <v>69330.3</v>
      </c>
      <c r="S110" s="1099">
        <f>R110+15000</f>
        <v>84330.3</v>
      </c>
      <c r="T110" s="1099">
        <f>S110</f>
        <v>84330.3</v>
      </c>
      <c r="U110" s="1453" t="s">
        <v>2599</v>
      </c>
      <c r="V110" s="1453"/>
      <c r="W110" s="1453"/>
    </row>
    <row r="111" spans="1:23">
      <c r="A111" s="1336" t="s">
        <v>678</v>
      </c>
      <c r="B111" s="1371" t="s">
        <v>2399</v>
      </c>
      <c r="C111" s="1454">
        <f>9463.151+2427.945+5168.264+100</f>
        <v>17159.36</v>
      </c>
      <c r="D111" s="1454">
        <f>20285.963+2918.63+5883.948+334.68</f>
        <v>29423.221000000001</v>
      </c>
      <c r="E111" s="1454">
        <f>25610.978+2242.97+7516.971+150+358.03</f>
        <v>35878.949000000001</v>
      </c>
      <c r="F111" s="1454">
        <f>29271.4+2966.7+130.4+9795.4+1046.8+123.3</f>
        <v>43334.000000000007</v>
      </c>
      <c r="G111" s="1454">
        <f>22642.7+3665.5+74.9+9967.8+3209.5+51.2</f>
        <v>39611.599999999999</v>
      </c>
      <c r="H111" s="1335">
        <f>4534.2+11.3+1242.7+6268+49.4</f>
        <v>12105.6</v>
      </c>
      <c r="I111" s="1358">
        <f>2464.4+11.3+1010.6+3785.6+292.9</f>
        <v>7564.7999999999993</v>
      </c>
      <c r="J111" s="1358">
        <f>16458.2+9984.8+2410+2464.6</f>
        <v>31317.599999999999</v>
      </c>
      <c r="K111" s="1358">
        <v>38244.299999999996</v>
      </c>
      <c r="L111" s="1358">
        <f>7221.2+23775.6+51.6</f>
        <v>31048.399999999998</v>
      </c>
      <c r="M111" s="1358">
        <f>1331.6+3883.7+11737.6+6722.1+15457.5+1413</f>
        <v>40545.5</v>
      </c>
      <c r="N111" s="1358">
        <f>62599.3+22897-N107-N109-N110-N112+N113+92</f>
        <v>17205.300000000007</v>
      </c>
      <c r="O111" s="1358">
        <f>58005.6+33527.6-O107-O109-O110-O112+O113+110.8</f>
        <v>18430.699999999997</v>
      </c>
      <c r="P111" s="1358">
        <v>30000</v>
      </c>
      <c r="Q111" s="1358">
        <f>P111+40000</f>
        <v>70000</v>
      </c>
      <c r="R111" s="1099">
        <f>Q111+5000</f>
        <v>75000</v>
      </c>
      <c r="S111" s="1099">
        <f>R111</f>
        <v>75000</v>
      </c>
      <c r="T111" s="1099">
        <f>S111</f>
        <v>75000</v>
      </c>
      <c r="U111" s="1453" t="s">
        <v>2599</v>
      </c>
      <c r="V111" s="1453"/>
      <c r="W111" s="1453"/>
    </row>
    <row r="112" spans="1:23">
      <c r="A112" s="1336" t="s">
        <v>678</v>
      </c>
      <c r="B112" s="1335" t="s">
        <v>66</v>
      </c>
      <c r="C112" s="1454">
        <f>686.68+981.742+108.375+488.343+1.062</f>
        <v>2266.2019999999998</v>
      </c>
      <c r="D112" s="1454">
        <v>3185.0030000000002</v>
      </c>
      <c r="E112" s="1454">
        <v>2535.864</v>
      </c>
      <c r="F112" s="1454">
        <f>103.1+485.3+1928.5+98.2+110.7</f>
        <v>2725.7999999999997</v>
      </c>
      <c r="G112" s="1454">
        <f>414.4+2496.1+108.5+9.3</f>
        <v>3028.3</v>
      </c>
      <c r="H112" s="1335"/>
      <c r="I112" s="1358">
        <f>H112*1.07</f>
        <v>0</v>
      </c>
      <c r="J112" s="1358">
        <v>260.80000000000291</v>
      </c>
      <c r="K112" s="1358"/>
      <c r="L112" s="1358">
        <f t="shared" ref="L112:Q112" si="79">K112*1.1</f>
        <v>0</v>
      </c>
      <c r="M112" s="1358">
        <f t="shared" si="79"/>
        <v>0</v>
      </c>
      <c r="N112" s="1358">
        <f t="shared" si="79"/>
        <v>0</v>
      </c>
      <c r="O112" s="1358">
        <f t="shared" si="79"/>
        <v>0</v>
      </c>
      <c r="P112" s="1358">
        <f t="shared" si="79"/>
        <v>0</v>
      </c>
      <c r="Q112" s="1358">
        <f t="shared" si="79"/>
        <v>0</v>
      </c>
      <c r="R112" s="1358">
        <f>Q112*1.1</f>
        <v>0</v>
      </c>
      <c r="S112" s="1358">
        <f t="shared" ref="S112" si="80">R112*1.1</f>
        <v>0</v>
      </c>
      <c r="T112" s="1358"/>
      <c r="U112" s="1453"/>
      <c r="V112" s="1453"/>
      <c r="W112" s="1453"/>
    </row>
    <row r="113" spans="1:23">
      <c r="A113" s="1336" t="s">
        <v>679</v>
      </c>
      <c r="B113" s="1335" t="s">
        <v>319</v>
      </c>
      <c r="C113" s="1454">
        <v>477.86</v>
      </c>
      <c r="D113" s="1454">
        <v>545.71100000000001</v>
      </c>
      <c r="E113" s="1454">
        <v>588.65200000000004</v>
      </c>
      <c r="F113" s="1454">
        <v>649.79999999999995</v>
      </c>
      <c r="G113" s="1454">
        <v>573.5</v>
      </c>
      <c r="H113" s="1335">
        <v>888.9</v>
      </c>
      <c r="I113" s="1358">
        <v>513.29999999999995</v>
      </c>
      <c r="J113" s="1358">
        <v>377.8</v>
      </c>
      <c r="K113" s="1358">
        <v>1107.7</v>
      </c>
      <c r="L113" s="1358">
        <v>1107.7</v>
      </c>
      <c r="M113" s="1358">
        <f>1397.9+14.9</f>
        <v>1412.8000000000002</v>
      </c>
      <c r="N113" s="1358">
        <f>2035.2</f>
        <v>2035.2</v>
      </c>
      <c r="O113" s="1358">
        <f>N113</f>
        <v>2035.2</v>
      </c>
      <c r="P113" s="1358">
        <v>2035.2</v>
      </c>
      <c r="Q113" s="1358">
        <f>P113</f>
        <v>2035.2</v>
      </c>
      <c r="R113" s="1099">
        <f>Q113</f>
        <v>2035.2</v>
      </c>
      <c r="S113" s="1099">
        <f t="shared" ref="S113:T113" si="81">R113</f>
        <v>2035.2</v>
      </c>
      <c r="T113" s="1099">
        <f t="shared" si="81"/>
        <v>2035.2</v>
      </c>
      <c r="U113" s="1453" t="s">
        <v>2599</v>
      </c>
      <c r="V113" s="1453"/>
      <c r="W113" s="1453"/>
    </row>
    <row r="114" spans="1:23" s="1424" customFormat="1">
      <c r="A114" s="1338"/>
      <c r="B114" s="1339" t="s">
        <v>60</v>
      </c>
      <c r="C114" s="1543">
        <f t="shared" ref="C114:H114" si="82">+C107+C109+C110+C111+C112-C113</f>
        <v>27298.938000000002</v>
      </c>
      <c r="D114" s="1543">
        <f t="shared" si="82"/>
        <v>38554.399999999994</v>
      </c>
      <c r="E114" s="1553">
        <f t="shared" si="82"/>
        <v>45605.754000000001</v>
      </c>
      <c r="F114" s="1543">
        <f t="shared" si="82"/>
        <v>58570.100000000006</v>
      </c>
      <c r="G114" s="1543">
        <f t="shared" si="82"/>
        <v>64474.9</v>
      </c>
      <c r="H114" s="1339">
        <f t="shared" si="82"/>
        <v>15632.6</v>
      </c>
      <c r="I114" s="1372">
        <f t="shared" ref="I114:O114" si="83">+I107+I109+I110+I111+I112-I113</f>
        <v>14231.9</v>
      </c>
      <c r="J114" s="1372">
        <f t="shared" si="83"/>
        <v>40215.199999999997</v>
      </c>
      <c r="K114" s="1372">
        <f t="shared" si="83"/>
        <v>47952</v>
      </c>
      <c r="L114" s="1339">
        <f t="shared" si="83"/>
        <v>48828.399999999994</v>
      </c>
      <c r="M114" s="1339">
        <f t="shared" si="83"/>
        <v>64304.899999999994</v>
      </c>
      <c r="N114" s="1339">
        <f t="shared" si="83"/>
        <v>85588.3</v>
      </c>
      <c r="O114" s="1339">
        <f t="shared" si="83"/>
        <v>91644</v>
      </c>
      <c r="P114" s="1339">
        <f>+P107+P109+P110+P111+P112-P113</f>
        <v>95126.6</v>
      </c>
      <c r="Q114" s="1339">
        <f>+Q107+Q109+Q110+Q111+Q112-Q113</f>
        <v>135126.59999999998</v>
      </c>
      <c r="R114" s="1339">
        <f>+R107+R109+R110+R111+R112-R113</f>
        <v>155126.59999999998</v>
      </c>
      <c r="S114" s="1339">
        <f t="shared" ref="S114:T114" si="84">+S107+S109+S110+S111+S112-S113</f>
        <v>170126.59999999998</v>
      </c>
      <c r="T114" s="1339">
        <f t="shared" si="84"/>
        <v>170126.59999999998</v>
      </c>
      <c r="U114" s="1591" t="s">
        <v>2610</v>
      </c>
      <c r="V114" s="1453"/>
      <c r="W114" s="1453"/>
    </row>
    <row r="115" spans="1:23">
      <c r="A115" s="1336"/>
      <c r="B115" s="1335"/>
      <c r="C115" s="1454"/>
      <c r="D115" s="1454"/>
      <c r="E115" s="1454"/>
      <c r="F115" s="1454"/>
      <c r="G115" s="1454"/>
      <c r="H115" s="1335"/>
      <c r="I115" s="1358"/>
      <c r="J115" s="1335"/>
      <c r="K115" s="1335"/>
      <c r="L115" s="1335"/>
      <c r="M115" s="1335"/>
      <c r="N115" s="1335"/>
      <c r="O115" s="1335"/>
      <c r="P115" s="1335"/>
      <c r="Q115" s="1335"/>
      <c r="R115" s="1335"/>
      <c r="S115" s="1335"/>
      <c r="T115" s="1335"/>
      <c r="U115" s="1453"/>
      <c r="V115" s="1453"/>
      <c r="W115" s="1453"/>
    </row>
    <row r="116" spans="1:23" s="1602" customFormat="1" ht="17.25">
      <c r="A116" s="1596" t="s">
        <v>316</v>
      </c>
      <c r="B116" s="1597" t="s">
        <v>2227</v>
      </c>
      <c r="C116" s="1598">
        <f>C114-C107</f>
        <v>25372.244000000002</v>
      </c>
      <c r="D116" s="1598">
        <f t="shared" ref="D116:O116" si="85">D114-D107</f>
        <v>38332.813999999991</v>
      </c>
      <c r="E116" s="1598">
        <f t="shared" si="85"/>
        <v>45384.167999999998</v>
      </c>
      <c r="F116" s="1598">
        <f t="shared" si="85"/>
        <v>57906.600000000006</v>
      </c>
      <c r="G116" s="1598">
        <f t="shared" si="85"/>
        <v>61391.1</v>
      </c>
      <c r="H116" s="1597">
        <f t="shared" si="85"/>
        <v>12312.400000000001</v>
      </c>
      <c r="I116" s="1599">
        <f t="shared" si="85"/>
        <v>10448</v>
      </c>
      <c r="J116" s="1597">
        <f t="shared" si="85"/>
        <v>31750.6</v>
      </c>
      <c r="K116" s="1597">
        <f t="shared" si="85"/>
        <v>37386.6</v>
      </c>
      <c r="L116" s="1597">
        <f t="shared" si="85"/>
        <v>37581.599999999991</v>
      </c>
      <c r="M116" s="1597">
        <f t="shared" si="85"/>
        <v>52117.399999999994</v>
      </c>
      <c r="N116" s="1597">
        <f t="shared" si="85"/>
        <v>73361.100000000006</v>
      </c>
      <c r="O116" s="1597">
        <f t="shared" si="85"/>
        <v>79416.800000000003</v>
      </c>
      <c r="P116" s="1597">
        <f>P114-P107</f>
        <v>82899.400000000009</v>
      </c>
      <c r="Q116" s="1597">
        <f>Q114-Q107</f>
        <v>122899.39999999998</v>
      </c>
      <c r="R116" s="1600">
        <f>R114-R107</f>
        <v>142899.39999999997</v>
      </c>
      <c r="S116" s="1600">
        <f t="shared" ref="S116:T116" si="86">S114-S107</f>
        <v>157899.39999999997</v>
      </c>
      <c r="T116" s="1600">
        <f t="shared" si="86"/>
        <v>157899.39999999997</v>
      </c>
      <c r="U116" s="1601"/>
      <c r="V116" s="1474" t="s">
        <v>2600</v>
      </c>
      <c r="W116" s="1601"/>
    </row>
    <row r="117" spans="1:23" s="1417" customFormat="1">
      <c r="A117" s="1537"/>
      <c r="B117" s="1337" t="s">
        <v>2395</v>
      </c>
      <c r="C117" s="1491"/>
      <c r="D117" s="1491"/>
      <c r="E117" s="1491"/>
      <c r="F117" s="1491"/>
      <c r="G117" s="1491"/>
      <c r="H117" s="1337"/>
      <c r="I117" s="1595"/>
      <c r="J117" s="1337"/>
      <c r="K117" s="1337"/>
      <c r="L117" s="1337"/>
      <c r="M117" s="1337">
        <f t="shared" ref="M117:R117" si="87">M116-M111</f>
        <v>11571.899999999994</v>
      </c>
      <c r="N117" s="1337">
        <f t="shared" si="87"/>
        <v>56155.8</v>
      </c>
      <c r="O117" s="1337">
        <f t="shared" si="87"/>
        <v>60986.100000000006</v>
      </c>
      <c r="P117" s="1337">
        <f t="shared" si="87"/>
        <v>52899.400000000009</v>
      </c>
      <c r="Q117" s="1337">
        <f t="shared" si="87"/>
        <v>52899.39999999998</v>
      </c>
      <c r="R117" s="1337">
        <f t="shared" si="87"/>
        <v>67899.399999999965</v>
      </c>
      <c r="S117" s="1337">
        <f t="shared" ref="S117:T117" si="88">S116-S111</f>
        <v>82899.399999999965</v>
      </c>
      <c r="T117" s="1337">
        <f t="shared" si="88"/>
        <v>82899.399999999965</v>
      </c>
      <c r="U117" s="1453"/>
      <c r="V117" s="1453"/>
      <c r="W117" s="1453"/>
    </row>
    <row r="118" spans="1:23" s="1493" customFormat="1">
      <c r="A118" s="1355"/>
      <c r="B118" s="1356" t="s">
        <v>67</v>
      </c>
      <c r="C118" s="1356"/>
      <c r="D118" s="1356"/>
      <c r="E118" s="1356"/>
      <c r="F118" s="1356"/>
      <c r="G118" s="1356"/>
      <c r="H118" s="1356"/>
      <c r="I118" s="1357"/>
      <c r="J118" s="1356"/>
      <c r="K118" s="1356"/>
      <c r="L118" s="1356"/>
      <c r="M118" s="1356"/>
      <c r="N118" s="1356"/>
      <c r="O118" s="1356"/>
      <c r="P118" s="1356"/>
      <c r="Q118" s="1356"/>
      <c r="R118" s="1356"/>
      <c r="S118" s="1356"/>
      <c r="T118" s="1356"/>
      <c r="U118" s="1453"/>
      <c r="V118" s="1453"/>
      <c r="W118" s="1453"/>
    </row>
    <row r="119" spans="1:23">
      <c r="A119" s="1336"/>
      <c r="B119" s="1335"/>
      <c r="C119" s="1454"/>
      <c r="D119" s="1454"/>
      <c r="E119" s="1454"/>
      <c r="F119" s="1454"/>
      <c r="G119" s="1454"/>
      <c r="H119" s="1335"/>
      <c r="I119" s="1358"/>
      <c r="J119" s="1335"/>
      <c r="K119" s="1335"/>
      <c r="L119" s="1335"/>
      <c r="M119" s="1335"/>
      <c r="N119" s="1335"/>
      <c r="O119" s="1335"/>
      <c r="P119" s="1335"/>
      <c r="Q119" s="1335"/>
      <c r="R119" s="1335"/>
      <c r="S119" s="1335"/>
      <c r="T119" s="1335"/>
      <c r="U119" s="1453"/>
      <c r="V119" s="1453"/>
      <c r="W119" s="1453"/>
    </row>
    <row r="120" spans="1:23">
      <c r="A120" s="1336" t="s">
        <v>678</v>
      </c>
      <c r="B120" s="1335" t="s">
        <v>729</v>
      </c>
      <c r="C120" s="1454">
        <v>680.62099999999998</v>
      </c>
      <c r="D120" s="1454">
        <v>1162.165</v>
      </c>
      <c r="E120" s="1454">
        <v>729.05499999999995</v>
      </c>
      <c r="F120" s="1454">
        <v>1026.3</v>
      </c>
      <c r="G120" s="1454">
        <v>1103.2</v>
      </c>
      <c r="H120" s="1335">
        <v>1309.5999999999999</v>
      </c>
      <c r="I120" s="1335">
        <v>1869.6</v>
      </c>
      <c r="J120" s="1335">
        <v>1901.2</v>
      </c>
      <c r="K120" s="1335">
        <v>1679.9</v>
      </c>
      <c r="L120" s="1335">
        <v>1579</v>
      </c>
      <c r="M120" s="1335">
        <v>1565.5</v>
      </c>
      <c r="N120" s="1335">
        <v>0</v>
      </c>
      <c r="O120" s="1335">
        <f>N120</f>
        <v>0</v>
      </c>
      <c r="P120" s="1335">
        <f>O120</f>
        <v>0</v>
      </c>
      <c r="Q120" s="1335">
        <f>P120</f>
        <v>0</v>
      </c>
      <c r="R120" s="1335">
        <f>Q120</f>
        <v>0</v>
      </c>
      <c r="S120" s="1335">
        <f t="shared" ref="S120:T121" si="89">R120</f>
        <v>0</v>
      </c>
      <c r="T120" s="1335">
        <f t="shared" si="89"/>
        <v>0</v>
      </c>
      <c r="U120" s="1453"/>
      <c r="V120" s="1453"/>
      <c r="W120" s="1453"/>
    </row>
    <row r="121" spans="1:23">
      <c r="A121" s="1336" t="s">
        <v>679</v>
      </c>
      <c r="B121" s="1335" t="s">
        <v>68</v>
      </c>
      <c r="C121" s="1454">
        <v>2404.7289999999998</v>
      </c>
      <c r="D121" s="1454">
        <v>2390.4009999999998</v>
      </c>
      <c r="E121" s="1454">
        <v>2128.02</v>
      </c>
      <c r="F121" s="1454">
        <v>1902.1</v>
      </c>
      <c r="G121" s="1454">
        <v>1844.9</v>
      </c>
      <c r="H121" s="1335">
        <v>1419.4</v>
      </c>
      <c r="I121" s="1335">
        <v>1647.9</v>
      </c>
      <c r="J121" s="1335">
        <v>1918.1</v>
      </c>
      <c r="K121" s="1335">
        <v>1977</v>
      </c>
      <c r="L121" s="1335">
        <v>2063.4</v>
      </c>
      <c r="M121" s="1335">
        <v>2716.5</v>
      </c>
      <c r="N121" s="1335">
        <v>1431.8</v>
      </c>
      <c r="O121" s="1335">
        <v>1415.8</v>
      </c>
      <c r="P121" s="1335">
        <v>1882.5</v>
      </c>
      <c r="Q121" s="1335">
        <f>P121</f>
        <v>1882.5</v>
      </c>
      <c r="R121" s="1100">
        <f>Q121</f>
        <v>1882.5</v>
      </c>
      <c r="S121" s="1100">
        <f t="shared" si="89"/>
        <v>1882.5</v>
      </c>
      <c r="T121" s="1100">
        <f t="shared" si="89"/>
        <v>1882.5</v>
      </c>
      <c r="U121" s="1453" t="s">
        <v>2618</v>
      </c>
      <c r="V121" s="1453"/>
      <c r="W121" s="1453"/>
    </row>
    <row r="122" spans="1:23" s="1424" customFormat="1">
      <c r="A122" s="1338"/>
      <c r="B122" s="1339" t="s">
        <v>730</v>
      </c>
      <c r="C122" s="1543">
        <f t="shared" ref="C122:H122" si="90">+C120-C121</f>
        <v>-1724.1079999999997</v>
      </c>
      <c r="D122" s="1543">
        <f t="shared" si="90"/>
        <v>-1228.2359999999999</v>
      </c>
      <c r="E122" s="1543">
        <f t="shared" si="90"/>
        <v>-1398.9650000000001</v>
      </c>
      <c r="F122" s="1543">
        <f t="shared" si="90"/>
        <v>-875.8</v>
      </c>
      <c r="G122" s="1543">
        <f t="shared" si="90"/>
        <v>-741.7</v>
      </c>
      <c r="H122" s="1339">
        <f t="shared" si="90"/>
        <v>-109.80000000000018</v>
      </c>
      <c r="I122" s="1603">
        <f t="shared" ref="I122:N122" si="91">+I120-I121</f>
        <v>221.69999999999982</v>
      </c>
      <c r="J122" s="1603">
        <f t="shared" si="91"/>
        <v>-16.899999999999864</v>
      </c>
      <c r="K122" s="1603">
        <f t="shared" si="91"/>
        <v>-297.09999999999991</v>
      </c>
      <c r="L122" s="1603">
        <f t="shared" si="91"/>
        <v>-484.40000000000009</v>
      </c>
      <c r="M122" s="1372">
        <f t="shared" si="91"/>
        <v>-1151</v>
      </c>
      <c r="N122" s="1372">
        <f t="shared" si="91"/>
        <v>-1431.8</v>
      </c>
      <c r="O122" s="1372">
        <f>+O120-O121</f>
        <v>-1415.8</v>
      </c>
      <c r="P122" s="1372">
        <f>+P120-P121</f>
        <v>-1882.5</v>
      </c>
      <c r="Q122" s="1372">
        <f>+Q120-Q121</f>
        <v>-1882.5</v>
      </c>
      <c r="R122" s="1372">
        <f>+R120-R121</f>
        <v>-1882.5</v>
      </c>
      <c r="S122" s="1372">
        <f t="shared" ref="S122:T122" si="92">+S120-S121</f>
        <v>-1882.5</v>
      </c>
      <c r="T122" s="1372">
        <f t="shared" si="92"/>
        <v>-1882.5</v>
      </c>
      <c r="U122" s="1591" t="s">
        <v>2610</v>
      </c>
      <c r="V122" s="1453"/>
      <c r="W122" s="1453"/>
    </row>
    <row r="123" spans="1:23">
      <c r="A123" s="1336"/>
      <c r="B123" s="1335"/>
      <c r="C123" s="1454"/>
      <c r="D123" s="1454"/>
      <c r="E123" s="1454"/>
      <c r="F123" s="1454"/>
      <c r="G123" s="1454"/>
      <c r="H123" s="1335"/>
      <c r="I123" s="1358"/>
      <c r="J123" s="1335"/>
      <c r="K123" s="1335"/>
      <c r="L123" s="1335"/>
      <c r="M123" s="1335"/>
      <c r="N123" s="1335"/>
      <c r="O123" s="1335"/>
      <c r="P123" s="1335"/>
      <c r="Q123" s="1335"/>
      <c r="R123" s="1335"/>
      <c r="S123" s="1335"/>
      <c r="T123" s="1335"/>
      <c r="U123" s="1453"/>
      <c r="V123" s="1453"/>
      <c r="W123" s="1453"/>
    </row>
    <row r="124" spans="1:23">
      <c r="A124" s="1511" t="s">
        <v>316</v>
      </c>
      <c r="B124" s="1335"/>
      <c r="C124" s="1454"/>
      <c r="D124" s="1454"/>
      <c r="E124" s="1454"/>
      <c r="F124" s="1454"/>
      <c r="G124" s="1454"/>
      <c r="H124" s="1335"/>
      <c r="I124" s="1358"/>
      <c r="J124" s="1335"/>
      <c r="K124" s="1335"/>
      <c r="L124" s="1335"/>
      <c r="M124" s="1335"/>
      <c r="N124" s="1335"/>
      <c r="O124" s="1335"/>
      <c r="P124" s="1335"/>
      <c r="Q124" s="1335"/>
      <c r="R124" s="1335"/>
      <c r="S124" s="1335"/>
      <c r="T124" s="1335"/>
      <c r="U124" s="1453"/>
      <c r="V124" s="1453"/>
      <c r="W124" s="1453"/>
    </row>
    <row r="125" spans="1:23" s="1493" customFormat="1">
      <c r="A125" s="1355"/>
      <c r="B125" s="1356" t="s">
        <v>154</v>
      </c>
      <c r="C125" s="1356"/>
      <c r="D125" s="1356"/>
      <c r="E125" s="1356"/>
      <c r="F125" s="1356"/>
      <c r="G125" s="1356"/>
      <c r="H125" s="1356"/>
      <c r="I125" s="1357"/>
      <c r="J125" s="1356"/>
      <c r="K125" s="1356"/>
      <c r="L125" s="1356"/>
      <c r="M125" s="1356"/>
      <c r="N125" s="1356"/>
      <c r="O125" s="1356"/>
      <c r="P125" s="1356"/>
      <c r="Q125" s="1356"/>
      <c r="R125" s="1356"/>
      <c r="S125" s="1356"/>
      <c r="T125" s="1356"/>
      <c r="U125" s="1453"/>
      <c r="V125" s="1453"/>
      <c r="W125" s="1453"/>
    </row>
    <row r="126" spans="1:23">
      <c r="A126" s="1336"/>
      <c r="B126" s="1335"/>
      <c r="C126" s="1454"/>
      <c r="D126" s="1454"/>
      <c r="E126" s="1454"/>
      <c r="F126" s="1454"/>
      <c r="G126" s="1454"/>
      <c r="H126" s="1335"/>
      <c r="I126" s="1358"/>
      <c r="J126" s="1335"/>
      <c r="K126" s="1335"/>
      <c r="L126" s="1335"/>
      <c r="M126" s="1335"/>
      <c r="N126" s="1335"/>
      <c r="O126" s="1335"/>
      <c r="P126" s="1335"/>
      <c r="Q126" s="1335"/>
      <c r="R126" s="1335"/>
      <c r="S126" s="1335"/>
      <c r="T126" s="1335"/>
      <c r="U126" s="1453"/>
      <c r="V126" s="1453"/>
      <c r="W126" s="1453"/>
    </row>
    <row r="127" spans="1:23">
      <c r="A127" s="1336" t="s">
        <v>678</v>
      </c>
      <c r="B127" s="1335" t="s">
        <v>155</v>
      </c>
      <c r="C127" s="1454"/>
      <c r="D127" s="1454"/>
      <c r="E127" s="1454"/>
      <c r="F127" s="1454"/>
      <c r="G127" s="1454"/>
      <c r="H127" s="1335"/>
      <c r="I127" s="1358">
        <v>1833</v>
      </c>
      <c r="J127" s="1335"/>
      <c r="K127" s="1335"/>
      <c r="L127" s="1335"/>
      <c r="M127" s="1335"/>
      <c r="N127" s="1335"/>
      <c r="O127" s="1335"/>
      <c r="P127" s="1335"/>
      <c r="Q127" s="1335"/>
      <c r="R127" s="1335"/>
      <c r="S127" s="1335"/>
      <c r="T127" s="1335"/>
      <c r="U127" s="1453"/>
      <c r="V127" s="1453"/>
      <c r="W127" s="1453"/>
    </row>
    <row r="128" spans="1:23">
      <c r="A128" s="1336" t="s">
        <v>678</v>
      </c>
      <c r="B128" s="1335" t="s">
        <v>156</v>
      </c>
      <c r="C128" s="1454"/>
      <c r="D128" s="1454"/>
      <c r="E128" s="1454"/>
      <c r="F128" s="1454"/>
      <c r="G128" s="1454"/>
      <c r="H128" s="1335"/>
      <c r="I128" s="1358"/>
      <c r="J128" s="1335"/>
      <c r="K128" s="1335"/>
      <c r="L128" s="1335"/>
      <c r="M128" s="1335"/>
      <c r="N128" s="1335"/>
      <c r="O128" s="1335"/>
      <c r="P128" s="1335"/>
      <c r="Q128" s="1335"/>
      <c r="R128" s="1335"/>
      <c r="S128" s="1335"/>
      <c r="T128" s="1335"/>
      <c r="U128" s="1453"/>
      <c r="V128" s="1453"/>
      <c r="W128" s="1453"/>
    </row>
    <row r="129" spans="1:23">
      <c r="A129" s="1336" t="s">
        <v>679</v>
      </c>
      <c r="B129" s="1335" t="s">
        <v>157</v>
      </c>
      <c r="C129" s="1454"/>
      <c r="D129" s="1454"/>
      <c r="E129" s="1454"/>
      <c r="F129" s="1454"/>
      <c r="G129" s="1454"/>
      <c r="H129" s="1335"/>
      <c r="I129" s="1358"/>
      <c r="J129" s="1335"/>
      <c r="K129" s="1335"/>
      <c r="L129" s="1335"/>
      <c r="M129" s="1335"/>
      <c r="N129" s="1335"/>
      <c r="O129" s="1335"/>
      <c r="P129" s="1335"/>
      <c r="Q129" s="1335"/>
      <c r="R129" s="1335"/>
      <c r="S129" s="1335"/>
      <c r="T129" s="1335"/>
      <c r="U129" s="1453"/>
      <c r="V129" s="1453"/>
      <c r="W129" s="1453"/>
    </row>
    <row r="130" spans="1:23">
      <c r="A130" s="1336"/>
      <c r="B130" s="1335" t="s">
        <v>158</v>
      </c>
      <c r="C130" s="1454">
        <f t="shared" ref="C130:H130" si="93">+C127+C128-C129</f>
        <v>0</v>
      </c>
      <c r="D130" s="1454">
        <f t="shared" si="93"/>
        <v>0</v>
      </c>
      <c r="E130" s="1454">
        <f t="shared" si="93"/>
        <v>0</v>
      </c>
      <c r="F130" s="1454">
        <f t="shared" si="93"/>
        <v>0</v>
      </c>
      <c r="G130" s="1454">
        <f t="shared" si="93"/>
        <v>0</v>
      </c>
      <c r="H130" s="1335">
        <f t="shared" si="93"/>
        <v>0</v>
      </c>
      <c r="I130" s="1358">
        <f t="shared" ref="I130:N130" si="94">+I127+I128-I129</f>
        <v>1833</v>
      </c>
      <c r="J130" s="1335">
        <f t="shared" si="94"/>
        <v>0</v>
      </c>
      <c r="K130" s="1335">
        <f t="shared" si="94"/>
        <v>0</v>
      </c>
      <c r="L130" s="1335">
        <f t="shared" si="94"/>
        <v>0</v>
      </c>
      <c r="M130" s="1335">
        <f t="shared" si="94"/>
        <v>0</v>
      </c>
      <c r="N130" s="1335">
        <f t="shared" si="94"/>
        <v>0</v>
      </c>
      <c r="O130" s="1335">
        <f>+O127+O128-O129</f>
        <v>0</v>
      </c>
      <c r="P130" s="1604">
        <f>+P127+P128-P129</f>
        <v>0</v>
      </c>
      <c r="Q130" s="1335">
        <f>+Q127+Q128-Q129</f>
        <v>0</v>
      </c>
      <c r="R130" s="1335">
        <f>+R127+R128-R129</f>
        <v>0</v>
      </c>
      <c r="S130" s="1335">
        <f t="shared" ref="S130:T130" si="95">+S127+S128-S129</f>
        <v>0</v>
      </c>
      <c r="T130" s="1335">
        <f t="shared" si="95"/>
        <v>0</v>
      </c>
      <c r="U130" s="1453"/>
      <c r="V130" s="1453"/>
      <c r="W130" s="1453"/>
    </row>
    <row r="131" spans="1:23" s="1424" customFormat="1">
      <c r="A131" s="1338"/>
      <c r="B131" s="1339" t="s">
        <v>153</v>
      </c>
      <c r="C131" s="1543">
        <f t="shared" ref="C131:H131" si="96">+C130</f>
        <v>0</v>
      </c>
      <c r="D131" s="1543">
        <f t="shared" si="96"/>
        <v>0</v>
      </c>
      <c r="E131" s="1543">
        <f t="shared" si="96"/>
        <v>0</v>
      </c>
      <c r="F131" s="1543">
        <f t="shared" si="96"/>
        <v>0</v>
      </c>
      <c r="G131" s="1543">
        <f t="shared" si="96"/>
        <v>0</v>
      </c>
      <c r="H131" s="1339">
        <f t="shared" si="96"/>
        <v>0</v>
      </c>
      <c r="I131" s="1372">
        <f t="shared" ref="I131:N131" si="97">+I130</f>
        <v>1833</v>
      </c>
      <c r="J131" s="1339">
        <f t="shared" si="97"/>
        <v>0</v>
      </c>
      <c r="K131" s="1339">
        <f t="shared" si="97"/>
        <v>0</v>
      </c>
      <c r="L131" s="1339">
        <f t="shared" si="97"/>
        <v>0</v>
      </c>
      <c r="M131" s="1339">
        <f t="shared" si="97"/>
        <v>0</v>
      </c>
      <c r="N131" s="1339">
        <f t="shared" si="97"/>
        <v>0</v>
      </c>
      <c r="O131" s="1339">
        <f>+O130</f>
        <v>0</v>
      </c>
      <c r="P131" s="1339">
        <f>+P130</f>
        <v>0</v>
      </c>
      <c r="Q131" s="1339">
        <f>+Q130</f>
        <v>0</v>
      </c>
      <c r="R131" s="1339">
        <f>+R130</f>
        <v>0</v>
      </c>
      <c r="S131" s="1339">
        <f t="shared" ref="S131:T131" si="98">+S130</f>
        <v>0</v>
      </c>
      <c r="T131" s="1339">
        <f t="shared" si="98"/>
        <v>0</v>
      </c>
      <c r="U131" s="1453"/>
      <c r="V131" s="1453"/>
      <c r="W131" s="1453"/>
    </row>
    <row r="132" spans="1:23">
      <c r="A132" s="1511" t="s">
        <v>316</v>
      </c>
      <c r="B132" s="1335"/>
      <c r="C132" s="1454"/>
      <c r="D132" s="1454"/>
      <c r="E132" s="1454"/>
      <c r="F132" s="1454"/>
      <c r="G132" s="1454"/>
      <c r="H132" s="1335"/>
      <c r="I132" s="1358"/>
      <c r="J132" s="1335"/>
      <c r="K132" s="1335"/>
      <c r="L132" s="1335"/>
      <c r="M132" s="1335"/>
      <c r="N132" s="1335"/>
      <c r="O132" s="1335"/>
      <c r="P132" s="1335"/>
      <c r="Q132" s="1335"/>
      <c r="R132" s="1335"/>
      <c r="S132" s="1335"/>
      <c r="T132" s="1335"/>
      <c r="U132" s="1453"/>
      <c r="V132" s="1453"/>
      <c r="W132" s="1453"/>
    </row>
    <row r="133" spans="1:23" s="1493" customFormat="1">
      <c r="A133" s="1355"/>
      <c r="B133" s="1356" t="s">
        <v>73</v>
      </c>
      <c r="C133" s="1356"/>
      <c r="D133" s="1356"/>
      <c r="E133" s="1356"/>
      <c r="F133" s="1356"/>
      <c r="G133" s="1356"/>
      <c r="H133" s="1356"/>
      <c r="I133" s="1357"/>
      <c r="J133" s="1356"/>
      <c r="K133" s="1356"/>
      <c r="L133" s="1356"/>
      <c r="M133" s="1356"/>
      <c r="N133" s="1356"/>
      <c r="O133" s="1356"/>
      <c r="P133" s="1356"/>
      <c r="Q133" s="1356"/>
      <c r="R133" s="1356"/>
      <c r="S133" s="1356"/>
      <c r="T133" s="1356"/>
      <c r="U133" s="1453"/>
      <c r="V133" s="1453"/>
      <c r="W133" s="1453"/>
    </row>
    <row r="134" spans="1:23">
      <c r="A134" s="1336"/>
      <c r="B134" s="1335"/>
      <c r="C134" s="1454"/>
      <c r="D134" s="1454"/>
      <c r="E134" s="1454"/>
      <c r="F134" s="1454"/>
      <c r="G134" s="1454"/>
      <c r="H134" s="1335"/>
      <c r="I134" s="1358"/>
      <c r="J134" s="1335"/>
      <c r="K134" s="1335"/>
      <c r="L134" s="1335"/>
      <c r="M134" s="1335"/>
      <c r="N134" s="1335"/>
      <c r="O134" s="1335"/>
      <c r="P134" s="1335"/>
      <c r="Q134" s="1335"/>
      <c r="R134" s="1335"/>
      <c r="S134" s="1335"/>
      <c r="T134" s="1335"/>
      <c r="U134" s="1453"/>
      <c r="V134" s="1453"/>
      <c r="W134" s="1453"/>
    </row>
    <row r="135" spans="1:23">
      <c r="A135" s="1336" t="s">
        <v>678</v>
      </c>
      <c r="B135" s="1335" t="s">
        <v>74</v>
      </c>
      <c r="C135" s="1454">
        <v>4136.0600000000004</v>
      </c>
      <c r="D135" s="1454">
        <v>6231.7</v>
      </c>
      <c r="E135" s="1454">
        <v>7351.4409999999998</v>
      </c>
      <c r="F135" s="1454">
        <v>11558.2</v>
      </c>
      <c r="G135" s="1454">
        <v>13745.1</v>
      </c>
      <c r="H135" s="1335">
        <f>13.8+9495.3</f>
        <v>9509.0999999999985</v>
      </c>
      <c r="I135" s="1358">
        <v>12339.5</v>
      </c>
      <c r="J135" s="1358">
        <v>15712</v>
      </c>
      <c r="K135" s="1358">
        <v>19430.8</v>
      </c>
      <c r="L135" s="1358">
        <f>27191.9-L136-L139</f>
        <v>17240.800000000003</v>
      </c>
      <c r="M135" s="1358">
        <v>19796.099999999999</v>
      </c>
      <c r="N135" s="1358">
        <v>21114</v>
      </c>
      <c r="O135" s="1358">
        <v>17997.5</v>
      </c>
      <c r="P135" s="1358">
        <v>20270.400000000001</v>
      </c>
      <c r="Q135" s="1358">
        <f>('Inc Stmt'!Q10+'Inc Stmt'!Q14+'Inc Stmt'!Q15)*'Bal Sheet'!Q142/365</f>
        <v>17845.659837290139</v>
      </c>
      <c r="R135" s="1099">
        <f>('Inc Stmt'!R10+'Inc Stmt'!R14+'Inc Stmt'!R15)*'Bal Sheet'!R142/365</f>
        <v>19341.127542303315</v>
      </c>
      <c r="S135" s="1099">
        <f>('Inc Stmt'!S10+'Inc Stmt'!S14+'Inc Stmt'!S15)*'Bal Sheet'!S142/365</f>
        <v>19705.25074592459</v>
      </c>
      <c r="T135" s="1099">
        <f>('Inc Stmt'!T10+'Inc Stmt'!T14+'Inc Stmt'!T15)*'Bal Sheet'!T142/365</f>
        <v>19990.001579155585</v>
      </c>
      <c r="U135" s="1605" t="s">
        <v>2570</v>
      </c>
      <c r="V135" s="1453"/>
      <c r="W135" s="1453"/>
    </row>
    <row r="136" spans="1:23">
      <c r="A136" s="1336" t="s">
        <v>678</v>
      </c>
      <c r="B136" s="1335" t="s">
        <v>75</v>
      </c>
      <c r="C136" s="1454">
        <f>2.531+150.138</f>
        <v>152.66900000000001</v>
      </c>
      <c r="D136" s="1454">
        <v>192.97399999999999</v>
      </c>
      <c r="E136" s="1454">
        <v>228.98599999999999</v>
      </c>
      <c r="F136" s="1454">
        <v>448.9</v>
      </c>
      <c r="G136" s="1454">
        <v>952.5</v>
      </c>
      <c r="H136" s="1335">
        <v>948.4</v>
      </c>
      <c r="I136" s="1358"/>
      <c r="J136" s="1335">
        <v>1993.8</v>
      </c>
      <c r="K136" s="1335">
        <v>2574.6</v>
      </c>
      <c r="L136" s="1335">
        <v>2790</v>
      </c>
      <c r="M136" s="1335">
        <v>2009.1</v>
      </c>
      <c r="N136" s="1335">
        <v>4491</v>
      </c>
      <c r="O136" s="1335">
        <v>4395.7</v>
      </c>
      <c r="P136" s="1335">
        <v>1747.8</v>
      </c>
      <c r="Q136" s="1335">
        <f>P136*1.1</f>
        <v>1922.5800000000002</v>
      </c>
      <c r="R136" s="1100"/>
      <c r="S136" s="1100"/>
      <c r="T136" s="1100"/>
      <c r="U136" s="1453" t="s">
        <v>2599</v>
      </c>
      <c r="V136" s="1453"/>
      <c r="W136" s="1453"/>
    </row>
    <row r="137" spans="1:23">
      <c r="A137" s="1336" t="s">
        <v>678</v>
      </c>
      <c r="B137" s="1335" t="s">
        <v>76</v>
      </c>
      <c r="C137" s="1454"/>
      <c r="D137" s="1454"/>
      <c r="E137" s="1454"/>
      <c r="F137" s="1454"/>
      <c r="G137" s="1454"/>
      <c r="H137" s="1335"/>
      <c r="I137" s="1358"/>
      <c r="J137" s="1335"/>
      <c r="K137" s="1335"/>
      <c r="L137" s="1335"/>
      <c r="M137" s="1335"/>
      <c r="N137" s="1335"/>
      <c r="O137" s="1335"/>
      <c r="P137" s="1335"/>
      <c r="Q137" s="1335"/>
      <c r="R137" s="1335"/>
      <c r="S137" s="1335"/>
      <c r="T137" s="1335"/>
      <c r="U137" s="1453"/>
      <c r="V137" s="1453"/>
      <c r="W137" s="1453"/>
    </row>
    <row r="138" spans="1:23">
      <c r="A138" s="1336" t="s">
        <v>678</v>
      </c>
      <c r="B138" s="1335" t="s">
        <v>77</v>
      </c>
      <c r="C138" s="1454"/>
      <c r="D138" s="1454"/>
      <c r="E138" s="1454"/>
      <c r="F138" s="1454"/>
      <c r="G138" s="1454"/>
      <c r="H138" s="1335"/>
      <c r="I138" s="1358"/>
      <c r="J138" s="1335"/>
      <c r="K138" s="1335"/>
      <c r="L138" s="1335"/>
      <c r="M138" s="1335"/>
      <c r="N138" s="1335"/>
      <c r="O138" s="1335"/>
      <c r="P138" s="1335"/>
      <c r="Q138" s="1335"/>
      <c r="R138" s="1335"/>
      <c r="S138" s="1335"/>
      <c r="T138" s="1335"/>
      <c r="U138" s="1453"/>
      <c r="V138" s="1453"/>
      <c r="W138" s="1453"/>
    </row>
    <row r="139" spans="1:23">
      <c r="A139" s="1336" t="s">
        <v>678</v>
      </c>
      <c r="B139" s="1335" t="s">
        <v>78</v>
      </c>
      <c r="C139" s="1454">
        <v>260.30500000000001</v>
      </c>
      <c r="D139" s="1454">
        <f>0.023+27.24+230.86+0.005+1.971+0.427+40.762</f>
        <v>301.28800000000001</v>
      </c>
      <c r="E139" s="1454">
        <f>0.0158+38.79+229.587+0.005+1.582+0.295</f>
        <v>270.27479999999997</v>
      </c>
      <c r="F139" s="1454">
        <f>51.6+229.9+0.1</f>
        <v>281.60000000000002</v>
      </c>
      <c r="G139" s="1454">
        <f>57.8+231.7+2.6</f>
        <v>292.10000000000002</v>
      </c>
      <c r="H139" s="1335">
        <v>39.5</v>
      </c>
      <c r="I139" s="1358"/>
      <c r="J139" s="1335">
        <f>2479.7+17.2+38.9+20.9</f>
        <v>2556.6999999999998</v>
      </c>
      <c r="K139" s="1335">
        <f>(214.71+11.4)*10</f>
        <v>2261.1000000000004</v>
      </c>
      <c r="L139" s="1335">
        <f>5590.4+1570.7</f>
        <v>7161.0999999999995</v>
      </c>
      <c r="M139" s="1335">
        <f>1220.6+25257.7-M135-M136</f>
        <v>4673.1000000000004</v>
      </c>
      <c r="N139" s="1335">
        <f>21114+7661.4+874.3-N135-N136</f>
        <v>4044.7000000000007</v>
      </c>
      <c r="O139" s="1335">
        <f>17997.5+7674.7+575.9-O135-O136-0.58</f>
        <v>3854.3200000000024</v>
      </c>
      <c r="P139" s="1335">
        <f>6045.3-P136+297.8</f>
        <v>4595.3</v>
      </c>
      <c r="Q139" s="1335">
        <f>P139*1.1</f>
        <v>5054.8300000000008</v>
      </c>
      <c r="R139" s="1100"/>
      <c r="S139" s="1100"/>
      <c r="T139" s="1100"/>
      <c r="U139" s="1453" t="s">
        <v>2599</v>
      </c>
      <c r="V139" s="1453"/>
      <c r="W139" s="1453"/>
    </row>
    <row r="140" spans="1:23" s="1424" customFormat="1">
      <c r="A140" s="1338"/>
      <c r="B140" s="1339" t="s">
        <v>69</v>
      </c>
      <c r="C140" s="1543">
        <f t="shared" ref="C140:H140" si="99">+SUM(C135:C139)</f>
        <v>4549.0340000000006</v>
      </c>
      <c r="D140" s="1543">
        <f t="shared" si="99"/>
        <v>6725.9619999999995</v>
      </c>
      <c r="E140" s="1543">
        <f t="shared" si="99"/>
        <v>7850.7017999999998</v>
      </c>
      <c r="F140" s="1543">
        <f t="shared" si="99"/>
        <v>12288.7</v>
      </c>
      <c r="G140" s="1543">
        <f t="shared" si="99"/>
        <v>14989.7</v>
      </c>
      <c r="H140" s="1339">
        <f t="shared" si="99"/>
        <v>10496.999999999998</v>
      </c>
      <c r="I140" s="1372">
        <f t="shared" ref="I140:O140" si="100">+SUM(I135:I139)</f>
        <v>12339.5</v>
      </c>
      <c r="J140" s="1339">
        <f t="shared" si="100"/>
        <v>20262.5</v>
      </c>
      <c r="K140" s="1339">
        <f t="shared" si="100"/>
        <v>24266.5</v>
      </c>
      <c r="L140" s="1339">
        <f t="shared" si="100"/>
        <v>27191.9</v>
      </c>
      <c r="M140" s="1339">
        <f t="shared" si="100"/>
        <v>26478.299999999996</v>
      </c>
      <c r="N140" s="1339">
        <f t="shared" si="100"/>
        <v>29649.7</v>
      </c>
      <c r="O140" s="1339">
        <f t="shared" si="100"/>
        <v>26247.520000000004</v>
      </c>
      <c r="P140" s="1339">
        <f>+SUM(P135:P139)</f>
        <v>26613.5</v>
      </c>
      <c r="Q140" s="1339">
        <f>+SUM(Q135:Q139)</f>
        <v>24823.069837290142</v>
      </c>
      <c r="R140" s="1339">
        <f>+SUM(R135:R139)</f>
        <v>19341.127542303315</v>
      </c>
      <c r="S140" s="1339">
        <f t="shared" ref="S140:T140" si="101">+SUM(S135:S139)</f>
        <v>19705.25074592459</v>
      </c>
      <c r="T140" s="1339">
        <f t="shared" si="101"/>
        <v>19990.001579155585</v>
      </c>
      <c r="U140" s="1591" t="s">
        <v>2610</v>
      </c>
      <c r="V140" s="1453"/>
      <c r="W140" s="1453"/>
    </row>
    <row r="141" spans="1:23">
      <c r="A141" s="1336"/>
      <c r="B141" s="1335"/>
      <c r="C141" s="1454"/>
      <c r="D141" s="1454"/>
      <c r="E141" s="1454"/>
      <c r="F141" s="1454"/>
      <c r="G141" s="1454"/>
      <c r="H141" s="1335"/>
      <c r="I141" s="1358"/>
      <c r="J141" s="1335"/>
      <c r="K141" s="1335"/>
      <c r="L141" s="1335"/>
      <c r="M141" s="1335"/>
      <c r="N141" s="1335"/>
      <c r="O141" s="1335"/>
      <c r="P141" s="1335"/>
      <c r="Q141" s="1335"/>
      <c r="R141" s="1335"/>
      <c r="S141" s="1335"/>
      <c r="T141" s="1335"/>
      <c r="U141" s="1453"/>
      <c r="V141" s="1453"/>
      <c r="W141" s="1453"/>
    </row>
    <row r="142" spans="1:23">
      <c r="A142" s="1511" t="s">
        <v>316</v>
      </c>
      <c r="B142" s="1489" t="s">
        <v>557</v>
      </c>
      <c r="C142" s="1454">
        <f>(C135+C136)/(('Inc Stmt'!C10+'Inc Stmt'!C14+'Inc Stmt'!C15)/365)</f>
        <v>44.466030210297447</v>
      </c>
      <c r="D142" s="1454">
        <f>(D135+D136)/(('Inc Stmt'!D10+'Inc Stmt'!D14+'Inc Stmt'!D15)/365)</f>
        <v>57.702220543079605</v>
      </c>
      <c r="E142" s="1454">
        <f>(E135+E136)/(('Inc Stmt'!E10+'Inc Stmt'!E14+'Inc Stmt'!E15)/365)</f>
        <v>55.186093732170669</v>
      </c>
      <c r="F142" s="1454">
        <f>(F135+F136)/(('Inc Stmt'!F10+'Inc Stmt'!F14+'Inc Stmt'!F15)/365)</f>
        <v>69.436761977492338</v>
      </c>
      <c r="G142" s="1454">
        <f>(G135+G136)/(('Inc Stmt'!G10+'Inc Stmt'!G14+'Inc Stmt'!G15)/365)</f>
        <v>66.201810589083166</v>
      </c>
      <c r="H142" s="1335">
        <f>(H135+H136)/(('Inc Stmt'!H10+'Inc Stmt'!H14+'Inc Stmt'!H15)/365)</f>
        <v>49.014348654059262</v>
      </c>
      <c r="I142" s="1335">
        <f>(I135+I136)/(('Inc Stmt'!I10+'Inc Stmt'!I14+'Inc Stmt'!I15)/365)</f>
        <v>58.564690202197532</v>
      </c>
      <c r="J142" s="1335">
        <f>(J135+J136)/(('Inc Stmt'!J10+'Inc Stmt'!J14+'Inc Stmt'!J15)/365)</f>
        <v>69.27879533725968</v>
      </c>
      <c r="K142" s="1335">
        <f>(K135)/(('Inc Stmt'!K10+'Inc Stmt'!K14+'Inc Stmt'!K15)/365)</f>
        <v>53.631553515159162</v>
      </c>
      <c r="L142" s="1335">
        <f>(L135)/(('Inc Stmt'!L10+'Inc Stmt'!L14+'Inc Stmt'!L15)/365)</f>
        <v>39.805781394004306</v>
      </c>
      <c r="M142" s="1335">
        <f>(M135)/(('Inc Stmt'!M10+'Inc Stmt'!M14+'Inc Stmt'!M15)/365)</f>
        <v>44.168275343537587</v>
      </c>
      <c r="N142" s="1335">
        <f>(N135)/(('Inc Stmt'!N10+'Inc Stmt'!N14+'Inc Stmt'!N15)/365)</f>
        <v>48.459553372344402</v>
      </c>
      <c r="O142" s="1335">
        <f>(O135)/(('Inc Stmt'!O10+'Inc Stmt'!O14+'Inc Stmt'!O15)/365)</f>
        <v>37.655472209038109</v>
      </c>
      <c r="P142" s="1335">
        <f>(P135)/(('Inc Stmt'!P10+'Inc Stmt'!P14+'Inc Stmt'!P15)/365)</f>
        <v>41.555015619576537</v>
      </c>
      <c r="Q142" s="1335">
        <f>P142-4</f>
        <v>37.555015619576537</v>
      </c>
      <c r="R142" s="1100">
        <v>33.555</v>
      </c>
      <c r="S142" s="1100">
        <v>29.555</v>
      </c>
      <c r="T142" s="1100">
        <v>25.555</v>
      </c>
      <c r="U142" s="1453" t="s">
        <v>2569</v>
      </c>
      <c r="V142" s="1453"/>
      <c r="W142" s="1453"/>
    </row>
    <row r="143" spans="1:23" s="1493" customFormat="1">
      <c r="A143" s="1355"/>
      <c r="B143" s="1356" t="s">
        <v>70</v>
      </c>
      <c r="C143" s="1356"/>
      <c r="D143" s="1356"/>
      <c r="E143" s="1356"/>
      <c r="F143" s="1356"/>
      <c r="G143" s="1356"/>
      <c r="H143" s="1356"/>
      <c r="I143" s="1357"/>
      <c r="J143" s="1356"/>
      <c r="K143" s="1356"/>
      <c r="L143" s="1356"/>
      <c r="M143" s="1356"/>
      <c r="N143" s="1356"/>
      <c r="O143" s="1356"/>
      <c r="P143" s="1356"/>
      <c r="Q143" s="1356"/>
      <c r="R143" s="1356"/>
      <c r="S143" s="1356"/>
      <c r="T143" s="1356"/>
      <c r="U143" s="1453"/>
      <c r="V143" s="1453"/>
      <c r="W143" s="1453"/>
    </row>
    <row r="144" spans="1:23">
      <c r="A144" s="1336"/>
      <c r="B144" s="1335"/>
      <c r="C144" s="1454"/>
      <c r="D144" s="1454"/>
      <c r="E144" s="1454"/>
      <c r="F144" s="1454"/>
      <c r="G144" s="1454"/>
      <c r="H144" s="1335"/>
      <c r="I144" s="1358"/>
      <c r="J144" s="1335"/>
      <c r="K144" s="1335"/>
      <c r="L144" s="1335"/>
      <c r="M144" s="1335"/>
      <c r="N144" s="1335"/>
      <c r="O144" s="1335"/>
      <c r="P144" s="1335"/>
      <c r="Q144" s="1335"/>
      <c r="R144" s="1335"/>
      <c r="S144" s="1335"/>
      <c r="T144" s="1335"/>
      <c r="U144" s="1453"/>
      <c r="V144" s="1453"/>
      <c r="W144" s="1453"/>
    </row>
    <row r="145" spans="1:23">
      <c r="A145" s="1336" t="s">
        <v>678</v>
      </c>
      <c r="B145" s="1335" t="s">
        <v>79</v>
      </c>
      <c r="C145" s="1454">
        <v>13259.8</v>
      </c>
      <c r="D145" s="1454">
        <v>13681</v>
      </c>
      <c r="E145" s="1454">
        <v>17064.599999999999</v>
      </c>
      <c r="F145" s="1454">
        <v>17891.2</v>
      </c>
      <c r="G145" s="1454">
        <v>22926.2</v>
      </c>
      <c r="H145" s="1335">
        <v>3961</v>
      </c>
      <c r="I145" s="1358">
        <v>7045</v>
      </c>
      <c r="J145" s="1358">
        <v>14171.2</v>
      </c>
      <c r="K145" s="1358">
        <v>30.299999999999997</v>
      </c>
      <c r="L145" s="1358">
        <v>90.4</v>
      </c>
      <c r="M145" s="1358">
        <v>40.1</v>
      </c>
      <c r="N145" s="1358">
        <v>717.5</v>
      </c>
      <c r="O145" s="1358">
        <v>71.900000000000006</v>
      </c>
      <c r="P145" s="1358">
        <v>343.7</v>
      </c>
      <c r="Q145" s="1358">
        <f>+P145</f>
        <v>343.7</v>
      </c>
      <c r="R145" s="1099">
        <f>Q145</f>
        <v>343.7</v>
      </c>
      <c r="S145" s="1099">
        <f t="shared" ref="S145:T145" si="102">R145</f>
        <v>343.7</v>
      </c>
      <c r="T145" s="1099">
        <f t="shared" si="102"/>
        <v>343.7</v>
      </c>
      <c r="U145" s="1453" t="s">
        <v>2599</v>
      </c>
      <c r="V145" s="1453"/>
      <c r="W145" s="1453"/>
    </row>
    <row r="146" spans="1:23">
      <c r="A146" s="1336" t="s">
        <v>678</v>
      </c>
      <c r="B146" s="1335" t="s">
        <v>80</v>
      </c>
      <c r="C146" s="1454">
        <v>1416.569</v>
      </c>
      <c r="D146" s="1454">
        <v>2529.587</v>
      </c>
      <c r="E146" s="1454">
        <v>2529.587</v>
      </c>
      <c r="F146" s="1454">
        <v>4047.4</v>
      </c>
      <c r="G146" s="1454">
        <v>4047.3</v>
      </c>
      <c r="H146" s="1335">
        <v>2893.7</v>
      </c>
      <c r="I146" s="1358">
        <f>541+3183</f>
        <v>3724</v>
      </c>
      <c r="J146" s="1358">
        <f>5787.3+961.2</f>
        <v>6748.5</v>
      </c>
      <c r="K146" s="1358">
        <f>(1157.47+187.77)*10</f>
        <v>13452.4</v>
      </c>
      <c r="L146" s="1358">
        <f>13021.5+2112.4</f>
        <v>15133.9</v>
      </c>
      <c r="M146" s="1358">
        <f>13021.5+2213</f>
        <v>15234.5</v>
      </c>
      <c r="N146" s="1358">
        <f>14468.4+2458.9</f>
        <v>16927.3</v>
      </c>
      <c r="O146" s="1358">
        <f>14468.4+2877.3</f>
        <v>17345.7</v>
      </c>
      <c r="P146" s="1550">
        <f>1446.8+294.5</f>
        <v>1741.3</v>
      </c>
      <c r="Q146" s="1358">
        <f>'Inc Stmt'!Q61+'Inc Stmt'!Q63</f>
        <v>22006.361871000005</v>
      </c>
      <c r="R146" s="1099">
        <f>('Inc Stmt'!R61+'Inc Stmt'!R63)</f>
        <v>25391.956005000004</v>
      </c>
      <c r="S146" s="1099">
        <f>('Inc Stmt'!S61+'Inc Stmt'!S63)</f>
        <v>25391.956005000004</v>
      </c>
      <c r="T146" s="1099">
        <f>('Inc Stmt'!T61+'Inc Stmt'!T63)</f>
        <v>25391.956005000004</v>
      </c>
      <c r="U146" s="1453" t="s">
        <v>2621</v>
      </c>
      <c r="V146" s="1453"/>
      <c r="W146" s="1453"/>
    </row>
    <row r="147" spans="1:23">
      <c r="A147" s="1336" t="s">
        <v>678</v>
      </c>
      <c r="B147" s="1335" t="s">
        <v>81</v>
      </c>
      <c r="C147" s="1454"/>
      <c r="D147" s="1454">
        <v>0</v>
      </c>
      <c r="E147" s="1454">
        <v>140</v>
      </c>
      <c r="F147" s="1454">
        <v>270</v>
      </c>
      <c r="G147" s="1454">
        <v>320</v>
      </c>
      <c r="H147" s="1335">
        <v>270.89999999999998</v>
      </c>
      <c r="I147" s="1358">
        <v>232</v>
      </c>
      <c r="J147" s="1335">
        <v>308.89999999999998</v>
      </c>
      <c r="K147" s="1335">
        <v>390.20000000000005</v>
      </c>
      <c r="L147" s="1335">
        <v>312</v>
      </c>
      <c r="M147" s="1335">
        <v>325.2</v>
      </c>
      <c r="N147" s="1335">
        <v>273</v>
      </c>
      <c r="O147" s="1335">
        <v>231.6</v>
      </c>
      <c r="P147" s="1335">
        <v>253</v>
      </c>
      <c r="Q147" s="1335">
        <f t="shared" ref="Q147" si="103">P147</f>
        <v>253</v>
      </c>
      <c r="R147" s="1100">
        <f>Q147</f>
        <v>253</v>
      </c>
      <c r="S147" s="1100">
        <f t="shared" ref="S147:T147" si="104">R147</f>
        <v>253</v>
      </c>
      <c r="T147" s="1100">
        <f t="shared" si="104"/>
        <v>253</v>
      </c>
      <c r="U147" s="1453" t="s">
        <v>2599</v>
      </c>
      <c r="V147" s="1453"/>
      <c r="W147" s="1453"/>
    </row>
    <row r="148" spans="1:23">
      <c r="A148" s="1336" t="s">
        <v>678</v>
      </c>
      <c r="B148" s="1335" t="s">
        <v>82</v>
      </c>
      <c r="C148" s="1454">
        <v>181.46969999999999</v>
      </c>
      <c r="D148" s="1454">
        <f>324.103</f>
        <v>324.10300000000001</v>
      </c>
      <c r="E148" s="1454">
        <v>354.774</v>
      </c>
      <c r="F148" s="1454">
        <f>382.7+567.6</f>
        <v>950.3</v>
      </c>
      <c r="G148" s="1454">
        <f>356.6+687.8</f>
        <v>1044.4000000000001</v>
      </c>
      <c r="H148" s="1335">
        <f>723.9+491.8</f>
        <v>1215.7</v>
      </c>
      <c r="I148" s="1358">
        <f>1022.5+218</f>
        <v>1240.5</v>
      </c>
      <c r="J148" s="1358">
        <v>1258.5999999999999</v>
      </c>
      <c r="K148" s="1358">
        <v>1413.4</v>
      </c>
      <c r="L148" s="1358">
        <f>21748.9-L145-L146-L147</f>
        <v>6212.6</v>
      </c>
      <c r="M148" s="1358">
        <f>16078.6+1346.1-M147-M146-M145</f>
        <v>1824.9</v>
      </c>
      <c r="N148" s="1358">
        <f>18527+1209.9-N145-N146-N147</f>
        <v>1819.1000000000022</v>
      </c>
      <c r="O148" s="1358">
        <f>19095.7+824.4-O145-O146-O147</f>
        <v>2270.9</v>
      </c>
      <c r="P148" s="1358">
        <f>3214.5+475.7-P147-P146-P145</f>
        <v>1352.1999999999998</v>
      </c>
      <c r="Q148" s="1358">
        <f>P148</f>
        <v>1352.1999999999998</v>
      </c>
      <c r="R148" s="1099">
        <f>Q148</f>
        <v>1352.1999999999998</v>
      </c>
      <c r="S148" s="1099">
        <f t="shared" ref="S148:T148" si="105">R148</f>
        <v>1352.1999999999998</v>
      </c>
      <c r="T148" s="1099">
        <f t="shared" si="105"/>
        <v>1352.1999999999998</v>
      </c>
      <c r="U148" s="1453" t="s">
        <v>2599</v>
      </c>
      <c r="V148" s="1453"/>
      <c r="W148" s="1453"/>
    </row>
    <row r="149" spans="1:23" s="1424" customFormat="1">
      <c r="A149" s="1338"/>
      <c r="B149" s="1339" t="s">
        <v>70</v>
      </c>
      <c r="C149" s="1543">
        <f t="shared" ref="C149:H149" si="106">+SUM(C145:C148)</f>
        <v>14857.838699999998</v>
      </c>
      <c r="D149" s="1543">
        <f t="shared" si="106"/>
        <v>16534.689999999999</v>
      </c>
      <c r="E149" s="1543">
        <f t="shared" si="106"/>
        <v>20088.960999999999</v>
      </c>
      <c r="F149" s="1543">
        <f t="shared" si="106"/>
        <v>23158.9</v>
      </c>
      <c r="G149" s="1543">
        <f t="shared" si="106"/>
        <v>28337.9</v>
      </c>
      <c r="H149" s="1339">
        <f t="shared" si="106"/>
        <v>8341.2999999999993</v>
      </c>
      <c r="I149" s="1372">
        <f t="shared" ref="I149:O149" si="107">+SUM(I145:I148)</f>
        <v>12241.5</v>
      </c>
      <c r="J149" s="1339">
        <f t="shared" si="107"/>
        <v>22487.200000000001</v>
      </c>
      <c r="K149" s="1339">
        <f t="shared" si="107"/>
        <v>15286.3</v>
      </c>
      <c r="L149" s="1339">
        <f t="shared" si="107"/>
        <v>21748.9</v>
      </c>
      <c r="M149" s="1339">
        <f t="shared" si="107"/>
        <v>17424.7</v>
      </c>
      <c r="N149" s="1339">
        <f t="shared" si="107"/>
        <v>19736.900000000001</v>
      </c>
      <c r="O149" s="1339">
        <f t="shared" si="107"/>
        <v>19920.100000000002</v>
      </c>
      <c r="P149" s="1339">
        <f>+SUM(P145:P148)</f>
        <v>3690.2</v>
      </c>
      <c r="Q149" s="1339">
        <f>+SUM(Q145:Q148)</f>
        <v>23955.261871000006</v>
      </c>
      <c r="R149" s="1339">
        <f>+SUM(R145:R148)</f>
        <v>27340.856005000005</v>
      </c>
      <c r="S149" s="1339">
        <f t="shared" ref="S149:T149" si="108">+SUM(S145:S148)</f>
        <v>27340.856005000005</v>
      </c>
      <c r="T149" s="1339">
        <f t="shared" si="108"/>
        <v>27340.856005000005</v>
      </c>
      <c r="U149" s="1591" t="s">
        <v>2610</v>
      </c>
      <c r="V149" s="1453"/>
      <c r="W149" s="1453"/>
    </row>
    <row r="150" spans="1:23">
      <c r="A150" s="1336"/>
      <c r="B150" s="1335"/>
      <c r="C150" s="1454"/>
      <c r="D150" s="1454"/>
      <c r="E150" s="1454"/>
      <c r="F150" s="1454"/>
      <c r="G150" s="1454"/>
      <c r="H150" s="1335"/>
      <c r="I150" s="1358"/>
      <c r="J150" s="1335"/>
      <c r="K150" s="1335"/>
      <c r="L150" s="1335"/>
      <c r="M150" s="1335"/>
      <c r="N150" s="1335"/>
      <c r="O150" s="1335"/>
      <c r="P150" s="1335"/>
      <c r="Q150" s="1335"/>
      <c r="R150" s="1335"/>
      <c r="S150" s="1335"/>
      <c r="T150" s="1335"/>
      <c r="U150" s="1453"/>
      <c r="V150" s="1453"/>
      <c r="W150" s="1453"/>
    </row>
    <row r="151" spans="1:23">
      <c r="A151" s="1511" t="s">
        <v>316</v>
      </c>
      <c r="B151" s="1335"/>
      <c r="C151" s="1454"/>
      <c r="D151" s="1454"/>
      <c r="E151" s="1454"/>
      <c r="F151" s="1454"/>
      <c r="G151" s="1454"/>
      <c r="H151" s="1335"/>
      <c r="I151" s="1358"/>
      <c r="J151" s="1335"/>
      <c r="K151" s="1335"/>
      <c r="L151" s="1335"/>
      <c r="M151" s="1335"/>
      <c r="N151" s="1335"/>
      <c r="O151" s="1335"/>
      <c r="P151" s="1335"/>
      <c r="Q151" s="1335"/>
      <c r="R151" s="1335"/>
      <c r="S151" s="1335"/>
      <c r="T151" s="1335"/>
      <c r="U151" s="1453"/>
      <c r="V151" s="1453"/>
      <c r="W151" s="1453"/>
    </row>
    <row r="152" spans="1:23" s="1493" customFormat="1">
      <c r="A152" s="1355"/>
      <c r="B152" s="1356" t="s">
        <v>83</v>
      </c>
      <c r="C152" s="1356"/>
      <c r="D152" s="1356"/>
      <c r="E152" s="1356"/>
      <c r="F152" s="1356"/>
      <c r="G152" s="1356"/>
      <c r="H152" s="1356"/>
      <c r="I152" s="1356"/>
      <c r="J152" s="1356"/>
      <c r="K152" s="1356"/>
      <c r="L152" s="1356"/>
      <c r="M152" s="1356"/>
      <c r="N152" s="1356"/>
      <c r="O152" s="1356"/>
      <c r="P152" s="1356"/>
      <c r="Q152" s="1356"/>
      <c r="R152" s="1356"/>
      <c r="S152" s="1356"/>
      <c r="T152" s="1356"/>
      <c r="U152" s="1453"/>
      <c r="V152" s="1453"/>
      <c r="W152" s="1453"/>
    </row>
    <row r="153" spans="1:23">
      <c r="A153" s="1336"/>
      <c r="B153" s="1335"/>
      <c r="C153" s="1454"/>
      <c r="D153" s="1454"/>
      <c r="E153" s="1454"/>
      <c r="F153" s="1454"/>
      <c r="G153" s="1454"/>
      <c r="H153" s="1335"/>
      <c r="I153" s="1358"/>
      <c r="J153" s="1335"/>
      <c r="K153" s="1335"/>
      <c r="L153" s="1335"/>
      <c r="M153" s="1335"/>
      <c r="N153" s="1335"/>
      <c r="O153" s="1335"/>
      <c r="P153" s="1335"/>
      <c r="Q153" s="1335"/>
      <c r="R153" s="1335"/>
      <c r="S153" s="1335"/>
      <c r="T153" s="1335"/>
      <c r="U153" s="1453"/>
      <c r="V153" s="1453"/>
      <c r="W153" s="1453"/>
    </row>
    <row r="154" spans="1:23">
      <c r="A154" s="1336" t="s">
        <v>678</v>
      </c>
      <c r="B154" s="1335" t="s">
        <v>86</v>
      </c>
      <c r="C154" s="1454"/>
      <c r="D154" s="1454"/>
      <c r="E154" s="1454"/>
      <c r="F154" s="1454"/>
      <c r="G154" s="1454"/>
      <c r="H154" s="1335"/>
      <c r="I154" s="1358"/>
      <c r="J154" s="1335"/>
      <c r="K154" s="1335"/>
      <c r="L154" s="1335"/>
      <c r="M154" s="1335"/>
      <c r="N154" s="1335"/>
      <c r="O154" s="1335"/>
      <c r="P154" s="1335"/>
      <c r="Q154" s="1335"/>
      <c r="R154" s="1335"/>
      <c r="S154" s="1335"/>
      <c r="T154" s="1335"/>
      <c r="U154" s="1453"/>
      <c r="V154" s="1453"/>
      <c r="W154" s="1453"/>
    </row>
    <row r="155" spans="1:23">
      <c r="A155" s="1336" t="s">
        <v>678</v>
      </c>
      <c r="B155" s="1335" t="s">
        <v>310</v>
      </c>
      <c r="C155" s="1454"/>
      <c r="D155" s="1454"/>
      <c r="E155" s="1454"/>
      <c r="F155" s="1454"/>
      <c r="G155" s="1454"/>
      <c r="H155" s="1335"/>
      <c r="I155" s="1358"/>
      <c r="J155" s="1335"/>
      <c r="K155" s="1335"/>
      <c r="L155" s="1335"/>
      <c r="M155" s="1335"/>
      <c r="N155" s="1335"/>
      <c r="O155" s="1335"/>
      <c r="P155" s="1335"/>
      <c r="Q155" s="1335"/>
      <c r="R155" s="1335"/>
      <c r="S155" s="1335"/>
      <c r="T155" s="1335"/>
      <c r="U155" s="1453"/>
      <c r="V155" s="1453"/>
      <c r="W155" s="1453"/>
    </row>
    <row r="156" spans="1:23">
      <c r="A156" s="1336" t="s">
        <v>678</v>
      </c>
      <c r="B156" s="1335" t="s">
        <v>84</v>
      </c>
      <c r="C156" s="1454"/>
      <c r="D156" s="1454"/>
      <c r="E156" s="1454"/>
      <c r="F156" s="1454"/>
      <c r="G156" s="1454"/>
      <c r="H156" s="1335"/>
      <c r="I156" s="1358"/>
      <c r="J156" s="1335"/>
      <c r="K156" s="1335"/>
      <c r="L156" s="1335"/>
      <c r="M156" s="1335"/>
      <c r="N156" s="1335"/>
      <c r="O156" s="1335"/>
      <c r="P156" s="1335"/>
      <c r="Q156" s="1335"/>
      <c r="R156" s="1335"/>
      <c r="S156" s="1335"/>
      <c r="T156" s="1335"/>
      <c r="U156" s="1453"/>
      <c r="V156" s="1453"/>
      <c r="W156" s="1453"/>
    </row>
    <row r="157" spans="1:23">
      <c r="A157" s="1336" t="s">
        <v>678</v>
      </c>
      <c r="B157" s="1335" t="s">
        <v>85</v>
      </c>
      <c r="C157" s="1454">
        <v>44.185000000000002</v>
      </c>
      <c r="D157" s="1454">
        <v>26.88</v>
      </c>
      <c r="E157" s="1454">
        <v>17.54</v>
      </c>
      <c r="F157" s="1454">
        <v>8.1</v>
      </c>
      <c r="G157" s="1454">
        <v>1.3</v>
      </c>
      <c r="H157" s="1335"/>
      <c r="I157" s="1358"/>
      <c r="J157" s="1335"/>
      <c r="K157" s="1335">
        <v>0.1</v>
      </c>
      <c r="L157" s="1335"/>
      <c r="M157" s="1335"/>
      <c r="N157" s="1335"/>
      <c r="O157" s="1335"/>
      <c r="P157" s="1335"/>
      <c r="Q157" s="1335"/>
      <c r="R157" s="1335"/>
      <c r="S157" s="1335"/>
      <c r="T157" s="1335"/>
      <c r="U157" s="1453"/>
      <c r="V157" s="1453"/>
      <c r="W157" s="1453"/>
    </row>
    <row r="158" spans="1:23">
      <c r="A158" s="1336" t="s">
        <v>678</v>
      </c>
      <c r="B158" s="1335" t="s">
        <v>706</v>
      </c>
      <c r="C158" s="1454">
        <v>7818.9610000000002</v>
      </c>
      <c r="D158" s="1454">
        <v>10030.36</v>
      </c>
      <c r="E158" s="1454">
        <v>12252.385</v>
      </c>
      <c r="F158" s="1454">
        <v>14663.2</v>
      </c>
      <c r="G158" s="1454">
        <v>16028.4</v>
      </c>
      <c r="H158" s="1335">
        <v>13273.4</v>
      </c>
      <c r="I158" s="1358">
        <v>13214.7</v>
      </c>
      <c r="J158" s="1358">
        <v>13255.8</v>
      </c>
      <c r="K158" s="1335">
        <v>1673</v>
      </c>
      <c r="L158" s="1358">
        <v>974.8</v>
      </c>
      <c r="M158" s="1358">
        <v>712.7</v>
      </c>
      <c r="N158" s="1358">
        <v>577.4</v>
      </c>
      <c r="O158" s="1358">
        <f>1117.7+0.58</f>
        <v>1118.28</v>
      </c>
      <c r="P158" s="1358">
        <v>1624.8</v>
      </c>
      <c r="Q158" s="1358">
        <f>P158</f>
        <v>1624.8</v>
      </c>
      <c r="R158" s="1099">
        <f>Q158</f>
        <v>1624.8</v>
      </c>
      <c r="S158" s="1099">
        <f t="shared" ref="S158:T158" si="109">R158</f>
        <v>1624.8</v>
      </c>
      <c r="T158" s="1099">
        <f t="shared" si="109"/>
        <v>1624.8</v>
      </c>
      <c r="U158" s="1453" t="s">
        <v>2599</v>
      </c>
      <c r="V158" s="1453"/>
      <c r="W158" s="1453"/>
    </row>
    <row r="159" spans="1:23" s="1424" customFormat="1">
      <c r="A159" s="1338"/>
      <c r="B159" s="1339" t="s">
        <v>72</v>
      </c>
      <c r="C159" s="1543">
        <f t="shared" ref="C159:H159" si="110">+SUM(C154:C158)</f>
        <v>7863.1460000000006</v>
      </c>
      <c r="D159" s="1543">
        <f t="shared" si="110"/>
        <v>10057.24</v>
      </c>
      <c r="E159" s="1543">
        <f t="shared" si="110"/>
        <v>12269.925000000001</v>
      </c>
      <c r="F159" s="1543">
        <f t="shared" si="110"/>
        <v>14671.300000000001</v>
      </c>
      <c r="G159" s="1543">
        <f t="shared" si="110"/>
        <v>16029.699999999999</v>
      </c>
      <c r="H159" s="1339">
        <f t="shared" si="110"/>
        <v>13273.4</v>
      </c>
      <c r="I159" s="1372">
        <f t="shared" ref="I159:O159" si="111">+SUM(I154:I158)</f>
        <v>13214.7</v>
      </c>
      <c r="J159" s="1339">
        <f t="shared" si="111"/>
        <v>13255.8</v>
      </c>
      <c r="K159" s="1339">
        <f t="shared" si="111"/>
        <v>1673.1</v>
      </c>
      <c r="L159" s="1339">
        <f t="shared" si="111"/>
        <v>974.8</v>
      </c>
      <c r="M159" s="1339">
        <f t="shared" si="111"/>
        <v>712.7</v>
      </c>
      <c r="N159" s="1339">
        <f t="shared" si="111"/>
        <v>577.4</v>
      </c>
      <c r="O159" s="1339">
        <f t="shared" si="111"/>
        <v>1118.28</v>
      </c>
      <c r="P159" s="1339">
        <f>+SUM(P154:P158)</f>
        <v>1624.8</v>
      </c>
      <c r="Q159" s="1339">
        <f>+SUM(Q154:Q158)</f>
        <v>1624.8</v>
      </c>
      <c r="R159" s="1339">
        <f>+SUM(R154:R158)</f>
        <v>1624.8</v>
      </c>
      <c r="S159" s="1339">
        <f t="shared" ref="S159:T159" si="112">+SUM(S154:S158)</f>
        <v>1624.8</v>
      </c>
      <c r="T159" s="1339">
        <f t="shared" si="112"/>
        <v>1624.8</v>
      </c>
      <c r="U159" s="1591" t="s">
        <v>2610</v>
      </c>
      <c r="V159" s="1453"/>
      <c r="W159" s="1453"/>
    </row>
    <row r="160" spans="1:23">
      <c r="A160" s="1336"/>
      <c r="B160" s="1335"/>
      <c r="C160" s="1454"/>
      <c r="D160" s="1454"/>
      <c r="E160" s="1454"/>
      <c r="F160" s="1454"/>
      <c r="G160" s="1454"/>
      <c r="H160" s="1335"/>
      <c r="I160" s="1358"/>
      <c r="J160" s="1335"/>
      <c r="K160" s="1335"/>
      <c r="L160" s="1335"/>
      <c r="M160" s="1335"/>
      <c r="N160" s="1335"/>
      <c r="O160" s="1335"/>
      <c r="P160" s="1335"/>
      <c r="Q160" s="1335"/>
      <c r="R160" s="1335"/>
      <c r="S160" s="1335"/>
      <c r="T160" s="1335"/>
      <c r="U160" s="1453"/>
      <c r="V160" s="1453"/>
      <c r="W160" s="1453"/>
    </row>
    <row r="161" spans="1:23">
      <c r="A161" s="1511" t="s">
        <v>316</v>
      </c>
      <c r="B161" s="1335"/>
      <c r="C161" s="1454"/>
      <c r="D161" s="1454"/>
      <c r="E161" s="1454"/>
      <c r="F161" s="1454"/>
      <c r="G161" s="1454"/>
      <c r="H161" s="1335"/>
      <c r="I161" s="1358"/>
      <c r="J161" s="1335"/>
      <c r="K161" s="1335"/>
      <c r="L161" s="1335"/>
      <c r="M161" s="1335"/>
      <c r="N161" s="1335"/>
      <c r="O161" s="1335"/>
      <c r="P161" s="1335"/>
      <c r="Q161" s="1335"/>
      <c r="R161" s="1335"/>
      <c r="S161" s="1335"/>
      <c r="T161" s="1335"/>
      <c r="U161" s="1453"/>
      <c r="V161" s="1453"/>
      <c r="W161" s="1453"/>
    </row>
    <row r="162" spans="1:23" s="1493" customFormat="1">
      <c r="A162" s="1355"/>
      <c r="B162" s="1356" t="s">
        <v>87</v>
      </c>
      <c r="C162" s="1356"/>
      <c r="D162" s="1356"/>
      <c r="E162" s="1356"/>
      <c r="F162" s="1356"/>
      <c r="G162" s="1356"/>
      <c r="H162" s="1356"/>
      <c r="I162" s="1357"/>
      <c r="J162" s="1356"/>
      <c r="K162" s="1356"/>
      <c r="L162" s="1356"/>
      <c r="M162" s="1356"/>
      <c r="N162" s="1356"/>
      <c r="O162" s="1356"/>
      <c r="P162" s="1356"/>
      <c r="Q162" s="1356"/>
      <c r="R162" s="1356"/>
      <c r="S162" s="1356"/>
      <c r="T162" s="1356"/>
      <c r="U162" s="1453"/>
      <c r="V162" s="1453"/>
      <c r="W162" s="1453"/>
    </row>
    <row r="163" spans="1:23">
      <c r="A163" s="1336"/>
      <c r="B163" s="1335"/>
      <c r="C163" s="1454"/>
      <c r="D163" s="1454"/>
      <c r="E163" s="1454"/>
      <c r="F163" s="1454"/>
      <c r="G163" s="1454"/>
      <c r="H163" s="1335"/>
      <c r="I163" s="1358"/>
      <c r="J163" s="1335"/>
      <c r="K163" s="1335"/>
      <c r="L163" s="1335"/>
      <c r="M163" s="1335"/>
      <c r="N163" s="1335"/>
      <c r="O163" s="1335"/>
      <c r="P163" s="1335"/>
      <c r="Q163" s="1335"/>
      <c r="R163" s="1335"/>
      <c r="S163" s="1335"/>
      <c r="T163" s="1335"/>
      <c r="U163" s="1453"/>
      <c r="V163" s="1453"/>
      <c r="W163" s="1453"/>
    </row>
    <row r="164" spans="1:23">
      <c r="A164" s="1336" t="s">
        <v>678</v>
      </c>
      <c r="B164" s="1335" t="s">
        <v>88</v>
      </c>
      <c r="C164" s="1454">
        <v>539.17700000000002</v>
      </c>
      <c r="D164" s="1454"/>
      <c r="E164" s="1454"/>
      <c r="F164" s="1454">
        <v>0.2</v>
      </c>
      <c r="G164" s="1454">
        <v>224.6</v>
      </c>
      <c r="H164" s="1335">
        <v>69.5</v>
      </c>
      <c r="I164" s="1358"/>
      <c r="J164" s="1335">
        <v>129.80000000000001</v>
      </c>
      <c r="K164" s="1335">
        <v>235.3</v>
      </c>
      <c r="L164" s="1335"/>
      <c r="M164" s="1335">
        <f t="shared" ref="M164:R164" si="113">L164</f>
        <v>0</v>
      </c>
      <c r="N164" s="1335">
        <f t="shared" si="113"/>
        <v>0</v>
      </c>
      <c r="O164" s="1335">
        <f t="shared" si="113"/>
        <v>0</v>
      </c>
      <c r="P164" s="1335">
        <f t="shared" si="113"/>
        <v>0</v>
      </c>
      <c r="Q164" s="1335">
        <f t="shared" si="113"/>
        <v>0</v>
      </c>
      <c r="R164" s="1335">
        <f t="shared" si="113"/>
        <v>0</v>
      </c>
      <c r="S164" s="1335">
        <f t="shared" ref="S164" si="114">R164</f>
        <v>0</v>
      </c>
      <c r="T164" s="1335">
        <f t="shared" ref="T164" si="115">S164</f>
        <v>0</v>
      </c>
      <c r="U164" s="1453"/>
      <c r="V164" s="1453"/>
      <c r="W164" s="1453"/>
    </row>
    <row r="165" spans="1:23">
      <c r="A165" s="1336" t="s">
        <v>678</v>
      </c>
      <c r="B165" s="1335" t="s">
        <v>89</v>
      </c>
      <c r="C165" s="1454"/>
      <c r="D165" s="1454"/>
      <c r="E165" s="1454"/>
      <c r="F165" s="1454"/>
      <c r="G165" s="1454"/>
      <c r="H165" s="1335"/>
      <c r="I165" s="1358"/>
      <c r="J165" s="1335"/>
      <c r="K165" s="1335"/>
      <c r="L165" s="1335"/>
      <c r="M165" s="1335"/>
      <c r="N165" s="1335"/>
      <c r="O165" s="1335"/>
      <c r="P165" s="1335"/>
      <c r="Q165" s="1335"/>
      <c r="R165" s="1335"/>
      <c r="S165" s="1335"/>
      <c r="T165" s="1335"/>
      <c r="U165" s="1453"/>
      <c r="V165" s="1453"/>
      <c r="W165" s="1453"/>
    </row>
    <row r="166" spans="1:23">
      <c r="A166" s="1336" t="s">
        <v>678</v>
      </c>
      <c r="B166" s="1335" t="s">
        <v>84</v>
      </c>
      <c r="C166" s="1454"/>
      <c r="D166" s="1454"/>
      <c r="E166" s="1454"/>
      <c r="F166" s="1454"/>
      <c r="G166" s="1454"/>
      <c r="H166" s="1335">
        <v>120.9</v>
      </c>
      <c r="I166" s="1358">
        <v>2738.9</v>
      </c>
      <c r="J166" s="1335"/>
      <c r="K166" s="1335"/>
      <c r="L166" s="1335"/>
      <c r="M166" s="1335"/>
      <c r="N166" s="1335"/>
      <c r="O166" s="1335"/>
      <c r="P166" s="1335"/>
      <c r="Q166" s="1335"/>
      <c r="R166" s="1335"/>
      <c r="S166" s="1335"/>
      <c r="T166" s="1335"/>
      <c r="U166" s="1453"/>
      <c r="V166" s="1453"/>
      <c r="W166" s="1453"/>
    </row>
    <row r="167" spans="1:23">
      <c r="A167" s="1336" t="s">
        <v>678</v>
      </c>
      <c r="B167" s="1335" t="s">
        <v>91</v>
      </c>
      <c r="C167" s="1454"/>
      <c r="D167" s="1454"/>
      <c r="E167" s="1454"/>
      <c r="F167" s="1454"/>
      <c r="G167" s="1454"/>
      <c r="H167" s="1335"/>
      <c r="I167" s="1358"/>
      <c r="J167" s="1335"/>
      <c r="K167" s="1335">
        <v>1343.1</v>
      </c>
      <c r="L167" s="1335"/>
      <c r="M167" s="1335"/>
      <c r="N167" s="1335"/>
      <c r="O167" s="1335"/>
      <c r="P167" s="1335"/>
      <c r="Q167" s="1335"/>
      <c r="R167" s="1335"/>
      <c r="S167" s="1335"/>
      <c r="T167" s="1335"/>
      <c r="U167" s="1453"/>
      <c r="V167" s="1453"/>
      <c r="W167" s="1453"/>
    </row>
    <row r="168" spans="1:23" s="1424" customFormat="1">
      <c r="A168" s="1338"/>
      <c r="B168" s="1339" t="s">
        <v>90</v>
      </c>
      <c r="C168" s="1543">
        <f t="shared" ref="C168:H168" si="116">+SUM(C164:C167)</f>
        <v>539.17700000000002</v>
      </c>
      <c r="D168" s="1543">
        <f t="shared" si="116"/>
        <v>0</v>
      </c>
      <c r="E168" s="1543">
        <f t="shared" si="116"/>
        <v>0</v>
      </c>
      <c r="F168" s="1543">
        <f t="shared" si="116"/>
        <v>0.2</v>
      </c>
      <c r="G168" s="1543">
        <f t="shared" si="116"/>
        <v>224.6</v>
      </c>
      <c r="H168" s="1339">
        <f t="shared" si="116"/>
        <v>190.4</v>
      </c>
      <c r="I168" s="1372">
        <f t="shared" ref="I168:O168" si="117">+SUM(I164:I167)</f>
        <v>2738.9</v>
      </c>
      <c r="J168" s="1339">
        <f t="shared" si="117"/>
        <v>129.80000000000001</v>
      </c>
      <c r="K168" s="1339">
        <f t="shared" si="117"/>
        <v>1578.3999999999999</v>
      </c>
      <c r="L168" s="1339">
        <f t="shared" si="117"/>
        <v>0</v>
      </c>
      <c r="M168" s="1339">
        <f t="shared" si="117"/>
        <v>0</v>
      </c>
      <c r="N168" s="1339">
        <f t="shared" si="117"/>
        <v>0</v>
      </c>
      <c r="O168" s="1339">
        <f t="shared" si="117"/>
        <v>0</v>
      </c>
      <c r="P168" s="1339">
        <f>+SUM(P164:P167)</f>
        <v>0</v>
      </c>
      <c r="Q168" s="1339">
        <f>+SUM(Q164:Q167)</f>
        <v>0</v>
      </c>
      <c r="R168" s="1339">
        <f>+SUM(R164:R167)</f>
        <v>0</v>
      </c>
      <c r="S168" s="1339">
        <f t="shared" ref="S168:T168" si="118">+SUM(S164:S167)</f>
        <v>0</v>
      </c>
      <c r="T168" s="1339">
        <f t="shared" si="118"/>
        <v>0</v>
      </c>
      <c r="U168" s="1453"/>
      <c r="V168" s="1453"/>
      <c r="W168" s="1453"/>
    </row>
    <row r="169" spans="1:23">
      <c r="A169" s="1336"/>
      <c r="B169" s="1335"/>
      <c r="C169" s="1454"/>
      <c r="D169" s="1454"/>
      <c r="E169" s="1454"/>
      <c r="F169" s="1454"/>
      <c r="G169" s="1454"/>
      <c r="H169" s="1335"/>
      <c r="I169" s="1358"/>
      <c r="J169" s="1335"/>
      <c r="K169" s="1335"/>
      <c r="L169" s="1335"/>
      <c r="M169" s="1335"/>
      <c r="N169" s="1335"/>
      <c r="O169" s="1335"/>
      <c r="P169" s="1335"/>
      <c r="Q169" s="1335"/>
      <c r="R169" s="1335"/>
      <c r="S169" s="1335"/>
      <c r="T169" s="1335"/>
      <c r="U169" s="1453"/>
      <c r="V169" s="1453"/>
      <c r="W169" s="1453"/>
    </row>
    <row r="170" spans="1:23">
      <c r="A170" s="1511" t="s">
        <v>316</v>
      </c>
      <c r="B170" s="1335"/>
      <c r="C170" s="1454"/>
      <c r="D170" s="1454"/>
      <c r="E170" s="1454"/>
      <c r="F170" s="1454"/>
      <c r="G170" s="1454"/>
      <c r="H170" s="1335"/>
      <c r="I170" s="1358"/>
      <c r="J170" s="1335"/>
      <c r="K170" s="1335"/>
      <c r="L170" s="1335"/>
      <c r="M170" s="1335"/>
      <c r="N170" s="1335"/>
      <c r="O170" s="1335"/>
      <c r="P170" s="1335"/>
      <c r="Q170" s="1335"/>
      <c r="R170" s="1335"/>
      <c r="S170" s="1335"/>
      <c r="T170" s="1335"/>
      <c r="U170" s="1453"/>
      <c r="V170" s="1453"/>
      <c r="W170" s="1453"/>
    </row>
    <row r="171" spans="1:23" s="1493" customFormat="1">
      <c r="A171" s="1355"/>
      <c r="B171" s="1356" t="s">
        <v>96</v>
      </c>
      <c r="C171" s="1356"/>
      <c r="D171" s="1356"/>
      <c r="E171" s="1356"/>
      <c r="F171" s="1356"/>
      <c r="G171" s="1356"/>
      <c r="H171" s="1356"/>
      <c r="I171" s="1356"/>
      <c r="J171" s="1356"/>
      <c r="K171" s="1356"/>
      <c r="L171" s="1356"/>
      <c r="M171" s="1356"/>
      <c r="N171" s="1356"/>
      <c r="O171" s="1356"/>
      <c r="P171" s="1356"/>
      <c r="Q171" s="1356"/>
      <c r="R171" s="1356"/>
      <c r="S171" s="1356"/>
      <c r="T171" s="1356"/>
      <c r="U171" s="1453"/>
      <c r="V171" s="1453"/>
      <c r="W171" s="1453"/>
    </row>
    <row r="172" spans="1:23">
      <c r="A172" s="1336"/>
      <c r="B172" s="1335"/>
      <c r="C172" s="1454"/>
      <c r="D172" s="1454"/>
      <c r="E172" s="1454"/>
      <c r="F172" s="1454"/>
      <c r="G172" s="1454"/>
      <c r="H172" s="1335"/>
      <c r="I172" s="1358"/>
      <c r="J172" s="1335"/>
      <c r="K172" s="1335"/>
      <c r="L172" s="1335"/>
      <c r="M172" s="1335"/>
      <c r="N172" s="1335"/>
      <c r="O172" s="1335"/>
      <c r="P172" s="1335"/>
      <c r="Q172" s="1335"/>
      <c r="R172" s="1335"/>
      <c r="S172" s="1335"/>
      <c r="T172" s="1335"/>
      <c r="U172" s="1453"/>
      <c r="V172" s="1453"/>
      <c r="W172" s="1453"/>
    </row>
    <row r="173" spans="1:23">
      <c r="A173" s="1336" t="s">
        <v>678</v>
      </c>
      <c r="B173" s="1335"/>
      <c r="C173" s="1454"/>
      <c r="D173" s="1454"/>
      <c r="E173" s="1454"/>
      <c r="F173" s="1454"/>
      <c r="G173" s="1454"/>
      <c r="H173" s="1335"/>
      <c r="I173" s="1358"/>
      <c r="J173" s="1335"/>
      <c r="K173" s="1335"/>
      <c r="L173" s="1335"/>
      <c r="M173" s="1335"/>
      <c r="N173" s="1335"/>
      <c r="O173" s="1335"/>
      <c r="P173" s="1335"/>
      <c r="Q173" s="1335"/>
      <c r="R173" s="1335"/>
      <c r="S173" s="1335"/>
      <c r="T173" s="1335"/>
      <c r="U173" s="1453"/>
      <c r="V173" s="1453"/>
      <c r="W173" s="1453"/>
    </row>
    <row r="174" spans="1:23">
      <c r="A174" s="1336"/>
      <c r="B174" s="1335"/>
      <c r="C174" s="1454"/>
      <c r="D174" s="1454"/>
      <c r="E174" s="1454"/>
      <c r="F174" s="1454"/>
      <c r="G174" s="1454"/>
      <c r="H174" s="1335"/>
      <c r="I174" s="1358"/>
      <c r="J174" s="1335"/>
      <c r="K174" s="1335"/>
      <c r="L174" s="1335"/>
      <c r="M174" s="1335"/>
      <c r="N174" s="1335"/>
      <c r="O174" s="1335"/>
      <c r="P174" s="1335"/>
      <c r="Q174" s="1335"/>
      <c r="R174" s="1335"/>
      <c r="S174" s="1335"/>
      <c r="T174" s="1335"/>
      <c r="U174" s="1453"/>
      <c r="V174" s="1453"/>
      <c r="W174" s="1453"/>
    </row>
    <row r="175" spans="1:23">
      <c r="A175" s="1336" t="s">
        <v>678</v>
      </c>
      <c r="B175" s="1335" t="s">
        <v>97</v>
      </c>
      <c r="C175" s="1454">
        <v>101.18351</v>
      </c>
      <c r="D175" s="1454">
        <v>101.18351</v>
      </c>
      <c r="E175" s="1454">
        <v>101.18351</v>
      </c>
      <c r="F175" s="1454">
        <v>101.18351</v>
      </c>
      <c r="G175" s="1454">
        <v>101.18351</v>
      </c>
      <c r="H175" s="1335">
        <v>289.36702000000002</v>
      </c>
      <c r="I175" s="1335">
        <v>289.36702000000002</v>
      </c>
      <c r="J175" s="1335">
        <v>289.36702000000002</v>
      </c>
      <c r="K175" s="1335">
        <v>289.36702000000002</v>
      </c>
      <c r="L175" s="1335">
        <v>289.36702000000002</v>
      </c>
      <c r="M175" s="1335">
        <v>289.36702000000002</v>
      </c>
      <c r="N175" s="1335">
        <v>289.36702000000002</v>
      </c>
      <c r="O175" s="1335">
        <v>289.37</v>
      </c>
      <c r="P175" s="1335">
        <v>289.36702000000002</v>
      </c>
      <c r="Q175" s="1335">
        <v>289.36702000000002</v>
      </c>
      <c r="R175" s="1100">
        <f>Q175</f>
        <v>289.36702000000002</v>
      </c>
      <c r="S175" s="1100">
        <f t="shared" ref="S175:T175" si="119">R175</f>
        <v>289.36702000000002</v>
      </c>
      <c r="T175" s="1100">
        <f t="shared" si="119"/>
        <v>289.36702000000002</v>
      </c>
      <c r="U175" s="1453" t="s">
        <v>2624</v>
      </c>
      <c r="V175" s="1453"/>
      <c r="W175" s="1453"/>
    </row>
    <row r="176" spans="1:23">
      <c r="A176" s="1336" t="s">
        <v>99</v>
      </c>
      <c r="B176" s="1335" t="s">
        <v>98</v>
      </c>
      <c r="C176" s="1454">
        <v>10</v>
      </c>
      <c r="D176" s="1454">
        <v>10</v>
      </c>
      <c r="E176" s="1454">
        <v>10</v>
      </c>
      <c r="F176" s="1454">
        <v>10</v>
      </c>
      <c r="G176" s="1454">
        <v>10</v>
      </c>
      <c r="H176" s="1335">
        <v>10</v>
      </c>
      <c r="I176" s="1335">
        <v>10</v>
      </c>
      <c r="J176" s="1335">
        <v>10</v>
      </c>
      <c r="K176" s="1335">
        <v>10</v>
      </c>
      <c r="L176" s="1335">
        <v>10</v>
      </c>
      <c r="M176" s="1335">
        <v>10</v>
      </c>
      <c r="N176" s="1335">
        <v>10</v>
      </c>
      <c r="O176" s="1335">
        <v>10</v>
      </c>
      <c r="P176" s="1335">
        <v>10</v>
      </c>
      <c r="Q176" s="1335">
        <v>10</v>
      </c>
      <c r="R176" s="1100">
        <f>Q176</f>
        <v>10</v>
      </c>
      <c r="S176" s="1100">
        <f t="shared" ref="S176:T176" si="120">R176</f>
        <v>10</v>
      </c>
      <c r="T176" s="1100">
        <f t="shared" si="120"/>
        <v>10</v>
      </c>
      <c r="U176" s="1453" t="s">
        <v>2624</v>
      </c>
      <c r="V176" s="1453"/>
      <c r="W176" s="1453"/>
    </row>
    <row r="177" spans="1:23" s="1417" customFormat="1">
      <c r="A177" s="1489" t="s">
        <v>678</v>
      </c>
      <c r="B177" s="1337" t="s">
        <v>100</v>
      </c>
      <c r="C177" s="1491">
        <f t="shared" ref="C177:H177" si="121">+C175*C176</f>
        <v>1011.8351</v>
      </c>
      <c r="D177" s="1491">
        <f t="shared" si="121"/>
        <v>1011.8351</v>
      </c>
      <c r="E177" s="1491">
        <f t="shared" si="121"/>
        <v>1011.8351</v>
      </c>
      <c r="F177" s="1491">
        <f t="shared" si="121"/>
        <v>1011.8351</v>
      </c>
      <c r="G177" s="1491">
        <f t="shared" si="121"/>
        <v>1011.8351</v>
      </c>
      <c r="H177" s="1337">
        <f t="shared" si="121"/>
        <v>2893.6702000000005</v>
      </c>
      <c r="I177" s="1595">
        <f t="shared" ref="I177:O177" si="122">+I175*I176</f>
        <v>2893.6702000000005</v>
      </c>
      <c r="J177" s="1337">
        <f t="shared" si="122"/>
        <v>2893.6702000000005</v>
      </c>
      <c r="K177" s="1337">
        <f t="shared" si="122"/>
        <v>2893.6702000000005</v>
      </c>
      <c r="L177" s="1337">
        <f t="shared" si="122"/>
        <v>2893.6702000000005</v>
      </c>
      <c r="M177" s="1337">
        <f t="shared" si="122"/>
        <v>2893.6702000000005</v>
      </c>
      <c r="N177" s="1337">
        <f t="shared" si="122"/>
        <v>2893.6702000000005</v>
      </c>
      <c r="O177" s="1337">
        <f t="shared" si="122"/>
        <v>2893.7</v>
      </c>
      <c r="P177" s="1337">
        <f>+P175*P176</f>
        <v>2893.6702000000005</v>
      </c>
      <c r="Q177" s="1337">
        <f>+Q175*Q176</f>
        <v>2893.6702000000005</v>
      </c>
      <c r="R177" s="1188">
        <f>R175*R176</f>
        <v>2893.6702000000005</v>
      </c>
      <c r="S177" s="1188">
        <f t="shared" ref="S177:T177" si="123">S175*S176</f>
        <v>2893.6702000000005</v>
      </c>
      <c r="T177" s="1188">
        <f t="shared" si="123"/>
        <v>2893.6702000000005</v>
      </c>
      <c r="U177" s="1453" t="s">
        <v>2625</v>
      </c>
      <c r="V177" s="1453"/>
      <c r="W177" s="1453"/>
    </row>
    <row r="178" spans="1:23">
      <c r="A178" s="1336"/>
      <c r="B178" s="1335"/>
      <c r="C178" s="1454"/>
      <c r="D178" s="1454"/>
      <c r="E178" s="1454"/>
      <c r="F178" s="1454"/>
      <c r="G178" s="1454"/>
      <c r="H178" s="1335"/>
      <c r="I178" s="1358"/>
      <c r="J178" s="1335"/>
      <c r="K178" s="1335"/>
      <c r="L178" s="1335"/>
      <c r="M178" s="1335"/>
      <c r="N178" s="1335"/>
      <c r="O178" s="1335"/>
      <c r="P178" s="1335"/>
      <c r="Q178" s="1335"/>
      <c r="R178" s="1335"/>
      <c r="S178" s="1335"/>
      <c r="T178" s="1335"/>
      <c r="U178" s="1453"/>
      <c r="V178" s="1453"/>
      <c r="W178" s="1453"/>
    </row>
    <row r="179" spans="1:23">
      <c r="A179" s="1336" t="s">
        <v>678</v>
      </c>
      <c r="B179" s="1335" t="s">
        <v>101</v>
      </c>
      <c r="C179" s="1454"/>
      <c r="D179" s="1454"/>
      <c r="E179" s="1454"/>
      <c r="F179" s="1454"/>
      <c r="G179" s="1454"/>
      <c r="H179" s="1335"/>
      <c r="I179" s="1358"/>
      <c r="J179" s="1335"/>
      <c r="K179" s="1335"/>
      <c r="L179" s="1335"/>
      <c r="M179" s="1335"/>
      <c r="N179" s="1335"/>
      <c r="O179" s="1335"/>
      <c r="P179" s="1335"/>
      <c r="Q179" s="1335"/>
      <c r="R179" s="1335"/>
      <c r="S179" s="1335"/>
      <c r="T179" s="1335"/>
      <c r="U179" s="1453"/>
      <c r="V179" s="1453"/>
      <c r="W179" s="1453"/>
    </row>
    <row r="180" spans="1:23">
      <c r="A180" s="1336" t="s">
        <v>678</v>
      </c>
      <c r="B180" s="1335" t="s">
        <v>102</v>
      </c>
      <c r="C180" s="1454">
        <v>31212.148324000002</v>
      </c>
      <c r="D180" s="1454">
        <v>35742.35</v>
      </c>
      <c r="E180" s="1454">
        <v>40149.589999999997</v>
      </c>
      <c r="F180" s="1454">
        <v>46513.4</v>
      </c>
      <c r="G180" s="1454">
        <v>54149.3</v>
      </c>
      <c r="H180" s="1335">
        <f>14314.3-1446.8351</f>
        <v>12867.464899999999</v>
      </c>
      <c r="I180" s="1335">
        <f>14314.3-1446.8351</f>
        <v>12867.464899999999</v>
      </c>
      <c r="J180" s="1335">
        <f>18952.8-1446.8351</f>
        <v>17505.964899999999</v>
      </c>
      <c r="K180" s="1335">
        <v>20846</v>
      </c>
      <c r="L180" s="1335">
        <v>23856</v>
      </c>
      <c r="M180" s="1335">
        <v>26906</v>
      </c>
      <c r="N180" s="1335">
        <f>M180+3250</f>
        <v>30156</v>
      </c>
      <c r="O180" s="1335">
        <f>N180+2820</f>
        <v>32976</v>
      </c>
      <c r="P180" s="1335">
        <v>36636</v>
      </c>
      <c r="Q180" s="1335">
        <f>P180</f>
        <v>36636</v>
      </c>
      <c r="R180" s="1100">
        <f>Q180</f>
        <v>36636</v>
      </c>
      <c r="S180" s="1100">
        <f t="shared" ref="S180:T180" si="124">R180</f>
        <v>36636</v>
      </c>
      <c r="T180" s="1100">
        <f t="shared" si="124"/>
        <v>36636</v>
      </c>
      <c r="U180" s="1453" t="s">
        <v>2624</v>
      </c>
      <c r="V180" s="1453"/>
      <c r="W180" s="1453"/>
    </row>
    <row r="181" spans="1:23">
      <c r="A181" s="1336" t="s">
        <v>678</v>
      </c>
      <c r="B181" s="1335" t="s">
        <v>103</v>
      </c>
      <c r="C181" s="1454"/>
      <c r="D181" s="1454"/>
      <c r="E181" s="1454"/>
      <c r="F181" s="1454"/>
      <c r="G181" s="1454"/>
      <c r="H181" s="1335"/>
      <c r="I181" s="1358"/>
      <c r="J181" s="1335"/>
      <c r="K181" s="1335">
        <v>0</v>
      </c>
      <c r="L181" s="1335"/>
      <c r="M181" s="1335"/>
      <c r="N181" s="1335"/>
      <c r="O181" s="1335"/>
      <c r="P181" s="1335"/>
      <c r="Q181" s="1335"/>
      <c r="R181" s="1335"/>
      <c r="S181" s="1335"/>
      <c r="T181" s="1335"/>
      <c r="U181" s="1453"/>
      <c r="V181" s="1453"/>
      <c r="W181" s="1453"/>
    </row>
    <row r="182" spans="1:23">
      <c r="A182" s="1336" t="s">
        <v>678</v>
      </c>
      <c r="B182" s="1335" t="s">
        <v>1859</v>
      </c>
      <c r="C182" s="1454"/>
      <c r="D182" s="1454"/>
      <c r="E182" s="1454"/>
      <c r="F182" s="1454"/>
      <c r="G182" s="1454"/>
      <c r="H182" s="1335">
        <v>485.4</v>
      </c>
      <c r="I182" s="1335">
        <v>924.7</v>
      </c>
      <c r="J182" s="1335">
        <v>333.9</v>
      </c>
      <c r="K182" s="1335"/>
      <c r="L182" s="1335">
        <f t="shared" ref="L182:Q182" si="125">K182</f>
        <v>0</v>
      </c>
      <c r="M182" s="1335">
        <f t="shared" si="125"/>
        <v>0</v>
      </c>
      <c r="N182" s="1335">
        <v>1526</v>
      </c>
      <c r="O182" s="1335">
        <v>1852.4</v>
      </c>
      <c r="P182" s="1335">
        <f>365</f>
        <v>365</v>
      </c>
      <c r="Q182" s="1335">
        <f t="shared" si="125"/>
        <v>365</v>
      </c>
      <c r="R182" s="1100">
        <f>Q182</f>
        <v>365</v>
      </c>
      <c r="S182" s="1100">
        <f t="shared" ref="S182:T182" si="126">R182</f>
        <v>365</v>
      </c>
      <c r="T182" s="1100">
        <f t="shared" si="126"/>
        <v>365</v>
      </c>
      <c r="U182" s="1453" t="s">
        <v>2624</v>
      </c>
      <c r="V182" s="1453"/>
      <c r="W182" s="1453"/>
    </row>
    <row r="183" spans="1:23">
      <c r="A183" s="1336" t="s">
        <v>678</v>
      </c>
      <c r="B183" s="1335" t="s">
        <v>104</v>
      </c>
      <c r="C183" s="1454"/>
      <c r="D183" s="1454"/>
      <c r="E183" s="1454"/>
      <c r="F183" s="1454"/>
      <c r="G183" s="1454"/>
      <c r="H183" s="1335"/>
      <c r="I183" s="1358"/>
      <c r="J183" s="1335"/>
      <c r="K183" s="1335">
        <v>0</v>
      </c>
      <c r="L183" s="1335"/>
      <c r="M183" s="1335"/>
      <c r="N183" s="1335"/>
      <c r="O183" s="1335"/>
      <c r="P183" s="1335"/>
      <c r="Q183" s="1335"/>
      <c r="R183" s="1335"/>
      <c r="S183" s="1335"/>
      <c r="T183" s="1335"/>
      <c r="U183" s="1453"/>
      <c r="V183" s="1453"/>
      <c r="W183" s="1453"/>
    </row>
    <row r="184" spans="1:23">
      <c r="A184" s="1336" t="s">
        <v>678</v>
      </c>
      <c r="B184" s="1335" t="s">
        <v>105</v>
      </c>
      <c r="C184" s="1454"/>
      <c r="D184" s="1454"/>
      <c r="E184" s="1454"/>
      <c r="F184" s="1454"/>
      <c r="G184" s="1454"/>
      <c r="H184" s="1335"/>
      <c r="I184" s="1358"/>
      <c r="J184" s="1335"/>
      <c r="K184" s="1358">
        <v>207.7</v>
      </c>
      <c r="L184" s="1358">
        <v>-3390.4</v>
      </c>
      <c r="M184" s="1358">
        <v>17.2</v>
      </c>
      <c r="N184" s="1358"/>
      <c r="O184" s="1358">
        <f>+N184</f>
        <v>0</v>
      </c>
      <c r="P184" s="1358">
        <f>+O184</f>
        <v>0</v>
      </c>
      <c r="Q184" s="1358">
        <f>+P184</f>
        <v>0</v>
      </c>
      <c r="R184" s="1358">
        <f>+Q184</f>
        <v>0</v>
      </c>
      <c r="S184" s="1358">
        <f t="shared" ref="S184:T184" si="127">+R184</f>
        <v>0</v>
      </c>
      <c r="T184" s="1358">
        <f t="shared" si="127"/>
        <v>0</v>
      </c>
      <c r="U184" s="1453"/>
      <c r="V184" s="1453"/>
      <c r="W184" s="1453"/>
    </row>
    <row r="185" spans="1:23">
      <c r="A185" s="1336" t="s">
        <v>678</v>
      </c>
      <c r="B185" s="1335" t="s">
        <v>106</v>
      </c>
      <c r="C185" s="1454">
        <f>182.07304</f>
        <v>182.07303999999999</v>
      </c>
      <c r="D185" s="1454">
        <v>182.07</v>
      </c>
      <c r="E185" s="1454">
        <v>182.07</v>
      </c>
      <c r="F185" s="1454">
        <v>182.1</v>
      </c>
      <c r="G185" s="1454">
        <v>182.1</v>
      </c>
      <c r="H185" s="1335">
        <v>-10.8</v>
      </c>
      <c r="I185" s="1358">
        <f>1633.9-180.9-10.9</f>
        <v>1442.1</v>
      </c>
      <c r="J185" s="1358">
        <v>8550</v>
      </c>
      <c r="K185" s="1335">
        <v>25154.799999999999</v>
      </c>
      <c r="L185" s="1358">
        <v>37051.4</v>
      </c>
      <c r="M185" s="1358">
        <v>49202.6</v>
      </c>
      <c r="N185" s="1358">
        <f>93186.5-N180-N182-N184</f>
        <v>61504.5</v>
      </c>
      <c r="O185" s="1358">
        <f>104027.8-O180-O182-O184</f>
        <v>69199.400000000009</v>
      </c>
      <c r="P185" s="1550">
        <v>83021.899999999994</v>
      </c>
      <c r="Q185" s="1358">
        <f>P185+'Inc Stmt'!Q36-'Inc Stmt'!Q61-'Inc Stmt'!Q63</f>
        <v>99291.138128999984</v>
      </c>
      <c r="R185" s="1099">
        <f>Q185+'Inc Stmt'!R36-'Inc Stmt'!S61-'Inc Stmt'!S63</f>
        <v>117885.56211316629</v>
      </c>
      <c r="S185" s="1099">
        <f>R185+'Inc Stmt'!S36-'Inc Stmt'!T61-'Inc Stmt'!T63</f>
        <v>143440.57232160639</v>
      </c>
      <c r="T185" s="1099">
        <f>S185+'Inc Stmt'!T36-'Inc Stmt'!U61-'Inc Stmt'!U63</f>
        <v>198066.32939641931</v>
      </c>
      <c r="U185" s="1453" t="s">
        <v>2625</v>
      </c>
      <c r="V185" s="1453"/>
      <c r="W185" s="1453"/>
    </row>
    <row r="186" spans="1:23" s="1417" customFormat="1">
      <c r="A186" s="1489"/>
      <c r="B186" s="1337" t="s">
        <v>197</v>
      </c>
      <c r="C186" s="1491">
        <f t="shared" ref="C186:H186" si="128">+SUM(C179:C185)+C177</f>
        <v>32406.056464000001</v>
      </c>
      <c r="D186" s="1491">
        <f t="shared" si="128"/>
        <v>36936.255099999995</v>
      </c>
      <c r="E186" s="1491">
        <f t="shared" si="128"/>
        <v>41343.495099999993</v>
      </c>
      <c r="F186" s="1491">
        <f t="shared" si="128"/>
        <v>47707.335099999997</v>
      </c>
      <c r="G186" s="1491">
        <f t="shared" si="128"/>
        <v>55343.235099999998</v>
      </c>
      <c r="H186" s="1337">
        <f t="shared" si="128"/>
        <v>16235.7351</v>
      </c>
      <c r="I186" s="1595">
        <f t="shared" ref="I186:O186" si="129">+SUM(I179:I185)+I177</f>
        <v>18127.935100000002</v>
      </c>
      <c r="J186" s="1337">
        <f t="shared" si="129"/>
        <v>29283.535100000001</v>
      </c>
      <c r="K186" s="1337">
        <f t="shared" si="129"/>
        <v>49102.1702</v>
      </c>
      <c r="L186" s="1337">
        <f t="shared" si="129"/>
        <v>60410.6702</v>
      </c>
      <c r="M186" s="1337">
        <f>+SUM(M179:M185)+M177</f>
        <v>79019.470200000011</v>
      </c>
      <c r="N186" s="1337">
        <f t="shared" si="129"/>
        <v>96080.170199999993</v>
      </c>
      <c r="O186" s="1337">
        <f t="shared" si="129"/>
        <v>106921.50000000001</v>
      </c>
      <c r="P186" s="1337">
        <f>+SUM(P179:P185)+P177</f>
        <v>122916.57019999999</v>
      </c>
      <c r="Q186" s="1337">
        <f>+SUM(Q179:Q185)+Q177</f>
        <v>139185.80832899996</v>
      </c>
      <c r="R186" s="1337">
        <f>+SUM(R179:R185)+R177</f>
        <v>157780.23231316629</v>
      </c>
      <c r="S186" s="1337">
        <f t="shared" ref="S186:T186" si="130">+SUM(S179:S185)+S177</f>
        <v>183335.24252160639</v>
      </c>
      <c r="T186" s="1337">
        <f t="shared" si="130"/>
        <v>237960.99959641931</v>
      </c>
      <c r="U186" s="1453" t="s">
        <v>2625</v>
      </c>
      <c r="V186" s="1453"/>
      <c r="W186" s="1453"/>
    </row>
    <row r="187" spans="1:23">
      <c r="A187" s="1336"/>
      <c r="B187" s="1335"/>
      <c r="C187" s="1454"/>
      <c r="D187" s="1454"/>
      <c r="E187" s="1454"/>
      <c r="F187" s="1454"/>
      <c r="G187" s="1454"/>
      <c r="H187" s="1335"/>
      <c r="I187" s="1358"/>
      <c r="J187" s="1335"/>
      <c r="K187" s="1335"/>
      <c r="L187" s="1335"/>
      <c r="M187" s="1335"/>
      <c r="N187" s="1335"/>
      <c r="O187" s="1335"/>
      <c r="P187" s="1335"/>
      <c r="Q187" s="1335"/>
      <c r="R187" s="1335"/>
      <c r="S187" s="1335"/>
      <c r="T187" s="1335"/>
      <c r="U187" s="1453"/>
      <c r="V187" s="1453"/>
      <c r="W187" s="1453"/>
    </row>
    <row r="188" spans="1:23" s="1424" customFormat="1">
      <c r="A188" s="1338"/>
      <c r="B188" s="1339" t="s">
        <v>94</v>
      </c>
      <c r="C188" s="1543">
        <f t="shared" ref="C188:H188" si="131">+C186+C173</f>
        <v>32406.056464000001</v>
      </c>
      <c r="D188" s="1543">
        <f t="shared" si="131"/>
        <v>36936.255099999995</v>
      </c>
      <c r="E188" s="1543">
        <f t="shared" si="131"/>
        <v>41343.495099999993</v>
      </c>
      <c r="F188" s="1543">
        <f t="shared" si="131"/>
        <v>47707.335099999997</v>
      </c>
      <c r="G188" s="1543">
        <f t="shared" si="131"/>
        <v>55343.235099999998</v>
      </c>
      <c r="H188" s="1339">
        <f t="shared" si="131"/>
        <v>16235.7351</v>
      </c>
      <c r="I188" s="1372">
        <f t="shared" ref="I188:N188" si="132">+I186+I173</f>
        <v>18127.935100000002</v>
      </c>
      <c r="J188" s="1339">
        <f t="shared" si="132"/>
        <v>29283.535100000001</v>
      </c>
      <c r="K188" s="1339">
        <f t="shared" si="132"/>
        <v>49102.1702</v>
      </c>
      <c r="L188" s="1339">
        <f t="shared" si="132"/>
        <v>60410.6702</v>
      </c>
      <c r="M188" s="1339">
        <f t="shared" si="132"/>
        <v>79019.470200000011</v>
      </c>
      <c r="N188" s="1339">
        <f t="shared" si="132"/>
        <v>96080.170199999993</v>
      </c>
      <c r="O188" s="1339">
        <f>+O186+O173</f>
        <v>106921.50000000001</v>
      </c>
      <c r="P188" s="1339">
        <f>+P186+P173</f>
        <v>122916.57019999999</v>
      </c>
      <c r="Q188" s="1339">
        <f>+Q186+Q173</f>
        <v>139185.80832899996</v>
      </c>
      <c r="R188" s="1339">
        <f>+R186+R173</f>
        <v>157780.23231316629</v>
      </c>
      <c r="S188" s="1339">
        <f t="shared" ref="S188:T188" si="133">+S186+S173</f>
        <v>183335.24252160639</v>
      </c>
      <c r="T188" s="1339">
        <f t="shared" si="133"/>
        <v>237960.99959641931</v>
      </c>
      <c r="U188" s="1453"/>
      <c r="V188" s="1453"/>
      <c r="W188" s="1453"/>
    </row>
    <row r="189" spans="1:23">
      <c r="A189" s="1336"/>
      <c r="B189" s="1335"/>
      <c r="C189" s="1335"/>
      <c r="D189" s="1335"/>
      <c r="E189" s="1335"/>
      <c r="F189" s="1335"/>
      <c r="G189" s="1335"/>
      <c r="H189" s="1335"/>
      <c r="I189" s="1358"/>
      <c r="J189" s="1335"/>
      <c r="K189" s="1335"/>
      <c r="L189" s="1335"/>
      <c r="M189" s="1335"/>
      <c r="N189" s="1335"/>
      <c r="O189" s="1335"/>
      <c r="P189" s="1335"/>
      <c r="Q189" s="1335"/>
      <c r="R189" s="1335"/>
    </row>
    <row r="190" spans="1:23">
      <c r="A190" s="1511" t="s">
        <v>316</v>
      </c>
      <c r="B190" s="1335"/>
      <c r="C190" s="1335"/>
      <c r="D190" s="1335"/>
      <c r="E190" s="1335"/>
      <c r="F190" s="1335"/>
      <c r="G190" s="1335"/>
      <c r="H190" s="1335"/>
      <c r="I190" s="1358"/>
      <c r="J190" s="1335"/>
      <c r="K190" s="1335"/>
      <c r="L190" s="1335"/>
      <c r="M190" s="1335"/>
      <c r="N190" s="1335"/>
      <c r="O190" s="1335"/>
      <c r="P190" s="1335"/>
      <c r="Q190" s="1335"/>
      <c r="R190" s="1335"/>
    </row>
    <row r="191" spans="1:23">
      <c r="A191" s="1336"/>
      <c r="B191" s="1335"/>
      <c r="C191" s="1335"/>
      <c r="D191" s="1335"/>
      <c r="E191" s="1335"/>
      <c r="F191" s="1335"/>
      <c r="G191" s="1335"/>
      <c r="H191" s="1335"/>
      <c r="I191" s="1358"/>
      <c r="J191" s="1335"/>
      <c r="K191" s="1335"/>
      <c r="L191" s="1335"/>
      <c r="M191" s="1335"/>
      <c r="N191" s="1335"/>
      <c r="O191" s="1335"/>
      <c r="P191" s="1335"/>
      <c r="Q191" s="1335"/>
      <c r="R191" s="1335"/>
    </row>
    <row r="192" spans="1:23">
      <c r="A192" s="1336"/>
      <c r="B192" s="1335"/>
      <c r="C192" s="1335"/>
      <c r="D192" s="1335"/>
      <c r="E192" s="1335"/>
      <c r="F192" s="1335"/>
      <c r="G192" s="1335"/>
      <c r="H192" s="1335"/>
      <c r="I192" s="1358"/>
      <c r="J192" s="1335"/>
      <c r="K192" s="1335"/>
      <c r="L192" s="1335"/>
      <c r="M192" s="1335"/>
      <c r="N192" s="1335"/>
      <c r="O192" s="1335"/>
      <c r="P192" s="1335"/>
      <c r="Q192" s="1335"/>
      <c r="R192" s="1335"/>
    </row>
  </sheetData>
  <sheetProtection password="CF34" sheet="1" objects="1" scenarios="1" sort="0" autoFilter="0" pivotTables="0"/>
  <mergeCells count="3">
    <mergeCell ref="A2:K2"/>
    <mergeCell ref="A4:K4"/>
    <mergeCell ref="A1:B1"/>
  </mergeCells>
  <phoneticPr fontId="6" type="noConversion"/>
  <conditionalFormatting sqref="A32:N32 X32:XFD32 P32:U32">
    <cfRule type="cellIs" dxfId="3" priority="2" stopIfTrue="1" operator="notEqual">
      <formula>0</formula>
    </cfRule>
  </conditionalFormatting>
  <conditionalFormatting sqref="O32">
    <cfRule type="cellIs" dxfId="2" priority="1" stopIfTrue="1" operator="notEqual">
      <formula>0</formula>
    </cfRule>
  </conditionalFormatting>
  <hyperlinks>
    <hyperlink ref="B9" location="'Bal Sheet'!A45" display="Inventories"/>
    <hyperlink ref="B10" location="'Bal Sheet'!A53" display="Sundry debtors"/>
    <hyperlink ref="B11" location="'Bal Sheet'!A63" display="Loans &amp; advances"/>
    <hyperlink ref="B12" location="'Bal Sheet'!A72" display="Other current assets"/>
    <hyperlink ref="B13" location="'Bal Sheet'!A83" display="Cash &amp; cash equivalents"/>
    <hyperlink ref="B15" location="'Bal Sheet'!A93" display="Net fixed assets"/>
    <hyperlink ref="B16" location="'Bal Sheet'!A104" display="Net intangible assets"/>
    <hyperlink ref="B17" location="'Bal Sheet'!A116" display="Investments"/>
    <hyperlink ref="B18" location="'Bal Sheet'!A123" display="Deferred tax asset, net"/>
    <hyperlink ref="B19" location="'Bal Sheet'!A131" display="Miscellaneous expenditure"/>
    <hyperlink ref="A45" location="'Bal Sheet'!A8" display="To TOP"/>
    <hyperlink ref="A53" location="'Bal Sheet'!A8" display="To TOP"/>
    <hyperlink ref="A63" location="'Bal Sheet'!A8" display="To TOP"/>
    <hyperlink ref="A72" location="'Bal Sheet'!A8" display="To TOP"/>
    <hyperlink ref="A83" location="'Bal Sheet'!A8" display="To TOP"/>
    <hyperlink ref="A93" location="'Bal Sheet'!A8" display="To TOP"/>
    <hyperlink ref="A104" location="'Bal Sheet'!A8" display="To TOP"/>
    <hyperlink ref="A116" location="'Bal Sheet'!A8" display="To TOP"/>
    <hyperlink ref="A124" location="'Bal Sheet'!A8" display="To TOP"/>
    <hyperlink ref="A132" location="'Bal Sheet'!A8" display="To TOP"/>
    <hyperlink ref="A142" location="'Bal Sheet'!A8" display="To TOP"/>
    <hyperlink ref="A151" location="'Bal Sheet'!A8" display="To TOP"/>
    <hyperlink ref="A161" location="'Bal Sheet'!A8" display="To TOP"/>
    <hyperlink ref="A170" location="'Bal Sheet'!A8" display="To TOP"/>
    <hyperlink ref="A190" location="'Bal Sheet'!A8" display="To TOP"/>
    <hyperlink ref="B23" location="'Bal Sheet'!A141" display="Current liabilities"/>
    <hyperlink ref="B24" location="'Bal Sheet'!A150" display="Provisions"/>
    <hyperlink ref="B25" location="'Bal Sheet'!A160" display="Long-term debt"/>
    <hyperlink ref="B26" location="'Bal Sheet'!A169" display="Short-term debt"/>
    <hyperlink ref="B29" location="'Bal Sheet'!A189" display="Shareholder's equity"/>
    <hyperlink ref="B86" location="'Fixed Assets'!A8" display="Gross block"/>
    <hyperlink ref="B87" location="'Fixed Assets'!A8" display="Accumulated depreciation"/>
    <hyperlink ref="B88" location="'Fixed Assets'!A8" display="Net block"/>
    <hyperlink ref="B89" location="'Fixed Assets'!A8" display="CWIP"/>
    <hyperlink ref="A1" location="Dashboard!A1" display="To Dashboard"/>
  </hyperlinks>
  <pageMargins left="0.75" right="0.75" top="1" bottom="1" header="0.5" footer="0.5"/>
  <pageSetup paperSize="9" orientation="portrait" r:id="rId1"/>
  <headerFooter alignWithMargins="0"/>
  <ignoredErrors>
    <ignoredError sqref="K54:K55 J143:J144 K123:K126 K34:K35 J67:J79 K149 L64:L65 L167:L174 K9:K20 J46:J47 L46:L47 K143:K144 J118:J119 L97:L101 K187:K192 J183 L103:L106 L143:L144 L157 K165 I181:I192 K137:K138 I147 J176:J179 J137:J138 J9:J17 L9:L27 I9:I27 J149 L149 J29:J32 L29:L32 J187:J188 J37:J38 J49:J52 J40:J44 J54:J55 J191:J192 J81:J95 J123:J126 L118:L119 J159:J163 J128:J133 L81:L95 J152:J157 K176 J181 I37:I38 I143:I145 K64:K65 J64:J65 J98:J106 J19 J21:J27 L165 K178:K179 K128:K134 K86:K95 K29:K32 K46:K47 K67:K79 L159:L163 K159:K163 I118:I141 L57:L62 K37:K38 L189:L192 J57:J62 L49:L52 K168:K174 J167:J174 I149:I174 I176:I179 K40:K44 K118:K119 K151:K155 L151:L155 I29:I32 I35 L123:L134 K97:K106 K49:K52 K81:K84 K57:K60 K140:K141 K62 K22:K26 L40:L44 L137:L138 L140:L141 H9:H19 J140:J141 I33 L33:L35 J33:J35 L37:L38 L54:L55 L67:L79 I40:I115 L114:L115 K115 M9:N32" unlockedFormula="1"/>
  </ignoredErrors>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5"/>
  <dimension ref="A1:U208"/>
  <sheetViews>
    <sheetView workbookViewId="0">
      <pane xSplit="1" ySplit="3" topLeftCell="I80" activePane="bottomRight" state="frozen"/>
      <selection activeCell="G30" sqref="G30"/>
      <selection pane="topRight" activeCell="G30" sqref="G30"/>
      <selection pane="bottomLeft" activeCell="G30" sqref="G30"/>
      <selection pane="bottomRight" activeCell="N83" sqref="N83"/>
    </sheetView>
  </sheetViews>
  <sheetFormatPr defaultRowHeight="10.5"/>
  <cols>
    <col min="1" max="1" width="31.25" style="75" bestFit="1" customWidth="1"/>
    <col min="2" max="3" width="11.625" style="75" hidden="1" customWidth="1"/>
    <col min="4" max="4" width="12.875" style="75" hidden="1" customWidth="1"/>
    <col min="5" max="5" width="11.5" style="75" hidden="1" customWidth="1"/>
    <col min="6" max="6" width="11.25" style="75" hidden="1" customWidth="1"/>
    <col min="7" max="7" width="11.375" style="75" hidden="1" customWidth="1"/>
    <col min="8" max="8" width="10.375" style="75" hidden="1" customWidth="1"/>
    <col min="9" max="9" width="10.875" style="75" customWidth="1"/>
    <col min="10" max="11" width="10.875" style="75" bestFit="1" customWidth="1"/>
    <col min="12" max="14" width="11" style="75" customWidth="1"/>
    <col min="15" max="15" width="10.875" style="75" bestFit="1" customWidth="1"/>
    <col min="16" max="16" width="10.875" style="75" hidden="1" customWidth="1"/>
    <col min="17" max="16384" width="9" style="75"/>
  </cols>
  <sheetData>
    <row r="1" spans="1:18" ht="11.25" thickBot="1"/>
    <row r="2" spans="1:18" s="79" customFormat="1" ht="11.25" thickBot="1">
      <c r="A2" s="75"/>
      <c r="B2" s="80" t="s">
        <v>670</v>
      </c>
      <c r="C2" s="80" t="s">
        <v>669</v>
      </c>
      <c r="D2" s="80" t="s">
        <v>668</v>
      </c>
      <c r="E2" s="80" t="s">
        <v>314</v>
      </c>
      <c r="F2" s="81" t="s">
        <v>612</v>
      </c>
      <c r="G2" s="81" t="s">
        <v>195</v>
      </c>
      <c r="H2" s="81" t="s">
        <v>395</v>
      </c>
      <c r="I2" s="81" t="s">
        <v>279</v>
      </c>
      <c r="J2" s="81" t="s">
        <v>1419</v>
      </c>
      <c r="K2" s="81" t="s">
        <v>1857</v>
      </c>
      <c r="L2" s="986" t="s">
        <v>1858</v>
      </c>
      <c r="M2" s="986" t="s">
        <v>2377</v>
      </c>
      <c r="N2" s="509" t="s">
        <v>1634</v>
      </c>
      <c r="O2" s="509" t="s">
        <v>1635</v>
      </c>
      <c r="P2" s="509" t="s">
        <v>1636</v>
      </c>
    </row>
    <row r="5" spans="1:18">
      <c r="A5" s="82"/>
    </row>
    <row r="6" spans="1:18" s="88" customFormat="1">
      <c r="A6" s="88" t="s">
        <v>268</v>
      </c>
    </row>
    <row r="7" spans="1:18">
      <c r="G7" s="109"/>
    </row>
    <row r="8" spans="1:18">
      <c r="A8" s="75" t="s">
        <v>1980</v>
      </c>
      <c r="B8" s="76">
        <v>1049989</v>
      </c>
      <c r="C8" s="76">
        <v>1264006</v>
      </c>
      <c r="D8" s="76">
        <v>735765</v>
      </c>
      <c r="E8" s="76">
        <v>432551</v>
      </c>
      <c r="F8" s="111">
        <v>928878</v>
      </c>
      <c r="G8" s="76">
        <v>1159187</v>
      </c>
      <c r="H8" s="76">
        <v>1128410</v>
      </c>
      <c r="I8" s="76">
        <f>1244938</f>
        <v>1244938</v>
      </c>
      <c r="J8" s="76">
        <v>1173036</v>
      </c>
      <c r="K8" s="76">
        <v>834086</v>
      </c>
      <c r="L8" s="76">
        <v>921721</v>
      </c>
      <c r="M8" s="76">
        <v>836268</v>
      </c>
      <c r="N8" s="76"/>
      <c r="O8" s="76"/>
      <c r="P8" s="76"/>
    </row>
    <row r="9" spans="1:18" s="85" customFormat="1">
      <c r="A9" s="85" t="s">
        <v>579</v>
      </c>
      <c r="B9" s="86"/>
      <c r="C9" s="87">
        <f t="shared" ref="C9:K9" si="0">(C8/B8-1)*100</f>
        <v>20.382784962509138</v>
      </c>
      <c r="D9" s="87">
        <f t="shared" si="0"/>
        <v>-41.791019979335545</v>
      </c>
      <c r="E9" s="87">
        <f t="shared" si="0"/>
        <v>-41.210712659612781</v>
      </c>
      <c r="F9" s="87">
        <f t="shared" si="0"/>
        <v>114.74415733636035</v>
      </c>
      <c r="G9" s="87">
        <f t="shared" si="0"/>
        <v>24.794321751618618</v>
      </c>
      <c r="H9" s="87">
        <f t="shared" si="0"/>
        <v>-2.6550504793445784</v>
      </c>
      <c r="I9" s="87">
        <f t="shared" si="0"/>
        <v>10.326742939179901</v>
      </c>
      <c r="J9" s="87">
        <f t="shared" si="0"/>
        <v>-5.7755486618610741</v>
      </c>
      <c r="K9" s="87">
        <f t="shared" si="0"/>
        <v>-28.89510637354693</v>
      </c>
      <c r="L9" s="87">
        <f t="shared" ref="L9" si="1">(L8/K8-1)*100</f>
        <v>10.506710339221614</v>
      </c>
      <c r="M9" s="87">
        <f t="shared" ref="M9" si="2">(M8/L8-1)*100</f>
        <v>-9.2710266989685657</v>
      </c>
      <c r="N9" s="90"/>
      <c r="O9" s="90"/>
      <c r="P9" s="90"/>
    </row>
    <row r="10" spans="1:18">
      <c r="A10" s="75" t="s">
        <v>1981</v>
      </c>
      <c r="B10" s="76">
        <v>697817</v>
      </c>
      <c r="C10" s="76">
        <v>814854</v>
      </c>
      <c r="D10" s="76">
        <v>922319</v>
      </c>
      <c r="E10" s="76">
        <v>843876</v>
      </c>
      <c r="F10" s="111">
        <v>852870</v>
      </c>
      <c r="G10" s="76">
        <v>1255416</v>
      </c>
      <c r="H10" s="76">
        <f>128+1438219</f>
        <v>1438347</v>
      </c>
      <c r="I10" s="76">
        <v>1218925</v>
      </c>
      <c r="J10" s="76">
        <v>926194</v>
      </c>
      <c r="K10" s="76">
        <v>936692</v>
      </c>
      <c r="L10" s="76">
        <v>969376</v>
      </c>
      <c r="M10" s="76">
        <v>1148660</v>
      </c>
      <c r="N10" s="76"/>
      <c r="O10" s="76"/>
      <c r="P10" s="76"/>
    </row>
    <row r="11" spans="1:18" s="85" customFormat="1">
      <c r="A11" s="85" t="s">
        <v>579</v>
      </c>
      <c r="B11" s="86"/>
      <c r="C11" s="87">
        <f t="shared" ref="C11:K11" si="3">(C10/B10-1)*100</f>
        <v>16.771875720998473</v>
      </c>
      <c r="D11" s="87">
        <f t="shared" si="3"/>
        <v>13.188252128602173</v>
      </c>
      <c r="E11" s="87">
        <f t="shared" si="3"/>
        <v>-8.5049749598566251</v>
      </c>
      <c r="F11" s="87">
        <f t="shared" si="3"/>
        <v>1.0657963966269834</v>
      </c>
      <c r="G11" s="87">
        <f t="shared" si="3"/>
        <v>47.198986949945485</v>
      </c>
      <c r="H11" s="87">
        <f t="shared" si="3"/>
        <v>14.571345275191661</v>
      </c>
      <c r="I11" s="87">
        <f t="shared" si="3"/>
        <v>-15.25515053043528</v>
      </c>
      <c r="J11" s="87">
        <f t="shared" si="3"/>
        <v>-24.015505465881827</v>
      </c>
      <c r="K11" s="87">
        <f t="shared" si="3"/>
        <v>1.1334558418646612</v>
      </c>
      <c r="L11" s="87">
        <f t="shared" ref="L11" si="4">(L10/K10-1)*100</f>
        <v>3.4893006452494602</v>
      </c>
      <c r="M11" s="87">
        <f t="shared" ref="M11" si="5">(M10/L10-1)*100</f>
        <v>18.494784273594568</v>
      </c>
      <c r="N11" s="90"/>
      <c r="O11" s="90"/>
      <c r="P11" s="90"/>
    </row>
    <row r="12" spans="1:18" s="91" customFormat="1">
      <c r="A12" s="91" t="s">
        <v>283</v>
      </c>
      <c r="B12" s="92">
        <f>B8+B10</f>
        <v>1747806</v>
      </c>
      <c r="C12" s="92">
        <f t="shared" ref="C12:M12" si="6">C8+C10</f>
        <v>2078860</v>
      </c>
      <c r="D12" s="92">
        <f t="shared" si="6"/>
        <v>1658084</v>
      </c>
      <c r="E12" s="92">
        <f t="shared" si="6"/>
        <v>1276427</v>
      </c>
      <c r="F12" s="92">
        <f t="shared" si="6"/>
        <v>1781748</v>
      </c>
      <c r="G12" s="92">
        <f t="shared" si="6"/>
        <v>2414603</v>
      </c>
      <c r="H12" s="92">
        <f t="shared" si="6"/>
        <v>2566757</v>
      </c>
      <c r="I12" s="92">
        <f t="shared" si="6"/>
        <v>2463863</v>
      </c>
      <c r="J12" s="92">
        <f t="shared" si="6"/>
        <v>2099230</v>
      </c>
      <c r="K12" s="92">
        <f t="shared" si="6"/>
        <v>1770778</v>
      </c>
      <c r="L12" s="92">
        <f t="shared" si="6"/>
        <v>1891097</v>
      </c>
      <c r="M12" s="92">
        <f t="shared" si="6"/>
        <v>1984928</v>
      </c>
      <c r="N12" s="92">
        <f>+'Model wise sales'!R9</f>
        <v>2224677.11</v>
      </c>
      <c r="O12" s="92">
        <f>+'Model wise sales'!S9</f>
        <v>2485127.7417000001</v>
      </c>
      <c r="P12" s="92">
        <f>+'Model wise sales'!T9</f>
        <v>2752287.6666249996</v>
      </c>
      <c r="R12" s="971"/>
    </row>
    <row r="13" spans="1:18" s="91" customFormat="1">
      <c r="A13" s="91" t="s">
        <v>579</v>
      </c>
      <c r="B13" s="92"/>
      <c r="C13" s="93">
        <f t="shared" ref="C13:H13" si="7">(C12/B12-1)*100</f>
        <v>18.941118179019867</v>
      </c>
      <c r="D13" s="93">
        <f t="shared" si="7"/>
        <v>-20.240708850042811</v>
      </c>
      <c r="E13" s="93">
        <f t="shared" si="7"/>
        <v>-23.017953252066846</v>
      </c>
      <c r="F13" s="93">
        <f t="shared" si="7"/>
        <v>39.588711301155485</v>
      </c>
      <c r="G13" s="93">
        <f t="shared" si="7"/>
        <v>35.518771453651141</v>
      </c>
      <c r="H13" s="93">
        <f t="shared" si="7"/>
        <v>6.3014085545325615</v>
      </c>
      <c r="I13" s="93">
        <f t="shared" ref="I13:N13" si="8">(I12/H12-1)*100</f>
        <v>-4.0087160568764375</v>
      </c>
      <c r="J13" s="93">
        <f t="shared" si="8"/>
        <v>-14.799240055149166</v>
      </c>
      <c r="K13" s="93">
        <f t="shared" si="8"/>
        <v>-15.646308408321142</v>
      </c>
      <c r="L13" s="93">
        <f t="shared" si="8"/>
        <v>6.7946970201798296</v>
      </c>
      <c r="M13" s="93">
        <f t="shared" si="8"/>
        <v>4.9617232749034068</v>
      </c>
      <c r="N13" s="93">
        <f t="shared" si="8"/>
        <v>12.078478917119394</v>
      </c>
      <c r="O13" s="93">
        <f t="shared" ref="O13" si="9">(O12/N12-1)*100</f>
        <v>11.707345327969886</v>
      </c>
      <c r="P13" s="93">
        <f t="shared" ref="P13" si="10">(P12/O12-1)*100</f>
        <v>10.750349788548231</v>
      </c>
    </row>
    <row r="14" spans="1:18" s="91" customFormat="1">
      <c r="B14" s="92"/>
      <c r="C14" s="93"/>
      <c r="D14" s="93"/>
      <c r="E14" s="93"/>
      <c r="F14" s="93"/>
      <c r="G14" s="93"/>
      <c r="H14" s="93"/>
      <c r="I14" s="93"/>
      <c r="J14" s="93"/>
      <c r="K14" s="93"/>
      <c r="L14" s="93"/>
      <c r="M14" s="93"/>
      <c r="N14" s="93"/>
      <c r="O14" s="93"/>
      <c r="P14" s="93"/>
    </row>
    <row r="15" spans="1:18">
      <c r="A15" s="75" t="s">
        <v>577</v>
      </c>
      <c r="B15" s="76">
        <v>106377</v>
      </c>
      <c r="C15" s="76">
        <v>19370</v>
      </c>
      <c r="D15" s="76">
        <v>20817</v>
      </c>
      <c r="E15" s="76">
        <v>9692</v>
      </c>
      <c r="F15" s="76">
        <v>3759</v>
      </c>
      <c r="G15" s="76">
        <f t="shared" ref="G15:L15" si="11">(F15*(1+G16%))</f>
        <v>0</v>
      </c>
      <c r="H15" s="76">
        <f t="shared" si="11"/>
        <v>0</v>
      </c>
      <c r="I15" s="76">
        <f t="shared" si="11"/>
        <v>0</v>
      </c>
      <c r="J15" s="76">
        <f t="shared" si="11"/>
        <v>0</v>
      </c>
      <c r="K15" s="76">
        <f t="shared" si="11"/>
        <v>0</v>
      </c>
      <c r="L15" s="76">
        <f t="shared" si="11"/>
        <v>0</v>
      </c>
      <c r="M15" s="76">
        <f>(L15*(1+M16%))</f>
        <v>0</v>
      </c>
      <c r="N15" s="76">
        <f>(M15*(1+N16%))</f>
        <v>0</v>
      </c>
      <c r="O15" s="76">
        <f t="shared" ref="O15:P15" si="12">(N15*(1+O16%))</f>
        <v>0</v>
      </c>
      <c r="P15" s="76">
        <f t="shared" si="12"/>
        <v>0</v>
      </c>
    </row>
    <row r="16" spans="1:18" s="85" customFormat="1">
      <c r="A16" s="85" t="s">
        <v>579</v>
      </c>
      <c r="B16" s="86"/>
      <c r="C16" s="87">
        <f>(C15/B15-1)*100</f>
        <v>-81.791176664128514</v>
      </c>
      <c r="D16" s="87">
        <f>(D15/C15-1)*100</f>
        <v>7.4703149199793595</v>
      </c>
      <c r="E16" s="87">
        <f>(E15/D15-1)*100</f>
        <v>-53.44189844838354</v>
      </c>
      <c r="F16" s="87">
        <f>(F15/E15-1)*100</f>
        <v>-61.215435410647956</v>
      </c>
      <c r="G16" s="87">
        <v>-100</v>
      </c>
      <c r="H16" s="87">
        <v>0</v>
      </c>
      <c r="I16" s="87">
        <v>0</v>
      </c>
      <c r="J16" s="87">
        <v>0</v>
      </c>
      <c r="K16" s="87">
        <v>0</v>
      </c>
      <c r="L16" s="87">
        <v>0</v>
      </c>
      <c r="M16" s="87">
        <v>0</v>
      </c>
      <c r="N16" s="87">
        <v>0</v>
      </c>
      <c r="O16" s="87">
        <v>0</v>
      </c>
      <c r="P16" s="87">
        <v>0</v>
      </c>
    </row>
    <row r="17" spans="1:18" s="85" customFormat="1">
      <c r="B17" s="86"/>
      <c r="C17" s="87"/>
      <c r="D17" s="87"/>
      <c r="E17" s="87"/>
      <c r="F17" s="90"/>
      <c r="G17" s="90"/>
      <c r="H17" s="90"/>
      <c r="I17" s="90"/>
      <c r="J17" s="90"/>
      <c r="K17" s="90"/>
      <c r="L17" s="90"/>
      <c r="M17" s="90"/>
      <c r="N17" s="90"/>
      <c r="O17" s="90"/>
      <c r="P17" s="90"/>
    </row>
    <row r="18" spans="1:18">
      <c r="A18" s="75" t="s">
        <v>270</v>
      </c>
      <c r="B18" s="76">
        <v>141351</v>
      </c>
      <c r="C18" s="76">
        <v>138759</v>
      </c>
      <c r="D18" s="76">
        <v>127379</v>
      </c>
      <c r="E18" s="76">
        <v>125273</v>
      </c>
      <c r="F18" s="76">
        <v>164493</v>
      </c>
      <c r="G18" s="76">
        <v>201246</v>
      </c>
      <c r="H18" s="76">
        <v>195141</v>
      </c>
      <c r="I18" s="76">
        <v>223287</v>
      </c>
      <c r="J18" s="76">
        <v>186856</v>
      </c>
      <c r="K18" s="76">
        <v>234345</v>
      </c>
      <c r="L18" s="76">
        <v>253670</v>
      </c>
      <c r="M18" s="76">
        <v>239985</v>
      </c>
      <c r="N18" s="76"/>
      <c r="O18" s="76"/>
      <c r="P18" s="76"/>
    </row>
    <row r="19" spans="1:18" s="85" customFormat="1">
      <c r="A19" s="85" t="s">
        <v>579</v>
      </c>
      <c r="B19" s="86"/>
      <c r="C19" s="87">
        <f t="shared" ref="C19:H19" si="13">(C18/B18-1)*100</f>
        <v>-1.8337330475200031</v>
      </c>
      <c r="D19" s="87">
        <f t="shared" si="13"/>
        <v>-8.201269827542724</v>
      </c>
      <c r="E19" s="87">
        <f t="shared" si="13"/>
        <v>-1.6533337520313385</v>
      </c>
      <c r="F19" s="87">
        <f t="shared" si="13"/>
        <v>31.307624148858881</v>
      </c>
      <c r="G19" s="87">
        <f t="shared" si="13"/>
        <v>22.343200014590291</v>
      </c>
      <c r="H19" s="87">
        <f t="shared" si="13"/>
        <v>-3.0336006678393646</v>
      </c>
      <c r="I19" s="87">
        <f>(I18/H18-1)*100</f>
        <v>14.42341691392377</v>
      </c>
      <c r="J19" s="87">
        <f>(J18/I18-1)*100</f>
        <v>-16.315772973796062</v>
      </c>
      <c r="K19" s="87">
        <f>(K18/J18-1)*100</f>
        <v>25.414757888427442</v>
      </c>
      <c r="L19" s="87">
        <f t="shared" ref="L19:M19" si="14">(L18/K18-1)*100</f>
        <v>8.2463888711088451</v>
      </c>
      <c r="M19" s="87">
        <f t="shared" si="14"/>
        <v>-5.3948042732684165</v>
      </c>
      <c r="N19" s="90"/>
      <c r="O19" s="90"/>
      <c r="P19" s="90"/>
    </row>
    <row r="20" spans="1:18">
      <c r="A20" s="75" t="s">
        <v>271</v>
      </c>
      <c r="B20" s="76">
        <v>35394</v>
      </c>
      <c r="C20" s="76">
        <v>42374</v>
      </c>
      <c r="D20" s="76">
        <v>26607</v>
      </c>
      <c r="E20" s="76">
        <v>10197</v>
      </c>
      <c r="F20" s="76">
        <v>11534</v>
      </c>
      <c r="G20" s="76">
        <v>4357</v>
      </c>
      <c r="H20" s="76">
        <v>7838</v>
      </c>
      <c r="I20" s="76">
        <v>2844</v>
      </c>
      <c r="J20" s="76">
        <v>56</v>
      </c>
      <c r="K20" s="76">
        <v>0</v>
      </c>
      <c r="L20" s="76">
        <v>1325</v>
      </c>
      <c r="M20" s="76">
        <v>13162</v>
      </c>
      <c r="N20" s="76"/>
      <c r="O20" s="76"/>
      <c r="P20" s="76"/>
    </row>
    <row r="21" spans="1:18" s="85" customFormat="1">
      <c r="A21" s="85" t="s">
        <v>579</v>
      </c>
      <c r="B21" s="86"/>
      <c r="C21" s="87">
        <f t="shared" ref="C21:H21" si="15">(C20/B20-1)*100</f>
        <v>19.720856642368755</v>
      </c>
      <c r="D21" s="87">
        <f t="shared" si="15"/>
        <v>-37.209137678765281</v>
      </c>
      <c r="E21" s="87">
        <f t="shared" si="15"/>
        <v>-61.675498928853315</v>
      </c>
      <c r="F21" s="87">
        <f t="shared" si="15"/>
        <v>13.111699519466512</v>
      </c>
      <c r="G21" s="87">
        <f t="shared" si="15"/>
        <v>-62.224726894399176</v>
      </c>
      <c r="H21" s="87">
        <f t="shared" si="15"/>
        <v>79.894422767959597</v>
      </c>
      <c r="I21" s="87">
        <f>(I20/H20-1)*100</f>
        <v>-63.715233477928045</v>
      </c>
      <c r="J21" s="87">
        <f>(J20/I20-1)*100</f>
        <v>-98.030942334739805</v>
      </c>
      <c r="K21" s="87">
        <f>(K20/J20-1)*100</f>
        <v>-100</v>
      </c>
      <c r="L21" s="87" t="e">
        <f t="shared" ref="L21:M21" si="16">(L20/K20-1)*100</f>
        <v>#DIV/0!</v>
      </c>
      <c r="M21" s="87">
        <f t="shared" si="16"/>
        <v>893.35849056603763</v>
      </c>
      <c r="N21" s="90"/>
      <c r="O21" s="90"/>
      <c r="P21" s="90"/>
    </row>
    <row r="22" spans="1:18" s="91" customFormat="1">
      <c r="A22" s="91" t="s">
        <v>284</v>
      </c>
      <c r="B22" s="92">
        <f>B18+B20</f>
        <v>176745</v>
      </c>
      <c r="C22" s="92">
        <f t="shared" ref="C22:M22" si="17">C18+C20</f>
        <v>181133</v>
      </c>
      <c r="D22" s="92">
        <f t="shared" si="17"/>
        <v>153986</v>
      </c>
      <c r="E22" s="92">
        <f t="shared" si="17"/>
        <v>135470</v>
      </c>
      <c r="F22" s="92">
        <f t="shared" si="17"/>
        <v>176027</v>
      </c>
      <c r="G22" s="92">
        <f>G18+G20</f>
        <v>205603</v>
      </c>
      <c r="H22" s="92">
        <f t="shared" si="17"/>
        <v>202979</v>
      </c>
      <c r="I22" s="92">
        <f t="shared" si="17"/>
        <v>226131</v>
      </c>
      <c r="J22" s="92">
        <f t="shared" si="17"/>
        <v>186912</v>
      </c>
      <c r="K22" s="92">
        <f t="shared" si="17"/>
        <v>234345</v>
      </c>
      <c r="L22" s="92">
        <f t="shared" si="17"/>
        <v>254995</v>
      </c>
      <c r="M22" s="92">
        <f t="shared" si="17"/>
        <v>253147</v>
      </c>
      <c r="N22" s="92">
        <f>+'Model wise sales'!R10+'Model wise sales'!R11</f>
        <v>290461.7</v>
      </c>
      <c r="O22" s="92">
        <f>+'Model wise sales'!S10+'Model wise sales'!S11</f>
        <v>330307.87</v>
      </c>
      <c r="P22" s="92">
        <f>+'Model wise sales'!T10+'Model wise sales'!T11</f>
        <v>354812.49959999998</v>
      </c>
    </row>
    <row r="23" spans="1:18" s="85" customFormat="1">
      <c r="A23" s="85" t="s">
        <v>579</v>
      </c>
      <c r="B23" s="86"/>
      <c r="C23" s="87">
        <f t="shared" ref="C23:H23" si="18">(C22/B22-1)*100</f>
        <v>2.4826727771648516</v>
      </c>
      <c r="D23" s="87">
        <f t="shared" si="18"/>
        <v>-14.987329752171053</v>
      </c>
      <c r="E23" s="87">
        <f t="shared" si="18"/>
        <v>-12.024469756990896</v>
      </c>
      <c r="F23" s="87">
        <f t="shared" si="18"/>
        <v>29.93799365173102</v>
      </c>
      <c r="G23" s="87">
        <f t="shared" si="18"/>
        <v>16.801967879927517</v>
      </c>
      <c r="H23" s="87">
        <f t="shared" si="18"/>
        <v>-1.2762459691736061</v>
      </c>
      <c r="I23" s="87">
        <f t="shared" ref="I23:N23" si="19">(I22/H22-1)*100</f>
        <v>11.406106050379595</v>
      </c>
      <c r="J23" s="87">
        <f t="shared" si="19"/>
        <v>-17.343486739987</v>
      </c>
      <c r="K23" s="87">
        <f t="shared" si="19"/>
        <v>25.37718284540318</v>
      </c>
      <c r="L23" s="87">
        <f t="shared" si="19"/>
        <v>8.8117945763724457</v>
      </c>
      <c r="M23" s="87">
        <f t="shared" si="19"/>
        <v>-0.72472009255083458</v>
      </c>
      <c r="N23" s="87">
        <f t="shared" si="19"/>
        <v>14.740328741798248</v>
      </c>
      <c r="O23" s="87">
        <f t="shared" ref="O23" si="20">(O22/N22-1)*100</f>
        <v>13.71821827111801</v>
      </c>
      <c r="P23" s="87">
        <f t="shared" ref="P23" si="21">(P22/O22-1)*100</f>
        <v>7.4187241133552018</v>
      </c>
    </row>
    <row r="24" spans="1:18">
      <c r="B24" s="76"/>
      <c r="C24" s="76"/>
      <c r="D24" s="76"/>
      <c r="E24" s="76"/>
      <c r="F24" s="76"/>
      <c r="G24" s="76"/>
      <c r="H24" s="76"/>
      <c r="I24" s="76"/>
      <c r="J24" s="76"/>
      <c r="K24" s="76"/>
      <c r="L24" s="76"/>
      <c r="M24" s="76"/>
      <c r="N24" s="76"/>
      <c r="O24" s="76"/>
      <c r="P24" s="76"/>
    </row>
    <row r="25" spans="1:18">
      <c r="B25" s="76"/>
      <c r="C25" s="76"/>
      <c r="D25" s="76"/>
      <c r="E25" s="76"/>
      <c r="F25" s="76"/>
      <c r="G25" s="76"/>
      <c r="H25" s="76"/>
      <c r="I25" s="76"/>
      <c r="J25" s="76"/>
      <c r="K25" s="76"/>
      <c r="L25" s="76"/>
      <c r="M25" s="76"/>
      <c r="N25" s="76"/>
      <c r="O25" s="76"/>
      <c r="P25" s="76"/>
    </row>
    <row r="26" spans="1:18">
      <c r="A26" s="88" t="s">
        <v>587</v>
      </c>
      <c r="B26" s="76"/>
      <c r="C26" s="76"/>
      <c r="D26" s="76"/>
      <c r="E26" s="76"/>
      <c r="F26" s="76"/>
      <c r="G26" s="76"/>
      <c r="H26" s="76"/>
      <c r="I26" s="76"/>
      <c r="J26" s="76"/>
      <c r="K26" s="76"/>
      <c r="L26" s="76"/>
      <c r="M26" s="76"/>
      <c r="N26" s="76"/>
      <c r="O26" s="76"/>
      <c r="P26" s="76"/>
    </row>
    <row r="27" spans="1:18">
      <c r="A27" s="83" t="s">
        <v>1980</v>
      </c>
      <c r="B27" s="76">
        <v>101447</v>
      </c>
      <c r="C27" s="76">
        <v>181716</v>
      </c>
      <c r="D27" s="76">
        <v>280152</v>
      </c>
      <c r="E27" s="76">
        <v>378986</v>
      </c>
      <c r="F27" s="111">
        <v>533126</v>
      </c>
      <c r="G27" s="76">
        <v>639463</v>
      </c>
      <c r="H27" s="76">
        <v>832428</v>
      </c>
      <c r="I27" s="76">
        <v>811668</v>
      </c>
      <c r="J27" s="76">
        <v>838129</v>
      </c>
      <c r="K27" s="76">
        <v>876631</v>
      </c>
      <c r="L27" s="76">
        <v>852555</v>
      </c>
      <c r="M27" s="76">
        <v>643125</v>
      </c>
      <c r="N27" s="76"/>
      <c r="O27" s="76"/>
      <c r="P27" s="76"/>
    </row>
    <row r="28" spans="1:18" s="85" customFormat="1">
      <c r="A28" s="85" t="s">
        <v>579</v>
      </c>
      <c r="B28" s="86"/>
      <c r="C28" s="87">
        <f t="shared" ref="C28:K28" si="22">(C27/B27-1)*100</f>
        <v>79.124074639959787</v>
      </c>
      <c r="D28" s="87">
        <f t="shared" si="22"/>
        <v>54.170243676946448</v>
      </c>
      <c r="E28" s="87">
        <f t="shared" si="22"/>
        <v>35.278705845398207</v>
      </c>
      <c r="F28" s="87">
        <f t="shared" si="22"/>
        <v>40.671687080789255</v>
      </c>
      <c r="G28" s="87">
        <f t="shared" si="22"/>
        <v>19.945941484752193</v>
      </c>
      <c r="H28" s="87">
        <f t="shared" si="22"/>
        <v>30.176100884648527</v>
      </c>
      <c r="I28" s="87">
        <f t="shared" si="22"/>
        <v>-2.4939093831538584</v>
      </c>
      <c r="J28" s="87">
        <f t="shared" si="22"/>
        <v>3.2600767801613362</v>
      </c>
      <c r="K28" s="87">
        <f t="shared" si="22"/>
        <v>4.5938035791626364</v>
      </c>
      <c r="L28" s="87">
        <f t="shared" ref="L28" si="23">(L27/K27-1)*100</f>
        <v>-2.7464235236946855</v>
      </c>
      <c r="M28" s="87">
        <f t="shared" ref="M28" si="24">(M27/L27-1)*100</f>
        <v>-24.564984077273611</v>
      </c>
      <c r="N28" s="90"/>
      <c r="O28" s="90"/>
      <c r="P28" s="90"/>
    </row>
    <row r="29" spans="1:18">
      <c r="A29" s="83" t="s">
        <v>1981</v>
      </c>
      <c r="B29" s="76">
        <v>63841</v>
      </c>
      <c r="C29" s="76">
        <v>115943</v>
      </c>
      <c r="D29" s="76">
        <v>201397</v>
      </c>
      <c r="E29" s="76">
        <v>252397</v>
      </c>
      <c r="F29" s="111">
        <v>191971</v>
      </c>
      <c r="G29" s="76">
        <v>332974</v>
      </c>
      <c r="H29" s="76">
        <v>435220</v>
      </c>
      <c r="I29" s="76">
        <f>122890+263823+74452+20396+2</f>
        <v>481563</v>
      </c>
      <c r="J29" s="76">
        <v>485044</v>
      </c>
      <c r="K29" s="76">
        <v>644675</v>
      </c>
      <c r="L29" s="76">
        <v>593044</v>
      </c>
      <c r="M29" s="76">
        <v>565818</v>
      </c>
      <c r="N29" s="76"/>
      <c r="O29" s="76"/>
      <c r="P29" s="76"/>
    </row>
    <row r="30" spans="1:18" s="85" customFormat="1">
      <c r="A30" s="85" t="s">
        <v>579</v>
      </c>
      <c r="B30" s="86"/>
      <c r="C30" s="87">
        <f t="shared" ref="C30:K30" si="25">(C29/B29-1)*100</f>
        <v>81.612130135806154</v>
      </c>
      <c r="D30" s="87">
        <f t="shared" si="25"/>
        <v>73.703457733541484</v>
      </c>
      <c r="E30" s="87">
        <f t="shared" si="25"/>
        <v>25.323118020625923</v>
      </c>
      <c r="F30" s="87">
        <f t="shared" si="25"/>
        <v>-23.940855081478784</v>
      </c>
      <c r="G30" s="87">
        <f t="shared" si="25"/>
        <v>73.450156534059843</v>
      </c>
      <c r="H30" s="87">
        <f t="shared" si="25"/>
        <v>30.706902040399541</v>
      </c>
      <c r="I30" s="87">
        <f t="shared" si="25"/>
        <v>10.648177932999392</v>
      </c>
      <c r="J30" s="87">
        <f t="shared" si="25"/>
        <v>0.72285453824318946</v>
      </c>
      <c r="K30" s="87">
        <f t="shared" si="25"/>
        <v>32.910622541460157</v>
      </c>
      <c r="L30" s="87">
        <f t="shared" ref="L30" si="26">(L29/K29-1)*100</f>
        <v>-8.0088416644045424</v>
      </c>
      <c r="M30" s="87">
        <f t="shared" ref="M30" si="27">(M29/L29-1)*100</f>
        <v>-4.5908903892459936</v>
      </c>
      <c r="N30" s="90"/>
      <c r="O30" s="90"/>
      <c r="P30" s="90"/>
    </row>
    <row r="31" spans="1:18" s="91" customFormat="1">
      <c r="A31" s="91" t="s">
        <v>281</v>
      </c>
      <c r="B31" s="92">
        <f>B27+B29</f>
        <v>165288</v>
      </c>
      <c r="C31" s="92">
        <f t="shared" ref="C31:M31" si="28">C27+C29</f>
        <v>297659</v>
      </c>
      <c r="D31" s="92">
        <f t="shared" si="28"/>
        <v>481549</v>
      </c>
      <c r="E31" s="92">
        <f t="shared" si="28"/>
        <v>631383</v>
      </c>
      <c r="F31" s="92">
        <f t="shared" si="28"/>
        <v>725097</v>
      </c>
      <c r="G31" s="92">
        <f t="shared" si="28"/>
        <v>972437</v>
      </c>
      <c r="H31" s="92">
        <f t="shared" si="28"/>
        <v>1267648</v>
      </c>
      <c r="I31" s="92">
        <f t="shared" si="28"/>
        <v>1293231</v>
      </c>
      <c r="J31" s="92">
        <f t="shared" si="28"/>
        <v>1323173</v>
      </c>
      <c r="K31" s="92">
        <f t="shared" si="28"/>
        <v>1521306</v>
      </c>
      <c r="L31" s="92">
        <f t="shared" si="28"/>
        <v>1445599</v>
      </c>
      <c r="M31" s="92">
        <f t="shared" si="28"/>
        <v>1208943</v>
      </c>
      <c r="N31" s="92">
        <f>+'Model wise sales'!R13</f>
        <v>1364765.92</v>
      </c>
      <c r="O31" s="92">
        <f>+'Model wise sales'!S13</f>
        <v>1569480.808</v>
      </c>
      <c r="P31" s="92">
        <f>+'Model wise sales'!T13</f>
        <v>1804902.9291999999</v>
      </c>
      <c r="R31" s="972">
        <f>(O31/M31)^(1/2)-1</f>
        <v>0.13939705401641778</v>
      </c>
    </row>
    <row r="32" spans="1:18" s="91" customFormat="1">
      <c r="A32" s="91" t="s">
        <v>579</v>
      </c>
      <c r="B32" s="92"/>
      <c r="C32" s="93">
        <f t="shared" ref="C32:H32" si="29">(C31/B31-1)*100</f>
        <v>80.085063646483718</v>
      </c>
      <c r="D32" s="93">
        <f t="shared" si="29"/>
        <v>61.778746821026751</v>
      </c>
      <c r="E32" s="93">
        <f t="shared" si="29"/>
        <v>31.115005949550302</v>
      </c>
      <c r="F32" s="93">
        <f t="shared" si="29"/>
        <v>14.84265493369319</v>
      </c>
      <c r="G32" s="93">
        <f t="shared" si="29"/>
        <v>34.111298212515017</v>
      </c>
      <c r="H32" s="93">
        <f t="shared" si="29"/>
        <v>30.357853516474599</v>
      </c>
      <c r="I32" s="93">
        <f t="shared" ref="I32:N32" si="30">(I31/H31-1)*100</f>
        <v>2.0181469934871465</v>
      </c>
      <c r="J32" s="93">
        <f t="shared" si="30"/>
        <v>2.3152862868273338</v>
      </c>
      <c r="K32" s="93">
        <f t="shared" si="30"/>
        <v>14.974081242588833</v>
      </c>
      <c r="L32" s="93">
        <f t="shared" si="30"/>
        <v>-4.976447867818834</v>
      </c>
      <c r="M32" s="93">
        <f t="shared" si="30"/>
        <v>-16.370791623403168</v>
      </c>
      <c r="N32" s="93">
        <f t="shared" si="30"/>
        <v>12.889186669677555</v>
      </c>
      <c r="O32" s="93">
        <f t="shared" ref="O32" si="31">(O31/N31-1)*100</f>
        <v>15.000000000000014</v>
      </c>
      <c r="P32" s="93">
        <f t="shared" ref="P32" si="32">(P31/O31-1)*100</f>
        <v>14.999999999999991</v>
      </c>
    </row>
    <row r="33" spans="1:16" s="91" customFormat="1">
      <c r="B33" s="92"/>
      <c r="C33" s="93"/>
      <c r="D33" s="93"/>
      <c r="E33" s="93"/>
      <c r="F33" s="93"/>
      <c r="G33" s="93"/>
      <c r="H33" s="93"/>
      <c r="I33" s="93"/>
      <c r="J33" s="93"/>
      <c r="K33" s="93"/>
      <c r="L33" s="93"/>
      <c r="M33" s="93"/>
      <c r="N33" s="93"/>
      <c r="O33" s="93"/>
      <c r="P33" s="93"/>
    </row>
    <row r="34" spans="1:16">
      <c r="A34" s="75" t="s">
        <v>577</v>
      </c>
      <c r="B34" s="76">
        <v>9619</v>
      </c>
      <c r="C34" s="76">
        <v>1110</v>
      </c>
      <c r="D34" s="76">
        <v>477</v>
      </c>
      <c r="E34" s="76">
        <v>2080</v>
      </c>
      <c r="F34" s="76">
        <v>1092</v>
      </c>
      <c r="G34" s="76">
        <v>0</v>
      </c>
      <c r="H34" s="76">
        <f t="shared" ref="H34:M34" si="33">(G34*(1+H35%))</f>
        <v>0</v>
      </c>
      <c r="I34" s="76">
        <f t="shared" si="33"/>
        <v>0</v>
      </c>
      <c r="J34" s="76">
        <f t="shared" si="33"/>
        <v>0</v>
      </c>
      <c r="K34" s="76">
        <f t="shared" si="33"/>
        <v>0</v>
      </c>
      <c r="L34" s="76">
        <f t="shared" si="33"/>
        <v>0</v>
      </c>
      <c r="M34" s="76">
        <f t="shared" si="33"/>
        <v>0</v>
      </c>
      <c r="N34" s="76">
        <f>(M34*(1+N35%))</f>
        <v>0</v>
      </c>
      <c r="O34" s="76">
        <f t="shared" ref="O34:P34" si="34">(N34*(1+O35%))</f>
        <v>0</v>
      </c>
      <c r="P34" s="76">
        <f t="shared" si="34"/>
        <v>0</v>
      </c>
    </row>
    <row r="35" spans="1:16" s="85" customFormat="1">
      <c r="A35" s="85" t="s">
        <v>579</v>
      </c>
      <c r="B35" s="86"/>
      <c r="C35" s="87">
        <f>(C34/B34-1)*100</f>
        <v>-88.460338912568872</v>
      </c>
      <c r="D35" s="87">
        <f>(D34/C34-1)*100</f>
        <v>-57.027027027027025</v>
      </c>
      <c r="E35" s="87">
        <f>(E34/D34-1)*100</f>
        <v>336.05870020964358</v>
      </c>
      <c r="F35" s="87">
        <f>(F34/E34-1)*100</f>
        <v>-47.5</v>
      </c>
      <c r="G35" s="87">
        <f>(G34/F34-1)*100</f>
        <v>-100</v>
      </c>
      <c r="H35" s="90">
        <v>0</v>
      </c>
      <c r="I35" s="90">
        <v>0</v>
      </c>
      <c r="J35" s="90">
        <v>0</v>
      </c>
      <c r="K35" s="90">
        <v>0</v>
      </c>
      <c r="L35" s="90">
        <v>0</v>
      </c>
      <c r="M35" s="90">
        <v>0</v>
      </c>
      <c r="N35" s="90">
        <v>0</v>
      </c>
      <c r="O35" s="90">
        <v>0</v>
      </c>
      <c r="P35" s="90">
        <v>0</v>
      </c>
    </row>
    <row r="36" spans="1:16" s="85" customFormat="1">
      <c r="B36" s="86"/>
      <c r="C36" s="87"/>
      <c r="D36" s="87"/>
      <c r="E36" s="87"/>
      <c r="F36" s="90"/>
      <c r="G36" s="90"/>
      <c r="H36" s="90"/>
      <c r="I36" s="90"/>
      <c r="J36" s="90"/>
      <c r="K36" s="90"/>
      <c r="L36" s="90"/>
      <c r="M36" s="90"/>
      <c r="N36" s="90"/>
      <c r="O36" s="90"/>
      <c r="P36" s="90"/>
    </row>
    <row r="37" spans="1:16">
      <c r="A37" s="75" t="s">
        <v>270</v>
      </c>
      <c r="B37" s="76">
        <v>74625</v>
      </c>
      <c r="C37" s="76">
        <v>140556</v>
      </c>
      <c r="D37" s="76">
        <v>136215</v>
      </c>
      <c r="E37" s="76">
        <v>139056</v>
      </c>
      <c r="F37" s="76">
        <v>164909</v>
      </c>
      <c r="G37" s="76">
        <v>231107</v>
      </c>
      <c r="H37" s="76">
        <v>312176</v>
      </c>
      <c r="I37" s="76">
        <v>253926</v>
      </c>
      <c r="J37" s="76">
        <v>260762</v>
      </c>
      <c r="K37" s="76">
        <v>284772</v>
      </c>
      <c r="L37" s="76">
        <v>280000</v>
      </c>
      <c r="M37" s="76">
        <v>190950</v>
      </c>
      <c r="N37" s="76"/>
      <c r="O37" s="76"/>
      <c r="P37" s="76"/>
    </row>
    <row r="38" spans="1:16" s="85" customFormat="1">
      <c r="A38" s="85" t="s">
        <v>579</v>
      </c>
      <c r="B38" s="86"/>
      <c r="C38" s="87">
        <f t="shared" ref="C38:K38" si="35">(C37/B37-1)*100</f>
        <v>88.349748743718592</v>
      </c>
      <c r="D38" s="87">
        <f t="shared" si="35"/>
        <v>-3.0884487321779175</v>
      </c>
      <c r="E38" s="87">
        <f t="shared" si="35"/>
        <v>2.0856733839885511</v>
      </c>
      <c r="F38" s="87">
        <f t="shared" si="35"/>
        <v>18.591790357841443</v>
      </c>
      <c r="G38" s="87">
        <f t="shared" si="35"/>
        <v>40.142138997871555</v>
      </c>
      <c r="H38" s="87">
        <f t="shared" si="35"/>
        <v>35.078556685864129</v>
      </c>
      <c r="I38" s="87">
        <f t="shared" si="35"/>
        <v>-18.659346009943111</v>
      </c>
      <c r="J38" s="87">
        <f t="shared" si="35"/>
        <v>2.6921229019478021</v>
      </c>
      <c r="K38" s="87">
        <f t="shared" si="35"/>
        <v>9.2076299460811093</v>
      </c>
      <c r="L38" s="87">
        <f t="shared" ref="L38" si="36">(L37/K37-1)*100</f>
        <v>-1.6757265461492032</v>
      </c>
      <c r="M38" s="87">
        <f t="shared" ref="M38" si="37">(M37/L37-1)*100</f>
        <v>-31.803571428571431</v>
      </c>
      <c r="N38" s="90"/>
      <c r="O38" s="90"/>
      <c r="P38" s="90"/>
    </row>
    <row r="39" spans="1:16">
      <c r="A39" s="75" t="s">
        <v>271</v>
      </c>
      <c r="B39" s="76">
        <v>636</v>
      </c>
      <c r="C39" s="76">
        <v>107</v>
      </c>
      <c r="D39" s="76">
        <v>100</v>
      </c>
      <c r="E39" s="76">
        <v>0</v>
      </c>
      <c r="F39" s="76">
        <v>0</v>
      </c>
      <c r="G39" s="76">
        <v>174</v>
      </c>
      <c r="H39" s="76">
        <v>0</v>
      </c>
      <c r="I39" s="76">
        <v>0</v>
      </c>
      <c r="J39" s="76">
        <v>0</v>
      </c>
      <c r="K39" s="76">
        <v>0</v>
      </c>
      <c r="L39" s="76">
        <v>0</v>
      </c>
      <c r="M39" s="76">
        <v>286</v>
      </c>
      <c r="N39" s="76"/>
      <c r="O39" s="76"/>
      <c r="P39" s="76"/>
    </row>
    <row r="40" spans="1:16" s="85" customFormat="1">
      <c r="A40" s="85" t="s">
        <v>579</v>
      </c>
      <c r="B40" s="86"/>
      <c r="C40" s="87">
        <f>(C39/B39-1)*100</f>
        <v>-83.176100628930811</v>
      </c>
      <c r="D40" s="87">
        <f>(D39/C39-1)*100</f>
        <v>-6.5420560747663554</v>
      </c>
      <c r="E40" s="87">
        <f>(E39/D39-1)*100</f>
        <v>-100</v>
      </c>
      <c r="F40" s="138" t="s">
        <v>2232</v>
      </c>
      <c r="G40" s="138" t="s">
        <v>2232</v>
      </c>
      <c r="H40" s="87">
        <v>0</v>
      </c>
      <c r="I40" s="87">
        <v>0</v>
      </c>
      <c r="J40" s="87"/>
      <c r="K40" s="87"/>
      <c r="L40" s="87"/>
      <c r="M40" s="87"/>
      <c r="N40" s="87"/>
      <c r="O40" s="87"/>
      <c r="P40" s="87"/>
    </row>
    <row r="41" spans="1:16" s="91" customFormat="1">
      <c r="A41" s="91" t="s">
        <v>282</v>
      </c>
      <c r="B41" s="92">
        <f>B37+B39</f>
        <v>75261</v>
      </c>
      <c r="C41" s="92">
        <f t="shared" ref="C41:H41" si="38">C37+C39</f>
        <v>140663</v>
      </c>
      <c r="D41" s="92">
        <f t="shared" si="38"/>
        <v>136315</v>
      </c>
      <c r="E41" s="92">
        <f t="shared" si="38"/>
        <v>139056</v>
      </c>
      <c r="F41" s="92">
        <f t="shared" si="38"/>
        <v>164909</v>
      </c>
      <c r="G41" s="92">
        <f t="shared" si="38"/>
        <v>231281</v>
      </c>
      <c r="H41" s="92">
        <f t="shared" si="38"/>
        <v>312176</v>
      </c>
      <c r="I41" s="92">
        <f>+'Model wise sales'!M14</f>
        <v>253926</v>
      </c>
      <c r="J41" s="92">
        <f>+'Model wise sales'!N14</f>
        <v>260762</v>
      </c>
      <c r="K41" s="92">
        <f>+'Model wise sales'!O14</f>
        <v>284772</v>
      </c>
      <c r="L41" s="92">
        <f>+'Model wise sales'!P14+'Model wise sales'!P15</f>
        <v>280334</v>
      </c>
      <c r="M41" s="92">
        <f>+'Model wise sales'!Q14+'Model wise sales'!Q15</f>
        <v>192792</v>
      </c>
      <c r="N41" s="92">
        <f>+'Model wise sales'!R14+'Model wise sales'!R15</f>
        <v>215359.6</v>
      </c>
      <c r="O41" s="92">
        <f>+'Model wise sales'!S14+'Model wise sales'!S15</f>
        <v>246913.53999999998</v>
      </c>
      <c r="P41" s="92">
        <f>+'Model wise sales'!T14+'Model wise sales'!T15</f>
        <v>296200.57099999994</v>
      </c>
    </row>
    <row r="42" spans="1:16" s="91" customFormat="1">
      <c r="A42" s="91" t="s">
        <v>579</v>
      </c>
      <c r="B42" s="92"/>
      <c r="C42" s="93">
        <f t="shared" ref="C42:H42" si="39">(C41/B41-1)*100</f>
        <v>86.900253783500077</v>
      </c>
      <c r="D42" s="93">
        <f t="shared" si="39"/>
        <v>-3.0910758337302613</v>
      </c>
      <c r="E42" s="93">
        <f t="shared" si="39"/>
        <v>2.0107838462384953</v>
      </c>
      <c r="F42" s="93">
        <f t="shared" si="39"/>
        <v>18.591790357841443</v>
      </c>
      <c r="G42" s="93">
        <f t="shared" si="39"/>
        <v>40.247651735199419</v>
      </c>
      <c r="H42" s="93">
        <f t="shared" si="39"/>
        <v>34.976932821978465</v>
      </c>
      <c r="I42" s="93">
        <f t="shared" ref="I42:N42" si="40">(I41/H41-1)*100</f>
        <v>-18.659346009943111</v>
      </c>
      <c r="J42" s="93">
        <f t="shared" si="40"/>
        <v>2.6921229019478021</v>
      </c>
      <c r="K42" s="93">
        <f t="shared" si="40"/>
        <v>9.2076299460811093</v>
      </c>
      <c r="L42" s="93">
        <f t="shared" si="40"/>
        <v>-1.558439734243533</v>
      </c>
      <c r="M42" s="93">
        <f t="shared" si="40"/>
        <v>-31.227749755648617</v>
      </c>
      <c r="N42" s="93">
        <f t="shared" si="40"/>
        <v>11.705672434540858</v>
      </c>
      <c r="O42" s="93">
        <f t="shared" ref="O42" si="41">(O41/N41-1)*100</f>
        <v>14.651745266986005</v>
      </c>
      <c r="P42" s="93">
        <f t="shared" ref="P42" si="42">(P41/O41-1)*100</f>
        <v>19.961250808683872</v>
      </c>
    </row>
    <row r="43" spans="1:16">
      <c r="B43" s="76"/>
      <c r="C43" s="76"/>
      <c r="D43" s="76"/>
      <c r="E43" s="76"/>
    </row>
    <row r="44" spans="1:16">
      <c r="A44" s="88" t="s">
        <v>277</v>
      </c>
      <c r="B44" s="76"/>
      <c r="C44" s="76"/>
      <c r="D44" s="76"/>
      <c r="E44" s="76"/>
    </row>
    <row r="45" spans="1:16">
      <c r="A45" s="75" t="s">
        <v>272</v>
      </c>
      <c r="B45" s="76">
        <f>B12+B31</f>
        <v>1913094</v>
      </c>
      <c r="C45" s="76">
        <f t="shared" ref="C45:H45" si="43">C12+C31</f>
        <v>2376519</v>
      </c>
      <c r="D45" s="76">
        <f t="shared" si="43"/>
        <v>2139633</v>
      </c>
      <c r="E45" s="76">
        <f t="shared" si="43"/>
        <v>1907810</v>
      </c>
      <c r="F45" s="76">
        <f t="shared" si="43"/>
        <v>2506845</v>
      </c>
      <c r="G45" s="76">
        <f>G12+G31</f>
        <v>3387040</v>
      </c>
      <c r="H45" s="76">
        <f t="shared" si="43"/>
        <v>3834405</v>
      </c>
      <c r="I45" s="76">
        <f t="shared" ref="I45:N45" si="44">I12+I31</f>
        <v>3757094</v>
      </c>
      <c r="J45" s="76">
        <f t="shared" si="44"/>
        <v>3422403</v>
      </c>
      <c r="K45" s="76">
        <f t="shared" si="44"/>
        <v>3292084</v>
      </c>
      <c r="L45" s="76">
        <f t="shared" si="44"/>
        <v>3336696</v>
      </c>
      <c r="M45" s="76">
        <f t="shared" si="44"/>
        <v>3193871</v>
      </c>
      <c r="N45" s="76">
        <f t="shared" si="44"/>
        <v>3589443.03</v>
      </c>
      <c r="O45" s="76">
        <f t="shared" ref="O45:P45" si="45">O12+O31</f>
        <v>4054608.5497000003</v>
      </c>
      <c r="P45" s="76">
        <f t="shared" si="45"/>
        <v>4557190.5958249997</v>
      </c>
    </row>
    <row r="46" spans="1:16" s="85" customFormat="1">
      <c r="A46" s="85" t="s">
        <v>579</v>
      </c>
      <c r="B46" s="86"/>
      <c r="C46" s="87">
        <f t="shared" ref="C46:H46" si="46">(C45/B45-1)*100</f>
        <v>24.223848906535707</v>
      </c>
      <c r="D46" s="87">
        <f t="shared" si="46"/>
        <v>-9.9677721911754169</v>
      </c>
      <c r="E46" s="87">
        <f t="shared" si="46"/>
        <v>-10.834708569179853</v>
      </c>
      <c r="F46" s="87">
        <f t="shared" si="46"/>
        <v>31.399091104460087</v>
      </c>
      <c r="G46" s="87">
        <f t="shared" si="46"/>
        <v>35.111664263247235</v>
      </c>
      <c r="H46" s="87">
        <f t="shared" si="46"/>
        <v>13.208140441211214</v>
      </c>
      <c r="I46" s="87">
        <f t="shared" ref="I46:N46" si="47">(I45/H45-1)*100</f>
        <v>-2.0162450236738128</v>
      </c>
      <c r="J46" s="87">
        <f t="shared" si="47"/>
        <v>-8.9082413162939194</v>
      </c>
      <c r="K46" s="87">
        <f t="shared" si="47"/>
        <v>-3.8078215803340476</v>
      </c>
      <c r="L46" s="87">
        <f t="shared" si="47"/>
        <v>1.3551294559920102</v>
      </c>
      <c r="M46" s="87">
        <f t="shared" si="47"/>
        <v>-4.280431900298975</v>
      </c>
      <c r="N46" s="87">
        <f t="shared" si="47"/>
        <v>12.385347748860243</v>
      </c>
      <c r="O46" s="87">
        <f t="shared" ref="O46" si="48">(O45/N45-1)*100</f>
        <v>12.959267379708228</v>
      </c>
      <c r="P46" s="87">
        <f t="shared" ref="P46" si="49">(P45/O45-1)*100</f>
        <v>12.395328426024887</v>
      </c>
    </row>
    <row r="47" spans="1:16">
      <c r="A47" s="75" t="s">
        <v>276</v>
      </c>
      <c r="B47" s="76">
        <f>B15+B34</f>
        <v>115996</v>
      </c>
      <c r="C47" s="76">
        <f>C15+C34</f>
        <v>20480</v>
      </c>
      <c r="D47" s="76">
        <f>D15+D34</f>
        <v>21294</v>
      </c>
      <c r="E47" s="76">
        <f>E15+E34</f>
        <v>11772</v>
      </c>
      <c r="F47" s="76">
        <f>F15+F34</f>
        <v>4851</v>
      </c>
      <c r="G47" s="76"/>
      <c r="H47" s="76"/>
      <c r="I47" s="76"/>
      <c r="J47" s="76"/>
      <c r="K47" s="76"/>
      <c r="L47" s="76"/>
      <c r="M47" s="76"/>
      <c r="N47" s="76"/>
      <c r="O47" s="76"/>
      <c r="P47" s="76"/>
    </row>
    <row r="48" spans="1:16" s="85" customFormat="1">
      <c r="A48" s="85" t="s">
        <v>579</v>
      </c>
      <c r="B48" s="86"/>
      <c r="C48" s="87">
        <f>(C47/B47-1)*100</f>
        <v>-82.34421876616436</v>
      </c>
      <c r="D48" s="87">
        <f>(D47/C47-1)*100</f>
        <v>3.9746093750000044</v>
      </c>
      <c r="E48" s="87">
        <f>(E47/D47-1)*100</f>
        <v>-44.716821639898562</v>
      </c>
      <c r="F48" s="87">
        <f>(F47/E47-1)*100</f>
        <v>-58.792048929663608</v>
      </c>
      <c r="G48" s="87"/>
      <c r="H48" s="87"/>
      <c r="I48" s="87"/>
      <c r="J48" s="87"/>
      <c r="K48" s="87"/>
      <c r="L48" s="87"/>
      <c r="M48" s="87"/>
      <c r="N48" s="87"/>
      <c r="O48" s="87"/>
      <c r="P48" s="87"/>
    </row>
    <row r="49" spans="1:21">
      <c r="A49" s="75" t="s">
        <v>273</v>
      </c>
      <c r="B49" s="76">
        <f>B22+B41</f>
        <v>252006</v>
      </c>
      <c r="C49" s="76">
        <f t="shared" ref="C49:H49" si="50">C22+C41</f>
        <v>321796</v>
      </c>
      <c r="D49" s="76">
        <f t="shared" si="50"/>
        <v>290301</v>
      </c>
      <c r="E49" s="76">
        <f t="shared" si="50"/>
        <v>274526</v>
      </c>
      <c r="F49" s="76">
        <f t="shared" si="50"/>
        <v>340936</v>
      </c>
      <c r="G49" s="76">
        <f t="shared" si="50"/>
        <v>436884</v>
      </c>
      <c r="H49" s="76">
        <f t="shared" si="50"/>
        <v>515155</v>
      </c>
      <c r="I49" s="76">
        <f t="shared" ref="I49:N49" si="51">I22+I41</f>
        <v>480057</v>
      </c>
      <c r="J49" s="76">
        <f t="shared" si="51"/>
        <v>447674</v>
      </c>
      <c r="K49" s="76">
        <f t="shared" si="51"/>
        <v>519117</v>
      </c>
      <c r="L49" s="76">
        <f t="shared" si="51"/>
        <v>535329</v>
      </c>
      <c r="M49" s="76">
        <f t="shared" si="51"/>
        <v>445939</v>
      </c>
      <c r="N49" s="76">
        <f t="shared" si="51"/>
        <v>505821.30000000005</v>
      </c>
      <c r="O49" s="76">
        <f t="shared" ref="O49:P49" si="52">O22+O41</f>
        <v>577221.40999999992</v>
      </c>
      <c r="P49" s="76">
        <f t="shared" si="52"/>
        <v>651013.07059999998</v>
      </c>
    </row>
    <row r="50" spans="1:21" s="85" customFormat="1">
      <c r="A50" s="85" t="s">
        <v>579</v>
      </c>
      <c r="B50" s="86"/>
      <c r="C50" s="87">
        <f t="shared" ref="C50:H50" si="53">(C49/B49-1)*100</f>
        <v>27.693785068609465</v>
      </c>
      <c r="D50" s="87">
        <f t="shared" si="53"/>
        <v>-9.7872565227659756</v>
      </c>
      <c r="E50" s="87">
        <f t="shared" si="53"/>
        <v>-5.4340150395623894</v>
      </c>
      <c r="F50" s="87">
        <f t="shared" si="53"/>
        <v>24.190787029279548</v>
      </c>
      <c r="G50" s="87">
        <f t="shared" si="53"/>
        <v>28.142525283337626</v>
      </c>
      <c r="H50" s="87">
        <f t="shared" si="53"/>
        <v>17.915739647137464</v>
      </c>
      <c r="I50" s="87">
        <f t="shared" ref="I50:N50" si="54">(I49/H49-1)*100</f>
        <v>-6.8130950878861674</v>
      </c>
      <c r="J50" s="87">
        <f t="shared" si="54"/>
        <v>-6.7456572865305597</v>
      </c>
      <c r="K50" s="87">
        <f t="shared" si="54"/>
        <v>15.958711026327199</v>
      </c>
      <c r="L50" s="87">
        <f t="shared" si="54"/>
        <v>3.1229953941019017</v>
      </c>
      <c r="M50" s="87">
        <f t="shared" si="54"/>
        <v>-16.698142637518231</v>
      </c>
      <c r="N50" s="87">
        <f t="shared" si="54"/>
        <v>13.428361278112044</v>
      </c>
      <c r="O50" s="87">
        <f t="shared" ref="O50" si="55">(O49/N49-1)*100</f>
        <v>14.115678798026066</v>
      </c>
      <c r="P50" s="87">
        <f t="shared" ref="P50" si="56">(P49/O49-1)*100</f>
        <v>12.783943790303987</v>
      </c>
    </row>
    <row r="51" spans="1:21" s="77" customFormat="1">
      <c r="A51" s="77" t="s">
        <v>595</v>
      </c>
      <c r="B51" s="89">
        <f t="shared" ref="B51:H51" si="57">B45+B47+B49</f>
        <v>2281096</v>
      </c>
      <c r="C51" s="89">
        <f t="shared" si="57"/>
        <v>2718795</v>
      </c>
      <c r="D51" s="89">
        <f t="shared" si="57"/>
        <v>2451228</v>
      </c>
      <c r="E51" s="89">
        <f t="shared" si="57"/>
        <v>2194108</v>
      </c>
      <c r="F51" s="89">
        <f t="shared" si="57"/>
        <v>2852632</v>
      </c>
      <c r="G51" s="89">
        <f t="shared" si="57"/>
        <v>3823924</v>
      </c>
      <c r="H51" s="89">
        <f t="shared" si="57"/>
        <v>4349560</v>
      </c>
      <c r="I51" s="89">
        <f t="shared" ref="I51:N51" si="58">I45+I47+I49</f>
        <v>4237151</v>
      </c>
      <c r="J51" s="89">
        <f t="shared" si="58"/>
        <v>3870077</v>
      </c>
      <c r="K51" s="89">
        <f t="shared" si="58"/>
        <v>3811201</v>
      </c>
      <c r="L51" s="89">
        <f t="shared" si="58"/>
        <v>3872025</v>
      </c>
      <c r="M51" s="89">
        <f t="shared" si="58"/>
        <v>3639810</v>
      </c>
      <c r="N51" s="89">
        <f t="shared" si="58"/>
        <v>4095264.33</v>
      </c>
      <c r="O51" s="89">
        <f t="shared" ref="O51:P51" si="59">O45+O47+O49</f>
        <v>4631829.9597000005</v>
      </c>
      <c r="P51" s="89">
        <f t="shared" si="59"/>
        <v>5208203.6664249999</v>
      </c>
    </row>
    <row r="52" spans="1:21" s="91" customFormat="1">
      <c r="A52" s="91" t="s">
        <v>579</v>
      </c>
      <c r="B52" s="92"/>
      <c r="C52" s="93">
        <f t="shared" ref="C52:H52" si="60">(C51/B51-1)*100</f>
        <v>19.18810080768192</v>
      </c>
      <c r="D52" s="93">
        <f t="shared" si="60"/>
        <v>-9.8413819357472736</v>
      </c>
      <c r="E52" s="93">
        <f t="shared" si="60"/>
        <v>-10.489436315185696</v>
      </c>
      <c r="F52" s="93">
        <f t="shared" si="60"/>
        <v>30.013290138862804</v>
      </c>
      <c r="G52" s="93">
        <f t="shared" si="60"/>
        <v>34.0489765241363</v>
      </c>
      <c r="H52" s="93">
        <f t="shared" si="60"/>
        <v>13.745984491323583</v>
      </c>
      <c r="I52" s="93">
        <f t="shared" ref="I52:N52" si="61">(I51/H51-1)*100</f>
        <v>-2.5843763507113371</v>
      </c>
      <c r="J52" s="93">
        <f t="shared" si="61"/>
        <v>-8.6632267766713955</v>
      </c>
      <c r="K52" s="93">
        <f t="shared" si="61"/>
        <v>-1.5213134002243334</v>
      </c>
      <c r="L52" s="93">
        <f t="shared" si="61"/>
        <v>1.5959273730249413</v>
      </c>
      <c r="M52" s="93">
        <f t="shared" si="61"/>
        <v>-5.9972495012299731</v>
      </c>
      <c r="N52" s="93">
        <f t="shared" si="61"/>
        <v>12.513134751539233</v>
      </c>
      <c r="O52" s="93">
        <f t="shared" ref="O52" si="62">(O51/N51-1)*100</f>
        <v>13.10210004686072</v>
      </c>
      <c r="P52" s="93">
        <f t="shared" ref="P52" si="63">(P51/O51-1)*100</f>
        <v>12.443757904323638</v>
      </c>
    </row>
    <row r="53" spans="1:21">
      <c r="B53" s="76"/>
      <c r="C53" s="76"/>
      <c r="D53" s="76"/>
      <c r="E53" s="76"/>
      <c r="F53" s="76"/>
      <c r="G53" s="76"/>
      <c r="H53" s="76"/>
      <c r="I53" s="76"/>
      <c r="J53" s="76"/>
      <c r="K53" s="76"/>
      <c r="L53" s="76"/>
      <c r="M53" s="76"/>
      <c r="N53" s="76"/>
      <c r="O53" s="76"/>
      <c r="P53" s="76"/>
    </row>
    <row r="54" spans="1:21">
      <c r="A54" s="88" t="s">
        <v>278</v>
      </c>
      <c r="B54" s="76"/>
      <c r="C54" s="76"/>
      <c r="D54" s="76"/>
      <c r="E54" s="76"/>
      <c r="F54" s="76"/>
      <c r="G54" s="76"/>
      <c r="H54" s="76"/>
      <c r="I54" s="76"/>
      <c r="J54" s="76"/>
      <c r="K54" s="76"/>
      <c r="L54" s="76"/>
      <c r="M54" s="76"/>
      <c r="N54" s="76"/>
      <c r="O54" s="76"/>
      <c r="P54" s="76"/>
    </row>
    <row r="55" spans="1:21">
      <c r="A55" s="75" t="s">
        <v>274</v>
      </c>
      <c r="B55" s="76">
        <f t="shared" ref="B55:H55" si="64">B8+B10+B18+B20+B15</f>
        <v>2030928</v>
      </c>
      <c r="C55" s="76">
        <f t="shared" si="64"/>
        <v>2279363</v>
      </c>
      <c r="D55" s="76">
        <f t="shared" si="64"/>
        <v>1832887</v>
      </c>
      <c r="E55" s="76">
        <f t="shared" si="64"/>
        <v>1421589</v>
      </c>
      <c r="F55" s="76">
        <f t="shared" si="64"/>
        <v>1961534</v>
      </c>
      <c r="G55" s="76">
        <f t="shared" si="64"/>
        <v>2620206</v>
      </c>
      <c r="H55" s="76">
        <f t="shared" si="64"/>
        <v>2769736</v>
      </c>
      <c r="I55" s="76">
        <f t="shared" ref="I55:N55" si="65">+I12+I22</f>
        <v>2689994</v>
      </c>
      <c r="J55" s="76">
        <f t="shared" si="65"/>
        <v>2286142</v>
      </c>
      <c r="K55" s="76">
        <f t="shared" si="65"/>
        <v>2005123</v>
      </c>
      <c r="L55" s="76">
        <f t="shared" si="65"/>
        <v>2146092</v>
      </c>
      <c r="M55" s="76">
        <f t="shared" si="65"/>
        <v>2238075</v>
      </c>
      <c r="N55" s="76">
        <f t="shared" si="65"/>
        <v>2515138.81</v>
      </c>
      <c r="O55" s="76">
        <f t="shared" ref="O55:P55" si="66">+O12+O22</f>
        <v>2815435.6117000002</v>
      </c>
      <c r="P55" s="76">
        <f t="shared" si="66"/>
        <v>3107100.1662249994</v>
      </c>
      <c r="R55" s="893">
        <f>+L55/L59*100</f>
        <v>55.425571890677361</v>
      </c>
      <c r="S55" s="893">
        <f t="shared" ref="S55:U55" si="67">+M55/M59*100</f>
        <v>61.488786502592163</v>
      </c>
      <c r="T55" s="893">
        <f t="shared" si="67"/>
        <v>61.415786804657856</v>
      </c>
      <c r="U55" s="893">
        <f t="shared" si="67"/>
        <v>60.784520075135781</v>
      </c>
    </row>
    <row r="56" spans="1:21" s="85" customFormat="1">
      <c r="A56" s="85" t="s">
        <v>579</v>
      </c>
      <c r="B56" s="86"/>
      <c r="C56" s="87">
        <f t="shared" ref="C56:H56" si="68">(C55/B55-1)*100</f>
        <v>12.232585300906784</v>
      </c>
      <c r="D56" s="87">
        <f t="shared" si="68"/>
        <v>-19.587753245095229</v>
      </c>
      <c r="E56" s="87">
        <f t="shared" si="68"/>
        <v>-22.439899459159239</v>
      </c>
      <c r="F56" s="87">
        <f t="shared" si="68"/>
        <v>37.981793612640516</v>
      </c>
      <c r="G56" s="87">
        <f t="shared" si="68"/>
        <v>33.579433239495216</v>
      </c>
      <c r="H56" s="87">
        <f t="shared" si="68"/>
        <v>5.7068032055494822</v>
      </c>
      <c r="I56" s="87">
        <f t="shared" ref="I56:N56" si="69">(I55/H55-1)*100</f>
        <v>-2.8790469560997844</v>
      </c>
      <c r="J56" s="87">
        <f t="shared" si="69"/>
        <v>-15.01311898836949</v>
      </c>
      <c r="K56" s="87">
        <f t="shared" si="69"/>
        <v>-12.292281056907228</v>
      </c>
      <c r="L56" s="87">
        <f t="shared" si="69"/>
        <v>7.0304415240361795</v>
      </c>
      <c r="M56" s="87">
        <f t="shared" si="69"/>
        <v>4.2860697491067468</v>
      </c>
      <c r="N56" s="87">
        <f t="shared" si="69"/>
        <v>12.379558772605925</v>
      </c>
      <c r="O56" s="87">
        <f t="shared" ref="O56" si="70">(O55/N55-1)*100</f>
        <v>11.939571704990716</v>
      </c>
      <c r="P56" s="87">
        <f t="shared" ref="P56" si="71">(P55/O55-1)*100</f>
        <v>10.359482323550196</v>
      </c>
    </row>
    <row r="57" spans="1:21">
      <c r="A57" s="75" t="s">
        <v>275</v>
      </c>
      <c r="B57" s="76">
        <f t="shared" ref="B57:H57" si="72">B27+B29+B37+B39+B34</f>
        <v>250168</v>
      </c>
      <c r="C57" s="76">
        <f t="shared" si="72"/>
        <v>439432</v>
      </c>
      <c r="D57" s="76">
        <f t="shared" si="72"/>
        <v>618341</v>
      </c>
      <c r="E57" s="76">
        <f t="shared" si="72"/>
        <v>772519</v>
      </c>
      <c r="F57" s="76">
        <f t="shared" si="72"/>
        <v>891098</v>
      </c>
      <c r="G57" s="76">
        <f t="shared" si="72"/>
        <v>1203718</v>
      </c>
      <c r="H57" s="76">
        <f t="shared" si="72"/>
        <v>1579824</v>
      </c>
      <c r="I57" s="76">
        <f t="shared" ref="I57:N57" si="73">+I31+I41</f>
        <v>1547157</v>
      </c>
      <c r="J57" s="76">
        <f t="shared" si="73"/>
        <v>1583935</v>
      </c>
      <c r="K57" s="76">
        <f t="shared" si="73"/>
        <v>1806078</v>
      </c>
      <c r="L57" s="76">
        <f t="shared" si="73"/>
        <v>1725933</v>
      </c>
      <c r="M57" s="76">
        <f t="shared" si="73"/>
        <v>1401735</v>
      </c>
      <c r="N57" s="76">
        <f t="shared" si="73"/>
        <v>1580125.52</v>
      </c>
      <c r="O57" s="76">
        <f t="shared" ref="O57:P57" si="74">+O31+O41</f>
        <v>1816394.348</v>
      </c>
      <c r="P57" s="76">
        <f t="shared" si="74"/>
        <v>2101103.5001999997</v>
      </c>
      <c r="R57" s="893">
        <f>100-R55</f>
        <v>44.574428109322639</v>
      </c>
      <c r="S57" s="893">
        <f t="shared" ref="S57:T57" si="75">100-S55</f>
        <v>38.511213497407837</v>
      </c>
      <c r="T57" s="893">
        <f t="shared" si="75"/>
        <v>38.584213195342144</v>
      </c>
      <c r="U57" s="893">
        <f t="shared" ref="U57" si="76">100-U55</f>
        <v>39.215479924864219</v>
      </c>
    </row>
    <row r="58" spans="1:21" s="85" customFormat="1">
      <c r="A58" s="85" t="s">
        <v>579</v>
      </c>
      <c r="B58" s="86"/>
      <c r="C58" s="87">
        <f t="shared" ref="C58:H58" si="77">(C57/B57-1)*100</f>
        <v>75.654760001279129</v>
      </c>
      <c r="D58" s="87">
        <f t="shared" si="77"/>
        <v>40.713694041398909</v>
      </c>
      <c r="E58" s="87">
        <f t="shared" si="77"/>
        <v>24.93413828292157</v>
      </c>
      <c r="F58" s="87">
        <f t="shared" si="77"/>
        <v>15.349654830496085</v>
      </c>
      <c r="G58" s="87">
        <f t="shared" si="77"/>
        <v>35.082561065112941</v>
      </c>
      <c r="H58" s="87">
        <f t="shared" si="77"/>
        <v>31.245358132054179</v>
      </c>
      <c r="I58" s="87">
        <f t="shared" ref="I58:N58" si="78">(I57/H57-1)*100</f>
        <v>-2.0677619785495094</v>
      </c>
      <c r="J58" s="87">
        <f t="shared" si="78"/>
        <v>2.3771343179780802</v>
      </c>
      <c r="K58" s="87">
        <f t="shared" si="78"/>
        <v>14.024754803700912</v>
      </c>
      <c r="L58" s="87">
        <f t="shared" si="78"/>
        <v>-4.4375159876815946</v>
      </c>
      <c r="M58" s="87">
        <f t="shared" si="78"/>
        <v>-18.78392730192887</v>
      </c>
      <c r="N58" s="87">
        <f t="shared" si="78"/>
        <v>12.726408343945184</v>
      </c>
      <c r="O58" s="87">
        <f t="shared" ref="O58" si="79">(O57/N57-1)*100</f>
        <v>14.95253541630035</v>
      </c>
      <c r="P58" s="87">
        <f t="shared" ref="P58" si="80">(P57/O57-1)*100</f>
        <v>15.674413021241108</v>
      </c>
    </row>
    <row r="59" spans="1:21">
      <c r="A59" s="77" t="s">
        <v>595</v>
      </c>
      <c r="B59" s="89">
        <f t="shared" ref="B59:H59" si="81">B55+B57</f>
        <v>2281096</v>
      </c>
      <c r="C59" s="89">
        <f t="shared" si="81"/>
        <v>2718795</v>
      </c>
      <c r="D59" s="89">
        <f t="shared" si="81"/>
        <v>2451228</v>
      </c>
      <c r="E59" s="89">
        <f t="shared" si="81"/>
        <v>2194108</v>
      </c>
      <c r="F59" s="89">
        <f t="shared" si="81"/>
        <v>2852632</v>
      </c>
      <c r="G59" s="89">
        <f t="shared" si="81"/>
        <v>3823924</v>
      </c>
      <c r="H59" s="89">
        <f t="shared" si="81"/>
        <v>4349560</v>
      </c>
      <c r="I59" s="89">
        <f t="shared" ref="I59:N59" si="82">I55+I57</f>
        <v>4237151</v>
      </c>
      <c r="J59" s="89">
        <f t="shared" si="82"/>
        <v>3870077</v>
      </c>
      <c r="K59" s="89">
        <f t="shared" si="82"/>
        <v>3811201</v>
      </c>
      <c r="L59" s="89">
        <f t="shared" si="82"/>
        <v>3872025</v>
      </c>
      <c r="M59" s="89">
        <f t="shared" si="82"/>
        <v>3639810</v>
      </c>
      <c r="N59" s="89">
        <f t="shared" si="82"/>
        <v>4095264.33</v>
      </c>
      <c r="O59" s="89">
        <f t="shared" ref="O59:P59" si="83">O55+O57</f>
        <v>4631829.9597000005</v>
      </c>
      <c r="P59" s="89">
        <f t="shared" si="83"/>
        <v>5208203.666424999</v>
      </c>
    </row>
    <row r="60" spans="1:21" s="85" customFormat="1">
      <c r="A60" s="85" t="s">
        <v>579</v>
      </c>
      <c r="B60" s="86"/>
      <c r="C60" s="87">
        <f t="shared" ref="C60:H60" si="84">(C59/B59-1)*100</f>
        <v>19.18810080768192</v>
      </c>
      <c r="D60" s="87">
        <f t="shared" si="84"/>
        <v>-9.8413819357472736</v>
      </c>
      <c r="E60" s="87">
        <f t="shared" si="84"/>
        <v>-10.489436315185696</v>
      </c>
      <c r="F60" s="87">
        <f t="shared" si="84"/>
        <v>30.013290138862804</v>
      </c>
      <c r="G60" s="87">
        <f t="shared" si="84"/>
        <v>34.0489765241363</v>
      </c>
      <c r="H60" s="87">
        <f t="shared" si="84"/>
        <v>13.745984491323583</v>
      </c>
      <c r="I60" s="87">
        <f t="shared" ref="I60:N60" si="85">(I59/H59-1)*100</f>
        <v>-2.5843763507113371</v>
      </c>
      <c r="J60" s="87">
        <f t="shared" si="85"/>
        <v>-8.6632267766713955</v>
      </c>
      <c r="K60" s="87">
        <f t="shared" si="85"/>
        <v>-1.5213134002243334</v>
      </c>
      <c r="L60" s="87">
        <f t="shared" si="85"/>
        <v>1.5959273730249413</v>
      </c>
      <c r="M60" s="87">
        <f t="shared" si="85"/>
        <v>-5.9972495012299731</v>
      </c>
      <c r="N60" s="87">
        <f t="shared" si="85"/>
        <v>12.513134751539233</v>
      </c>
      <c r="O60" s="87">
        <f t="shared" ref="O60" si="86">(O59/N59-1)*100</f>
        <v>13.10210004686072</v>
      </c>
      <c r="P60" s="87">
        <f t="shared" ref="P60" si="87">(P59/O59-1)*100</f>
        <v>12.443757904323615</v>
      </c>
    </row>
    <row r="63" spans="1:21" s="94" customFormat="1">
      <c r="A63" s="94" t="s">
        <v>286</v>
      </c>
      <c r="L63" s="510"/>
      <c r="M63" s="510"/>
      <c r="N63" s="510"/>
      <c r="O63" s="510"/>
      <c r="P63" s="510"/>
    </row>
    <row r="65" spans="1:16" s="88" customFormat="1">
      <c r="A65" s="88" t="s">
        <v>280</v>
      </c>
    </row>
    <row r="66" spans="1:16">
      <c r="A66" s="75" t="s">
        <v>267</v>
      </c>
      <c r="B66" s="76">
        <f t="shared" ref="B66:H66" si="88">(B8+B27)/12</f>
        <v>95953</v>
      </c>
      <c r="C66" s="76">
        <f t="shared" si="88"/>
        <v>120476.83333333333</v>
      </c>
      <c r="D66" s="76">
        <f t="shared" si="88"/>
        <v>84659.75</v>
      </c>
      <c r="E66" s="76">
        <f t="shared" si="88"/>
        <v>67628.083333333328</v>
      </c>
      <c r="F66" s="76">
        <f t="shared" si="88"/>
        <v>121833.66666666667</v>
      </c>
      <c r="G66" s="76">
        <f t="shared" si="88"/>
        <v>149887.5</v>
      </c>
      <c r="H66" s="76">
        <f t="shared" si="88"/>
        <v>163403.16666666666</v>
      </c>
      <c r="I66" s="76">
        <f t="shared" ref="I66:N66" si="89">(I8+I27)/12</f>
        <v>171383.83333333334</v>
      </c>
      <c r="J66" s="76">
        <f t="shared" si="89"/>
        <v>167597.08333333334</v>
      </c>
      <c r="K66" s="76">
        <f t="shared" si="89"/>
        <v>142559.75</v>
      </c>
      <c r="L66" s="76">
        <f t="shared" si="89"/>
        <v>147856.33333333334</v>
      </c>
      <c r="M66" s="76">
        <f t="shared" si="89"/>
        <v>123282.75</v>
      </c>
      <c r="N66" s="76">
        <f t="shared" si="89"/>
        <v>0</v>
      </c>
      <c r="O66" s="76">
        <f t="shared" ref="O66:P66" si="90">(O8+O27)/12</f>
        <v>0</v>
      </c>
      <c r="P66" s="76">
        <f t="shared" si="90"/>
        <v>0</v>
      </c>
    </row>
    <row r="67" spans="1:16">
      <c r="A67" s="75" t="s">
        <v>269</v>
      </c>
      <c r="B67" s="76">
        <f t="shared" ref="B67:H67" si="91">(B10+B29)/12</f>
        <v>63471.5</v>
      </c>
      <c r="C67" s="76">
        <f t="shared" si="91"/>
        <v>77566.416666666672</v>
      </c>
      <c r="D67" s="76">
        <f t="shared" si="91"/>
        <v>93643</v>
      </c>
      <c r="E67" s="76">
        <f t="shared" si="91"/>
        <v>91356.083333333328</v>
      </c>
      <c r="F67" s="76">
        <f t="shared" si="91"/>
        <v>87070.083333333328</v>
      </c>
      <c r="G67" s="76">
        <f t="shared" si="91"/>
        <v>132365.83333333334</v>
      </c>
      <c r="H67" s="76">
        <f t="shared" si="91"/>
        <v>156130.58333333334</v>
      </c>
      <c r="I67" s="76">
        <f t="shared" ref="I67:N67" si="92">(I10+I29)/12</f>
        <v>141707.33333333334</v>
      </c>
      <c r="J67" s="76">
        <f t="shared" si="92"/>
        <v>117603.16666666667</v>
      </c>
      <c r="K67" s="76">
        <f t="shared" si="92"/>
        <v>131780.58333333334</v>
      </c>
      <c r="L67" s="76">
        <f t="shared" si="92"/>
        <v>130201.66666666667</v>
      </c>
      <c r="M67" s="76">
        <f t="shared" si="92"/>
        <v>142873.16666666666</v>
      </c>
      <c r="N67" s="76">
        <f t="shared" si="92"/>
        <v>0</v>
      </c>
      <c r="O67" s="76">
        <f t="shared" ref="O67:P67" si="93">(O10+O29)/12</f>
        <v>0</v>
      </c>
      <c r="P67" s="76">
        <f t="shared" si="93"/>
        <v>0</v>
      </c>
    </row>
    <row r="68" spans="1:16" s="77" customFormat="1">
      <c r="A68" s="77" t="s">
        <v>272</v>
      </c>
      <c r="B68" s="89">
        <f t="shared" ref="B68:H68" si="94">B45/12</f>
        <v>159424.5</v>
      </c>
      <c r="C68" s="89">
        <f t="shared" si="94"/>
        <v>198043.25</v>
      </c>
      <c r="D68" s="89">
        <f t="shared" si="94"/>
        <v>178302.75</v>
      </c>
      <c r="E68" s="89">
        <f t="shared" si="94"/>
        <v>158984.16666666666</v>
      </c>
      <c r="F68" s="89">
        <f t="shared" si="94"/>
        <v>208903.75</v>
      </c>
      <c r="G68" s="89">
        <f t="shared" si="94"/>
        <v>282253.33333333331</v>
      </c>
      <c r="H68" s="89">
        <f t="shared" si="94"/>
        <v>319533.75</v>
      </c>
      <c r="I68" s="89">
        <f t="shared" ref="I68:N68" si="95">I45/12</f>
        <v>313091.16666666669</v>
      </c>
      <c r="J68" s="89">
        <f t="shared" si="95"/>
        <v>285200.25</v>
      </c>
      <c r="K68" s="89">
        <f t="shared" si="95"/>
        <v>274340.33333333331</v>
      </c>
      <c r="L68" s="89">
        <f t="shared" si="95"/>
        <v>278058</v>
      </c>
      <c r="M68" s="89">
        <f t="shared" si="95"/>
        <v>266155.91666666669</v>
      </c>
      <c r="N68" s="89">
        <f t="shared" si="95"/>
        <v>299120.2525</v>
      </c>
      <c r="O68" s="89">
        <f t="shared" ref="O68:P68" si="96">O45/12</f>
        <v>337884.04580833338</v>
      </c>
      <c r="P68" s="89">
        <f t="shared" si="96"/>
        <v>379765.88298541663</v>
      </c>
    </row>
    <row r="69" spans="1:16" s="77" customFormat="1">
      <c r="B69" s="89"/>
      <c r="C69" s="89"/>
      <c r="D69" s="89"/>
      <c r="E69" s="89"/>
      <c r="F69" s="89"/>
      <c r="G69" s="89"/>
      <c r="H69" s="89"/>
      <c r="I69" s="89"/>
      <c r="J69" s="89"/>
      <c r="K69" s="89"/>
      <c r="L69" s="89"/>
      <c r="M69" s="89"/>
      <c r="N69" s="89"/>
      <c r="O69" s="89"/>
      <c r="P69" s="89"/>
    </row>
    <row r="70" spans="1:16" s="77" customFormat="1">
      <c r="A70" s="77" t="s">
        <v>577</v>
      </c>
      <c r="B70" s="89">
        <f t="shared" ref="B70:H70" si="97">(B15+B34)/12</f>
        <v>9666.3333333333339</v>
      </c>
      <c r="C70" s="89">
        <f t="shared" si="97"/>
        <v>1706.6666666666667</v>
      </c>
      <c r="D70" s="89">
        <f t="shared" si="97"/>
        <v>1774.5</v>
      </c>
      <c r="E70" s="89">
        <f t="shared" si="97"/>
        <v>981</v>
      </c>
      <c r="F70" s="89">
        <f t="shared" si="97"/>
        <v>404.25</v>
      </c>
      <c r="G70" s="89">
        <f t="shared" si="97"/>
        <v>0</v>
      </c>
      <c r="H70" s="89">
        <f t="shared" si="97"/>
        <v>0</v>
      </c>
      <c r="I70" s="89">
        <f t="shared" ref="I70:N70" si="98">(I15+I34)/12</f>
        <v>0</v>
      </c>
      <c r="J70" s="89">
        <f t="shared" si="98"/>
        <v>0</v>
      </c>
      <c r="K70" s="89">
        <f t="shared" si="98"/>
        <v>0</v>
      </c>
      <c r="L70" s="89">
        <f t="shared" si="98"/>
        <v>0</v>
      </c>
      <c r="M70" s="89">
        <f t="shared" si="98"/>
        <v>0</v>
      </c>
      <c r="N70" s="89">
        <f t="shared" si="98"/>
        <v>0</v>
      </c>
      <c r="O70" s="89">
        <f t="shared" ref="O70:P70" si="99">(O15+O34)/12</f>
        <v>0</v>
      </c>
      <c r="P70" s="89">
        <f t="shared" si="99"/>
        <v>0</v>
      </c>
    </row>
    <row r="71" spans="1:16">
      <c r="B71" s="76"/>
      <c r="C71" s="76"/>
      <c r="D71" s="76"/>
      <c r="E71" s="76"/>
      <c r="F71" s="76"/>
      <c r="G71" s="76"/>
      <c r="H71" s="76"/>
      <c r="I71" s="76"/>
      <c r="J71" s="76"/>
      <c r="K71" s="76"/>
      <c r="L71" s="76"/>
      <c r="M71" s="76"/>
      <c r="N71" s="76"/>
      <c r="O71" s="76"/>
      <c r="P71" s="76"/>
    </row>
    <row r="72" spans="1:16">
      <c r="A72" s="75" t="s">
        <v>270</v>
      </c>
      <c r="B72" s="76">
        <f t="shared" ref="B72:H72" si="100">(B18+B37)/12</f>
        <v>17998</v>
      </c>
      <c r="C72" s="76">
        <f t="shared" si="100"/>
        <v>23276.25</v>
      </c>
      <c r="D72" s="76">
        <f t="shared" si="100"/>
        <v>21966.166666666668</v>
      </c>
      <c r="E72" s="76">
        <f t="shared" si="100"/>
        <v>22027.416666666668</v>
      </c>
      <c r="F72" s="76">
        <f t="shared" si="100"/>
        <v>27450.166666666668</v>
      </c>
      <c r="G72" s="76">
        <f t="shared" si="100"/>
        <v>36029.416666666664</v>
      </c>
      <c r="H72" s="76">
        <f t="shared" si="100"/>
        <v>42276.416666666664</v>
      </c>
      <c r="I72" s="76">
        <f t="shared" ref="I72:N72" si="101">(I18+I37)/12</f>
        <v>39767.75</v>
      </c>
      <c r="J72" s="76">
        <f t="shared" si="101"/>
        <v>37301.5</v>
      </c>
      <c r="K72" s="76">
        <f t="shared" si="101"/>
        <v>43259.75</v>
      </c>
      <c r="L72" s="76">
        <f t="shared" si="101"/>
        <v>44472.5</v>
      </c>
      <c r="M72" s="76">
        <f t="shared" si="101"/>
        <v>35911.25</v>
      </c>
      <c r="N72" s="76">
        <f t="shared" si="101"/>
        <v>0</v>
      </c>
      <c r="O72" s="76">
        <f t="shared" ref="O72:P72" si="102">(O18+O37)/12</f>
        <v>0</v>
      </c>
      <c r="P72" s="76">
        <f t="shared" si="102"/>
        <v>0</v>
      </c>
    </row>
    <row r="73" spans="1:16">
      <c r="A73" s="75" t="s">
        <v>271</v>
      </c>
      <c r="B73" s="76">
        <f t="shared" ref="B73:H73" si="103">(B20+B39)/12</f>
        <v>3002.5</v>
      </c>
      <c r="C73" s="76">
        <f t="shared" si="103"/>
        <v>3540.0833333333335</v>
      </c>
      <c r="D73" s="76">
        <f t="shared" si="103"/>
        <v>2225.5833333333335</v>
      </c>
      <c r="E73" s="76">
        <f t="shared" si="103"/>
        <v>849.75</v>
      </c>
      <c r="F73" s="76">
        <f t="shared" si="103"/>
        <v>961.16666666666663</v>
      </c>
      <c r="G73" s="76">
        <f t="shared" si="103"/>
        <v>377.58333333333331</v>
      </c>
      <c r="H73" s="76">
        <f t="shared" si="103"/>
        <v>653.16666666666663</v>
      </c>
      <c r="I73" s="76">
        <f t="shared" ref="I73:N73" si="104">(I20+I39)/12</f>
        <v>237</v>
      </c>
      <c r="J73" s="76">
        <f t="shared" si="104"/>
        <v>4.666666666666667</v>
      </c>
      <c r="K73" s="76">
        <f t="shared" si="104"/>
        <v>0</v>
      </c>
      <c r="L73" s="76">
        <f t="shared" si="104"/>
        <v>110.41666666666667</v>
      </c>
      <c r="M73" s="76">
        <f t="shared" si="104"/>
        <v>1120.6666666666667</v>
      </c>
      <c r="N73" s="76">
        <f t="shared" si="104"/>
        <v>0</v>
      </c>
      <c r="O73" s="76">
        <f t="shared" ref="O73:P73" si="105">(O20+O39)/12</f>
        <v>0</v>
      </c>
      <c r="P73" s="76">
        <f t="shared" si="105"/>
        <v>0</v>
      </c>
    </row>
    <row r="74" spans="1:16" s="77" customFormat="1">
      <c r="A74" s="77" t="s">
        <v>590</v>
      </c>
      <c r="B74" s="89">
        <f t="shared" ref="B74:H76" si="106">B49/12</f>
        <v>21000.5</v>
      </c>
      <c r="C74" s="89">
        <f t="shared" si="106"/>
        <v>26816.333333333332</v>
      </c>
      <c r="D74" s="89">
        <f t="shared" si="106"/>
        <v>24191.75</v>
      </c>
      <c r="E74" s="89">
        <f t="shared" si="106"/>
        <v>22877.166666666668</v>
      </c>
      <c r="F74" s="89">
        <f t="shared" si="106"/>
        <v>28411.333333333332</v>
      </c>
      <c r="G74" s="89">
        <f t="shared" si="106"/>
        <v>36407</v>
      </c>
      <c r="H74" s="89">
        <f t="shared" si="106"/>
        <v>42929.583333333336</v>
      </c>
      <c r="I74" s="89">
        <f t="shared" ref="I74:N74" si="107">I49/12</f>
        <v>40004.75</v>
      </c>
      <c r="J74" s="89">
        <f t="shared" si="107"/>
        <v>37306.166666666664</v>
      </c>
      <c r="K74" s="89">
        <f t="shared" si="107"/>
        <v>43259.75</v>
      </c>
      <c r="L74" s="89">
        <f t="shared" si="107"/>
        <v>44610.75</v>
      </c>
      <c r="M74" s="89">
        <f t="shared" si="107"/>
        <v>37161.583333333336</v>
      </c>
      <c r="N74" s="89">
        <f t="shared" si="107"/>
        <v>42151.775000000001</v>
      </c>
      <c r="O74" s="89">
        <f t="shared" ref="O74:P74" si="108">O49/12</f>
        <v>48101.784166666657</v>
      </c>
      <c r="P74" s="89">
        <f t="shared" si="108"/>
        <v>54251.089216666667</v>
      </c>
    </row>
    <row r="76" spans="1:16">
      <c r="A76" s="77" t="s">
        <v>595</v>
      </c>
      <c r="B76" s="89">
        <f t="shared" si="106"/>
        <v>190091.33333333334</v>
      </c>
      <c r="C76" s="89">
        <f t="shared" si="106"/>
        <v>226566.25</v>
      </c>
      <c r="D76" s="89">
        <f t="shared" si="106"/>
        <v>204269</v>
      </c>
      <c r="E76" s="89">
        <f t="shared" si="106"/>
        <v>182842.33333333334</v>
      </c>
      <c r="F76" s="89">
        <f t="shared" si="106"/>
        <v>237719.33333333334</v>
      </c>
      <c r="G76" s="89">
        <f t="shared" si="106"/>
        <v>318660.33333333331</v>
      </c>
      <c r="H76" s="89">
        <f t="shared" si="106"/>
        <v>362463.33333333331</v>
      </c>
      <c r="I76" s="89">
        <f t="shared" ref="I76:N76" si="109">I51/12</f>
        <v>353095.91666666669</v>
      </c>
      <c r="J76" s="89">
        <f t="shared" si="109"/>
        <v>322506.41666666669</v>
      </c>
      <c r="K76" s="89">
        <f t="shared" si="109"/>
        <v>317600.08333333331</v>
      </c>
      <c r="L76" s="89">
        <f t="shared" si="109"/>
        <v>322668.75</v>
      </c>
      <c r="M76" s="89">
        <f t="shared" si="109"/>
        <v>303317.5</v>
      </c>
      <c r="N76" s="89">
        <f t="shared" si="109"/>
        <v>341272.02750000003</v>
      </c>
      <c r="O76" s="89">
        <f t="shared" ref="O76:P76" si="110">O51/12</f>
        <v>385985.82997500006</v>
      </c>
      <c r="P76" s="89">
        <f t="shared" si="110"/>
        <v>434016.97220208333</v>
      </c>
    </row>
    <row r="79" spans="1:16" s="94" customFormat="1">
      <c r="A79" s="94" t="s">
        <v>285</v>
      </c>
      <c r="L79" s="510"/>
      <c r="M79" s="510"/>
      <c r="N79" s="510"/>
      <c r="O79" s="510"/>
      <c r="P79" s="510"/>
    </row>
    <row r="80" spans="1:16">
      <c r="I80" s="84"/>
      <c r="J80" s="84"/>
      <c r="K80" s="84"/>
      <c r="L80" s="84"/>
      <c r="M80" s="84"/>
      <c r="N80" s="84"/>
      <c r="O80" s="84"/>
      <c r="P80" s="84"/>
    </row>
    <row r="82" spans="1:16">
      <c r="A82" s="75" t="s">
        <v>288</v>
      </c>
      <c r="B82" s="84">
        <f t="shared" ref="B82:H82" si="111">B84-B83</f>
        <v>76164.800000000003</v>
      </c>
      <c r="C82" s="84">
        <f t="shared" si="111"/>
        <v>89136.9</v>
      </c>
      <c r="D82" s="84">
        <f t="shared" si="111"/>
        <v>76457.8</v>
      </c>
      <c r="E82" s="84">
        <f t="shared" si="111"/>
        <v>64183.5</v>
      </c>
      <c r="F82" s="84">
        <f t="shared" si="111"/>
        <v>88723.3</v>
      </c>
      <c r="G82" s="84">
        <f t="shared" si="111"/>
        <v>122784.79999999999</v>
      </c>
      <c r="H82" s="84">
        <f t="shared" si="111"/>
        <v>133778.5</v>
      </c>
      <c r="I82" s="76">
        <f t="shared" ref="I82:N82" si="112">+I84-I83</f>
        <v>141096</v>
      </c>
      <c r="J82" s="76">
        <f t="shared" si="112"/>
        <v>127955.79999999999</v>
      </c>
      <c r="K82" s="76">
        <f t="shared" si="112"/>
        <v>126027.89999999998</v>
      </c>
      <c r="L82" s="76">
        <f t="shared" si="112"/>
        <v>137742.39999999999</v>
      </c>
      <c r="M82" s="76">
        <f t="shared" si="112"/>
        <v>149138.67943552049</v>
      </c>
      <c r="N82" s="76">
        <f t="shared" si="112"/>
        <v>172287.56280396742</v>
      </c>
      <c r="O82" s="76">
        <f t="shared" ref="O82:P82" si="113">+O84-O83</f>
        <v>197736.50486980539</v>
      </c>
      <c r="P82" s="76">
        <f t="shared" si="113"/>
        <v>225327.64216671942</v>
      </c>
    </row>
    <row r="83" spans="1:16">
      <c r="A83" s="75" t="s">
        <v>287</v>
      </c>
      <c r="B83" s="75">
        <v>9333.7999999999993</v>
      </c>
      <c r="C83" s="75">
        <v>16924</v>
      </c>
      <c r="D83" s="76">
        <v>20468</v>
      </c>
      <c r="E83" s="76">
        <v>26404</v>
      </c>
      <c r="F83" s="76">
        <v>32457.5</v>
      </c>
      <c r="G83" s="76">
        <v>45517.5</v>
      </c>
      <c r="H83" s="76">
        <v>64491.8</v>
      </c>
      <c r="I83" s="76">
        <v>65082.7</v>
      </c>
      <c r="J83" s="76">
        <v>79314.600000000006</v>
      </c>
      <c r="K83" s="76">
        <f>+'Model wise sales'!O102</f>
        <v>94104.2</v>
      </c>
      <c r="L83" s="76">
        <f>+'Model wise sales'!P102</f>
        <v>97720</v>
      </c>
      <c r="M83" s="76">
        <f>+'Model wise sales'!Q102</f>
        <v>82021.438987809219</v>
      </c>
      <c r="N83" s="76">
        <f>+'Model wise sales'!R102</f>
        <v>94867.052746760863</v>
      </c>
      <c r="O83" s="76">
        <f>+'Model wise sales'!S102</f>
        <v>112323.64487933423</v>
      </c>
      <c r="P83" s="76">
        <f>+'Model wise sales'!T102</f>
        <v>133827.60840518022</v>
      </c>
    </row>
    <row r="84" spans="1:16" s="77" customFormat="1">
      <c r="A84" s="77" t="s">
        <v>291</v>
      </c>
      <c r="B84" s="89">
        <v>85498.6</v>
      </c>
      <c r="C84" s="89">
        <v>106060.9</v>
      </c>
      <c r="D84" s="89">
        <v>96925.8</v>
      </c>
      <c r="E84" s="89">
        <v>90587.5</v>
      </c>
      <c r="F84" s="89">
        <v>121180.8</v>
      </c>
      <c r="G84" s="89">
        <f>+'Inc Stmt'!K68</f>
        <v>168302.3</v>
      </c>
      <c r="H84" s="89">
        <f>+'Inc Stmt'!L68</f>
        <v>198270.3</v>
      </c>
      <c r="I84" s="89">
        <f>+'Model wise sales'!M78</f>
        <v>206178.69999999998</v>
      </c>
      <c r="J84" s="89">
        <f>+'Model wise sales'!N78</f>
        <v>207270.39999999999</v>
      </c>
      <c r="K84" s="89">
        <f>+'Model wise sales'!O78</f>
        <v>220132.09999999998</v>
      </c>
      <c r="L84" s="89">
        <f>+'Model wise sales'!P78</f>
        <v>235462.39999999999</v>
      </c>
      <c r="M84" s="89">
        <f>+'Model wise sales'!Q78</f>
        <v>231160.1184233297</v>
      </c>
      <c r="N84" s="89">
        <f>+'Model wise sales'!R78</f>
        <v>267154.61555072828</v>
      </c>
      <c r="O84" s="89">
        <f>+'Model wise sales'!S78</f>
        <v>310060.14974913961</v>
      </c>
      <c r="P84" s="89">
        <f>+'Model wise sales'!T78</f>
        <v>359155.25057189964</v>
      </c>
    </row>
    <row r="85" spans="1:16" s="91" customFormat="1">
      <c r="A85" s="85" t="s">
        <v>579</v>
      </c>
      <c r="B85" s="92"/>
      <c r="C85" s="87">
        <f>(C84/B84-1)*100</f>
        <v>24.049867483210228</v>
      </c>
      <c r="D85" s="87">
        <f t="shared" ref="D85:K85" si="114">(D84/C84-1)*100</f>
        <v>-8.6130704152048381</v>
      </c>
      <c r="E85" s="87">
        <f t="shared" si="114"/>
        <v>-6.5393321489221723</v>
      </c>
      <c r="F85" s="87">
        <f t="shared" si="114"/>
        <v>33.772098799503247</v>
      </c>
      <c r="G85" s="87">
        <f t="shared" si="114"/>
        <v>38.885285457762265</v>
      </c>
      <c r="H85" s="87">
        <f t="shared" si="114"/>
        <v>17.806054938048966</v>
      </c>
      <c r="I85" s="87">
        <f t="shared" si="114"/>
        <v>3.9886962394266812</v>
      </c>
      <c r="J85" s="87">
        <f t="shared" si="114"/>
        <v>0.52949213473554302</v>
      </c>
      <c r="K85" s="87">
        <f t="shared" si="114"/>
        <v>6.2052758136231567</v>
      </c>
      <c r="L85" s="87">
        <f>(L84/K84-1)*100</f>
        <v>6.9641365343809492</v>
      </c>
      <c r="M85" s="87">
        <f>(M84/L84-1)*100</f>
        <v>-1.8271628831908138</v>
      </c>
      <c r="N85" s="87">
        <f>(N84/M84-1)*100</f>
        <v>15.57124013125868</v>
      </c>
      <c r="O85" s="87">
        <f t="shared" ref="O85:P85" si="115">(O84/N84-1)*100</f>
        <v>16.060188258384891</v>
      </c>
      <c r="P85" s="87">
        <f t="shared" si="115"/>
        <v>15.834056992645262</v>
      </c>
    </row>
    <row r="86" spans="1:16" s="91" customFormat="1">
      <c r="A86" s="85"/>
      <c r="B86" s="92"/>
      <c r="C86" s="87"/>
      <c r="D86" s="87"/>
      <c r="E86" s="87"/>
      <c r="F86" s="87"/>
      <c r="G86" s="87"/>
      <c r="H86" s="87"/>
      <c r="I86" s="87"/>
      <c r="J86" s="87"/>
      <c r="K86" s="87"/>
      <c r="L86" s="87"/>
      <c r="M86" s="87"/>
      <c r="N86" s="87"/>
      <c r="O86" s="87"/>
      <c r="P86" s="87"/>
    </row>
    <row r="87" spans="1:16">
      <c r="A87" s="75" t="s">
        <v>299</v>
      </c>
      <c r="B87" s="76">
        <v>10804.8</v>
      </c>
      <c r="C87" s="76">
        <v>13138.9</v>
      </c>
      <c r="D87" s="76">
        <v>10266.6</v>
      </c>
      <c r="E87" s="76">
        <v>6127.2</v>
      </c>
      <c r="F87" s="76">
        <f>+'Inc Stmt'!J69</f>
        <v>6095.8</v>
      </c>
      <c r="G87" s="76">
        <f>+'Inc Stmt'!K69</f>
        <v>9334.1</v>
      </c>
      <c r="H87" s="76">
        <f>+'Inc Stmt'!L69</f>
        <v>9467.6</v>
      </c>
      <c r="I87" s="76">
        <f>+'Model wise sales'!M83</f>
        <v>11289.1</v>
      </c>
      <c r="J87" s="76">
        <f>+'Model wise sales'!N83</f>
        <v>10094</v>
      </c>
      <c r="K87" s="76">
        <f>+'Model wise sales'!O83</f>
        <v>9092.7999999999993</v>
      </c>
      <c r="L87" s="76">
        <f>+'Model wise sales'!P83</f>
        <v>12934.6</v>
      </c>
      <c r="M87" s="76">
        <f>+'Model wise sales'!Q83</f>
        <v>12646.775619608105</v>
      </c>
      <c r="N87" s="76">
        <f>+'Model wise sales'!R83</f>
        <v>9475.8159542182075</v>
      </c>
      <c r="O87" s="76">
        <f>+'Model wise sales'!S83</f>
        <v>10875.507767839297</v>
      </c>
      <c r="P87" s="76">
        <f>+'Model wise sales'!T83</f>
        <v>12393.020319169569</v>
      </c>
    </row>
    <row r="88" spans="1:16">
      <c r="A88" s="75" t="s">
        <v>289</v>
      </c>
      <c r="D88" s="95">
        <f t="shared" ref="D88:K88" si="116">D87/D82*100</f>
        <v>13.427799387374472</v>
      </c>
      <c r="E88" s="95">
        <f t="shared" si="116"/>
        <v>9.5463787422000976</v>
      </c>
      <c r="F88" s="95">
        <f t="shared" si="116"/>
        <v>6.8705740205785846</v>
      </c>
      <c r="G88" s="95">
        <f t="shared" si="116"/>
        <v>7.601999596041205</v>
      </c>
      <c r="H88" s="95">
        <f t="shared" si="116"/>
        <v>7.077071427770532</v>
      </c>
      <c r="I88" s="95">
        <f t="shared" si="116"/>
        <v>8.0010064069853151</v>
      </c>
      <c r="J88" s="95">
        <f t="shared" si="116"/>
        <v>7.8886615534426729</v>
      </c>
      <c r="K88" s="95">
        <f t="shared" si="116"/>
        <v>7.2149103492163249</v>
      </c>
      <c r="L88" s="95">
        <f>L87/L82*100</f>
        <v>9.3904273484417295</v>
      </c>
      <c r="M88" s="95">
        <f>M87/M82*100</f>
        <v>8.4798763590205226</v>
      </c>
      <c r="N88" s="95">
        <f>N87/N82*100</f>
        <v>5.4999999999999991</v>
      </c>
      <c r="O88" s="95">
        <f t="shared" ref="O88:P88" si="117">O87/O82*100</f>
        <v>5.5000000000000009</v>
      </c>
      <c r="P88" s="95">
        <f t="shared" si="117"/>
        <v>5.5000000000000009</v>
      </c>
    </row>
    <row r="89" spans="1:16">
      <c r="F89" s="96"/>
    </row>
    <row r="90" spans="1:16" s="77" customFormat="1">
      <c r="A90" s="77" t="s">
        <v>127</v>
      </c>
      <c r="B90" s="78">
        <f>B84-B87</f>
        <v>74693.8</v>
      </c>
      <c r="C90" s="78">
        <f t="shared" ref="C90:K90" si="118">C84-C87</f>
        <v>92922</v>
      </c>
      <c r="D90" s="78">
        <f t="shared" si="118"/>
        <v>86659.199999999997</v>
      </c>
      <c r="E90" s="78">
        <f t="shared" si="118"/>
        <v>84460.3</v>
      </c>
      <c r="F90" s="78">
        <f t="shared" si="118"/>
        <v>115085</v>
      </c>
      <c r="G90" s="78">
        <f t="shared" si="118"/>
        <v>158968.19999999998</v>
      </c>
      <c r="H90" s="78">
        <f t="shared" si="118"/>
        <v>188802.69999999998</v>
      </c>
      <c r="I90" s="78">
        <f t="shared" si="118"/>
        <v>194889.59999999998</v>
      </c>
      <c r="J90" s="78">
        <f t="shared" si="118"/>
        <v>197176.4</v>
      </c>
      <c r="K90" s="78">
        <f t="shared" si="118"/>
        <v>211039.3</v>
      </c>
      <c r="L90" s="78">
        <f>L84-L87</f>
        <v>222527.8</v>
      </c>
      <c r="M90" s="78">
        <f>M84-M87</f>
        <v>218513.34280372158</v>
      </c>
      <c r="N90" s="78">
        <f>N84-N87</f>
        <v>257678.79959651007</v>
      </c>
      <c r="O90" s="78">
        <f t="shared" ref="O90:P90" si="119">O84-O87</f>
        <v>299184.64198130032</v>
      </c>
      <c r="P90" s="78">
        <f t="shared" si="119"/>
        <v>346762.23025273008</v>
      </c>
    </row>
    <row r="91" spans="1:16" s="91" customFormat="1">
      <c r="A91" s="85" t="s">
        <v>579</v>
      </c>
      <c r="B91" s="92"/>
      <c r="C91" s="86">
        <f t="shared" ref="C91:K91" si="120">(C90/B90-1)*100</f>
        <v>24.403899654322036</v>
      </c>
      <c r="D91" s="86">
        <f t="shared" si="120"/>
        <v>-6.7398463227222871</v>
      </c>
      <c r="E91" s="87">
        <f t="shared" si="120"/>
        <v>-2.5374109154019386</v>
      </c>
      <c r="F91" s="87">
        <f t="shared" si="120"/>
        <v>36.259283947606157</v>
      </c>
      <c r="G91" s="87">
        <f t="shared" si="120"/>
        <v>38.131120476169777</v>
      </c>
      <c r="H91" s="87">
        <f t="shared" si="120"/>
        <v>18.767589995986622</v>
      </c>
      <c r="I91" s="87">
        <f t="shared" si="120"/>
        <v>3.2239475388858185</v>
      </c>
      <c r="J91" s="87">
        <f t="shared" si="120"/>
        <v>1.1733822635995095</v>
      </c>
      <c r="K91" s="87">
        <f t="shared" si="120"/>
        <v>7.0307095575332434</v>
      </c>
      <c r="L91" s="87">
        <f>(L90/K90-1)*100</f>
        <v>5.4437727949249171</v>
      </c>
      <c r="M91" s="87">
        <f>(M90/L90-1)*100</f>
        <v>-1.8040250235154431</v>
      </c>
      <c r="N91" s="87">
        <f>(N90/M90-1)*100</f>
        <v>17.923599671425407</v>
      </c>
      <c r="O91" s="87">
        <f t="shared" ref="O91:P91" si="121">(O90/N90-1)*100</f>
        <v>16.107589157424961</v>
      </c>
      <c r="P91" s="87">
        <f t="shared" si="121"/>
        <v>15.902416633539463</v>
      </c>
    </row>
    <row r="92" spans="1:16">
      <c r="A92" s="75" t="s">
        <v>2231</v>
      </c>
      <c r="B92" s="96">
        <f t="shared" ref="B92:K92" si="122">B83/B90*100</f>
        <v>12.496084012327662</v>
      </c>
      <c r="C92" s="96">
        <f t="shared" si="122"/>
        <v>18.213124986547857</v>
      </c>
      <c r="D92" s="96">
        <f t="shared" si="122"/>
        <v>23.618957940991837</v>
      </c>
      <c r="E92" s="96">
        <f t="shared" si="122"/>
        <v>31.262024880328386</v>
      </c>
      <c r="F92" s="96">
        <f t="shared" si="122"/>
        <v>28.203067298084022</v>
      </c>
      <c r="G92" s="96">
        <f t="shared" si="122"/>
        <v>28.633085107587558</v>
      </c>
      <c r="H92" s="96">
        <f t="shared" si="122"/>
        <v>34.158303880188157</v>
      </c>
      <c r="I92" s="96">
        <f t="shared" si="122"/>
        <v>33.3946500993383</v>
      </c>
      <c r="J92" s="96">
        <f t="shared" si="122"/>
        <v>40.225199364629852</v>
      </c>
      <c r="K92" s="96">
        <f t="shared" si="122"/>
        <v>44.590841611017474</v>
      </c>
      <c r="L92" s="96">
        <f>L83/L90*100</f>
        <v>43.913614388853887</v>
      </c>
      <c r="M92" s="96">
        <f>M83/M90*100</f>
        <v>37.536123851935457</v>
      </c>
      <c r="N92" s="96">
        <f>N83/N90*100</f>
        <v>36.816010046348303</v>
      </c>
      <c r="O92" s="96">
        <f t="shared" ref="O92:P92" si="123">O83/O90*100</f>
        <v>37.543252265721144</v>
      </c>
      <c r="P92" s="96">
        <f t="shared" si="123"/>
        <v>38.593478969045414</v>
      </c>
    </row>
    <row r="93" spans="1:16">
      <c r="B93" s="96"/>
      <c r="C93" s="96"/>
      <c r="D93" s="96"/>
      <c r="E93" s="96"/>
      <c r="F93" s="96"/>
      <c r="G93" s="96"/>
      <c r="H93" s="96"/>
      <c r="I93" s="96"/>
      <c r="J93" s="96"/>
      <c r="K93" s="96"/>
      <c r="L93" s="96"/>
      <c r="M93" s="96"/>
      <c r="N93" s="96"/>
      <c r="O93" s="96"/>
      <c r="P93" s="96"/>
    </row>
    <row r="94" spans="1:16" s="94" customFormat="1">
      <c r="A94" s="94" t="s">
        <v>293</v>
      </c>
      <c r="L94" s="510"/>
      <c r="M94" s="510"/>
      <c r="N94" s="510"/>
      <c r="O94" s="510"/>
      <c r="P94" s="510"/>
    </row>
    <row r="95" spans="1:16" s="98" customFormat="1"/>
    <row r="96" spans="1:16">
      <c r="A96" s="75" t="s">
        <v>294</v>
      </c>
      <c r="B96" s="76">
        <f t="shared" ref="B96:K96" si="124">(B82*10^6)/B55</f>
        <v>37502.461928734054</v>
      </c>
      <c r="C96" s="76">
        <f t="shared" si="124"/>
        <v>39106.057262489565</v>
      </c>
      <c r="D96" s="76">
        <f t="shared" si="124"/>
        <v>41714.410108206343</v>
      </c>
      <c r="E96" s="76">
        <f t="shared" si="124"/>
        <v>45149.125380120415</v>
      </c>
      <c r="F96" s="76">
        <f t="shared" si="124"/>
        <v>45231.589154202782</v>
      </c>
      <c r="G96" s="76">
        <f t="shared" si="124"/>
        <v>46860.743010282393</v>
      </c>
      <c r="H96" s="76">
        <f t="shared" si="124"/>
        <v>48300.090694564395</v>
      </c>
      <c r="I96" s="76">
        <f t="shared" si="124"/>
        <v>52452.161603334433</v>
      </c>
      <c r="J96" s="76">
        <f>(J82*10^6)/J55</f>
        <v>55970.189078368705</v>
      </c>
      <c r="K96" s="76">
        <f t="shared" si="124"/>
        <v>62852.952163034381</v>
      </c>
      <c r="L96" s="76">
        <f>(L82*10^6)/L55</f>
        <v>64182.896166613544</v>
      </c>
      <c r="M96" s="76">
        <f>(M82*10^6)/M55</f>
        <v>66637.033806070162</v>
      </c>
      <c r="N96" s="76">
        <f>(N82*10^6)/N55</f>
        <v>68500.220392991905</v>
      </c>
      <c r="O96" s="76">
        <f t="shared" ref="O96:P96" si="125">(O82*10^6)/O55</f>
        <v>70233.005524288747</v>
      </c>
      <c r="P96" s="76">
        <f t="shared" si="125"/>
        <v>72520.237556577835</v>
      </c>
    </row>
    <row r="97" spans="1:16" s="85" customFormat="1">
      <c r="A97" s="85" t="s">
        <v>579</v>
      </c>
      <c r="C97" s="97">
        <f t="shared" ref="C97:K97" si="126">(C96/B96-1)*100</f>
        <v>4.2759734995607035</v>
      </c>
      <c r="D97" s="97">
        <f t="shared" si="126"/>
        <v>6.6699458557247793</v>
      </c>
      <c r="E97" s="97">
        <f t="shared" si="126"/>
        <v>8.2338819199516244</v>
      </c>
      <c r="F97" s="97">
        <f t="shared" si="126"/>
        <v>0.18264755604473493</v>
      </c>
      <c r="G97" s="97">
        <f t="shared" si="126"/>
        <v>3.6018054783030662</v>
      </c>
      <c r="H97" s="97">
        <f t="shared" si="126"/>
        <v>3.0715426000953006</v>
      </c>
      <c r="I97" s="97">
        <f t="shared" si="126"/>
        <v>8.5964039592109955</v>
      </c>
      <c r="J97" s="97">
        <f t="shared" si="126"/>
        <v>6.7071162893897363</v>
      </c>
      <c r="K97" s="97">
        <f t="shared" si="126"/>
        <v>12.297194628069818</v>
      </c>
      <c r="L97" s="97">
        <f>(L96/K96-1)*100</f>
        <v>2.1159610771017023</v>
      </c>
      <c r="M97" s="97">
        <f>(M96/L96-1)*100</f>
        <v>3.8236629788189536</v>
      </c>
      <c r="N97" s="97">
        <f>(N96/M96-1)*100</f>
        <v>2.7960226926427412</v>
      </c>
      <c r="O97" s="97">
        <f t="shared" ref="O97:P97" si="127">(O96/N96-1)*100</f>
        <v>2.5296051915682849</v>
      </c>
      <c r="P97" s="97">
        <f t="shared" si="127"/>
        <v>3.256634135496439</v>
      </c>
    </row>
    <row r="98" spans="1:16" s="85" customFormat="1">
      <c r="C98" s="97"/>
      <c r="D98" s="97"/>
      <c r="E98" s="97"/>
    </row>
    <row r="99" spans="1:16">
      <c r="A99" s="75" t="s">
        <v>290</v>
      </c>
      <c r="B99" s="76">
        <f t="shared" ref="B99:K99" si="128">(B83*10^6)/B57</f>
        <v>37310.127594256657</v>
      </c>
      <c r="C99" s="76">
        <f t="shared" si="128"/>
        <v>38513.353601922485</v>
      </c>
      <c r="D99" s="76">
        <f t="shared" si="128"/>
        <v>33101.476369834767</v>
      </c>
      <c r="E99" s="76">
        <f t="shared" si="128"/>
        <v>34179.094624209887</v>
      </c>
      <c r="F99" s="76">
        <f t="shared" si="128"/>
        <v>36424.164345560195</v>
      </c>
      <c r="G99" s="76">
        <f t="shared" si="128"/>
        <v>37814.089346508066</v>
      </c>
      <c r="H99" s="76">
        <f t="shared" si="128"/>
        <v>40822.142213309839</v>
      </c>
      <c r="I99" s="76">
        <f>(I83*10^6)/I57</f>
        <v>42065.995887941557</v>
      </c>
      <c r="J99" s="76">
        <f t="shared" si="128"/>
        <v>50074.403305691209</v>
      </c>
      <c r="K99" s="76">
        <f t="shared" si="128"/>
        <v>52104.172688001294</v>
      </c>
      <c r="L99" s="76">
        <f>(L83*10^6)/L57</f>
        <v>56618.652056597792</v>
      </c>
      <c r="M99" s="76">
        <f>(M83*10^6)/M57</f>
        <v>58514.226289426471</v>
      </c>
      <c r="N99" s="76">
        <f>(N83*10^6)/N57</f>
        <v>60037.668872508853</v>
      </c>
      <c r="O99" s="76">
        <f t="shared" ref="O99:P99" si="129">(O83*10^6)/O57</f>
        <v>61838.798938684115</v>
      </c>
      <c r="P99" s="76">
        <f t="shared" si="129"/>
        <v>63693.962906844645</v>
      </c>
    </row>
    <row r="100" spans="1:16" s="85" customFormat="1">
      <c r="A100" s="85" t="s">
        <v>579</v>
      </c>
      <c r="C100" s="97">
        <f t="shared" ref="C100:K100" si="130">(C99/B99-1)*100</f>
        <v>3.2249313664932222</v>
      </c>
      <c r="D100" s="97">
        <f t="shared" si="130"/>
        <v>-14.051950105476063</v>
      </c>
      <c r="E100" s="97">
        <f t="shared" si="130"/>
        <v>3.2554990669755979</v>
      </c>
      <c r="F100" s="97">
        <f t="shared" si="130"/>
        <v>6.5685464932124571</v>
      </c>
      <c r="G100" s="97">
        <f t="shared" si="130"/>
        <v>3.8159420426546964</v>
      </c>
      <c r="H100" s="97">
        <f t="shared" si="130"/>
        <v>7.9548467748028706</v>
      </c>
      <c r="I100" s="97">
        <f t="shared" si="130"/>
        <v>3.0470073523632069</v>
      </c>
      <c r="J100" s="97">
        <f t="shared" si="130"/>
        <v>19.037722152312831</v>
      </c>
      <c r="K100" s="97">
        <f t="shared" si="130"/>
        <v>4.0535068783922767</v>
      </c>
      <c r="L100" s="323">
        <f>(L99/K99-1)*100</f>
        <v>8.6643336525638937</v>
      </c>
      <c r="M100" s="323">
        <f>(M99/L99-1)*100</f>
        <v>3.3479677879540537</v>
      </c>
      <c r="N100" s="323">
        <f>(N99/M99-1)*100</f>
        <v>2.6035422147548282</v>
      </c>
      <c r="O100" s="323">
        <f t="shared" ref="O100:P100" si="131">(O99/N99-1)*100</f>
        <v>3.0000000000000027</v>
      </c>
      <c r="P100" s="323">
        <f t="shared" si="131"/>
        <v>3.0000000000000027</v>
      </c>
    </row>
    <row r="101" spans="1:16">
      <c r="D101" s="76"/>
      <c r="E101" s="76"/>
      <c r="L101" s="110"/>
      <c r="M101" s="110"/>
      <c r="N101" s="110"/>
      <c r="O101" s="110"/>
      <c r="P101" s="110"/>
    </row>
    <row r="102" spans="1:16" s="77" customFormat="1">
      <c r="A102" s="77" t="s">
        <v>712</v>
      </c>
      <c r="B102" s="89">
        <f t="shared" ref="B102:K102" si="132">(B84*10^6)/B59</f>
        <v>37481.368605266944</v>
      </c>
      <c r="C102" s="89">
        <f t="shared" si="132"/>
        <v>39010.260060063374</v>
      </c>
      <c r="D102" s="89">
        <f t="shared" si="132"/>
        <v>39541.73173609309</v>
      </c>
      <c r="E102" s="89">
        <f t="shared" si="132"/>
        <v>41286.709678830761</v>
      </c>
      <c r="F102" s="89">
        <f t="shared" si="132"/>
        <v>42480.347973380376</v>
      </c>
      <c r="G102" s="89">
        <f t="shared" si="132"/>
        <v>44012.982475593133</v>
      </c>
      <c r="H102" s="89">
        <f t="shared" si="132"/>
        <v>45583.990104746226</v>
      </c>
      <c r="I102" s="89">
        <f t="shared" si="132"/>
        <v>48659.748024085042</v>
      </c>
      <c r="J102" s="89">
        <f t="shared" si="132"/>
        <v>53557.177286136684</v>
      </c>
      <c r="K102" s="89">
        <f t="shared" si="132"/>
        <v>57759.247019509065</v>
      </c>
      <c r="L102" s="89">
        <f>(L84*10^6)/L59</f>
        <v>60811.177613780899</v>
      </c>
      <c r="M102" s="89">
        <f>(M84*10^6)/M59</f>
        <v>63508.842061352014</v>
      </c>
      <c r="N102" s="89">
        <f>(N84*10^6)/N59</f>
        <v>65235.011472563056</v>
      </c>
      <c r="O102" s="89">
        <f t="shared" ref="O102:P102" si="133">(O84*10^6)/O59</f>
        <v>66941.177125859322</v>
      </c>
      <c r="P102" s="89">
        <f t="shared" si="133"/>
        <v>68959.524929337116</v>
      </c>
    </row>
    <row r="103" spans="1:16">
      <c r="C103" s="97">
        <f t="shared" ref="C103:H103" si="134">(C102/B102-1)*100</f>
        <v>4.0790705134005956</v>
      </c>
      <c r="D103" s="97">
        <f t="shared" si="134"/>
        <v>1.3623894719271723</v>
      </c>
      <c r="E103" s="97">
        <f t="shared" si="134"/>
        <v>4.4130033413404712</v>
      </c>
      <c r="F103" s="97">
        <f t="shared" si="134"/>
        <v>2.8910957153886141</v>
      </c>
      <c r="G103" s="97">
        <f t="shared" si="134"/>
        <v>3.6078671087467429</v>
      </c>
      <c r="H103" s="97">
        <f t="shared" si="134"/>
        <v>3.5694187050929305</v>
      </c>
      <c r="I103" s="97">
        <f t="shared" ref="I103:N103" si="135">(I102/H102-1)*100</f>
        <v>6.7474521477192129</v>
      </c>
      <c r="J103" s="97">
        <f t="shared" si="135"/>
        <v>10.064641641028583</v>
      </c>
      <c r="K103" s="97">
        <f t="shared" si="135"/>
        <v>7.8459507134258422</v>
      </c>
      <c r="L103" s="323">
        <f t="shared" si="135"/>
        <v>5.2838822383556971</v>
      </c>
      <c r="M103" s="323">
        <f t="shared" si="135"/>
        <v>4.4361325556040221</v>
      </c>
      <c r="N103" s="323">
        <f t="shared" si="135"/>
        <v>2.7179985576551546</v>
      </c>
      <c r="O103" s="323">
        <f t="shared" ref="O103" si="136">(O102/N102-1)*100</f>
        <v>2.6154140465106668</v>
      </c>
      <c r="P103" s="323">
        <f t="shared" ref="P103" si="137">(P102/O102-1)*100</f>
        <v>3.0151065310414227</v>
      </c>
    </row>
    <row r="104" spans="1:16">
      <c r="D104" s="76"/>
      <c r="E104" s="76"/>
      <c r="L104" s="110"/>
      <c r="M104" s="110"/>
      <c r="N104" s="110"/>
      <c r="O104" s="110"/>
      <c r="P104" s="110"/>
    </row>
    <row r="105" spans="1:16">
      <c r="A105" s="75" t="s">
        <v>292</v>
      </c>
      <c r="B105" s="76">
        <f t="shared" ref="B105:K105" si="138">(B90*10^6)/B59</f>
        <v>32744.698162637611</v>
      </c>
      <c r="C105" s="76">
        <f t="shared" si="138"/>
        <v>34177.641197662939</v>
      </c>
      <c r="D105" s="76">
        <f t="shared" si="138"/>
        <v>35353.38205993078</v>
      </c>
      <c r="E105" s="76">
        <f t="shared" si="138"/>
        <v>38494.139759756581</v>
      </c>
      <c r="F105" s="76">
        <f t="shared" si="138"/>
        <v>40343.444229749926</v>
      </c>
      <c r="G105" s="76">
        <f t="shared" si="138"/>
        <v>41572.008230289088</v>
      </c>
      <c r="H105" s="76">
        <f t="shared" si="138"/>
        <v>43407.310164706309</v>
      </c>
      <c r="I105" s="76">
        <f t="shared" si="138"/>
        <v>45995.434196232316</v>
      </c>
      <c r="J105" s="76">
        <f t="shared" si="138"/>
        <v>50948.960447040205</v>
      </c>
      <c r="K105" s="76">
        <f t="shared" si="138"/>
        <v>55373.437402015792</v>
      </c>
      <c r="L105" s="322">
        <f>(L90*10^6)/L59</f>
        <v>57470.651661598262</v>
      </c>
      <c r="M105" s="322">
        <f>(M90*10^6)/M59</f>
        <v>60034.27178993453</v>
      </c>
      <c r="N105" s="322">
        <f>(N90*10^6)/N59</f>
        <v>62921.164260112622</v>
      </c>
      <c r="O105" s="322">
        <f t="shared" ref="O105:P105" si="139">(O90*10^6)/O59</f>
        <v>64593.183382033785</v>
      </c>
      <c r="P105" s="322">
        <f t="shared" si="139"/>
        <v>66580.005787437593</v>
      </c>
    </row>
    <row r="106" spans="1:16" s="85" customFormat="1">
      <c r="A106" s="85" t="s">
        <v>579</v>
      </c>
      <c r="C106" s="97">
        <f t="shared" ref="C106:H106" si="140">(C105/B105-1)*100</f>
        <v>4.3761070201598251</v>
      </c>
      <c r="D106" s="97">
        <f t="shared" si="140"/>
        <v>3.4400877915127692</v>
      </c>
      <c r="E106" s="97">
        <f t="shared" si="140"/>
        <v>8.8838960145357859</v>
      </c>
      <c r="F106" s="97">
        <f t="shared" si="140"/>
        <v>4.8041194881478733</v>
      </c>
      <c r="G106" s="97">
        <f t="shared" si="140"/>
        <v>3.0452630507764145</v>
      </c>
      <c r="H106" s="97">
        <f t="shared" si="140"/>
        <v>4.4147540918651806</v>
      </c>
      <c r="I106" s="97">
        <f t="shared" ref="I106:N106" si="141">(I105/H105-1)*100</f>
        <v>5.9624151363112166</v>
      </c>
      <c r="J106" s="97">
        <f t="shared" si="141"/>
        <v>10.769604282186895</v>
      </c>
      <c r="K106" s="97">
        <f t="shared" si="141"/>
        <v>8.6841358806028843</v>
      </c>
      <c r="L106" s="323">
        <f t="shared" si="141"/>
        <v>3.7874012486465602</v>
      </c>
      <c r="M106" s="323">
        <f t="shared" si="141"/>
        <v>4.4607465797177781</v>
      </c>
      <c r="N106" s="323">
        <f t="shared" si="141"/>
        <v>4.8087407144365768</v>
      </c>
      <c r="O106" s="323">
        <f t="shared" ref="O106" si="142">(O105/N105-1)*100</f>
        <v>2.657323877557527</v>
      </c>
      <c r="P106" s="323">
        <f t="shared" ref="P106" si="143">(P105/O105-1)*100</f>
        <v>3.0759010492683592</v>
      </c>
    </row>
    <row r="107" spans="1:16">
      <c r="G107" s="109"/>
    </row>
    <row r="111" spans="1:16" s="94" customFormat="1">
      <c r="A111" s="94" t="s">
        <v>386</v>
      </c>
      <c r="L111" s="510"/>
      <c r="M111" s="510"/>
      <c r="N111" s="510"/>
      <c r="O111" s="510"/>
      <c r="P111" s="510"/>
    </row>
    <row r="112" spans="1:16">
      <c r="D112" s="104"/>
      <c r="E112" s="99"/>
      <c r="F112" s="99"/>
      <c r="G112" s="99"/>
      <c r="H112" s="99"/>
    </row>
    <row r="113" spans="1:16">
      <c r="D113" s="99"/>
      <c r="E113" s="100"/>
      <c r="F113" s="100"/>
      <c r="G113" s="100"/>
      <c r="H113" s="100"/>
    </row>
    <row r="114" spans="1:16">
      <c r="A114" s="75" t="s">
        <v>387</v>
      </c>
      <c r="B114" s="84">
        <f>'Inc Stmt'!F68*10^6/B51</f>
        <v>37481.368605266944</v>
      </c>
      <c r="C114" s="84">
        <f>'Inc Stmt'!G68*10^6/C51</f>
        <v>39010.260060063374</v>
      </c>
      <c r="D114" s="84">
        <f>'Inc Stmt'!H68*10^6/D51</f>
        <v>39541.73173609309</v>
      </c>
      <c r="E114" s="84">
        <f>'Inc Stmt'!I68*10^6/E51</f>
        <v>41286.709678830761</v>
      </c>
      <c r="F114" s="84">
        <f>'Inc Stmt'!J68*10^6/F51</f>
        <v>42480.347973380376</v>
      </c>
      <c r="G114" s="84">
        <f>'Inc Stmt'!K68*10^6/G51</f>
        <v>44012.982475593133</v>
      </c>
      <c r="H114" s="84">
        <f>'Inc Stmt'!L68*10^6/H51</f>
        <v>45583.990104746226</v>
      </c>
      <c r="I114" s="84">
        <f>'Inc Stmt'!M68*10^6/I51</f>
        <v>48659.748024085049</v>
      </c>
      <c r="J114" s="84">
        <f>'Inc Stmt'!N68*10^6/J51</f>
        <v>53557.177286136684</v>
      </c>
      <c r="K114" s="84">
        <f>'Inc Stmt'!O68*10^6/K51</f>
        <v>57759.247019509072</v>
      </c>
      <c r="L114" s="84">
        <f>'Inc Stmt'!P68*10^6/L51</f>
        <v>60811.177613780899</v>
      </c>
      <c r="M114" s="84">
        <f>'Inc Stmt'!Q68*10^6/M51</f>
        <v>60034.27178993453</v>
      </c>
      <c r="N114" s="84">
        <f>'Inc Stmt'!R68*10^6/N51</f>
        <v>62921.164260112622</v>
      </c>
      <c r="O114" s="84">
        <f>'Inc Stmt'!S68*10^6/O51</f>
        <v>64593.183382033785</v>
      </c>
      <c r="P114" s="84">
        <f>'Inc Stmt'!T68*10^6/P51</f>
        <v>66580.005787437578</v>
      </c>
    </row>
    <row r="115" spans="1:16">
      <c r="A115" s="75" t="s">
        <v>391</v>
      </c>
      <c r="B115" s="84">
        <f>'Inc Stmt'!F75*10^6/B51</f>
        <v>33935.266205367945</v>
      </c>
      <c r="C115" s="84">
        <f>'Inc Stmt'!G75*10^6/C51</f>
        <v>35283.351631881036</v>
      </c>
      <c r="D115" s="84">
        <f>'Inc Stmt'!H75*10^6/D51</f>
        <v>36785.439787730887</v>
      </c>
      <c r="E115" s="84">
        <f>'Inc Stmt'!I75*10^6/E51</f>
        <v>40174.913905787682</v>
      </c>
      <c r="F115" s="84">
        <f>'Inc Stmt'!J75*10^6/F51</f>
        <v>41668.431119050758</v>
      </c>
      <c r="G115" s="84">
        <f>'Inc Stmt'!K75*10^6/G51</f>
        <v>42883.252909838164</v>
      </c>
      <c r="H115" s="84">
        <f>'Inc Stmt'!L75*10^6/H51</f>
        <v>44898.748379146396</v>
      </c>
      <c r="I115" s="84">
        <f>'Inc Stmt'!M75*10^6/I51</f>
        <v>47195.037420191067</v>
      </c>
      <c r="J115" s="84">
        <f>'Inc Stmt'!N75*10^6/J51</f>
        <v>52064.881396416662</v>
      </c>
      <c r="K115" s="84">
        <f>'Inc Stmt'!O75*10^6/K51</f>
        <v>56706.560477917592</v>
      </c>
      <c r="L115" s="84">
        <f>'Inc Stmt'!P75*10^6/L51</f>
        <v>58593.60412187421</v>
      </c>
      <c r="M115" s="84">
        <f>'Inc Stmt'!Q75*10^6/M51</f>
        <v>61150.542519608141</v>
      </c>
      <c r="N115" s="84">
        <f>'Inc Stmt'!R75*10^6/N51</f>
        <v>64065.126880991018</v>
      </c>
      <c r="O115" s="84">
        <f>'Inc Stmt'!S75*10^6/O51</f>
        <v>65593.350286601417</v>
      </c>
      <c r="P115" s="84">
        <f>'Inc Stmt'!T75*10^6/P51</f>
        <v>67634.195183188494</v>
      </c>
    </row>
    <row r="116" spans="1:16">
      <c r="A116" s="75" t="s">
        <v>388</v>
      </c>
      <c r="B116" s="84">
        <f>'Inc Stmt'!F84*10^6/B51</f>
        <v>23342.288093092095</v>
      </c>
      <c r="C116" s="84">
        <f>'Inc Stmt'!G84*10^6/C51</f>
        <v>25382.605161477783</v>
      </c>
      <c r="D116" s="84">
        <f>'Inc Stmt'!H84*10^6/D51</f>
        <v>27003.975150414401</v>
      </c>
      <c r="E116" s="84">
        <f>'Inc Stmt'!I84*10^6/E51</f>
        <v>29449.644228998754</v>
      </c>
      <c r="F116" s="84">
        <f>'Inc Stmt'!J84*10^6/F51</f>
        <v>28291.206156279539</v>
      </c>
      <c r="G116" s="84">
        <f>'Inc Stmt'!K84*10^6/G51</f>
        <v>30855.241892882808</v>
      </c>
      <c r="H116" s="84">
        <f>'Inc Stmt'!L84*10^6/H51</f>
        <v>32422.911742796972</v>
      </c>
      <c r="I116" s="84">
        <f>'Inc Stmt'!M84*10^6/I51</f>
        <v>34000.605595599489</v>
      </c>
      <c r="J116" s="84">
        <f>'Inc Stmt'!N84*10^6/J51</f>
        <v>35856.315003551608</v>
      </c>
      <c r="K116" s="84">
        <f>'Inc Stmt'!O84*10^6/K51</f>
        <v>38963.570800910267</v>
      </c>
      <c r="L116" s="84">
        <f>'Inc Stmt'!P84*10^6/L51</f>
        <v>38886.267521516522</v>
      </c>
      <c r="M116" s="84">
        <f>'Inc Stmt'!Q84*10^6/M51</f>
        <v>40178.333484440132</v>
      </c>
      <c r="N116" s="84">
        <f>'Inc Stmt'!R84*10^6/N51</f>
        <v>43628.351405954876</v>
      </c>
      <c r="O116" s="84">
        <f>'Inc Stmt'!S84*10^6/O51</f>
        <v>44800.258245748759</v>
      </c>
      <c r="P116" s="84">
        <f>'Inc Stmt'!T84*10^6/P51</f>
        <v>46735.22887158324</v>
      </c>
    </row>
    <row r="117" spans="1:16">
      <c r="A117" s="75" t="s">
        <v>389</v>
      </c>
      <c r="B117" s="84">
        <f>'Inc Stmt'!F21*10^6/B51</f>
        <v>6265.9791608945879</v>
      </c>
      <c r="C117" s="84">
        <f>'Inc Stmt'!G21*10^6/C51</f>
        <v>5478.0886385328813</v>
      </c>
      <c r="D117" s="84">
        <f>'Inc Stmt'!H21*10^6/D51</f>
        <v>5015.6900949238525</v>
      </c>
      <c r="E117" s="84">
        <f>'Inc Stmt'!I21*10^6/E51</f>
        <v>5124.223602484476</v>
      </c>
      <c r="F117" s="84">
        <f>'Inc Stmt'!J21*10^6/F51</f>
        <v>8967.3326247479472</v>
      </c>
      <c r="G117" s="84">
        <f>'Inc Stmt'!K21*10^6/G51</f>
        <v>8300.9494958581763</v>
      </c>
      <c r="H117" s="84">
        <f>'Inc Stmt'!L21*10^6/H51</f>
        <v>8552.5662365848475</v>
      </c>
      <c r="I117" s="84">
        <f>'Inc Stmt'!M21*10^6/I51</f>
        <v>8586.0758797597755</v>
      </c>
      <c r="J117" s="84">
        <f>'Inc Stmt'!N21*10^6/J51</f>
        <v>10972.210630434482</v>
      </c>
      <c r="K117" s="84">
        <f>'Inc Stmt'!O21*10^6/K51</f>
        <v>10932.957878631963</v>
      </c>
      <c r="L117" s="84">
        <f>'Inc Stmt'!P21*10^6/L51</f>
        <v>12349.971913921012</v>
      </c>
      <c r="M117" s="84">
        <f>'Inc Stmt'!Q21*10^6/M51</f>
        <v>12149.947387363622</v>
      </c>
      <c r="N117" s="84">
        <f>'Inc Stmt'!R21*10^6/N51</f>
        <v>12692.062559015627</v>
      </c>
      <c r="O117" s="84">
        <f>'Inc Stmt'!S21*10^6/O51</f>
        <v>13053.206278621876</v>
      </c>
      <c r="P117" s="84">
        <f>'Inc Stmt'!T21*10^6/P51</f>
        <v>12813.83954281357</v>
      </c>
    </row>
    <row r="118" spans="1:16">
      <c r="A118" s="75" t="s">
        <v>390</v>
      </c>
      <c r="B118" s="84">
        <f>'Inc Stmt'!F40*10^6/B51</f>
        <v>4928.5957276677527</v>
      </c>
      <c r="C118" s="84">
        <f>'Inc Stmt'!G40*10^6/C51</f>
        <v>4733.2733803026731</v>
      </c>
      <c r="D118" s="84">
        <f>'Inc Stmt'!H40*10^6/D51</f>
        <v>3240.1478769008863</v>
      </c>
      <c r="E118" s="84">
        <f>'Inc Stmt'!I40*10^6/E51</f>
        <v>3087.2450216671232</v>
      </c>
      <c r="F118" s="84">
        <f>'Inc Stmt'!J40*10^6/F51</f>
        <v>6230.0372077435813</v>
      </c>
      <c r="G118" s="84">
        <f>'Inc Stmt'!K40*10^6/G51</f>
        <v>7407.4301685912105</v>
      </c>
      <c r="H118" s="84">
        <f>'Inc Stmt'!L40*10^6/H51</f>
        <v>6906.5606636073535</v>
      </c>
      <c r="I118" s="84">
        <f>'Inc Stmt'!M40*10^6/I51</f>
        <v>6772.8693171425848</v>
      </c>
      <c r="J118" s="84">
        <f>'Inc Stmt'!N40*10^6/J51</f>
        <v>8461.1003863747374</v>
      </c>
      <c r="K118" s="84">
        <f>'Inc Stmt'!O40*10^6/K51</f>
        <v>8082.3577659640632</v>
      </c>
      <c r="L118" s="84">
        <f>'Inc Stmt'!P40*10^6/L51</f>
        <v>10148.875588354935</v>
      </c>
      <c r="M118" s="84">
        <f>'Inc Stmt'!Q40*10^6/M51</f>
        <v>10515.823628156413</v>
      </c>
      <c r="N118" s="84">
        <f>'Inc Stmt'!R40*10^6/N51</f>
        <v>10740.791422654347</v>
      </c>
      <c r="O118" s="84">
        <f>'Inc Stmt'!S40*10^6/O51</f>
        <v>10999.317042445986</v>
      </c>
      <c r="P118" s="84">
        <f>'Inc Stmt'!T40*10^6/P51</f>
        <v>10488.406478218425</v>
      </c>
    </row>
    <row r="119" spans="1:16">
      <c r="D119" s="103"/>
      <c r="E119" s="105"/>
      <c r="F119" s="105"/>
      <c r="G119" s="105"/>
      <c r="H119" s="105"/>
    </row>
    <row r="120" spans="1:16">
      <c r="D120" s="101"/>
      <c r="E120" s="102"/>
      <c r="F120" s="102"/>
      <c r="G120" s="102"/>
      <c r="H120" s="102"/>
    </row>
    <row r="121" spans="1:16">
      <c r="D121" s="99"/>
      <c r="E121" s="100"/>
      <c r="F121" s="100"/>
      <c r="G121" s="100"/>
      <c r="H121" s="100"/>
    </row>
    <row r="122" spans="1:16">
      <c r="D122" s="104"/>
      <c r="E122" s="100"/>
      <c r="F122" s="100"/>
      <c r="G122" s="100"/>
      <c r="H122" s="100"/>
    </row>
    <row r="123" spans="1:16">
      <c r="A123" s="75" t="s">
        <v>387</v>
      </c>
      <c r="C123" s="84">
        <f>C114-B114</f>
        <v>1528.8914547964305</v>
      </c>
      <c r="D123" s="84">
        <f t="shared" ref="D123:K123" si="144">D114-C114</f>
        <v>531.47167602971604</v>
      </c>
      <c r="E123" s="84">
        <f t="shared" si="144"/>
        <v>1744.9779427376707</v>
      </c>
      <c r="F123" s="84">
        <f t="shared" si="144"/>
        <v>1193.6382945496152</v>
      </c>
      <c r="G123" s="84">
        <f t="shared" si="144"/>
        <v>1532.6345022127571</v>
      </c>
      <c r="H123" s="84">
        <f t="shared" si="144"/>
        <v>1571.0076291530931</v>
      </c>
      <c r="I123" s="84">
        <f t="shared" si="144"/>
        <v>3075.7579193388228</v>
      </c>
      <c r="J123" s="84">
        <f t="shared" si="144"/>
        <v>4897.4292620516353</v>
      </c>
      <c r="K123" s="84">
        <f t="shared" si="144"/>
        <v>4202.0697333723874</v>
      </c>
      <c r="L123" s="84">
        <f t="shared" ref="L123:M127" si="145">L114-K114</f>
        <v>3051.9305942718274</v>
      </c>
      <c r="M123" s="84">
        <f t="shared" si="145"/>
        <v>-776.90582384636946</v>
      </c>
      <c r="N123" s="84">
        <f>N114-M114</f>
        <v>2886.8924701780925</v>
      </c>
      <c r="O123" s="84">
        <f t="shared" ref="O123:P123" si="146">O114-N114</f>
        <v>1672.0191219211629</v>
      </c>
      <c r="P123" s="84">
        <f t="shared" si="146"/>
        <v>1986.8224054037928</v>
      </c>
    </row>
    <row r="124" spans="1:16">
      <c r="A124" s="75" t="s">
        <v>391</v>
      </c>
      <c r="C124" s="84">
        <f t="shared" ref="C124:K124" si="147">C115-B115</f>
        <v>1348.0854265130911</v>
      </c>
      <c r="D124" s="84">
        <f t="shared" si="147"/>
        <v>1502.0881558498513</v>
      </c>
      <c r="E124" s="84">
        <f t="shared" si="147"/>
        <v>3389.4741180567944</v>
      </c>
      <c r="F124" s="84">
        <f t="shared" si="147"/>
        <v>1493.517213263076</v>
      </c>
      <c r="G124" s="84">
        <f t="shared" si="147"/>
        <v>1214.8217907874059</v>
      </c>
      <c r="H124" s="84">
        <f t="shared" si="147"/>
        <v>2015.4954693082327</v>
      </c>
      <c r="I124" s="84">
        <f t="shared" si="147"/>
        <v>2296.2890410446707</v>
      </c>
      <c r="J124" s="84">
        <f t="shared" si="147"/>
        <v>4869.8439762255948</v>
      </c>
      <c r="K124" s="84">
        <f t="shared" si="147"/>
        <v>4641.6790815009299</v>
      </c>
      <c r="L124" s="84">
        <f t="shared" si="145"/>
        <v>1887.0436439566183</v>
      </c>
      <c r="M124" s="84">
        <f t="shared" si="145"/>
        <v>2556.9383977339312</v>
      </c>
      <c r="N124" s="84">
        <f>N115-M115</f>
        <v>2914.5843613828765</v>
      </c>
      <c r="O124" s="84">
        <f t="shared" ref="O124:P124" si="148">O115-N115</f>
        <v>1528.2234056103989</v>
      </c>
      <c r="P124" s="84">
        <f t="shared" si="148"/>
        <v>2040.8448965870775</v>
      </c>
    </row>
    <row r="125" spans="1:16">
      <c r="A125" s="75" t="s">
        <v>388</v>
      </c>
      <c r="C125" s="84">
        <f t="shared" ref="C125:K125" si="149">C116-B116</f>
        <v>2040.3170683856879</v>
      </c>
      <c r="D125" s="84">
        <f t="shared" si="149"/>
        <v>1621.369988936618</v>
      </c>
      <c r="E125" s="84">
        <f t="shared" si="149"/>
        <v>2445.669078584353</v>
      </c>
      <c r="F125" s="84">
        <f t="shared" si="149"/>
        <v>-1158.4380727192147</v>
      </c>
      <c r="G125" s="84">
        <f t="shared" si="149"/>
        <v>2564.0357366032695</v>
      </c>
      <c r="H125" s="84">
        <f t="shared" si="149"/>
        <v>1567.6698499141639</v>
      </c>
      <c r="I125" s="84">
        <f t="shared" si="149"/>
        <v>1577.6938528025166</v>
      </c>
      <c r="J125" s="84">
        <f t="shared" si="149"/>
        <v>1855.7094079521194</v>
      </c>
      <c r="K125" s="84">
        <f t="shared" si="149"/>
        <v>3107.255797358659</v>
      </c>
      <c r="L125" s="84">
        <f t="shared" si="145"/>
        <v>-77.30327939374547</v>
      </c>
      <c r="M125" s="84">
        <f t="shared" si="145"/>
        <v>1292.0659629236106</v>
      </c>
      <c r="N125" s="84">
        <f>N116-M116</f>
        <v>3450.0179215147436</v>
      </c>
      <c r="O125" s="84">
        <f t="shared" ref="O125:P125" si="150">O116-N116</f>
        <v>1171.9068397938827</v>
      </c>
      <c r="P125" s="84">
        <f t="shared" si="150"/>
        <v>1934.9706258344813</v>
      </c>
    </row>
    <row r="126" spans="1:16">
      <c r="A126" s="75" t="s">
        <v>389</v>
      </c>
      <c r="C126" s="84">
        <f t="shared" ref="C126:K126" si="151">C117-B117</f>
        <v>-787.89052236170664</v>
      </c>
      <c r="D126" s="84">
        <f t="shared" si="151"/>
        <v>-462.39854360902882</v>
      </c>
      <c r="E126" s="84">
        <f t="shared" si="151"/>
        <v>108.53350756062355</v>
      </c>
      <c r="F126" s="84">
        <f t="shared" si="151"/>
        <v>3843.1090222634712</v>
      </c>
      <c r="G126" s="84">
        <f t="shared" si="151"/>
        <v>-666.38312888977089</v>
      </c>
      <c r="H126" s="84">
        <f t="shared" si="151"/>
        <v>251.6167407266712</v>
      </c>
      <c r="I126" s="84">
        <f t="shared" si="151"/>
        <v>33.509643174927987</v>
      </c>
      <c r="J126" s="84">
        <f t="shared" si="151"/>
        <v>2386.1347506747061</v>
      </c>
      <c r="K126" s="84">
        <f t="shared" si="151"/>
        <v>-39.252751802518105</v>
      </c>
      <c r="L126" s="84">
        <f t="shared" si="145"/>
        <v>1417.0140352890485</v>
      </c>
      <c r="M126" s="84">
        <f t="shared" si="145"/>
        <v>-200.02452655739035</v>
      </c>
      <c r="N126" s="84">
        <f>N117-M117</f>
        <v>542.1151716520053</v>
      </c>
      <c r="O126" s="84">
        <f t="shared" ref="O126:P126" si="152">O117-N117</f>
        <v>361.14371960624885</v>
      </c>
      <c r="P126" s="84">
        <f t="shared" si="152"/>
        <v>-239.36673580830575</v>
      </c>
    </row>
    <row r="127" spans="1:16">
      <c r="A127" s="75" t="s">
        <v>390</v>
      </c>
      <c r="C127" s="84">
        <f t="shared" ref="C127:K127" si="153">C118-B118</f>
        <v>-195.32234736507962</v>
      </c>
      <c r="D127" s="84">
        <f t="shared" si="153"/>
        <v>-1493.1255034017868</v>
      </c>
      <c r="E127" s="84">
        <f t="shared" si="153"/>
        <v>-152.90285523376315</v>
      </c>
      <c r="F127" s="84">
        <f t="shared" si="153"/>
        <v>3142.7921860764582</v>
      </c>
      <c r="G127" s="84">
        <f t="shared" si="153"/>
        <v>1177.3929608476292</v>
      </c>
      <c r="H127" s="84">
        <f t="shared" si="153"/>
        <v>-500.86950498385704</v>
      </c>
      <c r="I127" s="84">
        <f t="shared" si="153"/>
        <v>-133.69134646476869</v>
      </c>
      <c r="J127" s="84">
        <f t="shared" si="153"/>
        <v>1688.2310692321525</v>
      </c>
      <c r="K127" s="84">
        <f t="shared" si="153"/>
        <v>-378.74262041067414</v>
      </c>
      <c r="L127" s="84">
        <f t="shared" si="145"/>
        <v>2066.5178223908715</v>
      </c>
      <c r="M127" s="84">
        <f t="shared" si="145"/>
        <v>366.94803980147844</v>
      </c>
      <c r="N127" s="84">
        <f>N118-M118</f>
        <v>224.96779449793394</v>
      </c>
      <c r="O127" s="84">
        <f t="shared" ref="O127:P127" si="154">O118-N118</f>
        <v>258.52561979163875</v>
      </c>
      <c r="P127" s="84">
        <f t="shared" si="154"/>
        <v>-510.91056422756083</v>
      </c>
    </row>
    <row r="128" spans="1:16">
      <c r="D128" s="101"/>
      <c r="E128" s="102"/>
      <c r="F128" s="102"/>
      <c r="G128" s="102"/>
      <c r="H128" s="102"/>
    </row>
    <row r="129" spans="1:12">
      <c r="D129" s="99"/>
      <c r="E129" s="99"/>
      <c r="F129" s="99"/>
      <c r="G129" s="99"/>
      <c r="H129" s="99"/>
    </row>
    <row r="130" spans="1:12">
      <c r="A130" s="77" t="s">
        <v>559</v>
      </c>
      <c r="D130" s="99"/>
      <c r="E130" s="99"/>
      <c r="F130" s="99"/>
      <c r="G130" s="99"/>
      <c r="H130" s="99"/>
      <c r="I130" s="649" t="str">
        <f>I2</f>
        <v>FY13</v>
      </c>
      <c r="J130" s="649" t="str">
        <f>J2</f>
        <v>FY14</v>
      </c>
      <c r="K130" s="649" t="str">
        <f>K2</f>
        <v>FY15</v>
      </c>
      <c r="L130" s="649" t="s">
        <v>1986</v>
      </c>
    </row>
    <row r="131" spans="1:12">
      <c r="A131" s="77" t="s">
        <v>1926</v>
      </c>
      <c r="D131" s="99"/>
      <c r="E131" s="99"/>
      <c r="F131" s="99"/>
      <c r="G131" s="99"/>
      <c r="H131" s="99"/>
    </row>
    <row r="132" spans="1:12">
      <c r="A132" s="75" t="s">
        <v>1927</v>
      </c>
      <c r="I132" s="596">
        <v>1244938</v>
      </c>
      <c r="J132" s="596">
        <v>1173036</v>
      </c>
      <c r="K132" s="596">
        <v>834086</v>
      </c>
      <c r="L132" s="140">
        <f>(K132/J132-1)*100</f>
        <v>-28.89510637354693</v>
      </c>
    </row>
    <row r="133" spans="1:12">
      <c r="A133" s="75" t="s">
        <v>1928</v>
      </c>
      <c r="I133" s="596">
        <v>514371</v>
      </c>
      <c r="J133" s="596">
        <v>272368</v>
      </c>
      <c r="K133" s="596">
        <v>113441</v>
      </c>
      <c r="L133" s="140">
        <f>(K133/J133-1)*100</f>
        <v>-58.350099864888683</v>
      </c>
    </row>
    <row r="134" spans="1:12">
      <c r="A134" s="75" t="s">
        <v>1929</v>
      </c>
      <c r="I134" s="596">
        <v>508903</v>
      </c>
      <c r="J134" s="596">
        <v>463241</v>
      </c>
      <c r="K134" s="596">
        <v>587743</v>
      </c>
      <c r="L134" s="140">
        <f>(K134/J134-1)*100</f>
        <v>26.876291174572199</v>
      </c>
    </row>
    <row r="135" spans="1:12">
      <c r="A135" s="75" t="s">
        <v>1930</v>
      </c>
      <c r="I135" s="596">
        <v>195651</v>
      </c>
      <c r="J135" s="596">
        <v>190585</v>
      </c>
      <c r="K135" s="596">
        <v>235508</v>
      </c>
      <c r="L135" s="140">
        <f>(K135/J135-1)*100</f>
        <v>23.571110003410546</v>
      </c>
    </row>
    <row r="136" spans="1:12">
      <c r="A136" s="77" t="s">
        <v>1932</v>
      </c>
      <c r="I136" s="594">
        <f>SUM(I132:I135)</f>
        <v>2463863</v>
      </c>
      <c r="J136" s="594">
        <f>SUM(J132:J135)</f>
        <v>2099230</v>
      </c>
      <c r="K136" s="594">
        <f>SUM(K132:K135)</f>
        <v>1770778</v>
      </c>
      <c r="L136" s="736">
        <f>(K136/J136-1)*100</f>
        <v>-15.646308408321142</v>
      </c>
    </row>
    <row r="137" spans="1:12">
      <c r="A137" s="77"/>
      <c r="I137" s="596"/>
      <c r="J137" s="596"/>
      <c r="K137" s="596"/>
      <c r="L137" s="140"/>
    </row>
    <row r="138" spans="1:12">
      <c r="A138" s="77" t="s">
        <v>1935</v>
      </c>
      <c r="I138" s="596"/>
      <c r="J138" s="596"/>
      <c r="K138" s="596"/>
      <c r="L138" s="140"/>
    </row>
    <row r="139" spans="1:12">
      <c r="A139" s="75" t="str">
        <f>A132</f>
        <v>75-110</v>
      </c>
      <c r="I139" s="596">
        <v>811668</v>
      </c>
      <c r="J139" s="596">
        <v>838129</v>
      </c>
      <c r="K139" s="596">
        <v>876631</v>
      </c>
      <c r="L139" s="140">
        <f>(K139/J139-1)*100</f>
        <v>4.5938035791626364</v>
      </c>
    </row>
    <row r="140" spans="1:12">
      <c r="A140" s="75" t="str">
        <f>A133</f>
        <v>110-125</v>
      </c>
      <c r="I140" s="596">
        <v>122890</v>
      </c>
      <c r="J140" s="596">
        <v>137771</v>
      </c>
      <c r="K140" s="596">
        <v>201933</v>
      </c>
      <c r="L140" s="140">
        <f>(K140/J140-1)*100</f>
        <v>46.571484564966489</v>
      </c>
    </row>
    <row r="141" spans="1:12">
      <c r="A141" s="75" t="str">
        <f>A134</f>
        <v>125-150</v>
      </c>
      <c r="I141" s="596">
        <v>263823</v>
      </c>
      <c r="J141" s="596">
        <v>197988</v>
      </c>
      <c r="K141" s="596">
        <v>252846</v>
      </c>
      <c r="L141" s="140">
        <f>(K141/J141-1)*100</f>
        <v>27.707739863021995</v>
      </c>
    </row>
    <row r="142" spans="1:12">
      <c r="A142" s="75" t="str">
        <f>A135</f>
        <v>&gt; 150</v>
      </c>
      <c r="I142" s="596">
        <v>94850</v>
      </c>
      <c r="J142" s="596">
        <v>149285</v>
      </c>
      <c r="K142" s="596">
        <v>189896</v>
      </c>
      <c r="L142" s="140">
        <f>(K142/J142-1)*100</f>
        <v>27.203670830960913</v>
      </c>
    </row>
    <row r="143" spans="1:12">
      <c r="A143" s="77" t="s">
        <v>1934</v>
      </c>
      <c r="I143" s="594">
        <f>SUM(I139:I142)</f>
        <v>1293231</v>
      </c>
      <c r="J143" s="594">
        <f>SUM(J139:J142)</f>
        <v>1323173</v>
      </c>
      <c r="K143" s="594">
        <f>SUM(K139:K142)</f>
        <v>1521306</v>
      </c>
      <c r="L143" s="736">
        <f>(K143/J143-1)*100</f>
        <v>14.974081242588833</v>
      </c>
    </row>
    <row r="144" spans="1:12">
      <c r="A144" s="77"/>
      <c r="I144" s="594"/>
      <c r="J144" s="594"/>
      <c r="K144" s="594"/>
      <c r="L144" s="736"/>
    </row>
    <row r="145" spans="1:12">
      <c r="A145" s="77" t="s">
        <v>1931</v>
      </c>
      <c r="I145" s="594"/>
      <c r="J145" s="594"/>
      <c r="K145" s="594"/>
      <c r="L145" s="736"/>
    </row>
    <row r="146" spans="1:12">
      <c r="A146" s="77" t="str">
        <f>A131</f>
        <v>Domestic M/cycle</v>
      </c>
      <c r="L146" s="140"/>
    </row>
    <row r="147" spans="1:12">
      <c r="A147" s="75" t="str">
        <f>A132</f>
        <v>75-110</v>
      </c>
      <c r="I147" s="596">
        <v>6499051</v>
      </c>
      <c r="J147" s="596">
        <v>6787423</v>
      </c>
      <c r="K147" s="596">
        <v>6865006</v>
      </c>
      <c r="L147" s="140">
        <f>(K147/J147-1)*100</f>
        <v>1.1430405913997133</v>
      </c>
    </row>
    <row r="148" spans="1:12">
      <c r="A148" s="75" t="str">
        <f>A133</f>
        <v>110-125</v>
      </c>
      <c r="I148" s="596">
        <v>1968436</v>
      </c>
      <c r="J148" s="596">
        <v>1976180</v>
      </c>
      <c r="K148" s="596">
        <v>1773598</v>
      </c>
      <c r="L148" s="140">
        <f>(K148/J148-1)*100</f>
        <v>-10.251191693064399</v>
      </c>
    </row>
    <row r="149" spans="1:12">
      <c r="A149" s="75" t="str">
        <f>A134</f>
        <v>125-150</v>
      </c>
      <c r="I149" s="596">
        <v>1128757</v>
      </c>
      <c r="J149" s="596">
        <v>1131469</v>
      </c>
      <c r="K149" s="596">
        <v>1236496</v>
      </c>
      <c r="L149" s="140">
        <f>(K149/J149-1)*100</f>
        <v>9.2823577137332016</v>
      </c>
    </row>
    <row r="150" spans="1:12">
      <c r="A150" s="75" t="str">
        <f>A135</f>
        <v>&gt; 150</v>
      </c>
      <c r="I150" s="596">
        <v>488756</v>
      </c>
      <c r="J150" s="596">
        <v>586043</v>
      </c>
      <c r="K150" s="596">
        <v>868449</v>
      </c>
      <c r="L150" s="140">
        <f>(K150/J150-1)*100</f>
        <v>48.188614146060949</v>
      </c>
    </row>
    <row r="151" spans="1:12">
      <c r="A151" s="77" t="s">
        <v>1933</v>
      </c>
      <c r="I151" s="594">
        <f>SUM(I147:I150)</f>
        <v>10085000</v>
      </c>
      <c r="J151" s="594">
        <f>SUM(J147:J150)</f>
        <v>10481115</v>
      </c>
      <c r="K151" s="594">
        <f>SUM(K147:K150)</f>
        <v>10743549</v>
      </c>
      <c r="L151" s="736">
        <f>(K151/J151-1)*100</f>
        <v>2.5038748262947275</v>
      </c>
    </row>
    <row r="152" spans="1:12">
      <c r="L152" s="140"/>
    </row>
    <row r="153" spans="1:12">
      <c r="A153" s="77" t="str">
        <f>A138</f>
        <v>Exports M/cycle</v>
      </c>
      <c r="L153" s="140"/>
    </row>
    <row r="154" spans="1:12">
      <c r="A154" s="75" t="str">
        <f>A139</f>
        <v>75-110</v>
      </c>
      <c r="I154" s="596">
        <v>1085747</v>
      </c>
      <c r="J154" s="596">
        <v>1133816</v>
      </c>
      <c r="K154" s="596">
        <v>1182796</v>
      </c>
      <c r="L154" s="140">
        <f>(K154/J154-1)*100</f>
        <v>4.3199249260903017</v>
      </c>
    </row>
    <row r="155" spans="1:12">
      <c r="A155" s="75" t="str">
        <f>A140</f>
        <v>110-125</v>
      </c>
      <c r="I155" s="596">
        <v>207852</v>
      </c>
      <c r="J155" s="596">
        <v>243871</v>
      </c>
      <c r="K155" s="596">
        <v>328224</v>
      </c>
      <c r="L155" s="140">
        <f>(K155/J155-1)*100</f>
        <v>34.589188546403626</v>
      </c>
    </row>
    <row r="156" spans="1:12">
      <c r="A156" s="75" t="str">
        <f>A141</f>
        <v>125-150</v>
      </c>
      <c r="I156" s="596">
        <v>419228</v>
      </c>
      <c r="J156" s="596">
        <v>387888</v>
      </c>
      <c r="K156" s="596">
        <v>454720</v>
      </c>
      <c r="L156" s="140">
        <f>(K156/J156-1)*100</f>
        <v>17.229715794249877</v>
      </c>
    </row>
    <row r="157" spans="1:12">
      <c r="A157" s="75" t="str">
        <f>A142</f>
        <v>&gt; 150</v>
      </c>
      <c r="I157" s="596">
        <v>149181</v>
      </c>
      <c r="J157" s="596">
        <v>217242</v>
      </c>
      <c r="K157" s="596">
        <v>286051</v>
      </c>
      <c r="L157" s="140">
        <f>(K157/J157-1)*100</f>
        <v>31.673893630145187</v>
      </c>
    </row>
    <row r="158" spans="1:12">
      <c r="A158" s="77" t="s">
        <v>1936</v>
      </c>
      <c r="I158" s="594">
        <f>SUM(I154:I157)</f>
        <v>1862008</v>
      </c>
      <c r="J158" s="594">
        <f>SUM(J154:J157)</f>
        <v>1982817</v>
      </c>
      <c r="K158" s="594">
        <f>SUM(K154:K157)</f>
        <v>2251791</v>
      </c>
      <c r="L158" s="736">
        <f>(K158/J158-1)*100</f>
        <v>13.565245809371218</v>
      </c>
    </row>
    <row r="159" spans="1:12">
      <c r="L159" s="140"/>
    </row>
    <row r="160" spans="1:12">
      <c r="A160" s="77" t="s">
        <v>1938</v>
      </c>
      <c r="I160" s="649" t="s">
        <v>279</v>
      </c>
      <c r="J160" s="649" t="s">
        <v>1419</v>
      </c>
      <c r="K160" s="649" t="s">
        <v>1857</v>
      </c>
      <c r="L160" s="140" t="s">
        <v>2415</v>
      </c>
    </row>
    <row r="161" spans="1:12">
      <c r="A161" s="75" t="str">
        <f>A132</f>
        <v>75-110</v>
      </c>
      <c r="I161" s="622">
        <f t="shared" ref="I161:J165" si="155">I132/I147*100</f>
        <v>19.155689038291897</v>
      </c>
      <c r="J161" s="622">
        <f t="shared" si="155"/>
        <v>17.282494401778113</v>
      </c>
      <c r="K161" s="622">
        <f>K132/K147*100</f>
        <v>12.149821864685915</v>
      </c>
      <c r="L161" s="596">
        <f>(+K161-J161)*100</f>
        <v>-513.26725370921974</v>
      </c>
    </row>
    <row r="162" spans="1:12">
      <c r="A162" s="75" t="str">
        <f>A133</f>
        <v>110-125</v>
      </c>
      <c r="I162" s="622">
        <f t="shared" si="155"/>
        <v>26.130948631299162</v>
      </c>
      <c r="J162" s="622">
        <f t="shared" si="155"/>
        <v>13.78255017255513</v>
      </c>
      <c r="K162" s="622">
        <f>K133/K148*100</f>
        <v>6.3960942671338143</v>
      </c>
      <c r="L162" s="596">
        <f>(+K162-J162)*100</f>
        <v>-738.64559054213157</v>
      </c>
    </row>
    <row r="163" spans="1:12">
      <c r="A163" s="75" t="str">
        <f>A134</f>
        <v>125-150</v>
      </c>
      <c r="I163" s="622">
        <f t="shared" si="155"/>
        <v>45.08525750006423</v>
      </c>
      <c r="J163" s="622">
        <f t="shared" si="155"/>
        <v>40.941554739900077</v>
      </c>
      <c r="K163" s="622">
        <f>K134/K149*100</f>
        <v>47.532947943220194</v>
      </c>
      <c r="L163" s="596">
        <f>(+K163-J163)*100</f>
        <v>659.13932033201161</v>
      </c>
    </row>
    <row r="164" spans="1:12">
      <c r="A164" s="75" t="str">
        <f>A135</f>
        <v>&gt; 150</v>
      </c>
      <c r="I164" s="622">
        <f t="shared" si="155"/>
        <v>40.030403718829028</v>
      </c>
      <c r="J164" s="622">
        <f t="shared" si="155"/>
        <v>32.520651215013238</v>
      </c>
      <c r="K164" s="622">
        <f>K135/K150*100</f>
        <v>27.118230316345578</v>
      </c>
      <c r="L164" s="596">
        <f>(+K164-J164)*100</f>
        <v>-540.24208986676604</v>
      </c>
    </row>
    <row r="165" spans="1:12">
      <c r="A165" s="77" t="s">
        <v>1937</v>
      </c>
      <c r="I165" s="623">
        <f t="shared" si="155"/>
        <v>24.430966782350026</v>
      </c>
      <c r="J165" s="623">
        <f t="shared" si="155"/>
        <v>20.028689695705086</v>
      </c>
      <c r="K165" s="623">
        <f>K136/K151*100</f>
        <v>16.482244368225064</v>
      </c>
      <c r="L165" s="594">
        <f>(+K165-J165)*100</f>
        <v>-354.64453274800223</v>
      </c>
    </row>
    <row r="166" spans="1:12">
      <c r="L166" s="140"/>
    </row>
    <row r="167" spans="1:12">
      <c r="A167" s="77" t="str">
        <f>A130</f>
        <v>Bajaj Auto</v>
      </c>
      <c r="L167" s="140"/>
    </row>
    <row r="168" spans="1:12">
      <c r="A168" s="75" t="s">
        <v>1939</v>
      </c>
      <c r="I168" s="596">
        <v>226131</v>
      </c>
      <c r="J168" s="596">
        <v>186912</v>
      </c>
      <c r="K168" s="596">
        <v>234345</v>
      </c>
      <c r="L168" s="140">
        <f>(K168/J168-1)*100</f>
        <v>25.37718284540318</v>
      </c>
    </row>
    <row r="169" spans="1:12">
      <c r="A169" s="75" t="s">
        <v>587</v>
      </c>
      <c r="I169" s="596">
        <v>253926</v>
      </c>
      <c r="J169" s="596">
        <v>260762</v>
      </c>
      <c r="K169" s="596">
        <v>284772</v>
      </c>
      <c r="L169" s="140">
        <f>(K169/J169-1)*100</f>
        <v>9.2076299460811093</v>
      </c>
    </row>
    <row r="170" spans="1:12">
      <c r="A170" s="77" t="s">
        <v>966</v>
      </c>
      <c r="I170" s="594">
        <f>I168+I169</f>
        <v>480057</v>
      </c>
      <c r="J170" s="594">
        <f>J168+J169</f>
        <v>447674</v>
      </c>
      <c r="K170" s="594">
        <f>K168+K169</f>
        <v>519117</v>
      </c>
      <c r="L170" s="736">
        <f>(K170/J170-1)*100</f>
        <v>15.958711026327199</v>
      </c>
    </row>
    <row r="172" spans="1:12" hidden="1">
      <c r="A172" s="77" t="s">
        <v>1931</v>
      </c>
    </row>
    <row r="173" spans="1:12" hidden="1">
      <c r="A173" s="75" t="str">
        <f>A168</f>
        <v>Domestic three-wheelers</v>
      </c>
      <c r="I173" s="596">
        <v>538290</v>
      </c>
      <c r="J173" s="596">
        <v>479634</v>
      </c>
      <c r="K173" s="596"/>
    </row>
    <row r="174" spans="1:12" hidden="1">
      <c r="A174" s="75" t="str">
        <f>A169</f>
        <v>Exports</v>
      </c>
      <c r="I174" s="596">
        <v>303088</v>
      </c>
      <c r="J174" s="596">
        <v>353392</v>
      </c>
      <c r="K174" s="596"/>
    </row>
    <row r="175" spans="1:12" hidden="1">
      <c r="A175" s="77" t="s">
        <v>230</v>
      </c>
      <c r="I175" s="594">
        <f>I173+I174</f>
        <v>841378</v>
      </c>
      <c r="J175" s="594">
        <f>J173+J174</f>
        <v>833026</v>
      </c>
      <c r="K175" s="594"/>
    </row>
    <row r="176" spans="1:12" hidden="1"/>
    <row r="177" spans="1:16" hidden="1">
      <c r="A177" s="77" t="str">
        <f>A160</f>
        <v>Bajaj Auto Market share (%)</v>
      </c>
    </row>
    <row r="178" spans="1:16" hidden="1">
      <c r="A178" s="75" t="str">
        <f>A168</f>
        <v>Domestic three-wheelers</v>
      </c>
      <c r="I178" s="622">
        <f>I168/I170*100</f>
        <v>47.105031277535794</v>
      </c>
      <c r="J178" s="622">
        <f>J168/J170*100</f>
        <v>41.751810469225376</v>
      </c>
      <c r="K178" s="622"/>
    </row>
    <row r="180" spans="1:16">
      <c r="A180" s="77" t="s">
        <v>2418</v>
      </c>
      <c r="I180" s="78">
        <f>+I59</f>
        <v>4237151</v>
      </c>
      <c r="J180" s="78">
        <f>+J59</f>
        <v>3870077</v>
      </c>
      <c r="K180" s="78">
        <f>+K59</f>
        <v>3811201</v>
      </c>
      <c r="L180" s="736">
        <f>(K180/J180-1)*100</f>
        <v>-1.5213134002243334</v>
      </c>
    </row>
    <row r="187" spans="1:16" ht="11.25" thickBot="1"/>
    <row r="188" spans="1:16" ht="11.25" thickBot="1">
      <c r="I188" s="81" t="s">
        <v>279</v>
      </c>
      <c r="J188" s="81" t="s">
        <v>1419</v>
      </c>
      <c r="K188" s="81" t="s">
        <v>1857</v>
      </c>
      <c r="L188" s="509" t="s">
        <v>1858</v>
      </c>
      <c r="M188" s="509" t="s">
        <v>1633</v>
      </c>
      <c r="N188" s="509" t="str">
        <f>+N2</f>
        <v>FY18E</v>
      </c>
      <c r="O188" s="509" t="str">
        <f t="shared" ref="O188:P188" si="156">+O2</f>
        <v>FY19E</v>
      </c>
      <c r="P188" s="509" t="str">
        <f t="shared" si="156"/>
        <v>FY20E</v>
      </c>
    </row>
    <row r="189" spans="1:16">
      <c r="A189" s="85" t="s">
        <v>283</v>
      </c>
      <c r="I189" s="84">
        <f>+I12</f>
        <v>2463863</v>
      </c>
      <c r="J189" s="84">
        <f t="shared" ref="J189:N189" si="157">+J12</f>
        <v>2099230</v>
      </c>
      <c r="K189" s="84">
        <f t="shared" si="157"/>
        <v>1770778</v>
      </c>
      <c r="L189" s="84">
        <f t="shared" si="157"/>
        <v>1891097</v>
      </c>
      <c r="M189" s="84">
        <f t="shared" si="157"/>
        <v>1984928</v>
      </c>
      <c r="N189" s="84">
        <f t="shared" si="157"/>
        <v>2224677.11</v>
      </c>
      <c r="O189" s="84">
        <f t="shared" ref="O189:P189" si="158">+O12</f>
        <v>2485127.7417000001</v>
      </c>
      <c r="P189" s="84">
        <f t="shared" si="158"/>
        <v>2752287.6666249996</v>
      </c>
    </row>
    <row r="190" spans="1:16">
      <c r="A190" s="85" t="s">
        <v>579</v>
      </c>
      <c r="I190" s="95">
        <f>+I13</f>
        <v>-4.0087160568764375</v>
      </c>
      <c r="J190" s="95">
        <f t="shared" ref="J190:N190" si="159">+J13</f>
        <v>-14.799240055149166</v>
      </c>
      <c r="K190" s="95">
        <f t="shared" si="159"/>
        <v>-15.646308408321142</v>
      </c>
      <c r="L190" s="95">
        <f t="shared" si="159"/>
        <v>6.7946970201798296</v>
      </c>
      <c r="M190" s="95">
        <f t="shared" si="159"/>
        <v>4.9617232749034068</v>
      </c>
      <c r="N190" s="95">
        <f t="shared" si="159"/>
        <v>12.078478917119394</v>
      </c>
      <c r="O190" s="95">
        <f t="shared" ref="O190:P190" si="160">+O13</f>
        <v>11.707345327969886</v>
      </c>
      <c r="P190" s="95">
        <f t="shared" si="160"/>
        <v>10.750349788548231</v>
      </c>
    </row>
    <row r="191" spans="1:16">
      <c r="A191" s="85" t="s">
        <v>2522</v>
      </c>
      <c r="I191" s="84">
        <f>+I22</f>
        <v>226131</v>
      </c>
      <c r="J191" s="84">
        <f t="shared" ref="J191:N191" si="161">+J22</f>
        <v>186912</v>
      </c>
      <c r="K191" s="84">
        <f t="shared" si="161"/>
        <v>234345</v>
      </c>
      <c r="L191" s="84">
        <f t="shared" si="161"/>
        <v>254995</v>
      </c>
      <c r="M191" s="84">
        <f t="shared" si="161"/>
        <v>253147</v>
      </c>
      <c r="N191" s="84">
        <f t="shared" si="161"/>
        <v>290461.7</v>
      </c>
      <c r="O191" s="84">
        <f t="shared" ref="O191:P191" si="162">+O22</f>
        <v>330307.87</v>
      </c>
      <c r="P191" s="84">
        <f t="shared" si="162"/>
        <v>354812.49959999998</v>
      </c>
    </row>
    <row r="192" spans="1:16">
      <c r="A192" s="85" t="s">
        <v>579</v>
      </c>
      <c r="I192" s="95">
        <f>+I23</f>
        <v>11.406106050379595</v>
      </c>
      <c r="J192" s="95">
        <f t="shared" ref="J192:N192" si="163">+J23</f>
        <v>-17.343486739987</v>
      </c>
      <c r="K192" s="95">
        <f t="shared" si="163"/>
        <v>25.37718284540318</v>
      </c>
      <c r="L192" s="95">
        <f t="shared" si="163"/>
        <v>8.8117945763724457</v>
      </c>
      <c r="M192" s="95">
        <f t="shared" si="163"/>
        <v>-0.72472009255083458</v>
      </c>
      <c r="N192" s="95">
        <f t="shared" si="163"/>
        <v>14.740328741798248</v>
      </c>
      <c r="O192" s="95">
        <f t="shared" ref="O192:P192" si="164">+O23</f>
        <v>13.71821827111801</v>
      </c>
      <c r="P192" s="95">
        <f t="shared" si="164"/>
        <v>7.4187241133552018</v>
      </c>
    </row>
    <row r="193" spans="1:16">
      <c r="A193" s="85" t="s">
        <v>281</v>
      </c>
      <c r="I193" s="84">
        <f>+I31</f>
        <v>1293231</v>
      </c>
      <c r="J193" s="84">
        <f t="shared" ref="J193:N193" si="165">+J31</f>
        <v>1323173</v>
      </c>
      <c r="K193" s="84">
        <f t="shared" si="165"/>
        <v>1521306</v>
      </c>
      <c r="L193" s="84">
        <f t="shared" si="165"/>
        <v>1445599</v>
      </c>
      <c r="M193" s="84">
        <f t="shared" si="165"/>
        <v>1208943</v>
      </c>
      <c r="N193" s="84">
        <f t="shared" si="165"/>
        <v>1364765.92</v>
      </c>
      <c r="O193" s="84">
        <f t="shared" ref="O193:P193" si="166">+O31</f>
        <v>1569480.808</v>
      </c>
      <c r="P193" s="84">
        <f t="shared" si="166"/>
        <v>1804902.9291999999</v>
      </c>
    </row>
    <row r="194" spans="1:16">
      <c r="A194" s="85" t="s">
        <v>579</v>
      </c>
      <c r="I194" s="95">
        <f>+I32</f>
        <v>2.0181469934871465</v>
      </c>
      <c r="J194" s="95">
        <f t="shared" ref="J194:N194" si="167">+J32</f>
        <v>2.3152862868273338</v>
      </c>
      <c r="K194" s="95">
        <f t="shared" si="167"/>
        <v>14.974081242588833</v>
      </c>
      <c r="L194" s="95">
        <f t="shared" si="167"/>
        <v>-4.976447867818834</v>
      </c>
      <c r="M194" s="95">
        <f t="shared" si="167"/>
        <v>-16.370791623403168</v>
      </c>
      <c r="N194" s="95">
        <f t="shared" si="167"/>
        <v>12.889186669677555</v>
      </c>
      <c r="O194" s="95">
        <f t="shared" ref="O194:P194" si="168">+O32</f>
        <v>15.000000000000014</v>
      </c>
      <c r="P194" s="95">
        <f t="shared" si="168"/>
        <v>14.999999999999991</v>
      </c>
    </row>
    <row r="195" spans="1:16">
      <c r="A195" s="85" t="s">
        <v>2523</v>
      </c>
      <c r="I195" s="84">
        <f>+I41</f>
        <v>253926</v>
      </c>
      <c r="J195" s="84">
        <f t="shared" ref="J195:N195" si="169">+J41</f>
        <v>260762</v>
      </c>
      <c r="K195" s="84">
        <f t="shared" si="169"/>
        <v>284772</v>
      </c>
      <c r="L195" s="84">
        <f t="shared" si="169"/>
        <v>280334</v>
      </c>
      <c r="M195" s="84">
        <f t="shared" si="169"/>
        <v>192792</v>
      </c>
      <c r="N195" s="84">
        <f t="shared" si="169"/>
        <v>215359.6</v>
      </c>
      <c r="O195" s="84">
        <f t="shared" ref="O195:P195" si="170">+O41</f>
        <v>246913.53999999998</v>
      </c>
      <c r="P195" s="84">
        <f t="shared" si="170"/>
        <v>296200.57099999994</v>
      </c>
    </row>
    <row r="196" spans="1:16">
      <c r="A196" s="85" t="s">
        <v>579</v>
      </c>
      <c r="I196" s="95">
        <f>+I42</f>
        <v>-18.659346009943111</v>
      </c>
      <c r="J196" s="95">
        <f t="shared" ref="J196:N196" si="171">+J42</f>
        <v>2.6921229019478021</v>
      </c>
      <c r="K196" s="95">
        <f t="shared" si="171"/>
        <v>9.2076299460811093</v>
      </c>
      <c r="L196" s="95">
        <f t="shared" si="171"/>
        <v>-1.558439734243533</v>
      </c>
      <c r="M196" s="95">
        <f t="shared" si="171"/>
        <v>-31.227749755648617</v>
      </c>
      <c r="N196" s="95">
        <f t="shared" si="171"/>
        <v>11.705672434540858</v>
      </c>
      <c r="O196" s="95">
        <f t="shared" ref="O196:P196" si="172">+O42</f>
        <v>14.651745266986005</v>
      </c>
      <c r="P196" s="95">
        <f t="shared" si="172"/>
        <v>19.961250808683872</v>
      </c>
    </row>
    <row r="197" spans="1:16">
      <c r="A197" s="85"/>
    </row>
    <row r="198" spans="1:16">
      <c r="A198" s="85" t="s">
        <v>272</v>
      </c>
      <c r="I198" s="84">
        <f>+I45</f>
        <v>3757094</v>
      </c>
      <c r="J198" s="84">
        <f t="shared" ref="J198:N198" si="173">+J45</f>
        <v>3422403</v>
      </c>
      <c r="K198" s="84">
        <f t="shared" si="173"/>
        <v>3292084</v>
      </c>
      <c r="L198" s="84">
        <f t="shared" si="173"/>
        <v>3336696</v>
      </c>
      <c r="M198" s="84">
        <f t="shared" si="173"/>
        <v>3193871</v>
      </c>
      <c r="N198" s="84">
        <f t="shared" si="173"/>
        <v>3589443.03</v>
      </c>
      <c r="O198" s="84">
        <f t="shared" ref="O198:P198" si="174">+O45</f>
        <v>4054608.5497000003</v>
      </c>
      <c r="P198" s="84">
        <f t="shared" si="174"/>
        <v>4557190.5958249997</v>
      </c>
    </row>
    <row r="199" spans="1:16">
      <c r="A199" s="85" t="s">
        <v>579</v>
      </c>
      <c r="I199" s="95">
        <f>+I46</f>
        <v>-2.0162450236738128</v>
      </c>
      <c r="J199" s="95">
        <f t="shared" ref="J199:N199" si="175">+J46</f>
        <v>-8.9082413162939194</v>
      </c>
      <c r="K199" s="95">
        <f t="shared" si="175"/>
        <v>-3.8078215803340476</v>
      </c>
      <c r="L199" s="95">
        <f t="shared" si="175"/>
        <v>1.3551294559920102</v>
      </c>
      <c r="M199" s="95">
        <f t="shared" si="175"/>
        <v>-4.280431900298975</v>
      </c>
      <c r="N199" s="95">
        <f t="shared" si="175"/>
        <v>12.385347748860243</v>
      </c>
      <c r="O199" s="95">
        <f t="shared" ref="O199:P199" si="176">+O46</f>
        <v>12.959267379708228</v>
      </c>
      <c r="P199" s="95">
        <f t="shared" si="176"/>
        <v>12.395328426024887</v>
      </c>
    </row>
    <row r="200" spans="1:16">
      <c r="A200" s="85" t="s">
        <v>2524</v>
      </c>
      <c r="I200" s="84">
        <f>+I49</f>
        <v>480057</v>
      </c>
      <c r="J200" s="84">
        <f t="shared" ref="J200:N200" si="177">+J49</f>
        <v>447674</v>
      </c>
      <c r="K200" s="84">
        <f t="shared" si="177"/>
        <v>519117</v>
      </c>
      <c r="L200" s="84">
        <f t="shared" si="177"/>
        <v>535329</v>
      </c>
      <c r="M200" s="84">
        <f t="shared" si="177"/>
        <v>445939</v>
      </c>
      <c r="N200" s="84">
        <f t="shared" si="177"/>
        <v>505821.30000000005</v>
      </c>
      <c r="O200" s="84">
        <f t="shared" ref="O200:P200" si="178">+O49</f>
        <v>577221.40999999992</v>
      </c>
      <c r="P200" s="84">
        <f t="shared" si="178"/>
        <v>651013.07059999998</v>
      </c>
    </row>
    <row r="201" spans="1:16">
      <c r="A201" s="85" t="s">
        <v>579</v>
      </c>
      <c r="I201" s="95">
        <f>+I50</f>
        <v>-6.8130950878861674</v>
      </c>
      <c r="J201" s="95">
        <f t="shared" ref="J201:N201" si="179">+J50</f>
        <v>-6.7456572865305597</v>
      </c>
      <c r="K201" s="95">
        <f t="shared" si="179"/>
        <v>15.958711026327199</v>
      </c>
      <c r="L201" s="95">
        <f t="shared" si="179"/>
        <v>3.1229953941019017</v>
      </c>
      <c r="M201" s="95">
        <f t="shared" si="179"/>
        <v>-16.698142637518231</v>
      </c>
      <c r="N201" s="95">
        <f t="shared" si="179"/>
        <v>13.428361278112044</v>
      </c>
      <c r="O201" s="95">
        <f t="shared" ref="O201:P201" si="180">+O50</f>
        <v>14.115678798026066</v>
      </c>
      <c r="P201" s="95">
        <f t="shared" si="180"/>
        <v>12.783943790303987</v>
      </c>
    </row>
    <row r="202" spans="1:16">
      <c r="A202" s="85"/>
    </row>
    <row r="203" spans="1:16">
      <c r="A203" s="85" t="s">
        <v>274</v>
      </c>
      <c r="I203" s="84">
        <f t="shared" ref="I203:I208" si="181">+I55</f>
        <v>2689994</v>
      </c>
      <c r="J203" s="84">
        <f t="shared" ref="J203:N203" si="182">+J55</f>
        <v>2286142</v>
      </c>
      <c r="K203" s="84">
        <f t="shared" si="182"/>
        <v>2005123</v>
      </c>
      <c r="L203" s="84">
        <f t="shared" si="182"/>
        <v>2146092</v>
      </c>
      <c r="M203" s="84">
        <f t="shared" si="182"/>
        <v>2238075</v>
      </c>
      <c r="N203" s="84">
        <f t="shared" si="182"/>
        <v>2515138.81</v>
      </c>
      <c r="O203" s="84">
        <f t="shared" ref="O203:P203" si="183">+O55</f>
        <v>2815435.6117000002</v>
      </c>
      <c r="P203" s="84">
        <f t="shared" si="183"/>
        <v>3107100.1662249994</v>
      </c>
    </row>
    <row r="204" spans="1:16">
      <c r="A204" s="85" t="s">
        <v>579</v>
      </c>
      <c r="I204" s="95">
        <f t="shared" si="181"/>
        <v>-2.8790469560997844</v>
      </c>
      <c r="J204" s="95">
        <f t="shared" ref="J204:N208" si="184">+J56</f>
        <v>-15.01311898836949</v>
      </c>
      <c r="K204" s="95">
        <f t="shared" si="184"/>
        <v>-12.292281056907228</v>
      </c>
      <c r="L204" s="95">
        <f t="shared" si="184"/>
        <v>7.0304415240361795</v>
      </c>
      <c r="M204" s="95">
        <f t="shared" si="184"/>
        <v>4.2860697491067468</v>
      </c>
      <c r="N204" s="95">
        <f t="shared" si="184"/>
        <v>12.379558772605925</v>
      </c>
      <c r="O204" s="95">
        <f t="shared" ref="O204:P204" si="185">+O56</f>
        <v>11.939571704990716</v>
      </c>
      <c r="P204" s="95">
        <f t="shared" si="185"/>
        <v>10.359482323550196</v>
      </c>
    </row>
    <row r="205" spans="1:16">
      <c r="A205" s="85" t="s">
        <v>275</v>
      </c>
      <c r="I205" s="84">
        <f t="shared" si="181"/>
        <v>1547157</v>
      </c>
      <c r="J205" s="84">
        <f t="shared" ref="J205:N205" si="186">+J57</f>
        <v>1583935</v>
      </c>
      <c r="K205" s="84">
        <f t="shared" si="186"/>
        <v>1806078</v>
      </c>
      <c r="L205" s="84">
        <f t="shared" si="186"/>
        <v>1725933</v>
      </c>
      <c r="M205" s="84">
        <f t="shared" si="186"/>
        <v>1401735</v>
      </c>
      <c r="N205" s="84">
        <f t="shared" si="186"/>
        <v>1580125.52</v>
      </c>
      <c r="O205" s="84">
        <f t="shared" ref="O205:P205" si="187">+O57</f>
        <v>1816394.348</v>
      </c>
      <c r="P205" s="84">
        <f t="shared" si="187"/>
        <v>2101103.5001999997</v>
      </c>
    </row>
    <row r="206" spans="1:16">
      <c r="A206" s="85" t="s">
        <v>579</v>
      </c>
      <c r="I206" s="95">
        <f t="shared" si="181"/>
        <v>-2.0677619785495094</v>
      </c>
      <c r="J206" s="95">
        <f t="shared" si="184"/>
        <v>2.3771343179780802</v>
      </c>
      <c r="K206" s="95">
        <f t="shared" si="184"/>
        <v>14.024754803700912</v>
      </c>
      <c r="L206" s="95">
        <f t="shared" si="184"/>
        <v>-4.4375159876815946</v>
      </c>
      <c r="M206" s="95">
        <f t="shared" si="184"/>
        <v>-18.78392730192887</v>
      </c>
      <c r="N206" s="95">
        <f t="shared" si="184"/>
        <v>12.726408343945184</v>
      </c>
      <c r="O206" s="95">
        <f t="shared" ref="O206:P206" si="188">+O58</f>
        <v>14.95253541630035</v>
      </c>
      <c r="P206" s="95">
        <f t="shared" si="188"/>
        <v>15.674413021241108</v>
      </c>
    </row>
    <row r="207" spans="1:16">
      <c r="A207" s="91" t="s">
        <v>595</v>
      </c>
      <c r="B207" s="77"/>
      <c r="C207" s="77"/>
      <c r="D207" s="77"/>
      <c r="E207" s="77"/>
      <c r="F207" s="77"/>
      <c r="G207" s="77"/>
      <c r="H207" s="77"/>
      <c r="I207" s="78">
        <f t="shared" si="181"/>
        <v>4237151</v>
      </c>
      <c r="J207" s="78">
        <f t="shared" ref="J207:N207" si="189">+J59</f>
        <v>3870077</v>
      </c>
      <c r="K207" s="78">
        <f t="shared" si="189"/>
        <v>3811201</v>
      </c>
      <c r="L207" s="78">
        <f t="shared" si="189"/>
        <v>3872025</v>
      </c>
      <c r="M207" s="78">
        <f t="shared" si="189"/>
        <v>3639810</v>
      </c>
      <c r="N207" s="78">
        <f t="shared" si="189"/>
        <v>4095264.33</v>
      </c>
      <c r="O207" s="78">
        <f t="shared" ref="O207:P207" si="190">+O59</f>
        <v>4631829.9597000005</v>
      </c>
      <c r="P207" s="78">
        <f t="shared" si="190"/>
        <v>5208203.666424999</v>
      </c>
    </row>
    <row r="208" spans="1:16">
      <c r="A208" s="91" t="s">
        <v>579</v>
      </c>
      <c r="B208" s="77"/>
      <c r="C208" s="77"/>
      <c r="D208" s="77"/>
      <c r="E208" s="77"/>
      <c r="F208" s="77"/>
      <c r="G208" s="77"/>
      <c r="H208" s="77"/>
      <c r="I208" s="884">
        <f t="shared" si="181"/>
        <v>-2.5843763507113371</v>
      </c>
      <c r="J208" s="884">
        <f t="shared" si="184"/>
        <v>-8.6632267766713955</v>
      </c>
      <c r="K208" s="884">
        <f t="shared" si="184"/>
        <v>-1.5213134002243334</v>
      </c>
      <c r="L208" s="884">
        <f t="shared" si="184"/>
        <v>1.5959273730249413</v>
      </c>
      <c r="M208" s="884">
        <f t="shared" si="184"/>
        <v>-5.9972495012299731</v>
      </c>
      <c r="N208" s="884">
        <f t="shared" si="184"/>
        <v>12.513134751539233</v>
      </c>
      <c r="O208" s="884">
        <f t="shared" ref="O208:P208" si="191">+O60</f>
        <v>13.10210004686072</v>
      </c>
      <c r="P208" s="884">
        <f t="shared" si="191"/>
        <v>12.443757904323615</v>
      </c>
    </row>
  </sheetData>
  <phoneticPr fontId="6" type="noConversion"/>
  <pageMargins left="0.75" right="0.75" top="1" bottom="1" header="0.5" footer="0.5"/>
  <pageSetup orientation="portrait" r:id="rId1"/>
  <headerFooter alignWithMargins="0"/>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103"/>
  <sheetViews>
    <sheetView zoomScale="85" zoomScaleNormal="85" workbookViewId="0">
      <selection activeCell="D3" sqref="D3"/>
    </sheetView>
  </sheetViews>
  <sheetFormatPr defaultRowHeight="11.25"/>
  <cols>
    <col min="1" max="1" width="16" style="832" bestFit="1" customWidth="1"/>
    <col min="2" max="2" width="8.625" style="832" hidden="1" customWidth="1"/>
    <col min="3" max="3" width="9" style="832" hidden="1" customWidth="1"/>
    <col min="4" max="4" width="8.75" style="832" customWidth="1"/>
    <col min="5" max="5" width="8.375" style="832" customWidth="1"/>
    <col min="6" max="9" width="9" style="832" customWidth="1"/>
    <col min="10" max="10" width="8" style="832" customWidth="1"/>
    <col min="11" max="14" width="8.5" style="832" customWidth="1"/>
    <col min="15" max="15" width="9" style="832"/>
    <col min="16" max="17" width="8.625" style="832" bestFit="1" customWidth="1"/>
    <col min="18" max="18" width="9.375" style="832" bestFit="1" customWidth="1"/>
    <col min="19" max="19" width="0" style="832" hidden="1" customWidth="1"/>
    <col min="20" max="20" width="0" style="833" hidden="1" customWidth="1"/>
    <col min="21" max="21" width="7.125" style="833" customWidth="1"/>
    <col min="22" max="259" width="9" style="833"/>
    <col min="260" max="260" width="16" style="833" bestFit="1" customWidth="1"/>
    <col min="261" max="261" width="8.625" style="833" customWidth="1"/>
    <col min="262" max="262" width="9" style="833" customWidth="1"/>
    <col min="263" max="263" width="8.75" style="833" customWidth="1"/>
    <col min="264" max="264" width="8.375" style="833" customWidth="1"/>
    <col min="265" max="266" width="9" style="833"/>
    <col min="267" max="267" width="8" style="833" customWidth="1"/>
    <col min="268" max="270" width="8.5" style="833" customWidth="1"/>
    <col min="271" max="271" width="9" style="833"/>
    <col min="272" max="273" width="8.625" style="833" bestFit="1" customWidth="1"/>
    <col min="274" max="276" width="9" style="833"/>
    <col min="277" max="277" width="7.125" style="833" customWidth="1"/>
    <col min="278" max="515" width="9" style="833"/>
    <col min="516" max="516" width="16" style="833" bestFit="1" customWidth="1"/>
    <col min="517" max="517" width="8.625" style="833" customWidth="1"/>
    <col min="518" max="518" width="9" style="833" customWidth="1"/>
    <col min="519" max="519" width="8.75" style="833" customWidth="1"/>
    <col min="520" max="520" width="8.375" style="833" customWidth="1"/>
    <col min="521" max="522" width="9" style="833"/>
    <col min="523" max="523" width="8" style="833" customWidth="1"/>
    <col min="524" max="526" width="8.5" style="833" customWidth="1"/>
    <col min="527" max="527" width="9" style="833"/>
    <col min="528" max="529" width="8.625" style="833" bestFit="1" customWidth="1"/>
    <col min="530" max="532" width="9" style="833"/>
    <col min="533" max="533" width="7.125" style="833" customWidth="1"/>
    <col min="534" max="771" width="9" style="833"/>
    <col min="772" max="772" width="16" style="833" bestFit="1" customWidth="1"/>
    <col min="773" max="773" width="8.625" style="833" customWidth="1"/>
    <col min="774" max="774" width="9" style="833" customWidth="1"/>
    <col min="775" max="775" width="8.75" style="833" customWidth="1"/>
    <col min="776" max="776" width="8.375" style="833" customWidth="1"/>
    <col min="777" max="778" width="9" style="833"/>
    <col min="779" max="779" width="8" style="833" customWidth="1"/>
    <col min="780" max="782" width="8.5" style="833" customWidth="1"/>
    <col min="783" max="783" width="9" style="833"/>
    <col min="784" max="785" width="8.625" style="833" bestFit="1" customWidth="1"/>
    <col min="786" max="788" width="9" style="833"/>
    <col min="789" max="789" width="7.125" style="833" customWidth="1"/>
    <col min="790" max="1027" width="9" style="833"/>
    <col min="1028" max="1028" width="16" style="833" bestFit="1" customWidth="1"/>
    <col min="1029" max="1029" width="8.625" style="833" customWidth="1"/>
    <col min="1030" max="1030" width="9" style="833" customWidth="1"/>
    <col min="1031" max="1031" width="8.75" style="833" customWidth="1"/>
    <col min="1032" max="1032" width="8.375" style="833" customWidth="1"/>
    <col min="1033" max="1034" width="9" style="833"/>
    <col min="1035" max="1035" width="8" style="833" customWidth="1"/>
    <col min="1036" max="1038" width="8.5" style="833" customWidth="1"/>
    <col min="1039" max="1039" width="9" style="833"/>
    <col min="1040" max="1041" width="8.625" style="833" bestFit="1" customWidth="1"/>
    <col min="1042" max="1044" width="9" style="833"/>
    <col min="1045" max="1045" width="7.125" style="833" customWidth="1"/>
    <col min="1046" max="1283" width="9" style="833"/>
    <col min="1284" max="1284" width="16" style="833" bestFit="1" customWidth="1"/>
    <col min="1285" max="1285" width="8.625" style="833" customWidth="1"/>
    <col min="1286" max="1286" width="9" style="833" customWidth="1"/>
    <col min="1287" max="1287" width="8.75" style="833" customWidth="1"/>
    <col min="1288" max="1288" width="8.375" style="833" customWidth="1"/>
    <col min="1289" max="1290" width="9" style="833"/>
    <col min="1291" max="1291" width="8" style="833" customWidth="1"/>
    <col min="1292" max="1294" width="8.5" style="833" customWidth="1"/>
    <col min="1295" max="1295" width="9" style="833"/>
    <col min="1296" max="1297" width="8.625" style="833" bestFit="1" customWidth="1"/>
    <col min="1298" max="1300" width="9" style="833"/>
    <col min="1301" max="1301" width="7.125" style="833" customWidth="1"/>
    <col min="1302" max="1539" width="9" style="833"/>
    <col min="1540" max="1540" width="16" style="833" bestFit="1" customWidth="1"/>
    <col min="1541" max="1541" width="8.625" style="833" customWidth="1"/>
    <col min="1542" max="1542" width="9" style="833" customWidth="1"/>
    <col min="1543" max="1543" width="8.75" style="833" customWidth="1"/>
    <col min="1544" max="1544" width="8.375" style="833" customWidth="1"/>
    <col min="1545" max="1546" width="9" style="833"/>
    <col min="1547" max="1547" width="8" style="833" customWidth="1"/>
    <col min="1548" max="1550" width="8.5" style="833" customWidth="1"/>
    <col min="1551" max="1551" width="9" style="833"/>
    <col min="1552" max="1553" width="8.625" style="833" bestFit="1" customWidth="1"/>
    <col min="1554" max="1556" width="9" style="833"/>
    <col min="1557" max="1557" width="7.125" style="833" customWidth="1"/>
    <col min="1558" max="1795" width="9" style="833"/>
    <col min="1796" max="1796" width="16" style="833" bestFit="1" customWidth="1"/>
    <col min="1797" max="1797" width="8.625" style="833" customWidth="1"/>
    <col min="1798" max="1798" width="9" style="833" customWidth="1"/>
    <col min="1799" max="1799" width="8.75" style="833" customWidth="1"/>
    <col min="1800" max="1800" width="8.375" style="833" customWidth="1"/>
    <col min="1801" max="1802" width="9" style="833"/>
    <col min="1803" max="1803" width="8" style="833" customWidth="1"/>
    <col min="1804" max="1806" width="8.5" style="833" customWidth="1"/>
    <col min="1807" max="1807" width="9" style="833"/>
    <col min="1808" max="1809" width="8.625" style="833" bestFit="1" customWidth="1"/>
    <col min="1810" max="1812" width="9" style="833"/>
    <col min="1813" max="1813" width="7.125" style="833" customWidth="1"/>
    <col min="1814" max="2051" width="9" style="833"/>
    <col min="2052" max="2052" width="16" style="833" bestFit="1" customWidth="1"/>
    <col min="2053" max="2053" width="8.625" style="833" customWidth="1"/>
    <col min="2054" max="2054" width="9" style="833" customWidth="1"/>
    <col min="2055" max="2055" width="8.75" style="833" customWidth="1"/>
    <col min="2056" max="2056" width="8.375" style="833" customWidth="1"/>
    <col min="2057" max="2058" width="9" style="833"/>
    <col min="2059" max="2059" width="8" style="833" customWidth="1"/>
    <col min="2060" max="2062" width="8.5" style="833" customWidth="1"/>
    <col min="2063" max="2063" width="9" style="833"/>
    <col min="2064" max="2065" width="8.625" style="833" bestFit="1" customWidth="1"/>
    <col min="2066" max="2068" width="9" style="833"/>
    <col min="2069" max="2069" width="7.125" style="833" customWidth="1"/>
    <col min="2070" max="2307" width="9" style="833"/>
    <col min="2308" max="2308" width="16" style="833" bestFit="1" customWidth="1"/>
    <col min="2309" max="2309" width="8.625" style="833" customWidth="1"/>
    <col min="2310" max="2310" width="9" style="833" customWidth="1"/>
    <col min="2311" max="2311" width="8.75" style="833" customWidth="1"/>
    <col min="2312" max="2312" width="8.375" style="833" customWidth="1"/>
    <col min="2313" max="2314" width="9" style="833"/>
    <col min="2315" max="2315" width="8" style="833" customWidth="1"/>
    <col min="2316" max="2318" width="8.5" style="833" customWidth="1"/>
    <col min="2319" max="2319" width="9" style="833"/>
    <col min="2320" max="2321" width="8.625" style="833" bestFit="1" customWidth="1"/>
    <col min="2322" max="2324" width="9" style="833"/>
    <col min="2325" max="2325" width="7.125" style="833" customWidth="1"/>
    <col min="2326" max="2563" width="9" style="833"/>
    <col min="2564" max="2564" width="16" style="833" bestFit="1" customWidth="1"/>
    <col min="2565" max="2565" width="8.625" style="833" customWidth="1"/>
    <col min="2566" max="2566" width="9" style="833" customWidth="1"/>
    <col min="2567" max="2567" width="8.75" style="833" customWidth="1"/>
    <col min="2568" max="2568" width="8.375" style="833" customWidth="1"/>
    <col min="2569" max="2570" width="9" style="833"/>
    <col min="2571" max="2571" width="8" style="833" customWidth="1"/>
    <col min="2572" max="2574" width="8.5" style="833" customWidth="1"/>
    <col min="2575" max="2575" width="9" style="833"/>
    <col min="2576" max="2577" width="8.625" style="833" bestFit="1" customWidth="1"/>
    <col min="2578" max="2580" width="9" style="833"/>
    <col min="2581" max="2581" width="7.125" style="833" customWidth="1"/>
    <col min="2582" max="2819" width="9" style="833"/>
    <col min="2820" max="2820" width="16" style="833" bestFit="1" customWidth="1"/>
    <col min="2821" max="2821" width="8.625" style="833" customWidth="1"/>
    <col min="2822" max="2822" width="9" style="833" customWidth="1"/>
    <col min="2823" max="2823" width="8.75" style="833" customWidth="1"/>
    <col min="2824" max="2824" width="8.375" style="833" customWidth="1"/>
    <col min="2825" max="2826" width="9" style="833"/>
    <col min="2827" max="2827" width="8" style="833" customWidth="1"/>
    <col min="2828" max="2830" width="8.5" style="833" customWidth="1"/>
    <col min="2831" max="2831" width="9" style="833"/>
    <col min="2832" max="2833" width="8.625" style="833" bestFit="1" customWidth="1"/>
    <col min="2834" max="2836" width="9" style="833"/>
    <col min="2837" max="2837" width="7.125" style="833" customWidth="1"/>
    <col min="2838" max="3075" width="9" style="833"/>
    <col min="3076" max="3076" width="16" style="833" bestFit="1" customWidth="1"/>
    <col min="3077" max="3077" width="8.625" style="833" customWidth="1"/>
    <col min="3078" max="3078" width="9" style="833" customWidth="1"/>
    <col min="3079" max="3079" width="8.75" style="833" customWidth="1"/>
    <col min="3080" max="3080" width="8.375" style="833" customWidth="1"/>
    <col min="3081" max="3082" width="9" style="833"/>
    <col min="3083" max="3083" width="8" style="833" customWidth="1"/>
    <col min="3084" max="3086" width="8.5" style="833" customWidth="1"/>
    <col min="3087" max="3087" width="9" style="833"/>
    <col min="3088" max="3089" width="8.625" style="833" bestFit="1" customWidth="1"/>
    <col min="3090" max="3092" width="9" style="833"/>
    <col min="3093" max="3093" width="7.125" style="833" customWidth="1"/>
    <col min="3094" max="3331" width="9" style="833"/>
    <col min="3332" max="3332" width="16" style="833" bestFit="1" customWidth="1"/>
    <col min="3333" max="3333" width="8.625" style="833" customWidth="1"/>
    <col min="3334" max="3334" width="9" style="833" customWidth="1"/>
    <col min="3335" max="3335" width="8.75" style="833" customWidth="1"/>
    <col min="3336" max="3336" width="8.375" style="833" customWidth="1"/>
    <col min="3337" max="3338" width="9" style="833"/>
    <col min="3339" max="3339" width="8" style="833" customWidth="1"/>
    <col min="3340" max="3342" width="8.5" style="833" customWidth="1"/>
    <col min="3343" max="3343" width="9" style="833"/>
    <col min="3344" max="3345" width="8.625" style="833" bestFit="1" customWidth="1"/>
    <col min="3346" max="3348" width="9" style="833"/>
    <col min="3349" max="3349" width="7.125" style="833" customWidth="1"/>
    <col min="3350" max="3587" width="9" style="833"/>
    <col min="3588" max="3588" width="16" style="833" bestFit="1" customWidth="1"/>
    <col min="3589" max="3589" width="8.625" style="833" customWidth="1"/>
    <col min="3590" max="3590" width="9" style="833" customWidth="1"/>
    <col min="3591" max="3591" width="8.75" style="833" customWidth="1"/>
    <col min="3592" max="3592" width="8.375" style="833" customWidth="1"/>
    <col min="3593" max="3594" width="9" style="833"/>
    <col min="3595" max="3595" width="8" style="833" customWidth="1"/>
    <col min="3596" max="3598" width="8.5" style="833" customWidth="1"/>
    <col min="3599" max="3599" width="9" style="833"/>
    <col min="3600" max="3601" width="8.625" style="833" bestFit="1" customWidth="1"/>
    <col min="3602" max="3604" width="9" style="833"/>
    <col min="3605" max="3605" width="7.125" style="833" customWidth="1"/>
    <col min="3606" max="3843" width="9" style="833"/>
    <col min="3844" max="3844" width="16" style="833" bestFit="1" customWidth="1"/>
    <col min="3845" max="3845" width="8.625" style="833" customWidth="1"/>
    <col min="3846" max="3846" width="9" style="833" customWidth="1"/>
    <col min="3847" max="3847" width="8.75" style="833" customWidth="1"/>
    <col min="3848" max="3848" width="8.375" style="833" customWidth="1"/>
    <col min="3849" max="3850" width="9" style="833"/>
    <col min="3851" max="3851" width="8" style="833" customWidth="1"/>
    <col min="3852" max="3854" width="8.5" style="833" customWidth="1"/>
    <col min="3855" max="3855" width="9" style="833"/>
    <col min="3856" max="3857" width="8.625" style="833" bestFit="1" customWidth="1"/>
    <col min="3858" max="3860" width="9" style="833"/>
    <col min="3861" max="3861" width="7.125" style="833" customWidth="1"/>
    <col min="3862" max="4099" width="9" style="833"/>
    <col min="4100" max="4100" width="16" style="833" bestFit="1" customWidth="1"/>
    <col min="4101" max="4101" width="8.625" style="833" customWidth="1"/>
    <col min="4102" max="4102" width="9" style="833" customWidth="1"/>
    <col min="4103" max="4103" width="8.75" style="833" customWidth="1"/>
    <col min="4104" max="4104" width="8.375" style="833" customWidth="1"/>
    <col min="4105" max="4106" width="9" style="833"/>
    <col min="4107" max="4107" width="8" style="833" customWidth="1"/>
    <col min="4108" max="4110" width="8.5" style="833" customWidth="1"/>
    <col min="4111" max="4111" width="9" style="833"/>
    <col min="4112" max="4113" width="8.625" style="833" bestFit="1" customWidth="1"/>
    <col min="4114" max="4116" width="9" style="833"/>
    <col min="4117" max="4117" width="7.125" style="833" customWidth="1"/>
    <col min="4118" max="4355" width="9" style="833"/>
    <col min="4356" max="4356" width="16" style="833" bestFit="1" customWidth="1"/>
    <col min="4357" max="4357" width="8.625" style="833" customWidth="1"/>
    <col min="4358" max="4358" width="9" style="833" customWidth="1"/>
    <col min="4359" max="4359" width="8.75" style="833" customWidth="1"/>
    <col min="4360" max="4360" width="8.375" style="833" customWidth="1"/>
    <col min="4361" max="4362" width="9" style="833"/>
    <col min="4363" max="4363" width="8" style="833" customWidth="1"/>
    <col min="4364" max="4366" width="8.5" style="833" customWidth="1"/>
    <col min="4367" max="4367" width="9" style="833"/>
    <col min="4368" max="4369" width="8.625" style="833" bestFit="1" customWidth="1"/>
    <col min="4370" max="4372" width="9" style="833"/>
    <col min="4373" max="4373" width="7.125" style="833" customWidth="1"/>
    <col min="4374" max="4611" width="9" style="833"/>
    <col min="4612" max="4612" width="16" style="833" bestFit="1" customWidth="1"/>
    <col min="4613" max="4613" width="8.625" style="833" customWidth="1"/>
    <col min="4614" max="4614" width="9" style="833" customWidth="1"/>
    <col min="4615" max="4615" width="8.75" style="833" customWidth="1"/>
    <col min="4616" max="4616" width="8.375" style="833" customWidth="1"/>
    <col min="4617" max="4618" width="9" style="833"/>
    <col min="4619" max="4619" width="8" style="833" customWidth="1"/>
    <col min="4620" max="4622" width="8.5" style="833" customWidth="1"/>
    <col min="4623" max="4623" width="9" style="833"/>
    <col min="4624" max="4625" width="8.625" style="833" bestFit="1" customWidth="1"/>
    <col min="4626" max="4628" width="9" style="833"/>
    <col min="4629" max="4629" width="7.125" style="833" customWidth="1"/>
    <col min="4630" max="4867" width="9" style="833"/>
    <col min="4868" max="4868" width="16" style="833" bestFit="1" customWidth="1"/>
    <col min="4869" max="4869" width="8.625" style="833" customWidth="1"/>
    <col min="4870" max="4870" width="9" style="833" customWidth="1"/>
    <col min="4871" max="4871" width="8.75" style="833" customWidth="1"/>
    <col min="4872" max="4872" width="8.375" style="833" customWidth="1"/>
    <col min="4873" max="4874" width="9" style="833"/>
    <col min="4875" max="4875" width="8" style="833" customWidth="1"/>
    <col min="4876" max="4878" width="8.5" style="833" customWidth="1"/>
    <col min="4879" max="4879" width="9" style="833"/>
    <col min="4880" max="4881" width="8.625" style="833" bestFit="1" customWidth="1"/>
    <col min="4882" max="4884" width="9" style="833"/>
    <col min="4885" max="4885" width="7.125" style="833" customWidth="1"/>
    <col min="4886" max="5123" width="9" style="833"/>
    <col min="5124" max="5124" width="16" style="833" bestFit="1" customWidth="1"/>
    <col min="5125" max="5125" width="8.625" style="833" customWidth="1"/>
    <col min="5126" max="5126" width="9" style="833" customWidth="1"/>
    <col min="5127" max="5127" width="8.75" style="833" customWidth="1"/>
    <col min="5128" max="5128" width="8.375" style="833" customWidth="1"/>
    <col min="5129" max="5130" width="9" style="833"/>
    <col min="5131" max="5131" width="8" style="833" customWidth="1"/>
    <col min="5132" max="5134" width="8.5" style="833" customWidth="1"/>
    <col min="5135" max="5135" width="9" style="833"/>
    <col min="5136" max="5137" width="8.625" style="833" bestFit="1" customWidth="1"/>
    <col min="5138" max="5140" width="9" style="833"/>
    <col min="5141" max="5141" width="7.125" style="833" customWidth="1"/>
    <col min="5142" max="5379" width="9" style="833"/>
    <col min="5380" max="5380" width="16" style="833" bestFit="1" customWidth="1"/>
    <col min="5381" max="5381" width="8.625" style="833" customWidth="1"/>
    <col min="5382" max="5382" width="9" style="833" customWidth="1"/>
    <col min="5383" max="5383" width="8.75" style="833" customWidth="1"/>
    <col min="5384" max="5384" width="8.375" style="833" customWidth="1"/>
    <col min="5385" max="5386" width="9" style="833"/>
    <col min="5387" max="5387" width="8" style="833" customWidth="1"/>
    <col min="5388" max="5390" width="8.5" style="833" customWidth="1"/>
    <col min="5391" max="5391" width="9" style="833"/>
    <col min="5392" max="5393" width="8.625" style="833" bestFit="1" customWidth="1"/>
    <col min="5394" max="5396" width="9" style="833"/>
    <col min="5397" max="5397" width="7.125" style="833" customWidth="1"/>
    <col min="5398" max="5635" width="9" style="833"/>
    <col min="5636" max="5636" width="16" style="833" bestFit="1" customWidth="1"/>
    <col min="5637" max="5637" width="8.625" style="833" customWidth="1"/>
    <col min="5638" max="5638" width="9" style="833" customWidth="1"/>
    <col min="5639" max="5639" width="8.75" style="833" customWidth="1"/>
    <col min="5640" max="5640" width="8.375" style="833" customWidth="1"/>
    <col min="5641" max="5642" width="9" style="833"/>
    <col min="5643" max="5643" width="8" style="833" customWidth="1"/>
    <col min="5644" max="5646" width="8.5" style="833" customWidth="1"/>
    <col min="5647" max="5647" width="9" style="833"/>
    <col min="5648" max="5649" width="8.625" style="833" bestFit="1" customWidth="1"/>
    <col min="5650" max="5652" width="9" style="833"/>
    <col min="5653" max="5653" width="7.125" style="833" customWidth="1"/>
    <col min="5654" max="5891" width="9" style="833"/>
    <col min="5892" max="5892" width="16" style="833" bestFit="1" customWidth="1"/>
    <col min="5893" max="5893" width="8.625" style="833" customWidth="1"/>
    <col min="5894" max="5894" width="9" style="833" customWidth="1"/>
    <col min="5895" max="5895" width="8.75" style="833" customWidth="1"/>
    <col min="5896" max="5896" width="8.375" style="833" customWidth="1"/>
    <col min="5897" max="5898" width="9" style="833"/>
    <col min="5899" max="5899" width="8" style="833" customWidth="1"/>
    <col min="5900" max="5902" width="8.5" style="833" customWidth="1"/>
    <col min="5903" max="5903" width="9" style="833"/>
    <col min="5904" max="5905" width="8.625" style="833" bestFit="1" customWidth="1"/>
    <col min="5906" max="5908" width="9" style="833"/>
    <col min="5909" max="5909" width="7.125" style="833" customWidth="1"/>
    <col min="5910" max="6147" width="9" style="833"/>
    <col min="6148" max="6148" width="16" style="833" bestFit="1" customWidth="1"/>
    <col min="6149" max="6149" width="8.625" style="833" customWidth="1"/>
    <col min="6150" max="6150" width="9" style="833" customWidth="1"/>
    <col min="6151" max="6151" width="8.75" style="833" customWidth="1"/>
    <col min="6152" max="6152" width="8.375" style="833" customWidth="1"/>
    <col min="6153" max="6154" width="9" style="833"/>
    <col min="6155" max="6155" width="8" style="833" customWidth="1"/>
    <col min="6156" max="6158" width="8.5" style="833" customWidth="1"/>
    <col min="6159" max="6159" width="9" style="833"/>
    <col min="6160" max="6161" width="8.625" style="833" bestFit="1" customWidth="1"/>
    <col min="6162" max="6164" width="9" style="833"/>
    <col min="6165" max="6165" width="7.125" style="833" customWidth="1"/>
    <col min="6166" max="6403" width="9" style="833"/>
    <col min="6404" max="6404" width="16" style="833" bestFit="1" customWidth="1"/>
    <col min="6405" max="6405" width="8.625" style="833" customWidth="1"/>
    <col min="6406" max="6406" width="9" style="833" customWidth="1"/>
    <col min="6407" max="6407" width="8.75" style="833" customWidth="1"/>
    <col min="6408" max="6408" width="8.375" style="833" customWidth="1"/>
    <col min="6409" max="6410" width="9" style="833"/>
    <col min="6411" max="6411" width="8" style="833" customWidth="1"/>
    <col min="6412" max="6414" width="8.5" style="833" customWidth="1"/>
    <col min="6415" max="6415" width="9" style="833"/>
    <col min="6416" max="6417" width="8.625" style="833" bestFit="1" customWidth="1"/>
    <col min="6418" max="6420" width="9" style="833"/>
    <col min="6421" max="6421" width="7.125" style="833" customWidth="1"/>
    <col min="6422" max="6659" width="9" style="833"/>
    <col min="6660" max="6660" width="16" style="833" bestFit="1" customWidth="1"/>
    <col min="6661" max="6661" width="8.625" style="833" customWidth="1"/>
    <col min="6662" max="6662" width="9" style="833" customWidth="1"/>
    <col min="6663" max="6663" width="8.75" style="833" customWidth="1"/>
    <col min="6664" max="6664" width="8.375" style="833" customWidth="1"/>
    <col min="6665" max="6666" width="9" style="833"/>
    <col min="6667" max="6667" width="8" style="833" customWidth="1"/>
    <col min="6668" max="6670" width="8.5" style="833" customWidth="1"/>
    <col min="6671" max="6671" width="9" style="833"/>
    <col min="6672" max="6673" width="8.625" style="833" bestFit="1" customWidth="1"/>
    <col min="6674" max="6676" width="9" style="833"/>
    <col min="6677" max="6677" width="7.125" style="833" customWidth="1"/>
    <col min="6678" max="6915" width="9" style="833"/>
    <col min="6916" max="6916" width="16" style="833" bestFit="1" customWidth="1"/>
    <col min="6917" max="6917" width="8.625" style="833" customWidth="1"/>
    <col min="6918" max="6918" width="9" style="833" customWidth="1"/>
    <col min="6919" max="6919" width="8.75" style="833" customWidth="1"/>
    <col min="6920" max="6920" width="8.375" style="833" customWidth="1"/>
    <col min="6921" max="6922" width="9" style="833"/>
    <col min="6923" max="6923" width="8" style="833" customWidth="1"/>
    <col min="6924" max="6926" width="8.5" style="833" customWidth="1"/>
    <col min="6927" max="6927" width="9" style="833"/>
    <col min="6928" max="6929" width="8.625" style="833" bestFit="1" customWidth="1"/>
    <col min="6930" max="6932" width="9" style="833"/>
    <col min="6933" max="6933" width="7.125" style="833" customWidth="1"/>
    <col min="6934" max="7171" width="9" style="833"/>
    <col min="7172" max="7172" width="16" style="833" bestFit="1" customWidth="1"/>
    <col min="7173" max="7173" width="8.625" style="833" customWidth="1"/>
    <col min="7174" max="7174" width="9" style="833" customWidth="1"/>
    <col min="7175" max="7175" width="8.75" style="833" customWidth="1"/>
    <col min="7176" max="7176" width="8.375" style="833" customWidth="1"/>
    <col min="7177" max="7178" width="9" style="833"/>
    <col min="7179" max="7179" width="8" style="833" customWidth="1"/>
    <col min="7180" max="7182" width="8.5" style="833" customWidth="1"/>
    <col min="7183" max="7183" width="9" style="833"/>
    <col min="7184" max="7185" width="8.625" style="833" bestFit="1" customWidth="1"/>
    <col min="7186" max="7188" width="9" style="833"/>
    <col min="7189" max="7189" width="7.125" style="833" customWidth="1"/>
    <col min="7190" max="7427" width="9" style="833"/>
    <col min="7428" max="7428" width="16" style="833" bestFit="1" customWidth="1"/>
    <col min="7429" max="7429" width="8.625" style="833" customWidth="1"/>
    <col min="7430" max="7430" width="9" style="833" customWidth="1"/>
    <col min="7431" max="7431" width="8.75" style="833" customWidth="1"/>
    <col min="7432" max="7432" width="8.375" style="833" customWidth="1"/>
    <col min="7433" max="7434" width="9" style="833"/>
    <col min="7435" max="7435" width="8" style="833" customWidth="1"/>
    <col min="7436" max="7438" width="8.5" style="833" customWidth="1"/>
    <col min="7439" max="7439" width="9" style="833"/>
    <col min="7440" max="7441" width="8.625" style="833" bestFit="1" customWidth="1"/>
    <col min="7442" max="7444" width="9" style="833"/>
    <col min="7445" max="7445" width="7.125" style="833" customWidth="1"/>
    <col min="7446" max="7683" width="9" style="833"/>
    <col min="7684" max="7684" width="16" style="833" bestFit="1" customWidth="1"/>
    <col min="7685" max="7685" width="8.625" style="833" customWidth="1"/>
    <col min="7686" max="7686" width="9" style="833" customWidth="1"/>
    <col min="7687" max="7687" width="8.75" style="833" customWidth="1"/>
    <col min="7688" max="7688" width="8.375" style="833" customWidth="1"/>
    <col min="7689" max="7690" width="9" style="833"/>
    <col min="7691" max="7691" width="8" style="833" customWidth="1"/>
    <col min="7692" max="7694" width="8.5" style="833" customWidth="1"/>
    <col min="7695" max="7695" width="9" style="833"/>
    <col min="7696" max="7697" width="8.625" style="833" bestFit="1" customWidth="1"/>
    <col min="7698" max="7700" width="9" style="833"/>
    <col min="7701" max="7701" width="7.125" style="833" customWidth="1"/>
    <col min="7702" max="7939" width="9" style="833"/>
    <col min="7940" max="7940" width="16" style="833" bestFit="1" customWidth="1"/>
    <col min="7941" max="7941" width="8.625" style="833" customWidth="1"/>
    <col min="7942" max="7942" width="9" style="833" customWidth="1"/>
    <col min="7943" max="7943" width="8.75" style="833" customWidth="1"/>
    <col min="7944" max="7944" width="8.375" style="833" customWidth="1"/>
    <col min="7945" max="7946" width="9" style="833"/>
    <col min="7947" max="7947" width="8" style="833" customWidth="1"/>
    <col min="7948" max="7950" width="8.5" style="833" customWidth="1"/>
    <col min="7951" max="7951" width="9" style="833"/>
    <col min="7952" max="7953" width="8.625" style="833" bestFit="1" customWidth="1"/>
    <col min="7954" max="7956" width="9" style="833"/>
    <col min="7957" max="7957" width="7.125" style="833" customWidth="1"/>
    <col min="7958" max="8195" width="9" style="833"/>
    <col min="8196" max="8196" width="16" style="833" bestFit="1" customWidth="1"/>
    <col min="8197" max="8197" width="8.625" style="833" customWidth="1"/>
    <col min="8198" max="8198" width="9" style="833" customWidth="1"/>
    <col min="8199" max="8199" width="8.75" style="833" customWidth="1"/>
    <col min="8200" max="8200" width="8.375" style="833" customWidth="1"/>
    <col min="8201" max="8202" width="9" style="833"/>
    <col min="8203" max="8203" width="8" style="833" customWidth="1"/>
    <col min="8204" max="8206" width="8.5" style="833" customWidth="1"/>
    <col min="8207" max="8207" width="9" style="833"/>
    <col min="8208" max="8209" width="8.625" style="833" bestFit="1" customWidth="1"/>
    <col min="8210" max="8212" width="9" style="833"/>
    <col min="8213" max="8213" width="7.125" style="833" customWidth="1"/>
    <col min="8214" max="8451" width="9" style="833"/>
    <col min="8452" max="8452" width="16" style="833" bestFit="1" customWidth="1"/>
    <col min="8453" max="8453" width="8.625" style="833" customWidth="1"/>
    <col min="8454" max="8454" width="9" style="833" customWidth="1"/>
    <col min="8455" max="8455" width="8.75" style="833" customWidth="1"/>
    <col min="8456" max="8456" width="8.375" style="833" customWidth="1"/>
    <col min="8457" max="8458" width="9" style="833"/>
    <col min="8459" max="8459" width="8" style="833" customWidth="1"/>
    <col min="8460" max="8462" width="8.5" style="833" customWidth="1"/>
    <col min="8463" max="8463" width="9" style="833"/>
    <col min="8464" max="8465" width="8.625" style="833" bestFit="1" customWidth="1"/>
    <col min="8466" max="8468" width="9" style="833"/>
    <col min="8469" max="8469" width="7.125" style="833" customWidth="1"/>
    <col min="8470" max="8707" width="9" style="833"/>
    <col min="8708" max="8708" width="16" style="833" bestFit="1" customWidth="1"/>
    <col min="8709" max="8709" width="8.625" style="833" customWidth="1"/>
    <col min="8710" max="8710" width="9" style="833" customWidth="1"/>
    <col min="8711" max="8711" width="8.75" style="833" customWidth="1"/>
    <col min="8712" max="8712" width="8.375" style="833" customWidth="1"/>
    <col min="8713" max="8714" width="9" style="833"/>
    <col min="8715" max="8715" width="8" style="833" customWidth="1"/>
    <col min="8716" max="8718" width="8.5" style="833" customWidth="1"/>
    <col min="8719" max="8719" width="9" style="833"/>
    <col min="8720" max="8721" width="8.625" style="833" bestFit="1" customWidth="1"/>
    <col min="8722" max="8724" width="9" style="833"/>
    <col min="8725" max="8725" width="7.125" style="833" customWidth="1"/>
    <col min="8726" max="8963" width="9" style="833"/>
    <col min="8964" max="8964" width="16" style="833" bestFit="1" customWidth="1"/>
    <col min="8965" max="8965" width="8.625" style="833" customWidth="1"/>
    <col min="8966" max="8966" width="9" style="833" customWidth="1"/>
    <col min="8967" max="8967" width="8.75" style="833" customWidth="1"/>
    <col min="8968" max="8968" width="8.375" style="833" customWidth="1"/>
    <col min="8969" max="8970" width="9" style="833"/>
    <col min="8971" max="8971" width="8" style="833" customWidth="1"/>
    <col min="8972" max="8974" width="8.5" style="833" customWidth="1"/>
    <col min="8975" max="8975" width="9" style="833"/>
    <col min="8976" max="8977" width="8.625" style="833" bestFit="1" customWidth="1"/>
    <col min="8978" max="8980" width="9" style="833"/>
    <col min="8981" max="8981" width="7.125" style="833" customWidth="1"/>
    <col min="8982" max="9219" width="9" style="833"/>
    <col min="9220" max="9220" width="16" style="833" bestFit="1" customWidth="1"/>
    <col min="9221" max="9221" width="8.625" style="833" customWidth="1"/>
    <col min="9222" max="9222" width="9" style="833" customWidth="1"/>
    <col min="9223" max="9223" width="8.75" style="833" customWidth="1"/>
    <col min="9224" max="9224" width="8.375" style="833" customWidth="1"/>
    <col min="9225" max="9226" width="9" style="833"/>
    <col min="9227" max="9227" width="8" style="833" customWidth="1"/>
    <col min="9228" max="9230" width="8.5" style="833" customWidth="1"/>
    <col min="9231" max="9231" width="9" style="833"/>
    <col min="9232" max="9233" width="8.625" style="833" bestFit="1" customWidth="1"/>
    <col min="9234" max="9236" width="9" style="833"/>
    <col min="9237" max="9237" width="7.125" style="833" customWidth="1"/>
    <col min="9238" max="9475" width="9" style="833"/>
    <col min="9476" max="9476" width="16" style="833" bestFit="1" customWidth="1"/>
    <col min="9477" max="9477" width="8.625" style="833" customWidth="1"/>
    <col min="9478" max="9478" width="9" style="833" customWidth="1"/>
    <col min="9479" max="9479" width="8.75" style="833" customWidth="1"/>
    <col min="9480" max="9480" width="8.375" style="833" customWidth="1"/>
    <col min="9481" max="9482" width="9" style="833"/>
    <col min="9483" max="9483" width="8" style="833" customWidth="1"/>
    <col min="9484" max="9486" width="8.5" style="833" customWidth="1"/>
    <col min="9487" max="9487" width="9" style="833"/>
    <col min="9488" max="9489" width="8.625" style="833" bestFit="1" customWidth="1"/>
    <col min="9490" max="9492" width="9" style="833"/>
    <col min="9493" max="9493" width="7.125" style="833" customWidth="1"/>
    <col min="9494" max="9731" width="9" style="833"/>
    <col min="9732" max="9732" width="16" style="833" bestFit="1" customWidth="1"/>
    <col min="9733" max="9733" width="8.625" style="833" customWidth="1"/>
    <col min="9734" max="9734" width="9" style="833" customWidth="1"/>
    <col min="9735" max="9735" width="8.75" style="833" customWidth="1"/>
    <col min="9736" max="9736" width="8.375" style="833" customWidth="1"/>
    <col min="9737" max="9738" width="9" style="833"/>
    <col min="9739" max="9739" width="8" style="833" customWidth="1"/>
    <col min="9740" max="9742" width="8.5" style="833" customWidth="1"/>
    <col min="9743" max="9743" width="9" style="833"/>
    <col min="9744" max="9745" width="8.625" style="833" bestFit="1" customWidth="1"/>
    <col min="9746" max="9748" width="9" style="833"/>
    <col min="9749" max="9749" width="7.125" style="833" customWidth="1"/>
    <col min="9750" max="9987" width="9" style="833"/>
    <col min="9988" max="9988" width="16" style="833" bestFit="1" customWidth="1"/>
    <col min="9989" max="9989" width="8.625" style="833" customWidth="1"/>
    <col min="9990" max="9990" width="9" style="833" customWidth="1"/>
    <col min="9991" max="9991" width="8.75" style="833" customWidth="1"/>
    <col min="9992" max="9992" width="8.375" style="833" customWidth="1"/>
    <col min="9993" max="9994" width="9" style="833"/>
    <col min="9995" max="9995" width="8" style="833" customWidth="1"/>
    <col min="9996" max="9998" width="8.5" style="833" customWidth="1"/>
    <col min="9999" max="9999" width="9" style="833"/>
    <col min="10000" max="10001" width="8.625" style="833" bestFit="1" customWidth="1"/>
    <col min="10002" max="10004" width="9" style="833"/>
    <col min="10005" max="10005" width="7.125" style="833" customWidth="1"/>
    <col min="10006" max="10243" width="9" style="833"/>
    <col min="10244" max="10244" width="16" style="833" bestFit="1" customWidth="1"/>
    <col min="10245" max="10245" width="8.625" style="833" customWidth="1"/>
    <col min="10246" max="10246" width="9" style="833" customWidth="1"/>
    <col min="10247" max="10247" width="8.75" style="833" customWidth="1"/>
    <col min="10248" max="10248" width="8.375" style="833" customWidth="1"/>
    <col min="10249" max="10250" width="9" style="833"/>
    <col min="10251" max="10251" width="8" style="833" customWidth="1"/>
    <col min="10252" max="10254" width="8.5" style="833" customWidth="1"/>
    <col min="10255" max="10255" width="9" style="833"/>
    <col min="10256" max="10257" width="8.625" style="833" bestFit="1" customWidth="1"/>
    <col min="10258" max="10260" width="9" style="833"/>
    <col min="10261" max="10261" width="7.125" style="833" customWidth="1"/>
    <col min="10262" max="10499" width="9" style="833"/>
    <col min="10500" max="10500" width="16" style="833" bestFit="1" customWidth="1"/>
    <col min="10501" max="10501" width="8.625" style="833" customWidth="1"/>
    <col min="10502" max="10502" width="9" style="833" customWidth="1"/>
    <col min="10503" max="10503" width="8.75" style="833" customWidth="1"/>
    <col min="10504" max="10504" width="8.375" style="833" customWidth="1"/>
    <col min="10505" max="10506" width="9" style="833"/>
    <col min="10507" max="10507" width="8" style="833" customWidth="1"/>
    <col min="10508" max="10510" width="8.5" style="833" customWidth="1"/>
    <col min="10511" max="10511" width="9" style="833"/>
    <col min="10512" max="10513" width="8.625" style="833" bestFit="1" customWidth="1"/>
    <col min="10514" max="10516" width="9" style="833"/>
    <col min="10517" max="10517" width="7.125" style="833" customWidth="1"/>
    <col min="10518" max="10755" width="9" style="833"/>
    <col min="10756" max="10756" width="16" style="833" bestFit="1" customWidth="1"/>
    <col min="10757" max="10757" width="8.625" style="833" customWidth="1"/>
    <col min="10758" max="10758" width="9" style="833" customWidth="1"/>
    <col min="10759" max="10759" width="8.75" style="833" customWidth="1"/>
    <col min="10760" max="10760" width="8.375" style="833" customWidth="1"/>
    <col min="10761" max="10762" width="9" style="833"/>
    <col min="10763" max="10763" width="8" style="833" customWidth="1"/>
    <col min="10764" max="10766" width="8.5" style="833" customWidth="1"/>
    <col min="10767" max="10767" width="9" style="833"/>
    <col min="10768" max="10769" width="8.625" style="833" bestFit="1" customWidth="1"/>
    <col min="10770" max="10772" width="9" style="833"/>
    <col min="10773" max="10773" width="7.125" style="833" customWidth="1"/>
    <col min="10774" max="11011" width="9" style="833"/>
    <col min="11012" max="11012" width="16" style="833" bestFit="1" customWidth="1"/>
    <col min="11013" max="11013" width="8.625" style="833" customWidth="1"/>
    <col min="11014" max="11014" width="9" style="833" customWidth="1"/>
    <col min="11015" max="11015" width="8.75" style="833" customWidth="1"/>
    <col min="11016" max="11016" width="8.375" style="833" customWidth="1"/>
    <col min="11017" max="11018" width="9" style="833"/>
    <col min="11019" max="11019" width="8" style="833" customWidth="1"/>
    <col min="11020" max="11022" width="8.5" style="833" customWidth="1"/>
    <col min="11023" max="11023" width="9" style="833"/>
    <col min="11024" max="11025" width="8.625" style="833" bestFit="1" customWidth="1"/>
    <col min="11026" max="11028" width="9" style="833"/>
    <col min="11029" max="11029" width="7.125" style="833" customWidth="1"/>
    <col min="11030" max="11267" width="9" style="833"/>
    <col min="11268" max="11268" width="16" style="833" bestFit="1" customWidth="1"/>
    <col min="11269" max="11269" width="8.625" style="833" customWidth="1"/>
    <col min="11270" max="11270" width="9" style="833" customWidth="1"/>
    <col min="11271" max="11271" width="8.75" style="833" customWidth="1"/>
    <col min="11272" max="11272" width="8.375" style="833" customWidth="1"/>
    <col min="11273" max="11274" width="9" style="833"/>
    <col min="11275" max="11275" width="8" style="833" customWidth="1"/>
    <col min="11276" max="11278" width="8.5" style="833" customWidth="1"/>
    <col min="11279" max="11279" width="9" style="833"/>
    <col min="11280" max="11281" width="8.625" style="833" bestFit="1" customWidth="1"/>
    <col min="11282" max="11284" width="9" style="833"/>
    <col min="11285" max="11285" width="7.125" style="833" customWidth="1"/>
    <col min="11286" max="11523" width="9" style="833"/>
    <col min="11524" max="11524" width="16" style="833" bestFit="1" customWidth="1"/>
    <col min="11525" max="11525" width="8.625" style="833" customWidth="1"/>
    <col min="11526" max="11526" width="9" style="833" customWidth="1"/>
    <col min="11527" max="11527" width="8.75" style="833" customWidth="1"/>
    <col min="11528" max="11528" width="8.375" style="833" customWidth="1"/>
    <col min="11529" max="11530" width="9" style="833"/>
    <col min="11531" max="11531" width="8" style="833" customWidth="1"/>
    <col min="11532" max="11534" width="8.5" style="833" customWidth="1"/>
    <col min="11535" max="11535" width="9" style="833"/>
    <col min="11536" max="11537" width="8.625" style="833" bestFit="1" customWidth="1"/>
    <col min="11538" max="11540" width="9" style="833"/>
    <col min="11541" max="11541" width="7.125" style="833" customWidth="1"/>
    <col min="11542" max="11779" width="9" style="833"/>
    <col min="11780" max="11780" width="16" style="833" bestFit="1" customWidth="1"/>
    <col min="11781" max="11781" width="8.625" style="833" customWidth="1"/>
    <col min="11782" max="11782" width="9" style="833" customWidth="1"/>
    <col min="11783" max="11783" width="8.75" style="833" customWidth="1"/>
    <col min="11784" max="11784" width="8.375" style="833" customWidth="1"/>
    <col min="11785" max="11786" width="9" style="833"/>
    <col min="11787" max="11787" width="8" style="833" customWidth="1"/>
    <col min="11788" max="11790" width="8.5" style="833" customWidth="1"/>
    <col min="11791" max="11791" width="9" style="833"/>
    <col min="11792" max="11793" width="8.625" style="833" bestFit="1" customWidth="1"/>
    <col min="11794" max="11796" width="9" style="833"/>
    <col min="11797" max="11797" width="7.125" style="833" customWidth="1"/>
    <col min="11798" max="12035" width="9" style="833"/>
    <col min="12036" max="12036" width="16" style="833" bestFit="1" customWidth="1"/>
    <col min="12037" max="12037" width="8.625" style="833" customWidth="1"/>
    <col min="12038" max="12038" width="9" style="833" customWidth="1"/>
    <col min="12039" max="12039" width="8.75" style="833" customWidth="1"/>
    <col min="12040" max="12040" width="8.375" style="833" customWidth="1"/>
    <col min="12041" max="12042" width="9" style="833"/>
    <col min="12043" max="12043" width="8" style="833" customWidth="1"/>
    <col min="12044" max="12046" width="8.5" style="833" customWidth="1"/>
    <col min="12047" max="12047" width="9" style="833"/>
    <col min="12048" max="12049" width="8.625" style="833" bestFit="1" customWidth="1"/>
    <col min="12050" max="12052" width="9" style="833"/>
    <col min="12053" max="12053" width="7.125" style="833" customWidth="1"/>
    <col min="12054" max="12291" width="9" style="833"/>
    <col min="12292" max="12292" width="16" style="833" bestFit="1" customWidth="1"/>
    <col min="12293" max="12293" width="8.625" style="833" customWidth="1"/>
    <col min="12294" max="12294" width="9" style="833" customWidth="1"/>
    <col min="12295" max="12295" width="8.75" style="833" customWidth="1"/>
    <col min="12296" max="12296" width="8.375" style="833" customWidth="1"/>
    <col min="12297" max="12298" width="9" style="833"/>
    <col min="12299" max="12299" width="8" style="833" customWidth="1"/>
    <col min="12300" max="12302" width="8.5" style="833" customWidth="1"/>
    <col min="12303" max="12303" width="9" style="833"/>
    <col min="12304" max="12305" width="8.625" style="833" bestFit="1" customWidth="1"/>
    <col min="12306" max="12308" width="9" style="833"/>
    <col min="12309" max="12309" width="7.125" style="833" customWidth="1"/>
    <col min="12310" max="12547" width="9" style="833"/>
    <col min="12548" max="12548" width="16" style="833" bestFit="1" customWidth="1"/>
    <col min="12549" max="12549" width="8.625" style="833" customWidth="1"/>
    <col min="12550" max="12550" width="9" style="833" customWidth="1"/>
    <col min="12551" max="12551" width="8.75" style="833" customWidth="1"/>
    <col min="12552" max="12552" width="8.375" style="833" customWidth="1"/>
    <col min="12553" max="12554" width="9" style="833"/>
    <col min="12555" max="12555" width="8" style="833" customWidth="1"/>
    <col min="12556" max="12558" width="8.5" style="833" customWidth="1"/>
    <col min="12559" max="12559" width="9" style="833"/>
    <col min="12560" max="12561" width="8.625" style="833" bestFit="1" customWidth="1"/>
    <col min="12562" max="12564" width="9" style="833"/>
    <col min="12565" max="12565" width="7.125" style="833" customWidth="1"/>
    <col min="12566" max="12803" width="9" style="833"/>
    <col min="12804" max="12804" width="16" style="833" bestFit="1" customWidth="1"/>
    <col min="12805" max="12805" width="8.625" style="833" customWidth="1"/>
    <col min="12806" max="12806" width="9" style="833" customWidth="1"/>
    <col min="12807" max="12807" width="8.75" style="833" customWidth="1"/>
    <col min="12808" max="12808" width="8.375" style="833" customWidth="1"/>
    <col min="12809" max="12810" width="9" style="833"/>
    <col min="12811" max="12811" width="8" style="833" customWidth="1"/>
    <col min="12812" max="12814" width="8.5" style="833" customWidth="1"/>
    <col min="12815" max="12815" width="9" style="833"/>
    <col min="12816" max="12817" width="8.625" style="833" bestFit="1" customWidth="1"/>
    <col min="12818" max="12820" width="9" style="833"/>
    <col min="12821" max="12821" width="7.125" style="833" customWidth="1"/>
    <col min="12822" max="13059" width="9" style="833"/>
    <col min="13060" max="13060" width="16" style="833" bestFit="1" customWidth="1"/>
    <col min="13061" max="13061" width="8.625" style="833" customWidth="1"/>
    <col min="13062" max="13062" width="9" style="833" customWidth="1"/>
    <col min="13063" max="13063" width="8.75" style="833" customWidth="1"/>
    <col min="13064" max="13064" width="8.375" style="833" customWidth="1"/>
    <col min="13065" max="13066" width="9" style="833"/>
    <col min="13067" max="13067" width="8" style="833" customWidth="1"/>
    <col min="13068" max="13070" width="8.5" style="833" customWidth="1"/>
    <col min="13071" max="13071" width="9" style="833"/>
    <col min="13072" max="13073" width="8.625" style="833" bestFit="1" customWidth="1"/>
    <col min="13074" max="13076" width="9" style="833"/>
    <col min="13077" max="13077" width="7.125" style="833" customWidth="1"/>
    <col min="13078" max="13315" width="9" style="833"/>
    <col min="13316" max="13316" width="16" style="833" bestFit="1" customWidth="1"/>
    <col min="13317" max="13317" width="8.625" style="833" customWidth="1"/>
    <col min="13318" max="13318" width="9" style="833" customWidth="1"/>
    <col min="13319" max="13319" width="8.75" style="833" customWidth="1"/>
    <col min="13320" max="13320" width="8.375" style="833" customWidth="1"/>
    <col min="13321" max="13322" width="9" style="833"/>
    <col min="13323" max="13323" width="8" style="833" customWidth="1"/>
    <col min="13324" max="13326" width="8.5" style="833" customWidth="1"/>
    <col min="13327" max="13327" width="9" style="833"/>
    <col min="13328" max="13329" width="8.625" style="833" bestFit="1" customWidth="1"/>
    <col min="13330" max="13332" width="9" style="833"/>
    <col min="13333" max="13333" width="7.125" style="833" customWidth="1"/>
    <col min="13334" max="13571" width="9" style="833"/>
    <col min="13572" max="13572" width="16" style="833" bestFit="1" customWidth="1"/>
    <col min="13573" max="13573" width="8.625" style="833" customWidth="1"/>
    <col min="13574" max="13574" width="9" style="833" customWidth="1"/>
    <col min="13575" max="13575" width="8.75" style="833" customWidth="1"/>
    <col min="13576" max="13576" width="8.375" style="833" customWidth="1"/>
    <col min="13577" max="13578" width="9" style="833"/>
    <col min="13579" max="13579" width="8" style="833" customWidth="1"/>
    <col min="13580" max="13582" width="8.5" style="833" customWidth="1"/>
    <col min="13583" max="13583" width="9" style="833"/>
    <col min="13584" max="13585" width="8.625" style="833" bestFit="1" customWidth="1"/>
    <col min="13586" max="13588" width="9" style="833"/>
    <col min="13589" max="13589" width="7.125" style="833" customWidth="1"/>
    <col min="13590" max="13827" width="9" style="833"/>
    <col min="13828" max="13828" width="16" style="833" bestFit="1" customWidth="1"/>
    <col min="13829" max="13829" width="8.625" style="833" customWidth="1"/>
    <col min="13830" max="13830" width="9" style="833" customWidth="1"/>
    <col min="13831" max="13831" width="8.75" style="833" customWidth="1"/>
    <col min="13832" max="13832" width="8.375" style="833" customWidth="1"/>
    <col min="13833" max="13834" width="9" style="833"/>
    <col min="13835" max="13835" width="8" style="833" customWidth="1"/>
    <col min="13836" max="13838" width="8.5" style="833" customWidth="1"/>
    <col min="13839" max="13839" width="9" style="833"/>
    <col min="13840" max="13841" width="8.625" style="833" bestFit="1" customWidth="1"/>
    <col min="13842" max="13844" width="9" style="833"/>
    <col min="13845" max="13845" width="7.125" style="833" customWidth="1"/>
    <col min="13846" max="14083" width="9" style="833"/>
    <col min="14084" max="14084" width="16" style="833" bestFit="1" customWidth="1"/>
    <col min="14085" max="14085" width="8.625" style="833" customWidth="1"/>
    <col min="14086" max="14086" width="9" style="833" customWidth="1"/>
    <col min="14087" max="14087" width="8.75" style="833" customWidth="1"/>
    <col min="14088" max="14088" width="8.375" style="833" customWidth="1"/>
    <col min="14089" max="14090" width="9" style="833"/>
    <col min="14091" max="14091" width="8" style="833" customWidth="1"/>
    <col min="14092" max="14094" width="8.5" style="833" customWidth="1"/>
    <col min="14095" max="14095" width="9" style="833"/>
    <col min="14096" max="14097" width="8.625" style="833" bestFit="1" customWidth="1"/>
    <col min="14098" max="14100" width="9" style="833"/>
    <col min="14101" max="14101" width="7.125" style="833" customWidth="1"/>
    <col min="14102" max="14339" width="9" style="833"/>
    <col min="14340" max="14340" width="16" style="833" bestFit="1" customWidth="1"/>
    <col min="14341" max="14341" width="8.625" style="833" customWidth="1"/>
    <col min="14342" max="14342" width="9" style="833" customWidth="1"/>
    <col min="14343" max="14343" width="8.75" style="833" customWidth="1"/>
    <col min="14344" max="14344" width="8.375" style="833" customWidth="1"/>
    <col min="14345" max="14346" width="9" style="833"/>
    <col min="14347" max="14347" width="8" style="833" customWidth="1"/>
    <col min="14348" max="14350" width="8.5" style="833" customWidth="1"/>
    <col min="14351" max="14351" width="9" style="833"/>
    <col min="14352" max="14353" width="8.625" style="833" bestFit="1" customWidth="1"/>
    <col min="14354" max="14356" width="9" style="833"/>
    <col min="14357" max="14357" width="7.125" style="833" customWidth="1"/>
    <col min="14358" max="14595" width="9" style="833"/>
    <col min="14596" max="14596" width="16" style="833" bestFit="1" customWidth="1"/>
    <col min="14597" max="14597" width="8.625" style="833" customWidth="1"/>
    <col min="14598" max="14598" width="9" style="833" customWidth="1"/>
    <col min="14599" max="14599" width="8.75" style="833" customWidth="1"/>
    <col min="14600" max="14600" width="8.375" style="833" customWidth="1"/>
    <col min="14601" max="14602" width="9" style="833"/>
    <col min="14603" max="14603" width="8" style="833" customWidth="1"/>
    <col min="14604" max="14606" width="8.5" style="833" customWidth="1"/>
    <col min="14607" max="14607" width="9" style="833"/>
    <col min="14608" max="14609" width="8.625" style="833" bestFit="1" customWidth="1"/>
    <col min="14610" max="14612" width="9" style="833"/>
    <col min="14613" max="14613" width="7.125" style="833" customWidth="1"/>
    <col min="14614" max="14851" width="9" style="833"/>
    <col min="14852" max="14852" width="16" style="833" bestFit="1" customWidth="1"/>
    <col min="14853" max="14853" width="8.625" style="833" customWidth="1"/>
    <col min="14854" max="14854" width="9" style="833" customWidth="1"/>
    <col min="14855" max="14855" width="8.75" style="833" customWidth="1"/>
    <col min="14856" max="14856" width="8.375" style="833" customWidth="1"/>
    <col min="14857" max="14858" width="9" style="833"/>
    <col min="14859" max="14859" width="8" style="833" customWidth="1"/>
    <col min="14860" max="14862" width="8.5" style="833" customWidth="1"/>
    <col min="14863" max="14863" width="9" style="833"/>
    <col min="14864" max="14865" width="8.625" style="833" bestFit="1" customWidth="1"/>
    <col min="14866" max="14868" width="9" style="833"/>
    <col min="14869" max="14869" width="7.125" style="833" customWidth="1"/>
    <col min="14870" max="15107" width="9" style="833"/>
    <col min="15108" max="15108" width="16" style="833" bestFit="1" customWidth="1"/>
    <col min="15109" max="15109" width="8.625" style="833" customWidth="1"/>
    <col min="15110" max="15110" width="9" style="833" customWidth="1"/>
    <col min="15111" max="15111" width="8.75" style="833" customWidth="1"/>
    <col min="15112" max="15112" width="8.375" style="833" customWidth="1"/>
    <col min="15113" max="15114" width="9" style="833"/>
    <col min="15115" max="15115" width="8" style="833" customWidth="1"/>
    <col min="15116" max="15118" width="8.5" style="833" customWidth="1"/>
    <col min="15119" max="15119" width="9" style="833"/>
    <col min="15120" max="15121" width="8.625" style="833" bestFit="1" customWidth="1"/>
    <col min="15122" max="15124" width="9" style="833"/>
    <col min="15125" max="15125" width="7.125" style="833" customWidth="1"/>
    <col min="15126" max="15363" width="9" style="833"/>
    <col min="15364" max="15364" width="16" style="833" bestFit="1" customWidth="1"/>
    <col min="15365" max="15365" width="8.625" style="833" customWidth="1"/>
    <col min="15366" max="15366" width="9" style="833" customWidth="1"/>
    <col min="15367" max="15367" width="8.75" style="833" customWidth="1"/>
    <col min="15368" max="15368" width="8.375" style="833" customWidth="1"/>
    <col min="15369" max="15370" width="9" style="833"/>
    <col min="15371" max="15371" width="8" style="833" customWidth="1"/>
    <col min="15372" max="15374" width="8.5" style="833" customWidth="1"/>
    <col min="15375" max="15375" width="9" style="833"/>
    <col min="15376" max="15377" width="8.625" style="833" bestFit="1" customWidth="1"/>
    <col min="15378" max="15380" width="9" style="833"/>
    <col min="15381" max="15381" width="7.125" style="833" customWidth="1"/>
    <col min="15382" max="15619" width="9" style="833"/>
    <col min="15620" max="15620" width="16" style="833" bestFit="1" customWidth="1"/>
    <col min="15621" max="15621" width="8.625" style="833" customWidth="1"/>
    <col min="15622" max="15622" width="9" style="833" customWidth="1"/>
    <col min="15623" max="15623" width="8.75" style="833" customWidth="1"/>
    <col min="15624" max="15624" width="8.375" style="833" customWidth="1"/>
    <col min="15625" max="15626" width="9" style="833"/>
    <col min="15627" max="15627" width="8" style="833" customWidth="1"/>
    <col min="15628" max="15630" width="8.5" style="833" customWidth="1"/>
    <col min="15631" max="15631" width="9" style="833"/>
    <col min="15632" max="15633" width="8.625" style="833" bestFit="1" customWidth="1"/>
    <col min="15634" max="15636" width="9" style="833"/>
    <col min="15637" max="15637" width="7.125" style="833" customWidth="1"/>
    <col min="15638" max="15875" width="9" style="833"/>
    <col min="15876" max="15876" width="16" style="833" bestFit="1" customWidth="1"/>
    <col min="15877" max="15877" width="8.625" style="833" customWidth="1"/>
    <col min="15878" max="15878" width="9" style="833" customWidth="1"/>
    <col min="15879" max="15879" width="8.75" style="833" customWidth="1"/>
    <col min="15880" max="15880" width="8.375" style="833" customWidth="1"/>
    <col min="15881" max="15882" width="9" style="833"/>
    <col min="15883" max="15883" width="8" style="833" customWidth="1"/>
    <col min="15884" max="15886" width="8.5" style="833" customWidth="1"/>
    <col min="15887" max="15887" width="9" style="833"/>
    <col min="15888" max="15889" width="8.625" style="833" bestFit="1" customWidth="1"/>
    <col min="15890" max="15892" width="9" style="833"/>
    <col min="15893" max="15893" width="7.125" style="833" customWidth="1"/>
    <col min="15894" max="16131" width="9" style="833"/>
    <col min="16132" max="16132" width="16" style="833" bestFit="1" customWidth="1"/>
    <col min="16133" max="16133" width="8.625" style="833" customWidth="1"/>
    <col min="16134" max="16134" width="9" style="833" customWidth="1"/>
    <col min="16135" max="16135" width="8.75" style="833" customWidth="1"/>
    <col min="16136" max="16136" width="8.375" style="833" customWidth="1"/>
    <col min="16137" max="16138" width="9" style="833"/>
    <col min="16139" max="16139" width="8" style="833" customWidth="1"/>
    <col min="16140" max="16142" width="8.5" style="833" customWidth="1"/>
    <col min="16143" max="16143" width="9" style="833"/>
    <col min="16144" max="16145" width="8.625" style="833" bestFit="1" customWidth="1"/>
    <col min="16146" max="16148" width="9" style="833"/>
    <col min="16149" max="16149" width="7.125" style="833" customWidth="1"/>
    <col min="16150" max="16384" width="9" style="833"/>
  </cols>
  <sheetData>
    <row r="1" spans="1:25">
      <c r="A1" s="827"/>
      <c r="B1" s="827"/>
      <c r="C1" s="827"/>
      <c r="D1" s="828" t="s">
        <v>575</v>
      </c>
      <c r="E1" s="829"/>
      <c r="F1" s="829"/>
      <c r="G1" s="829"/>
      <c r="H1" s="829"/>
      <c r="I1" s="830"/>
      <c r="J1" s="828" t="s">
        <v>574</v>
      </c>
      <c r="K1" s="831"/>
      <c r="L1" s="831"/>
      <c r="M1" s="831"/>
      <c r="N1" s="831"/>
      <c r="O1" s="833"/>
      <c r="P1" s="833"/>
      <c r="Q1" s="833"/>
      <c r="R1" s="833"/>
      <c r="S1" s="833"/>
    </row>
    <row r="2" spans="1:25">
      <c r="A2" s="827" t="s">
        <v>2476</v>
      </c>
      <c r="B2" s="834" t="s">
        <v>2477</v>
      </c>
      <c r="C2" s="834" t="s">
        <v>2478</v>
      </c>
      <c r="D2" s="834" t="s">
        <v>2479</v>
      </c>
      <c r="E2" s="834" t="s">
        <v>2417</v>
      </c>
      <c r="F2" s="834" t="s">
        <v>2467</v>
      </c>
      <c r="G2" s="834" t="s">
        <v>2494</v>
      </c>
      <c r="H2" s="834" t="s">
        <v>2504</v>
      </c>
      <c r="I2" s="835"/>
      <c r="J2" s="834" t="s">
        <v>2479</v>
      </c>
      <c r="K2" s="834" t="s">
        <v>2417</v>
      </c>
      <c r="L2" s="834" t="s">
        <v>2467</v>
      </c>
      <c r="M2" s="834" t="s">
        <v>2494</v>
      </c>
      <c r="N2" s="834" t="s">
        <v>2504</v>
      </c>
      <c r="O2" s="833"/>
      <c r="P2" s="833" t="s">
        <v>2480</v>
      </c>
      <c r="Q2" s="833" t="s">
        <v>2481</v>
      </c>
      <c r="R2" s="833"/>
      <c r="S2" s="834" t="s">
        <v>2477</v>
      </c>
      <c r="T2" s="834" t="s">
        <v>2478</v>
      </c>
      <c r="U2" s="834" t="s">
        <v>2479</v>
      </c>
      <c r="V2" s="834" t="s">
        <v>2417</v>
      </c>
      <c r="W2" s="834" t="s">
        <v>2467</v>
      </c>
      <c r="X2" s="834" t="s">
        <v>2494</v>
      </c>
      <c r="Y2" s="834" t="s">
        <v>2504</v>
      </c>
    </row>
    <row r="3" spans="1:25">
      <c r="A3" s="836" t="s">
        <v>621</v>
      </c>
      <c r="B3" s="837">
        <v>114158</v>
      </c>
      <c r="C3" s="837">
        <v>116060</v>
      </c>
      <c r="D3" s="837">
        <v>98883</v>
      </c>
      <c r="E3" s="837">
        <v>76477</v>
      </c>
      <c r="F3" s="837">
        <v>74640</v>
      </c>
      <c r="G3" s="837">
        <v>72001</v>
      </c>
      <c r="H3" s="837">
        <v>52158</v>
      </c>
      <c r="I3" s="838"/>
      <c r="J3" s="839">
        <f t="shared" ref="J3:J13" si="0">D3/D$15*100</f>
        <v>23.099996495859273</v>
      </c>
      <c r="K3" s="839">
        <f t="shared" ref="K3:K13" si="1">E3/E$15*100</f>
        <v>14.253922871472957</v>
      </c>
      <c r="L3" s="839">
        <f t="shared" ref="L3:L13" si="2">F3/F$15*100</f>
        <v>13.913769673425334</v>
      </c>
      <c r="M3" s="839">
        <f t="shared" ref="M3:M13" si="3">G3/G$15*100</f>
        <v>13.30737199687281</v>
      </c>
      <c r="N3" s="839">
        <f t="shared" ref="N3:N13" si="4">H3/H$15*100</f>
        <v>9.6604810792889939</v>
      </c>
      <c r="O3" s="833"/>
      <c r="P3" s="841">
        <f>+Q3*0.75</f>
        <v>28500</v>
      </c>
      <c r="Q3" s="841">
        <v>38000</v>
      </c>
      <c r="R3" s="833"/>
      <c r="S3" s="842">
        <f t="shared" ref="S3:S13" si="5">+$P3*B3/10^6</f>
        <v>3253.5030000000002</v>
      </c>
      <c r="T3" s="842">
        <f t="shared" ref="T3:T13" si="6">+$P3*C3/10^6</f>
        <v>3307.71</v>
      </c>
      <c r="U3" s="842">
        <f t="shared" ref="U3:U13" si="7">+$P3*D3/10^6</f>
        <v>2818.1655000000001</v>
      </c>
      <c r="V3" s="842">
        <f t="shared" ref="V3:V13" si="8">+$P3*E3/10^6</f>
        <v>2179.5945000000002</v>
      </c>
      <c r="W3" s="842">
        <f t="shared" ref="W3:Y12" si="9">+$P3*F3/10^6</f>
        <v>2127.2399999999998</v>
      </c>
      <c r="X3" s="842">
        <f t="shared" si="9"/>
        <v>2052.0284999999999</v>
      </c>
      <c r="Y3" s="842">
        <f t="shared" si="9"/>
        <v>1486.5029999999999</v>
      </c>
    </row>
    <row r="4" spans="1:25">
      <c r="A4" s="832" t="s">
        <v>48</v>
      </c>
      <c r="B4" s="838">
        <v>164508</v>
      </c>
      <c r="C4" s="838">
        <v>147167</v>
      </c>
      <c r="D4" s="838">
        <v>80136</v>
      </c>
      <c r="E4" s="838">
        <v>62949</v>
      </c>
      <c r="F4" s="838">
        <v>64147</v>
      </c>
      <c r="G4" s="838">
        <v>57645</v>
      </c>
      <c r="H4" s="838">
        <v>35360</v>
      </c>
      <c r="I4" s="838"/>
      <c r="J4" s="840">
        <f t="shared" si="0"/>
        <v>18.720521416140073</v>
      </c>
      <c r="K4" s="840">
        <f t="shared" si="1"/>
        <v>11.732549535629682</v>
      </c>
      <c r="L4" s="840">
        <f t="shared" si="2"/>
        <v>11.957751651141677</v>
      </c>
      <c r="M4" s="840">
        <f t="shared" si="3"/>
        <v>10.654066731847241</v>
      </c>
      <c r="N4" s="840">
        <f t="shared" si="4"/>
        <v>6.5492275578752794</v>
      </c>
      <c r="O4" s="833"/>
      <c r="P4" s="841">
        <f>+Q4*0.75</f>
        <v>33750</v>
      </c>
      <c r="Q4" s="841">
        <v>45000</v>
      </c>
      <c r="R4" s="833"/>
      <c r="S4" s="842">
        <f t="shared" si="5"/>
        <v>5552.1450000000004</v>
      </c>
      <c r="T4" s="842">
        <f t="shared" si="6"/>
        <v>4966.8862499999996</v>
      </c>
      <c r="U4" s="842">
        <f t="shared" si="7"/>
        <v>2704.59</v>
      </c>
      <c r="V4" s="842">
        <f t="shared" si="8"/>
        <v>2124.5287499999999</v>
      </c>
      <c r="W4" s="842">
        <f t="shared" si="9"/>
        <v>2164.9612499999998</v>
      </c>
      <c r="X4" s="842">
        <f t="shared" si="9"/>
        <v>1945.51875</v>
      </c>
      <c r="Y4" s="842">
        <f t="shared" si="9"/>
        <v>1193.4000000000001</v>
      </c>
    </row>
    <row r="5" spans="1:25">
      <c r="A5" s="832" t="s">
        <v>2272</v>
      </c>
      <c r="B5" s="838">
        <v>0</v>
      </c>
      <c r="C5" s="838">
        <v>0</v>
      </c>
      <c r="D5" s="838">
        <v>9</v>
      </c>
      <c r="E5" s="838">
        <v>0</v>
      </c>
      <c r="F5" s="838">
        <v>0</v>
      </c>
      <c r="G5" s="838">
        <v>0</v>
      </c>
      <c r="H5" s="838">
        <v>23</v>
      </c>
      <c r="I5" s="838"/>
      <c r="J5" s="840">
        <f t="shared" si="0"/>
        <v>2.1024844357749408E-3</v>
      </c>
      <c r="K5" s="840">
        <f t="shared" si="1"/>
        <v>0</v>
      </c>
      <c r="L5" s="840">
        <f t="shared" si="2"/>
        <v>0</v>
      </c>
      <c r="M5" s="840">
        <f t="shared" si="3"/>
        <v>0</v>
      </c>
      <c r="N5" s="840">
        <f t="shared" si="4"/>
        <v>4.2599613640025855E-3</v>
      </c>
      <c r="O5" s="833"/>
      <c r="P5" s="841">
        <f>+Q5*0.75</f>
        <v>27000</v>
      </c>
      <c r="Q5" s="841">
        <v>36000</v>
      </c>
      <c r="R5" s="833"/>
      <c r="S5" s="842">
        <f t="shared" si="5"/>
        <v>0</v>
      </c>
      <c r="T5" s="842">
        <f t="shared" si="6"/>
        <v>0</v>
      </c>
      <c r="U5" s="842">
        <f t="shared" si="7"/>
        <v>0.24299999999999999</v>
      </c>
      <c r="V5" s="842">
        <f t="shared" si="8"/>
        <v>0</v>
      </c>
      <c r="W5" s="842">
        <f t="shared" si="9"/>
        <v>0</v>
      </c>
      <c r="X5" s="842">
        <f t="shared" si="9"/>
        <v>0</v>
      </c>
      <c r="Y5" s="842">
        <f t="shared" si="9"/>
        <v>0.621</v>
      </c>
    </row>
    <row r="6" spans="1:25">
      <c r="A6" s="832" t="s">
        <v>2482</v>
      </c>
      <c r="B6" s="838">
        <v>0</v>
      </c>
      <c r="C6" s="838">
        <v>0</v>
      </c>
      <c r="D6" s="838">
        <v>35915</v>
      </c>
      <c r="E6" s="838">
        <v>173956</v>
      </c>
      <c r="F6" s="838">
        <v>140647</v>
      </c>
      <c r="G6" s="838">
        <v>143803</v>
      </c>
      <c r="H6" s="838">
        <v>131661</v>
      </c>
      <c r="I6" s="838"/>
      <c r="J6" s="840">
        <f t="shared" si="0"/>
        <v>8.3900809456507766</v>
      </c>
      <c r="K6" s="840">
        <f t="shared" si="1"/>
        <v>32.422236842840981</v>
      </c>
      <c r="L6" s="840">
        <f t="shared" si="2"/>
        <v>26.218247096171666</v>
      </c>
      <c r="M6" s="840">
        <f t="shared" si="3"/>
        <v>26.57796440697075</v>
      </c>
      <c r="N6" s="840">
        <f t="shared" si="4"/>
        <v>24.385685788954106</v>
      </c>
      <c r="O6" s="833"/>
      <c r="P6" s="841">
        <f>+Q6*0.75</f>
        <v>27750</v>
      </c>
      <c r="Q6" s="841">
        <v>37000</v>
      </c>
      <c r="R6" s="833"/>
      <c r="S6" s="842">
        <f t="shared" si="5"/>
        <v>0</v>
      </c>
      <c r="T6" s="842">
        <f t="shared" si="6"/>
        <v>0</v>
      </c>
      <c r="U6" s="842">
        <f t="shared" si="7"/>
        <v>996.64125000000001</v>
      </c>
      <c r="V6" s="842">
        <f t="shared" si="8"/>
        <v>4827.2790000000005</v>
      </c>
      <c r="W6" s="842">
        <f t="shared" si="9"/>
        <v>3902.9542499999998</v>
      </c>
      <c r="X6" s="842">
        <f t="shared" si="9"/>
        <v>3990.53325</v>
      </c>
      <c r="Y6" s="842">
        <f t="shared" si="9"/>
        <v>3653.5927499999998</v>
      </c>
    </row>
    <row r="7" spans="1:25">
      <c r="A7" s="832" t="s">
        <v>949</v>
      </c>
      <c r="B7" s="838">
        <v>4695</v>
      </c>
      <c r="C7" s="838">
        <v>6787</v>
      </c>
      <c r="D7" s="838">
        <v>7611</v>
      </c>
      <c r="E7" s="838">
        <v>6934</v>
      </c>
      <c r="F7" s="838">
        <v>8511</v>
      </c>
      <c r="G7" s="838">
        <v>7080</v>
      </c>
      <c r="H7" s="838">
        <v>7837</v>
      </c>
      <c r="I7" s="838"/>
      <c r="J7" s="840">
        <f t="shared" si="0"/>
        <v>1.7780010045203416</v>
      </c>
      <c r="K7" s="840">
        <f t="shared" si="1"/>
        <v>1.2923715782626606</v>
      </c>
      <c r="L7" s="840">
        <f t="shared" si="2"/>
        <v>1.5865500226490221</v>
      </c>
      <c r="M7" s="840">
        <f t="shared" si="3"/>
        <v>1.3085400721914906</v>
      </c>
      <c r="N7" s="840">
        <f t="shared" si="4"/>
        <v>1.4515355308560114</v>
      </c>
      <c r="O7" s="833"/>
      <c r="P7" s="841">
        <f>+Q7*0.75</f>
        <v>120000</v>
      </c>
      <c r="Q7" s="841">
        <v>160000</v>
      </c>
      <c r="R7" s="833"/>
      <c r="S7" s="842">
        <f t="shared" si="5"/>
        <v>563.4</v>
      </c>
      <c r="T7" s="842">
        <f t="shared" si="6"/>
        <v>814.44</v>
      </c>
      <c r="U7" s="842">
        <f t="shared" si="7"/>
        <v>913.32</v>
      </c>
      <c r="V7" s="842">
        <f t="shared" si="8"/>
        <v>832.08</v>
      </c>
      <c r="W7" s="842">
        <f t="shared" si="9"/>
        <v>1021.32</v>
      </c>
      <c r="X7" s="842">
        <f t="shared" si="9"/>
        <v>849.6</v>
      </c>
      <c r="Y7" s="842">
        <f t="shared" si="9"/>
        <v>940.44</v>
      </c>
    </row>
    <row r="8" spans="1:25">
      <c r="A8" s="832" t="s">
        <v>619</v>
      </c>
      <c r="B8" s="838">
        <v>165478</v>
      </c>
      <c r="C8" s="838">
        <v>157543</v>
      </c>
      <c r="D8" s="838">
        <v>145572</v>
      </c>
      <c r="E8" s="838">
        <v>155416</v>
      </c>
      <c r="F8" s="838">
        <v>169228</v>
      </c>
      <c r="G8" s="838">
        <v>153966</v>
      </c>
      <c r="H8" s="838">
        <v>139761</v>
      </c>
      <c r="I8" s="838"/>
      <c r="J8" s="840">
        <f t="shared" si="0"/>
        <v>34.006984920514412</v>
      </c>
      <c r="K8" s="840">
        <f t="shared" si="1"/>
        <v>28.966717797414137</v>
      </c>
      <c r="L8" s="840">
        <f t="shared" si="2"/>
        <v>31.546080041457962</v>
      </c>
      <c r="M8" s="840">
        <f t="shared" si="3"/>
        <v>28.456310841106642</v>
      </c>
      <c r="N8" s="840">
        <f t="shared" si="4"/>
        <v>25.885933051928927</v>
      </c>
      <c r="O8" s="833"/>
      <c r="P8" s="841">
        <f>+Q8*0.77</f>
        <v>57750</v>
      </c>
      <c r="Q8" s="841">
        <v>75000</v>
      </c>
      <c r="R8" s="833"/>
      <c r="S8" s="842">
        <f t="shared" si="5"/>
        <v>9556.3544999999995</v>
      </c>
      <c r="T8" s="842">
        <f t="shared" si="6"/>
        <v>9098.1082499999993</v>
      </c>
      <c r="U8" s="842">
        <f t="shared" si="7"/>
        <v>8406.7829999999994</v>
      </c>
      <c r="V8" s="842">
        <f t="shared" si="8"/>
        <v>8975.2739999999994</v>
      </c>
      <c r="W8" s="842">
        <f t="shared" si="9"/>
        <v>9772.9169999999995</v>
      </c>
      <c r="X8" s="842">
        <f t="shared" si="9"/>
        <v>8891.5365000000002</v>
      </c>
      <c r="Y8" s="842">
        <f t="shared" si="9"/>
        <v>8071.1977500000003</v>
      </c>
    </row>
    <row r="9" spans="1:25">
      <c r="A9" s="832" t="s">
        <v>51</v>
      </c>
      <c r="B9" s="838">
        <v>12553</v>
      </c>
      <c r="C9" s="838">
        <v>11018</v>
      </c>
      <c r="D9" s="838">
        <v>11049</v>
      </c>
      <c r="E9" s="838">
        <v>9859</v>
      </c>
      <c r="F9" s="838">
        <v>12001</v>
      </c>
      <c r="G9" s="838">
        <v>40332</v>
      </c>
      <c r="H9" s="838">
        <v>83724</v>
      </c>
      <c r="I9" s="838"/>
      <c r="J9" s="840">
        <f t="shared" si="0"/>
        <v>2.5811500589863692</v>
      </c>
      <c r="K9" s="840">
        <f t="shared" si="1"/>
        <v>1.8375384179537886</v>
      </c>
      <c r="L9" s="840">
        <f t="shared" si="2"/>
        <v>2.2371268736706513</v>
      </c>
      <c r="M9" s="840">
        <f t="shared" si="3"/>
        <v>7.4542426824332191</v>
      </c>
      <c r="N9" s="840">
        <f t="shared" si="4"/>
        <v>15.507000227815325</v>
      </c>
      <c r="O9" s="833"/>
      <c r="P9" s="841">
        <f>+Q9*0.75</f>
        <v>60000</v>
      </c>
      <c r="Q9" s="841">
        <v>80000</v>
      </c>
      <c r="R9" s="833"/>
      <c r="S9" s="842">
        <f t="shared" si="5"/>
        <v>753.18</v>
      </c>
      <c r="T9" s="842">
        <f t="shared" si="6"/>
        <v>661.08</v>
      </c>
      <c r="U9" s="842">
        <f t="shared" si="7"/>
        <v>662.94</v>
      </c>
      <c r="V9" s="842">
        <f t="shared" si="8"/>
        <v>591.54</v>
      </c>
      <c r="W9" s="842">
        <f t="shared" si="9"/>
        <v>720.06</v>
      </c>
      <c r="X9" s="842">
        <f t="shared" si="9"/>
        <v>2419.92</v>
      </c>
      <c r="Y9" s="842">
        <f t="shared" si="9"/>
        <v>5023.4399999999996</v>
      </c>
    </row>
    <row r="10" spans="1:25">
      <c r="A10" s="832" t="s">
        <v>2483</v>
      </c>
      <c r="B10" s="838">
        <v>388</v>
      </c>
      <c r="C10" s="838">
        <v>274</v>
      </c>
      <c r="D10" s="838">
        <v>262</v>
      </c>
      <c r="E10" s="838">
        <v>227</v>
      </c>
      <c r="F10" s="838">
        <v>156</v>
      </c>
      <c r="G10" s="838">
        <v>200</v>
      </c>
      <c r="H10" s="838">
        <v>209</v>
      </c>
      <c r="I10" s="838"/>
      <c r="J10" s="840">
        <f t="shared" si="0"/>
        <v>6.1205658019226047E-2</v>
      </c>
      <c r="K10" s="840">
        <f t="shared" si="1"/>
        <v>4.2308674396542248E-2</v>
      </c>
      <c r="L10" s="840">
        <f t="shared" si="2"/>
        <v>2.9080226005551341E-2</v>
      </c>
      <c r="M10" s="840">
        <f t="shared" si="3"/>
        <v>3.6964408818968654E-2</v>
      </c>
      <c r="N10" s="840">
        <f t="shared" si="4"/>
        <v>3.8710083698980012E-2</v>
      </c>
      <c r="O10" s="833"/>
      <c r="P10" s="841">
        <f>+Q10*0.75</f>
        <v>300000</v>
      </c>
      <c r="Q10" s="841">
        <v>400000</v>
      </c>
      <c r="R10" s="833"/>
      <c r="S10" s="842">
        <f t="shared" si="5"/>
        <v>116.4</v>
      </c>
      <c r="T10" s="842">
        <f t="shared" si="6"/>
        <v>82.2</v>
      </c>
      <c r="U10" s="842">
        <f t="shared" si="7"/>
        <v>78.599999999999994</v>
      </c>
      <c r="V10" s="842">
        <f t="shared" si="8"/>
        <v>68.099999999999994</v>
      </c>
      <c r="W10" s="842">
        <f t="shared" si="9"/>
        <v>46.8</v>
      </c>
      <c r="X10" s="842">
        <f t="shared" si="9"/>
        <v>60</v>
      </c>
      <c r="Y10" s="842">
        <f t="shared" si="9"/>
        <v>62.7</v>
      </c>
    </row>
    <row r="11" spans="1:25">
      <c r="A11" s="832" t="s">
        <v>2510</v>
      </c>
      <c r="B11" s="838"/>
      <c r="C11" s="838"/>
      <c r="D11" s="838"/>
      <c r="E11" s="838"/>
      <c r="F11" s="838"/>
      <c r="G11" s="838"/>
      <c r="H11" s="838">
        <v>75</v>
      </c>
      <c r="I11" s="838"/>
      <c r="J11" s="840">
        <f t="shared" si="0"/>
        <v>0</v>
      </c>
      <c r="K11" s="840">
        <f t="shared" si="1"/>
        <v>0</v>
      </c>
      <c r="L11" s="840">
        <f t="shared" si="2"/>
        <v>0</v>
      </c>
      <c r="M11" s="840">
        <f t="shared" si="3"/>
        <v>0</v>
      </c>
      <c r="N11" s="840">
        <f t="shared" si="4"/>
        <v>1.3891178360877996E-2</v>
      </c>
      <c r="O11" s="833"/>
      <c r="P11" s="841">
        <f>+Q11*0.75</f>
        <v>495000</v>
      </c>
      <c r="Q11" s="841">
        <v>660000</v>
      </c>
      <c r="R11" s="833"/>
      <c r="S11" s="842"/>
      <c r="T11" s="842"/>
      <c r="U11" s="842"/>
      <c r="V11" s="842"/>
      <c r="W11" s="842"/>
      <c r="X11" s="842"/>
      <c r="Y11" s="842">
        <f t="shared" si="9"/>
        <v>37.125</v>
      </c>
    </row>
    <row r="12" spans="1:25">
      <c r="A12" s="832" t="s">
        <v>2509</v>
      </c>
      <c r="B12" s="838"/>
      <c r="C12" s="838"/>
      <c r="D12" s="838"/>
      <c r="E12" s="838"/>
      <c r="F12" s="838"/>
      <c r="G12" s="838"/>
      <c r="H12" s="838">
        <v>17974</v>
      </c>
      <c r="I12" s="838"/>
      <c r="J12" s="840">
        <f t="shared" si="0"/>
        <v>0</v>
      </c>
      <c r="K12" s="840">
        <f t="shared" si="1"/>
        <v>0</v>
      </c>
      <c r="L12" s="840">
        <f t="shared" si="2"/>
        <v>0</v>
      </c>
      <c r="M12" s="840">
        <f t="shared" si="3"/>
        <v>0</v>
      </c>
      <c r="N12" s="840">
        <f t="shared" si="4"/>
        <v>3.3290671981122815</v>
      </c>
      <c r="O12" s="833"/>
      <c r="P12" s="841">
        <f>+Q12*0.75</f>
        <v>45750</v>
      </c>
      <c r="Q12" s="841">
        <v>61000</v>
      </c>
      <c r="R12" s="833"/>
      <c r="S12" s="842"/>
      <c r="T12" s="842"/>
      <c r="U12" s="842"/>
      <c r="V12" s="842"/>
      <c r="W12" s="842"/>
      <c r="X12" s="842"/>
      <c r="Y12" s="842">
        <f t="shared" si="9"/>
        <v>822.31050000000005</v>
      </c>
    </row>
    <row r="13" spans="1:25">
      <c r="A13" s="832" t="s">
        <v>2484</v>
      </c>
      <c r="B13" s="843">
        <f>Quarterly!AJ184</f>
        <v>74838</v>
      </c>
      <c r="C13" s="843">
        <f>Quarterly!AK184</f>
        <v>55257</v>
      </c>
      <c r="D13" s="843">
        <f>Quarterly!AL184</f>
        <v>48628</v>
      </c>
      <c r="E13" s="843">
        <f>Quarterly!AM184</f>
        <v>50715</v>
      </c>
      <c r="F13" s="843">
        <f>Quarterly!AN184</f>
        <v>67117</v>
      </c>
      <c r="G13" s="843">
        <v>66034</v>
      </c>
      <c r="H13" s="843">
        <v>71129</v>
      </c>
      <c r="I13" s="843"/>
      <c r="J13" s="840">
        <f t="shared" si="0"/>
        <v>11.359957015873757</v>
      </c>
      <c r="K13" s="840">
        <f t="shared" si="1"/>
        <v>9.4523542820292494</v>
      </c>
      <c r="L13" s="840">
        <f t="shared" si="2"/>
        <v>12.511394415478136</v>
      </c>
      <c r="M13" s="840">
        <f t="shared" si="3"/>
        <v>12.204538859758882</v>
      </c>
      <c r="N13" s="840">
        <f t="shared" si="4"/>
        <v>13.174208341745214</v>
      </c>
      <c r="O13" s="833"/>
      <c r="P13" s="841">
        <f>+Q13*0.75</f>
        <v>105000</v>
      </c>
      <c r="Q13" s="841">
        <v>140000</v>
      </c>
      <c r="R13" s="833"/>
      <c r="S13" s="842">
        <f t="shared" si="5"/>
        <v>7857.99</v>
      </c>
      <c r="T13" s="842">
        <f t="shared" si="6"/>
        <v>5801.9849999999997</v>
      </c>
      <c r="U13" s="842">
        <f t="shared" si="7"/>
        <v>5105.9399999999996</v>
      </c>
      <c r="V13" s="842">
        <f t="shared" si="8"/>
        <v>5325.0749999999998</v>
      </c>
      <c r="W13" s="842">
        <f>+$P13*F13/10^6</f>
        <v>7047.2849999999999</v>
      </c>
      <c r="X13" s="842">
        <f>+$P13*G13/10^6</f>
        <v>6933.57</v>
      </c>
      <c r="Y13" s="842">
        <f>+$P13*H13/10^6</f>
        <v>7468.5450000000001</v>
      </c>
    </row>
    <row r="14" spans="1:25">
      <c r="A14" s="832" t="s">
        <v>2498</v>
      </c>
      <c r="B14" s="843"/>
      <c r="C14" s="843"/>
      <c r="D14" s="843"/>
      <c r="E14" s="843"/>
      <c r="F14" s="843"/>
      <c r="G14" s="843">
        <v>0</v>
      </c>
      <c r="H14" s="843">
        <v>0</v>
      </c>
      <c r="I14" s="843"/>
      <c r="J14" s="840">
        <f t="shared" ref="J14" si="10">D14/D$15*100</f>
        <v>0</v>
      </c>
      <c r="K14" s="840">
        <f t="shared" ref="K14" si="11">E14/E$15*100</f>
        <v>0</v>
      </c>
      <c r="L14" s="840">
        <f t="shared" ref="L14" si="12">F14/F$15*100</f>
        <v>0</v>
      </c>
      <c r="M14" s="840">
        <f t="shared" ref="M14" si="13">G14/G$15*100</f>
        <v>0</v>
      </c>
      <c r="N14" s="840">
        <f>H14/H$15*100</f>
        <v>0</v>
      </c>
      <c r="O14" s="833"/>
      <c r="P14" s="841">
        <f>2100*0.9*66</f>
        <v>124740</v>
      </c>
      <c r="Q14" s="841"/>
      <c r="R14" s="833"/>
      <c r="S14" s="842"/>
      <c r="T14" s="842"/>
      <c r="U14" s="842"/>
      <c r="V14" s="842"/>
      <c r="W14" s="842"/>
      <c r="X14" s="842"/>
      <c r="Y14" s="842">
        <f>+$P14*H14/10^6</f>
        <v>0</v>
      </c>
    </row>
    <row r="15" spans="1:25">
      <c r="A15" s="827" t="s">
        <v>230</v>
      </c>
      <c r="B15" s="844">
        <f t="shared" ref="B15:F15" si="14">SUM(B3:B13)</f>
        <v>536618</v>
      </c>
      <c r="C15" s="844">
        <f t="shared" si="14"/>
        <v>494106</v>
      </c>
      <c r="D15" s="844">
        <f t="shared" si="14"/>
        <v>428065</v>
      </c>
      <c r="E15" s="844">
        <f t="shared" si="14"/>
        <v>536533</v>
      </c>
      <c r="F15" s="844">
        <f t="shared" si="14"/>
        <v>536447</v>
      </c>
      <c r="G15" s="844">
        <f>SUM(G3:G14)</f>
        <v>541061</v>
      </c>
      <c r="H15" s="844">
        <f>SUM(H3:H14)</f>
        <v>539911</v>
      </c>
      <c r="I15" s="845"/>
      <c r="J15" s="875">
        <f>D15/D$15*100</f>
        <v>100</v>
      </c>
      <c r="K15" s="875">
        <f>E15/E$15*100</f>
        <v>100</v>
      </c>
      <c r="L15" s="875">
        <f>F15/F$15*100</f>
        <v>100</v>
      </c>
      <c r="M15" s="875">
        <f>G15/G$15*100</f>
        <v>100</v>
      </c>
      <c r="N15" s="875">
        <f>H15/H$15*100</f>
        <v>100</v>
      </c>
      <c r="O15" s="833"/>
      <c r="P15" s="833"/>
      <c r="Q15" s="833"/>
      <c r="R15" s="833" t="s">
        <v>2485</v>
      </c>
      <c r="S15" s="846">
        <f t="shared" ref="S15:X15" si="15">+SUM(S3:S13)</f>
        <v>27652.972500000003</v>
      </c>
      <c r="T15" s="846">
        <f t="shared" si="15"/>
        <v>24732.409500000002</v>
      </c>
      <c r="U15" s="846">
        <f t="shared" si="15"/>
        <v>21687.222749999997</v>
      </c>
      <c r="V15" s="846">
        <f t="shared" si="15"/>
        <v>24923.471249999999</v>
      </c>
      <c r="W15" s="846">
        <f t="shared" si="15"/>
        <v>26803.537500000002</v>
      </c>
      <c r="X15" s="846">
        <f t="shared" si="15"/>
        <v>27142.707000000002</v>
      </c>
      <c r="Y15" s="846">
        <f>+SUM(Y3:Y14)</f>
        <v>28759.875</v>
      </c>
    </row>
    <row r="16" spans="1:25">
      <c r="A16" s="847"/>
      <c r="B16" s="847"/>
      <c r="C16" s="847"/>
      <c r="D16" s="845"/>
      <c r="E16" s="845"/>
      <c r="F16" s="845"/>
      <c r="G16" s="845"/>
      <c r="H16" s="845"/>
      <c r="I16" s="845"/>
      <c r="J16" s="840"/>
      <c r="K16" s="840"/>
      <c r="L16" s="840"/>
      <c r="M16" s="840"/>
      <c r="N16" s="840"/>
      <c r="O16" s="833"/>
      <c r="P16" s="833"/>
      <c r="Q16" s="833"/>
      <c r="R16" s="833"/>
      <c r="S16" s="833"/>
    </row>
    <row r="17" spans="1:25">
      <c r="B17" s="838"/>
      <c r="C17" s="838"/>
      <c r="D17" s="838"/>
      <c r="E17" s="838"/>
      <c r="F17" s="838"/>
      <c r="G17" s="838"/>
      <c r="H17" s="838"/>
      <c r="I17" s="845"/>
      <c r="J17" s="840"/>
      <c r="K17" s="840"/>
      <c r="L17" s="840"/>
      <c r="M17" s="840"/>
      <c r="N17" s="840"/>
      <c r="O17" s="833"/>
      <c r="P17" s="833"/>
      <c r="Q17" s="833"/>
      <c r="R17" s="833" t="s">
        <v>2486</v>
      </c>
      <c r="S17" s="842">
        <f t="shared" ref="S17:Y17" si="16">+S15/B15*10^6</f>
        <v>51531.951034068938</v>
      </c>
      <c r="T17" s="842">
        <f t="shared" si="16"/>
        <v>50054.865757550004</v>
      </c>
      <c r="U17" s="842">
        <f t="shared" si="16"/>
        <v>50663.386985621342</v>
      </c>
      <c r="V17" s="842">
        <f t="shared" si="16"/>
        <v>46452.820702547651</v>
      </c>
      <c r="W17" s="842">
        <f t="shared" si="16"/>
        <v>49964.931297966068</v>
      </c>
      <c r="X17" s="842">
        <f t="shared" si="16"/>
        <v>50165.705900074114</v>
      </c>
      <c r="Y17" s="842">
        <f t="shared" si="16"/>
        <v>53267.807101540813</v>
      </c>
    </row>
    <row r="18" spans="1:25">
      <c r="A18" s="847"/>
      <c r="B18" s="847"/>
      <c r="C18" s="847"/>
      <c r="D18" s="845"/>
      <c r="E18" s="845"/>
      <c r="F18" s="845"/>
      <c r="G18" s="845"/>
      <c r="H18" s="845"/>
      <c r="I18" s="845"/>
      <c r="J18" s="840"/>
      <c r="K18" s="840"/>
      <c r="L18" s="840"/>
      <c r="M18" s="840"/>
      <c r="N18" s="840"/>
      <c r="O18" s="833"/>
      <c r="P18" s="833"/>
      <c r="Q18" s="833"/>
      <c r="R18" s="832" t="s">
        <v>625</v>
      </c>
      <c r="S18" s="833"/>
      <c r="T18" s="848">
        <f t="shared" ref="T18:Y18" si="17">+T17/S17-1</f>
        <v>-2.8663484437885911E-2</v>
      </c>
      <c r="U18" s="848">
        <f t="shared" si="17"/>
        <v>1.2157084408513263E-2</v>
      </c>
      <c r="V18" s="848">
        <f t="shared" si="17"/>
        <v>-8.3108661571889786E-2</v>
      </c>
      <c r="W18" s="848">
        <f t="shared" si="17"/>
        <v>7.5605970580507664E-2</v>
      </c>
      <c r="X18" s="848">
        <f t="shared" si="17"/>
        <v>4.0183103807494014E-3</v>
      </c>
      <c r="Y18" s="848">
        <f t="shared" si="17"/>
        <v>6.1837088620776637E-2</v>
      </c>
    </row>
    <row r="19" spans="1:25">
      <c r="A19" s="847"/>
      <c r="B19" s="847"/>
      <c r="C19" s="847"/>
      <c r="D19" s="845"/>
      <c r="E19" s="845"/>
      <c r="F19" s="845"/>
      <c r="G19" s="845"/>
      <c r="H19" s="845"/>
      <c r="I19" s="845"/>
      <c r="J19" s="840"/>
      <c r="K19" s="840"/>
      <c r="L19" s="840"/>
      <c r="M19" s="840"/>
      <c r="N19" s="840"/>
      <c r="O19" s="833"/>
      <c r="P19" s="833"/>
      <c r="Q19" s="833"/>
      <c r="R19" s="833"/>
      <c r="S19" s="833"/>
      <c r="V19" s="848"/>
      <c r="W19" s="848"/>
      <c r="X19" s="848"/>
      <c r="Y19" s="848"/>
    </row>
    <row r="20" spans="1:25">
      <c r="A20" s="849"/>
      <c r="B20" s="849"/>
      <c r="C20" s="849"/>
      <c r="D20" s="850"/>
      <c r="E20" s="850"/>
      <c r="F20" s="850"/>
      <c r="G20" s="850"/>
      <c r="H20" s="850"/>
      <c r="I20" s="845"/>
      <c r="J20" s="833"/>
      <c r="K20" s="833"/>
      <c r="L20" s="833"/>
      <c r="M20" s="833"/>
      <c r="N20" s="833"/>
      <c r="O20" s="833"/>
      <c r="P20" s="833"/>
      <c r="Q20" s="833"/>
      <c r="R20" s="833" t="s">
        <v>2496</v>
      </c>
      <c r="S20" s="833"/>
      <c r="V20" s="869">
        <v>63.9</v>
      </c>
      <c r="W20" s="868">
        <v>64.895200000000003</v>
      </c>
      <c r="X20" s="868">
        <v>65.918899999999994</v>
      </c>
      <c r="Y20" s="868">
        <v>67.468299999999999</v>
      </c>
    </row>
    <row r="21" spans="1:25">
      <c r="A21" s="833"/>
      <c r="B21" s="833"/>
      <c r="C21" s="833"/>
      <c r="D21" s="828" t="s">
        <v>575</v>
      </c>
      <c r="E21" s="829"/>
      <c r="F21" s="829"/>
      <c r="G21" s="829"/>
      <c r="H21" s="829"/>
      <c r="I21" s="830"/>
      <c r="J21" s="828" t="s">
        <v>574</v>
      </c>
      <c r="K21" s="829"/>
      <c r="L21" s="829"/>
      <c r="M21" s="829"/>
      <c r="N21" s="829"/>
      <c r="O21" s="833"/>
      <c r="P21" s="833"/>
      <c r="Q21" s="833"/>
      <c r="R21" s="833" t="s">
        <v>2495</v>
      </c>
      <c r="S21" s="833">
        <f>+Quarterly!AJ211</f>
        <v>61.5</v>
      </c>
      <c r="T21" s="833">
        <f>+Quarterly!AK211</f>
        <v>62.8</v>
      </c>
      <c r="U21" s="833">
        <f>+Quarterly!AL211</f>
        <v>62.8</v>
      </c>
      <c r="V21" s="833">
        <f>+Quarterly!AM211</f>
        <v>63.9</v>
      </c>
      <c r="W21" s="833">
        <f>+Quarterly!AN211</f>
        <v>65.2</v>
      </c>
      <c r="X21" s="833">
        <f>+Quarterly!AO211</f>
        <v>66</v>
      </c>
      <c r="Y21" s="833">
        <f>+Quarterly!AP211</f>
        <v>67.5</v>
      </c>
    </row>
    <row r="22" spans="1:25">
      <c r="A22" s="851" t="s">
        <v>2487</v>
      </c>
      <c r="B22" s="852" t="s">
        <v>2477</v>
      </c>
      <c r="C22" s="852" t="s">
        <v>2478</v>
      </c>
      <c r="D22" s="834" t="s">
        <v>2479</v>
      </c>
      <c r="E22" s="834" t="s">
        <v>2417</v>
      </c>
      <c r="F22" s="834" t="s">
        <v>2467</v>
      </c>
      <c r="G22" s="834" t="str">
        <f>+G2</f>
        <v>Q3FY16</v>
      </c>
      <c r="H22" s="834" t="str">
        <f>+H2</f>
        <v>Q4FY16</v>
      </c>
      <c r="I22" s="835"/>
      <c r="J22" s="834" t="s">
        <v>2479</v>
      </c>
      <c r="K22" s="834" t="s">
        <v>2417</v>
      </c>
      <c r="L22" s="834" t="s">
        <v>2467</v>
      </c>
      <c r="M22" s="834" t="str">
        <f>+M2</f>
        <v>Q3FY16</v>
      </c>
      <c r="N22" s="834" t="str">
        <f>+N2</f>
        <v>Q4FY16</v>
      </c>
      <c r="O22" s="833"/>
      <c r="P22" s="833"/>
      <c r="Q22" s="833"/>
      <c r="R22" s="833"/>
      <c r="S22" s="834" t="s">
        <v>2477</v>
      </c>
      <c r="T22" s="834" t="s">
        <v>2478</v>
      </c>
      <c r="U22" s="834" t="s">
        <v>2479</v>
      </c>
      <c r="V22" s="834" t="s">
        <v>2417</v>
      </c>
      <c r="W22" s="834" t="s">
        <v>2467</v>
      </c>
      <c r="X22" s="834" t="s">
        <v>2494</v>
      </c>
      <c r="Y22" s="834" t="s">
        <v>2504</v>
      </c>
    </row>
    <row r="23" spans="1:25">
      <c r="A23" s="836" t="s">
        <v>621</v>
      </c>
      <c r="B23" s="853">
        <v>19529</v>
      </c>
      <c r="C23" s="853">
        <v>16128</v>
      </c>
      <c r="D23" s="853">
        <v>13807</v>
      </c>
      <c r="E23" s="853">
        <v>18222</v>
      </c>
      <c r="F23" s="853">
        <v>21672</v>
      </c>
      <c r="G23" s="853">
        <v>13175</v>
      </c>
      <c r="H23" s="853">
        <v>8954</v>
      </c>
      <c r="I23" s="843"/>
      <c r="J23" s="839">
        <f t="shared" ref="J23:N34" si="18">D23/D$35*100</f>
        <v>3.8936500819226003</v>
      </c>
      <c r="K23" s="839">
        <f t="shared" si="18"/>
        <v>3.8085802786521366</v>
      </c>
      <c r="L23" s="839">
        <f t="shared" si="18"/>
        <v>4.1664984456376928</v>
      </c>
      <c r="M23" s="839">
        <f t="shared" si="18"/>
        <v>3.2099932510957832</v>
      </c>
      <c r="N23" s="839">
        <f t="shared" si="18"/>
        <v>2.6925517295299612</v>
      </c>
      <c r="O23" s="833"/>
      <c r="P23" s="841">
        <f>+P3*1.11</f>
        <v>31635.000000000004</v>
      </c>
      <c r="Q23" s="833"/>
      <c r="R23" s="833"/>
      <c r="S23" s="854">
        <f t="shared" ref="S23:U30" si="19">+$P23*B23/10^6*(S$21/$V$20)</f>
        <v>594.59616232394387</v>
      </c>
      <c r="T23" s="854">
        <f t="shared" si="19"/>
        <v>501.42633464788736</v>
      </c>
      <c r="U23" s="854">
        <f t="shared" si="19"/>
        <v>429.26546394366204</v>
      </c>
      <c r="V23" s="854">
        <f>+$P23*E23/10^6*(V$21/$V$20)</f>
        <v>576.45297000000016</v>
      </c>
      <c r="W23" s="854">
        <f t="shared" ref="W23:Y34" si="20">+$P23*F23/10^6*(W$21/$V$20)</f>
        <v>699.54163605633812</v>
      </c>
      <c r="X23" s="854">
        <f t="shared" si="20"/>
        <v>430.48848591549307</v>
      </c>
      <c r="Y23" s="854">
        <f t="shared" si="20"/>
        <v>299.21808802816906</v>
      </c>
    </row>
    <row r="24" spans="1:25">
      <c r="A24" s="832" t="s">
        <v>48</v>
      </c>
      <c r="B24" s="843">
        <v>87674</v>
      </c>
      <c r="C24" s="843">
        <v>61871</v>
      </c>
      <c r="D24" s="843">
        <v>62642</v>
      </c>
      <c r="E24" s="843">
        <v>42013</v>
      </c>
      <c r="F24" s="843">
        <v>42497</v>
      </c>
      <c r="G24" s="843">
        <v>29010</v>
      </c>
      <c r="H24" s="843">
        <v>31243</v>
      </c>
      <c r="I24" s="843"/>
      <c r="J24" s="840">
        <f t="shared" si="18"/>
        <v>17.665389181704612</v>
      </c>
      <c r="K24" s="840">
        <f t="shared" si="18"/>
        <v>8.7811372652295141</v>
      </c>
      <c r="L24" s="840">
        <f t="shared" si="18"/>
        <v>8.1701589352281747</v>
      </c>
      <c r="M24" s="840">
        <f t="shared" si="18"/>
        <v>7.068076221198381</v>
      </c>
      <c r="N24" s="840">
        <f t="shared" si="18"/>
        <v>9.395062953507324</v>
      </c>
      <c r="O24" s="833"/>
      <c r="P24" s="841">
        <f>+P4*1.11</f>
        <v>37462.5</v>
      </c>
      <c r="Q24" s="833"/>
      <c r="R24" s="833"/>
      <c r="S24" s="854">
        <f t="shared" si="19"/>
        <v>3161.1262024647885</v>
      </c>
      <c r="T24" s="854">
        <f t="shared" si="19"/>
        <v>2277.9420781690142</v>
      </c>
      <c r="U24" s="854">
        <f t="shared" si="19"/>
        <v>2306.3284521126761</v>
      </c>
      <c r="V24" s="854">
        <f t="shared" ref="V24:V33" si="21">+$P24*E24/10^6*(V$21/$V$20)</f>
        <v>1573.9120124999999</v>
      </c>
      <c r="W24" s="854">
        <f t="shared" si="20"/>
        <v>1624.4328612676056</v>
      </c>
      <c r="X24" s="854">
        <f t="shared" si="20"/>
        <v>1122.503133802817</v>
      </c>
      <c r="Y24" s="854">
        <f t="shared" si="20"/>
        <v>1236.3812191901407</v>
      </c>
    </row>
    <row r="25" spans="1:25">
      <c r="A25" s="832" t="s">
        <v>2272</v>
      </c>
      <c r="B25" s="843">
        <v>204828</v>
      </c>
      <c r="C25" s="843">
        <v>211554</v>
      </c>
      <c r="D25" s="843">
        <v>110238</v>
      </c>
      <c r="E25" s="843">
        <v>208154</v>
      </c>
      <c r="F25" s="843">
        <v>233023</v>
      </c>
      <c r="G25" s="843">
        <v>195830</v>
      </c>
      <c r="H25" s="843">
        <v>116339</v>
      </c>
      <c r="I25" s="843"/>
      <c r="J25" s="840">
        <f t="shared" si="18"/>
        <v>31.087723454116293</v>
      </c>
      <c r="K25" s="840">
        <f t="shared" si="18"/>
        <v>43.506268209996527</v>
      </c>
      <c r="L25" s="840">
        <f t="shared" si="18"/>
        <v>44.799278668227757</v>
      </c>
      <c r="M25" s="840">
        <f t="shared" si="18"/>
        <v>47.712560027482901</v>
      </c>
      <c r="N25" s="840">
        <f t="shared" si="18"/>
        <v>34.984227793364546</v>
      </c>
      <c r="O25" s="833"/>
      <c r="P25" s="841">
        <f>+P5*1.15</f>
        <v>31049.999999999996</v>
      </c>
      <c r="Q25" s="833"/>
      <c r="R25" s="833"/>
      <c r="S25" s="854">
        <f t="shared" si="19"/>
        <v>6121.03956338028</v>
      </c>
      <c r="T25" s="854">
        <f t="shared" si="19"/>
        <v>6455.6745971830969</v>
      </c>
      <c r="U25" s="854">
        <f t="shared" si="19"/>
        <v>3363.9669126760559</v>
      </c>
      <c r="V25" s="854">
        <f t="shared" si="21"/>
        <v>6463.1816999999992</v>
      </c>
      <c r="W25" s="854">
        <f t="shared" si="20"/>
        <v>7382.5624816901409</v>
      </c>
      <c r="X25" s="854">
        <f t="shared" si="20"/>
        <v>6280.3508450704212</v>
      </c>
      <c r="Y25" s="854">
        <f t="shared" si="20"/>
        <v>3815.8372711267598</v>
      </c>
    </row>
    <row r="26" spans="1:25">
      <c r="A26" s="832" t="s">
        <v>2482</v>
      </c>
      <c r="B26" s="843">
        <v>42222</v>
      </c>
      <c r="C26" s="843">
        <v>41040</v>
      </c>
      <c r="D26" s="843">
        <v>34868</v>
      </c>
      <c r="E26" s="843">
        <v>46468</v>
      </c>
      <c r="F26" s="843">
        <v>33776</v>
      </c>
      <c r="G26" s="843">
        <v>29855</v>
      </c>
      <c r="H26" s="843">
        <v>35228</v>
      </c>
      <c r="I26" s="843"/>
      <c r="J26" s="840">
        <f t="shared" si="18"/>
        <v>9.8329681361973815</v>
      </c>
      <c r="K26" s="840">
        <f t="shared" si="18"/>
        <v>9.7122768295690634</v>
      </c>
      <c r="L26" s="840">
        <f t="shared" si="18"/>
        <v>6.493523971015998</v>
      </c>
      <c r="M26" s="840">
        <f t="shared" si="18"/>
        <v>7.2739543462212231</v>
      </c>
      <c r="N26" s="840">
        <f t="shared" si="18"/>
        <v>10.59338980655366</v>
      </c>
      <c r="O26" s="833"/>
      <c r="P26" s="841">
        <f>+P6*1.11</f>
        <v>30802.500000000004</v>
      </c>
      <c r="Q26" s="833"/>
      <c r="R26" s="833"/>
      <c r="S26" s="854">
        <f t="shared" si="19"/>
        <v>1251.6964637323947</v>
      </c>
      <c r="T26" s="854">
        <f t="shared" si="19"/>
        <v>1242.3732845070426</v>
      </c>
      <c r="U26" s="854">
        <f t="shared" si="19"/>
        <v>1055.5329357746482</v>
      </c>
      <c r="V26" s="854">
        <f t="shared" si="21"/>
        <v>1431.3305700000003</v>
      </c>
      <c r="W26" s="854">
        <f t="shared" si="20"/>
        <v>1061.5511369014087</v>
      </c>
      <c r="X26" s="854">
        <f t="shared" si="20"/>
        <v>949.83051760563399</v>
      </c>
      <c r="Y26" s="854">
        <f t="shared" si="20"/>
        <v>1146.2434542253523</v>
      </c>
    </row>
    <row r="27" spans="1:25">
      <c r="A27" s="832" t="s">
        <v>949</v>
      </c>
      <c r="B27" s="843">
        <v>12695</v>
      </c>
      <c r="C27" s="843">
        <v>10010</v>
      </c>
      <c r="D27" s="843">
        <v>12726</v>
      </c>
      <c r="E27" s="843">
        <v>11916</v>
      </c>
      <c r="F27" s="843">
        <v>6466</v>
      </c>
      <c r="G27" s="843">
        <v>8344</v>
      </c>
      <c r="H27" s="843">
        <v>13799</v>
      </c>
      <c r="I27" s="843"/>
      <c r="J27" s="840">
        <f t="shared" si="18"/>
        <v>3.5888021251935265</v>
      </c>
      <c r="K27" s="840">
        <f t="shared" si="18"/>
        <v>2.490563198354673</v>
      </c>
      <c r="L27" s="840">
        <f t="shared" si="18"/>
        <v>1.2431053409696069</v>
      </c>
      <c r="M27" s="840">
        <f t="shared" si="18"/>
        <v>2.0329551185687449</v>
      </c>
      <c r="N27" s="840">
        <f t="shared" si="18"/>
        <v>4.1494886437105132</v>
      </c>
      <c r="O27" s="833"/>
      <c r="P27" s="841">
        <f>+P7*1.11</f>
        <v>133200</v>
      </c>
      <c r="Q27" s="833"/>
      <c r="R27" s="833"/>
      <c r="S27" s="854">
        <f t="shared" si="19"/>
        <v>1627.4632394366197</v>
      </c>
      <c r="T27" s="854">
        <f t="shared" si="19"/>
        <v>1310.3794929577466</v>
      </c>
      <c r="U27" s="854">
        <f t="shared" si="19"/>
        <v>1665.9230197183099</v>
      </c>
      <c r="V27" s="854">
        <f t="shared" si="21"/>
        <v>1587.2112</v>
      </c>
      <c r="W27" s="854">
        <f t="shared" si="20"/>
        <v>878.7931492957747</v>
      </c>
      <c r="X27" s="854">
        <f t="shared" si="20"/>
        <v>1147.9463661971831</v>
      </c>
      <c r="Y27" s="854">
        <f t="shared" si="20"/>
        <v>1941.5776056338027</v>
      </c>
    </row>
    <row r="28" spans="1:25">
      <c r="A28" s="832" t="s">
        <v>619</v>
      </c>
      <c r="B28" s="843">
        <v>68379</v>
      </c>
      <c r="C28" s="843">
        <v>64362</v>
      </c>
      <c r="D28" s="843">
        <v>58702</v>
      </c>
      <c r="E28" s="843">
        <v>62833</v>
      </c>
      <c r="F28" s="843">
        <v>95152</v>
      </c>
      <c r="G28" s="843">
        <v>76158</v>
      </c>
      <c r="H28" s="843">
        <v>76744</v>
      </c>
      <c r="I28" s="843"/>
      <c r="J28" s="840">
        <f t="shared" si="18"/>
        <v>16.554287470777179</v>
      </c>
      <c r="K28" s="840">
        <f t="shared" si="18"/>
        <v>13.132725532243974</v>
      </c>
      <c r="L28" s="840">
        <f t="shared" si="18"/>
        <v>18.293219827395614</v>
      </c>
      <c r="M28" s="840">
        <f t="shared" si="18"/>
        <v>18.555344669218417</v>
      </c>
      <c r="N28" s="840">
        <f t="shared" si="18"/>
        <v>23.077640153121212</v>
      </c>
      <c r="O28" s="833"/>
      <c r="P28" s="841">
        <f>+P8*1.11</f>
        <v>64102.500000000007</v>
      </c>
      <c r="Q28" s="833"/>
      <c r="R28" s="833"/>
      <c r="S28" s="854">
        <f t="shared" si="19"/>
        <v>4218.6351818661979</v>
      </c>
      <c r="T28" s="854">
        <f t="shared" si="19"/>
        <v>4054.7425445070426</v>
      </c>
      <c r="U28" s="854">
        <f t="shared" si="19"/>
        <v>3698.1681247887327</v>
      </c>
      <c r="V28" s="854">
        <f t="shared" si="21"/>
        <v>4027.7523825000003</v>
      </c>
      <c r="W28" s="854">
        <f t="shared" si="20"/>
        <v>6223.5706794366215</v>
      </c>
      <c r="X28" s="854">
        <f t="shared" si="20"/>
        <v>5042.356821126762</v>
      </c>
      <c r="Y28" s="854">
        <f t="shared" si="20"/>
        <v>5196.6361901408454</v>
      </c>
    </row>
    <row r="29" spans="1:25">
      <c r="A29" s="832" t="s">
        <v>51</v>
      </c>
      <c r="B29" s="843">
        <v>1925</v>
      </c>
      <c r="C29" s="843">
        <v>1290</v>
      </c>
      <c r="D29" s="843">
        <v>548</v>
      </c>
      <c r="E29" s="843">
        <v>1761</v>
      </c>
      <c r="F29" s="843">
        <v>1179</v>
      </c>
      <c r="G29" s="843">
        <v>2</v>
      </c>
      <c r="H29" s="843">
        <v>1430</v>
      </c>
      <c r="I29" s="843"/>
      <c r="J29" s="840">
        <f t="shared" si="18"/>
        <v>0.1545390196924448</v>
      </c>
      <c r="K29" s="840">
        <f t="shared" si="18"/>
        <v>0.36806661566822585</v>
      </c>
      <c r="L29" s="840">
        <f t="shared" si="18"/>
        <v>0.22666582075520667</v>
      </c>
      <c r="M29" s="840">
        <f t="shared" si="18"/>
        <v>4.8728550301264267E-4</v>
      </c>
      <c r="N29" s="840">
        <f t="shared" si="18"/>
        <v>0.43001440397898649</v>
      </c>
      <c r="O29" s="833"/>
      <c r="P29" s="841">
        <f>+P9*1.11</f>
        <v>66600</v>
      </c>
      <c r="Q29" s="833"/>
      <c r="R29" s="833"/>
      <c r="S29" s="854">
        <f t="shared" si="19"/>
        <v>123.38978873239438</v>
      </c>
      <c r="T29" s="854">
        <f t="shared" si="19"/>
        <v>84.435042253521132</v>
      </c>
      <c r="U29" s="854">
        <f t="shared" si="19"/>
        <v>35.868529577464791</v>
      </c>
      <c r="V29" s="854">
        <f t="shared" si="21"/>
        <v>117.2826</v>
      </c>
      <c r="W29" s="854">
        <f t="shared" si="20"/>
        <v>80.118861971830995</v>
      </c>
      <c r="X29" s="854">
        <f t="shared" si="20"/>
        <v>0.13757746478873242</v>
      </c>
      <c r="Y29" s="854">
        <f t="shared" si="20"/>
        <v>100.60352112676055</v>
      </c>
    </row>
    <row r="30" spans="1:25">
      <c r="A30" s="832" t="s">
        <v>2483</v>
      </c>
      <c r="B30" s="843">
        <v>0</v>
      </c>
      <c r="C30" s="843">
        <v>0</v>
      </c>
      <c r="D30" s="843">
        <v>0</v>
      </c>
      <c r="E30" s="843">
        <v>0</v>
      </c>
      <c r="F30" s="843">
        <v>2</v>
      </c>
      <c r="G30" s="843">
        <v>0</v>
      </c>
      <c r="H30" s="843">
        <v>0</v>
      </c>
      <c r="I30" s="843"/>
      <c r="J30" s="840">
        <f t="shared" si="18"/>
        <v>0</v>
      </c>
      <c r="K30" s="840">
        <f t="shared" si="18"/>
        <v>0</v>
      </c>
      <c r="L30" s="840">
        <f t="shared" si="18"/>
        <v>3.8450520908432005E-4</v>
      </c>
      <c r="M30" s="840">
        <f t="shared" si="18"/>
        <v>0</v>
      </c>
      <c r="N30" s="840">
        <f t="shared" si="18"/>
        <v>0</v>
      </c>
      <c r="O30" s="833"/>
      <c r="P30" s="841">
        <f>+P10*1.1</f>
        <v>330000</v>
      </c>
      <c r="Q30" s="833"/>
      <c r="R30" s="833"/>
      <c r="S30" s="854">
        <f t="shared" si="19"/>
        <v>0</v>
      </c>
      <c r="T30" s="854">
        <f t="shared" si="19"/>
        <v>0</v>
      </c>
      <c r="U30" s="854">
        <f t="shared" si="19"/>
        <v>0</v>
      </c>
      <c r="V30" s="854">
        <f t="shared" si="21"/>
        <v>0</v>
      </c>
      <c r="W30" s="854">
        <f t="shared" si="20"/>
        <v>0.67342723004694849</v>
      </c>
      <c r="X30" s="854">
        <f t="shared" si="20"/>
        <v>0</v>
      </c>
      <c r="Y30" s="854">
        <f t="shared" si="20"/>
        <v>0</v>
      </c>
    </row>
    <row r="31" spans="1:25">
      <c r="A31" s="832" t="s">
        <v>2510</v>
      </c>
      <c r="B31" s="843"/>
      <c r="C31" s="843"/>
      <c r="D31" s="843"/>
      <c r="E31" s="843"/>
      <c r="F31" s="843"/>
      <c r="G31" s="843">
        <v>0</v>
      </c>
      <c r="H31" s="843">
        <v>0</v>
      </c>
      <c r="I31" s="843"/>
      <c r="J31" s="840">
        <f t="shared" ref="J31" si="22">D31/D$35*100</f>
        <v>0</v>
      </c>
      <c r="K31" s="840">
        <f t="shared" ref="K31" si="23">E31/E$35*100</f>
        <v>0</v>
      </c>
      <c r="L31" s="840">
        <f t="shared" ref="L31" si="24">F31/F$35*100</f>
        <v>0</v>
      </c>
      <c r="M31" s="840">
        <f t="shared" ref="M31" si="25">G31/G$35*100</f>
        <v>0</v>
      </c>
      <c r="N31" s="840">
        <f t="shared" si="18"/>
        <v>0</v>
      </c>
      <c r="O31" s="833"/>
      <c r="P31" s="841">
        <f>+P11*1.1</f>
        <v>544500</v>
      </c>
      <c r="Q31" s="833"/>
      <c r="R31" s="833"/>
      <c r="S31" s="854"/>
      <c r="T31" s="854"/>
      <c r="U31" s="854"/>
      <c r="V31" s="854">
        <f t="shared" si="21"/>
        <v>0</v>
      </c>
      <c r="W31" s="854">
        <f t="shared" si="20"/>
        <v>0</v>
      </c>
      <c r="X31" s="854">
        <f t="shared" si="20"/>
        <v>0</v>
      </c>
      <c r="Y31" s="854">
        <f t="shared" si="20"/>
        <v>0</v>
      </c>
    </row>
    <row r="32" spans="1:25">
      <c r="A32" s="832" t="s">
        <v>2509</v>
      </c>
      <c r="B32" s="843"/>
      <c r="C32" s="843"/>
      <c r="D32" s="843"/>
      <c r="E32" s="843"/>
      <c r="F32" s="843"/>
      <c r="G32" s="843">
        <v>0</v>
      </c>
      <c r="H32" s="843">
        <v>0</v>
      </c>
      <c r="I32" s="843"/>
      <c r="J32" s="840">
        <f t="shared" si="18"/>
        <v>0</v>
      </c>
      <c r="K32" s="840">
        <f t="shared" si="18"/>
        <v>0</v>
      </c>
      <c r="L32" s="840">
        <f t="shared" si="18"/>
        <v>0</v>
      </c>
      <c r="M32" s="840">
        <f t="shared" si="18"/>
        <v>0</v>
      </c>
      <c r="N32" s="840">
        <f t="shared" si="18"/>
        <v>0</v>
      </c>
      <c r="O32" s="833"/>
      <c r="P32" s="841">
        <f>+P12*1.1</f>
        <v>50325.000000000007</v>
      </c>
      <c r="Q32" s="833"/>
      <c r="R32" s="833"/>
      <c r="S32" s="854"/>
      <c r="T32" s="854"/>
      <c r="U32" s="854"/>
      <c r="V32" s="854">
        <f t="shared" si="21"/>
        <v>0</v>
      </c>
      <c r="W32" s="854">
        <f t="shared" si="20"/>
        <v>0</v>
      </c>
      <c r="X32" s="854">
        <f t="shared" si="20"/>
        <v>0</v>
      </c>
      <c r="Y32" s="854">
        <f t="shared" si="20"/>
        <v>0</v>
      </c>
    </row>
    <row r="33" spans="1:27">
      <c r="A33" s="832" t="s">
        <v>2484</v>
      </c>
      <c r="B33" s="843">
        <f>Quarterly!AJ189</f>
        <v>81591</v>
      </c>
      <c r="C33" s="843">
        <f>Quarterly!AK189</f>
        <v>84159</v>
      </c>
      <c r="D33" s="843">
        <f>Quarterly!AL189</f>
        <v>61072</v>
      </c>
      <c r="E33" s="843">
        <f>Quarterly!AM189</f>
        <v>87079</v>
      </c>
      <c r="F33" s="843">
        <f>Quarterly!AN189</f>
        <v>86382</v>
      </c>
      <c r="G33" s="843">
        <v>57947</v>
      </c>
      <c r="H33" s="843">
        <v>48592</v>
      </c>
      <c r="I33" s="843"/>
      <c r="J33" s="840">
        <f>D33/D$35*100</f>
        <v>17.222640530395964</v>
      </c>
      <c r="K33" s="840">
        <f>E33/E$35*100</f>
        <v>18.200382070285883</v>
      </c>
      <c r="L33" s="840">
        <f>F33/F$35*100</f>
        <v>16.607164485560869</v>
      </c>
      <c r="M33" s="840">
        <f>G33/G$35*100</f>
        <v>14.118366521536801</v>
      </c>
      <c r="N33" s="840">
        <f>H33/H$35*100</f>
        <v>14.612069872830006</v>
      </c>
      <c r="O33" s="833"/>
      <c r="P33" s="841">
        <f>+P13*1.1</f>
        <v>115500.00000000001</v>
      </c>
      <c r="Q33" s="833"/>
      <c r="R33" s="833"/>
      <c r="S33" s="854">
        <f t="shared" ref="S33" si="26">+$P33*B33/10^6*(S$21/$V$20)</f>
        <v>9069.8164436619736</v>
      </c>
      <c r="T33" s="854">
        <f t="shared" ref="T33" si="27">+$P33*C33/10^6*(T$21/$V$20)</f>
        <v>9553.034281690143</v>
      </c>
      <c r="U33" s="854">
        <f t="shared" ref="U33" si="28">+$P33*D33/10^6*(U$21/$V$20)</f>
        <v>6932.3888075117375</v>
      </c>
      <c r="V33" s="854">
        <f t="shared" si="21"/>
        <v>10057.624500000002</v>
      </c>
      <c r="W33" s="854">
        <f t="shared" si="20"/>
        <v>10180.098422535213</v>
      </c>
      <c r="X33" s="854">
        <f t="shared" si="20"/>
        <v>6912.8322535211273</v>
      </c>
      <c r="Y33" s="854">
        <f t="shared" si="20"/>
        <v>5928.5661971830996</v>
      </c>
    </row>
    <row r="34" spans="1:27">
      <c r="A34" s="832" t="s">
        <v>2498</v>
      </c>
      <c r="B34" s="843"/>
      <c r="C34" s="843"/>
      <c r="D34" s="843"/>
      <c r="E34" s="843"/>
      <c r="F34" s="843"/>
      <c r="G34" s="843">
        <v>116</v>
      </c>
      <c r="H34" s="843">
        <v>218</v>
      </c>
      <c r="I34" s="843"/>
      <c r="J34" s="840">
        <f t="shared" si="18"/>
        <v>0</v>
      </c>
      <c r="K34" s="840">
        <f t="shared" si="18"/>
        <v>0</v>
      </c>
      <c r="L34" s="840">
        <f t="shared" si="18"/>
        <v>0</v>
      </c>
      <c r="M34" s="840">
        <f t="shared" ref="M34:N36" si="29">G34/G$35*100</f>
        <v>2.8262559174733273E-2</v>
      </c>
      <c r="N34" s="840">
        <f t="shared" si="18"/>
        <v>6.5554643403789539E-2</v>
      </c>
      <c r="O34" s="833"/>
      <c r="P34" s="841">
        <f>2100*0.9*66</f>
        <v>124740</v>
      </c>
      <c r="Q34" s="833"/>
      <c r="R34" s="833"/>
      <c r="S34" s="854"/>
      <c r="T34" s="854"/>
      <c r="U34" s="854"/>
      <c r="V34" s="854">
        <f t="shared" ref="V34" si="30">+$P34*E34/10^6*(V$21/V$20)</f>
        <v>0</v>
      </c>
      <c r="W34" s="854">
        <f t="shared" ref="W34" si="31">+$P34*F34/10^6*(W$21/W$20)</f>
        <v>0</v>
      </c>
      <c r="X34" s="854">
        <f t="shared" si="20"/>
        <v>14.945374647887324</v>
      </c>
      <c r="Y34" s="854">
        <f t="shared" si="20"/>
        <v>28.725338028169013</v>
      </c>
    </row>
    <row r="35" spans="1:27">
      <c r="A35" s="827" t="s">
        <v>230</v>
      </c>
      <c r="B35" s="855">
        <f t="shared" ref="B35:F35" si="32">SUM(B23:B33)</f>
        <v>518843</v>
      </c>
      <c r="C35" s="855">
        <f t="shared" si="32"/>
        <v>490414</v>
      </c>
      <c r="D35" s="855">
        <f t="shared" si="32"/>
        <v>354603</v>
      </c>
      <c r="E35" s="855">
        <f t="shared" si="32"/>
        <v>478446</v>
      </c>
      <c r="F35" s="855">
        <f t="shared" si="32"/>
        <v>520149</v>
      </c>
      <c r="G35" s="855">
        <f>SUM(G23:G34)</f>
        <v>410437</v>
      </c>
      <c r="H35" s="855">
        <f>SUM(H23:H34)</f>
        <v>332547</v>
      </c>
      <c r="I35" s="856"/>
      <c r="J35" s="875">
        <f>D35/D$35*100</f>
        <v>100</v>
      </c>
      <c r="K35" s="875">
        <f>E35/E$35*100</f>
        <v>100</v>
      </c>
      <c r="L35" s="875">
        <f>F35/F$35*100</f>
        <v>100</v>
      </c>
      <c r="M35" s="875">
        <f t="shared" si="29"/>
        <v>100</v>
      </c>
      <c r="N35" s="875">
        <f t="shared" si="29"/>
        <v>100</v>
      </c>
      <c r="O35" s="833"/>
      <c r="P35" s="833"/>
      <c r="Q35" s="833"/>
      <c r="R35" s="833"/>
      <c r="S35" s="846">
        <f t="shared" ref="S35:X35" si="33">+SUM(S23:S33)</f>
        <v>26167.763045598593</v>
      </c>
      <c r="T35" s="846">
        <f t="shared" si="33"/>
        <v>25480.007655915491</v>
      </c>
      <c r="U35" s="846">
        <f t="shared" si="33"/>
        <v>19487.442246103288</v>
      </c>
      <c r="V35" s="846">
        <f t="shared" si="33"/>
        <v>25834.747935000003</v>
      </c>
      <c r="W35" s="846">
        <f t="shared" si="33"/>
        <v>28131.342656384979</v>
      </c>
      <c r="X35" s="846">
        <f t="shared" si="33"/>
        <v>21886.446000704229</v>
      </c>
      <c r="Y35" s="846">
        <f t="shared" ref="Y35" si="34">+SUM(Y23:Y33)</f>
        <v>19665.063546654928</v>
      </c>
      <c r="AA35" s="881"/>
    </row>
    <row r="36" spans="1:27">
      <c r="A36" s="833"/>
      <c r="B36" s="833"/>
      <c r="C36" s="833"/>
      <c r="D36" s="833"/>
      <c r="E36" s="857"/>
      <c r="F36" s="857"/>
      <c r="G36" s="857"/>
      <c r="H36" s="857"/>
      <c r="I36" s="858"/>
      <c r="J36" s="833"/>
      <c r="K36" s="833"/>
      <c r="L36" s="833"/>
      <c r="M36" s="833">
        <f t="shared" si="29"/>
        <v>0</v>
      </c>
      <c r="N36" s="833">
        <f t="shared" si="29"/>
        <v>0</v>
      </c>
      <c r="O36" s="833"/>
      <c r="P36" s="833"/>
      <c r="Q36" s="833"/>
      <c r="R36" s="833"/>
      <c r="S36" s="833"/>
    </row>
    <row r="37" spans="1:27">
      <c r="A37" s="827"/>
      <c r="B37" s="827"/>
      <c r="C37" s="827"/>
      <c r="D37" s="828" t="s">
        <v>575</v>
      </c>
      <c r="E37" s="829"/>
      <c r="F37" s="829"/>
      <c r="G37" s="829"/>
      <c r="H37" s="829"/>
      <c r="I37" s="830"/>
      <c r="J37" s="828" t="s">
        <v>574</v>
      </c>
      <c r="K37" s="831"/>
      <c r="L37" s="831"/>
      <c r="M37" s="831"/>
      <c r="N37" s="831"/>
      <c r="O37" s="833"/>
      <c r="P37" s="833"/>
      <c r="Q37" s="833"/>
      <c r="R37" s="833" t="s">
        <v>2488</v>
      </c>
      <c r="S37" s="842">
        <f t="shared" ref="S37:Y37" si="35">+S35/B35*10^6</f>
        <v>50434.838757771802</v>
      </c>
      <c r="T37" s="842">
        <f t="shared" si="35"/>
        <v>51956.118006246747</v>
      </c>
      <c r="U37" s="842">
        <f t="shared" si="35"/>
        <v>54955.66096762658</v>
      </c>
      <c r="V37" s="842">
        <f t="shared" si="35"/>
        <v>53997.207490500499</v>
      </c>
      <c r="W37" s="842">
        <f t="shared" si="35"/>
        <v>54083.238949579791</v>
      </c>
      <c r="X37" s="842">
        <f t="shared" si="35"/>
        <v>53324.739243061005</v>
      </c>
      <c r="Y37" s="842">
        <f t="shared" si="35"/>
        <v>59134.689372193789</v>
      </c>
    </row>
    <row r="38" spans="1:27">
      <c r="A38" s="827" t="s">
        <v>2489</v>
      </c>
      <c r="B38" s="834" t="s">
        <v>2477</v>
      </c>
      <c r="C38" s="834" t="s">
        <v>2478</v>
      </c>
      <c r="D38" s="834" t="s">
        <v>2479</v>
      </c>
      <c r="E38" s="834" t="s">
        <v>2417</v>
      </c>
      <c r="F38" s="834" t="s">
        <v>2467</v>
      </c>
      <c r="G38" s="867" t="str">
        <f>+G22</f>
        <v>Q3FY16</v>
      </c>
      <c r="H38" s="867" t="str">
        <f>+H22</f>
        <v>Q4FY16</v>
      </c>
      <c r="I38" s="835"/>
      <c r="J38" s="834" t="s">
        <v>2479</v>
      </c>
      <c r="K38" s="834" t="s">
        <v>2417</v>
      </c>
      <c r="L38" s="834" t="s">
        <v>2467</v>
      </c>
      <c r="M38" s="834" t="str">
        <f>+M22</f>
        <v>Q3FY16</v>
      </c>
      <c r="N38" s="834" t="str">
        <f>+N22</f>
        <v>Q4FY16</v>
      </c>
      <c r="O38" s="833"/>
      <c r="P38" s="833"/>
      <c r="Q38" s="833"/>
      <c r="R38" s="832" t="s">
        <v>625</v>
      </c>
      <c r="S38" s="833"/>
      <c r="T38" s="848">
        <f t="shared" ref="T38:Y38" si="36">+T37/S37-1</f>
        <v>3.0163261863120683E-2</v>
      </c>
      <c r="U38" s="848">
        <f t="shared" si="36"/>
        <v>5.7732237828453492E-2</v>
      </c>
      <c r="V38" s="848">
        <f t="shared" si="36"/>
        <v>-1.7440486753324436E-2</v>
      </c>
      <c r="W38" s="848">
        <f t="shared" si="36"/>
        <v>1.5932575604844512E-3</v>
      </c>
      <c r="X38" s="848">
        <f t="shared" si="36"/>
        <v>-1.4024672361540924E-2</v>
      </c>
      <c r="Y38" s="848">
        <f t="shared" si="36"/>
        <v>0.10895412170044172</v>
      </c>
      <c r="Z38" s="849" t="s">
        <v>2516</v>
      </c>
    </row>
    <row r="39" spans="1:27">
      <c r="A39" s="836" t="s">
        <v>621</v>
      </c>
      <c r="B39" s="846">
        <f t="shared" ref="B39:F46" si="37">B3+B23</f>
        <v>133687</v>
      </c>
      <c r="C39" s="846">
        <f t="shared" si="37"/>
        <v>132188</v>
      </c>
      <c r="D39" s="846">
        <f t="shared" si="37"/>
        <v>112690</v>
      </c>
      <c r="E39" s="846">
        <f t="shared" si="37"/>
        <v>94699</v>
      </c>
      <c r="F39" s="846">
        <f t="shared" si="37"/>
        <v>96312</v>
      </c>
      <c r="G39" s="846">
        <f t="shared" ref="G39:H39" si="38">G3+G23</f>
        <v>85176</v>
      </c>
      <c r="H39" s="846">
        <f t="shared" si="38"/>
        <v>61112</v>
      </c>
      <c r="I39" s="859"/>
      <c r="J39" s="839">
        <f t="shared" ref="J39:N46" si="39">D39/D$51*100</f>
        <v>14.398186715184472</v>
      </c>
      <c r="K39" s="839">
        <f t="shared" si="39"/>
        <v>9.3301437763736974</v>
      </c>
      <c r="L39" s="839">
        <f t="shared" si="39"/>
        <v>9.1153099197801239</v>
      </c>
      <c r="M39" s="839">
        <f t="shared" si="39"/>
        <v>8.9517791944912126</v>
      </c>
      <c r="N39" s="839">
        <f t="shared" si="39"/>
        <v>7.0045778707972186</v>
      </c>
      <c r="O39" s="833"/>
      <c r="P39" s="833"/>
      <c r="Q39" s="833"/>
      <c r="R39" s="833"/>
      <c r="S39" s="833"/>
    </row>
    <row r="40" spans="1:27">
      <c r="A40" s="832" t="s">
        <v>48</v>
      </c>
      <c r="B40" s="859">
        <f t="shared" si="37"/>
        <v>252182</v>
      </c>
      <c r="C40" s="859">
        <f t="shared" si="37"/>
        <v>209038</v>
      </c>
      <c r="D40" s="859">
        <f t="shared" si="37"/>
        <v>142778</v>
      </c>
      <c r="E40" s="859">
        <f t="shared" si="37"/>
        <v>104962</v>
      </c>
      <c r="F40" s="859">
        <f t="shared" si="37"/>
        <v>106644</v>
      </c>
      <c r="G40" s="859">
        <f t="shared" ref="G40:H40" si="40">G4+G24</f>
        <v>86655</v>
      </c>
      <c r="H40" s="859">
        <f t="shared" si="40"/>
        <v>66603</v>
      </c>
      <c r="I40" s="859"/>
      <c r="J40" s="840">
        <f t="shared" si="39"/>
        <v>18.242473181476694</v>
      </c>
      <c r="K40" s="840">
        <f t="shared" si="39"/>
        <v>10.34129770172585</v>
      </c>
      <c r="L40" s="840">
        <f t="shared" si="39"/>
        <v>10.093167114015197</v>
      </c>
      <c r="M40" s="840">
        <f t="shared" si="39"/>
        <v>9.1072183020878654</v>
      </c>
      <c r="N40" s="840">
        <f t="shared" si="39"/>
        <v>7.6339491413913327</v>
      </c>
      <c r="O40" s="833"/>
      <c r="P40" s="833"/>
      <c r="Q40" s="833"/>
      <c r="R40" s="833"/>
      <c r="S40" s="833"/>
    </row>
    <row r="41" spans="1:27">
      <c r="A41" s="832" t="s">
        <v>2272</v>
      </c>
      <c r="B41" s="859">
        <f t="shared" si="37"/>
        <v>204828</v>
      </c>
      <c r="C41" s="859">
        <f t="shared" si="37"/>
        <v>211554</v>
      </c>
      <c r="D41" s="859">
        <f t="shared" si="37"/>
        <v>110247</v>
      </c>
      <c r="E41" s="859">
        <f t="shared" si="37"/>
        <v>208154</v>
      </c>
      <c r="F41" s="859">
        <f t="shared" si="37"/>
        <v>233023</v>
      </c>
      <c r="G41" s="859">
        <f t="shared" ref="G41:H41" si="41">G5+G25</f>
        <v>195830</v>
      </c>
      <c r="H41" s="859">
        <f t="shared" si="41"/>
        <v>116362</v>
      </c>
      <c r="I41" s="859"/>
      <c r="J41" s="840">
        <f t="shared" si="39"/>
        <v>14.086049257156292</v>
      </c>
      <c r="K41" s="840">
        <f t="shared" si="39"/>
        <v>20.508207558974124</v>
      </c>
      <c r="L41" s="840">
        <f t="shared" si="39"/>
        <v>22.054124755346415</v>
      </c>
      <c r="M41" s="840">
        <f t="shared" si="39"/>
        <v>20.581230859129498</v>
      </c>
      <c r="N41" s="840">
        <f t="shared" si="39"/>
        <v>13.337260934050693</v>
      </c>
      <c r="O41" s="833"/>
      <c r="P41" s="833"/>
      <c r="Q41" s="833"/>
      <c r="S41" s="833"/>
    </row>
    <row r="42" spans="1:27">
      <c r="A42" s="832" t="s">
        <v>2482</v>
      </c>
      <c r="B42" s="859">
        <f t="shared" si="37"/>
        <v>42222</v>
      </c>
      <c r="C42" s="859">
        <f t="shared" si="37"/>
        <v>41040</v>
      </c>
      <c r="D42" s="859">
        <f t="shared" si="37"/>
        <v>70783</v>
      </c>
      <c r="E42" s="859">
        <f t="shared" si="37"/>
        <v>220424</v>
      </c>
      <c r="F42" s="859">
        <f t="shared" si="37"/>
        <v>174423</v>
      </c>
      <c r="G42" s="859">
        <f t="shared" ref="G42:H42" si="42">G6+G26</f>
        <v>173658</v>
      </c>
      <c r="H42" s="859">
        <f t="shared" si="42"/>
        <v>166889</v>
      </c>
      <c r="I42" s="859"/>
      <c r="J42" s="840">
        <f t="shared" si="39"/>
        <v>9.0438091246863284</v>
      </c>
      <c r="K42" s="840">
        <f t="shared" si="39"/>
        <v>21.717099565606777</v>
      </c>
      <c r="L42" s="840">
        <f t="shared" si="39"/>
        <v>16.508012523234992</v>
      </c>
      <c r="M42" s="840">
        <f t="shared" si="39"/>
        <v>18.251010511845532</v>
      </c>
      <c r="N42" s="840">
        <f t="shared" si="39"/>
        <v>19.128599886756724</v>
      </c>
      <c r="O42" s="833"/>
      <c r="P42" s="833"/>
      <c r="Q42" s="833"/>
    </row>
    <row r="43" spans="1:27">
      <c r="A43" s="832" t="s">
        <v>949</v>
      </c>
      <c r="B43" s="859">
        <f t="shared" si="37"/>
        <v>17390</v>
      </c>
      <c r="C43" s="859">
        <f t="shared" si="37"/>
        <v>16797</v>
      </c>
      <c r="D43" s="859">
        <f t="shared" si="37"/>
        <v>20337</v>
      </c>
      <c r="E43" s="859">
        <f t="shared" si="37"/>
        <v>18850</v>
      </c>
      <c r="F43" s="859">
        <f t="shared" si="37"/>
        <v>14977</v>
      </c>
      <c r="G43" s="859">
        <f t="shared" ref="G43:H43" si="43">G7+G27</f>
        <v>15424</v>
      </c>
      <c r="H43" s="859">
        <f t="shared" si="43"/>
        <v>21636</v>
      </c>
      <c r="I43" s="859"/>
      <c r="J43" s="840">
        <f t="shared" si="39"/>
        <v>2.5984197641912026</v>
      </c>
      <c r="K43" s="840">
        <f t="shared" si="39"/>
        <v>1.8571812815831659</v>
      </c>
      <c r="L43" s="840">
        <f t="shared" si="39"/>
        <v>1.4174765000056786</v>
      </c>
      <c r="M43" s="840">
        <f t="shared" si="39"/>
        <v>1.6210228502844988</v>
      </c>
      <c r="N43" s="840">
        <f t="shared" si="39"/>
        <v>2.4798901494398584</v>
      </c>
      <c r="O43" s="833"/>
      <c r="P43" s="833"/>
      <c r="Q43" s="833"/>
    </row>
    <row r="44" spans="1:27">
      <c r="A44" s="832" t="s">
        <v>619</v>
      </c>
      <c r="B44" s="859">
        <f t="shared" si="37"/>
        <v>233857</v>
      </c>
      <c r="C44" s="859">
        <f t="shared" si="37"/>
        <v>221905</v>
      </c>
      <c r="D44" s="859">
        <f t="shared" si="37"/>
        <v>204274</v>
      </c>
      <c r="E44" s="859">
        <f t="shared" si="37"/>
        <v>218249</v>
      </c>
      <c r="F44" s="859">
        <f t="shared" si="37"/>
        <v>264380</v>
      </c>
      <c r="G44" s="859">
        <f t="shared" ref="G44:H44" si="44">G8+G28</f>
        <v>230124</v>
      </c>
      <c r="H44" s="859">
        <f t="shared" si="44"/>
        <v>216505</v>
      </c>
      <c r="I44" s="859"/>
      <c r="J44" s="840">
        <f t="shared" si="39"/>
        <v>26.099700000511071</v>
      </c>
      <c r="K44" s="840">
        <f t="shared" si="39"/>
        <v>21.502809417731793</v>
      </c>
      <c r="L44" s="840">
        <f t="shared" si="39"/>
        <v>25.021862660846715</v>
      </c>
      <c r="M44" s="840">
        <f t="shared" si="39"/>
        <v>24.18544232357819</v>
      </c>
      <c r="N44" s="840">
        <f t="shared" si="39"/>
        <v>24.815521205605311</v>
      </c>
      <c r="O44" s="833"/>
      <c r="P44" s="833"/>
      <c r="Q44" s="833"/>
      <c r="R44" s="849" t="s">
        <v>2490</v>
      </c>
      <c r="S44" s="833"/>
    </row>
    <row r="45" spans="1:27">
      <c r="A45" s="832" t="s">
        <v>51</v>
      </c>
      <c r="B45" s="859">
        <f t="shared" si="37"/>
        <v>14478</v>
      </c>
      <c r="C45" s="859">
        <f t="shared" si="37"/>
        <v>12308</v>
      </c>
      <c r="D45" s="859">
        <f t="shared" si="37"/>
        <v>11597</v>
      </c>
      <c r="E45" s="859">
        <f t="shared" si="37"/>
        <v>11620</v>
      </c>
      <c r="F45" s="859">
        <f t="shared" si="37"/>
        <v>13180</v>
      </c>
      <c r="G45" s="859">
        <f t="shared" ref="G45:H45" si="45">G9+G29</f>
        <v>40334</v>
      </c>
      <c r="H45" s="859">
        <f t="shared" si="45"/>
        <v>85154</v>
      </c>
      <c r="I45" s="859"/>
      <c r="J45" s="840">
        <f t="shared" si="39"/>
        <v>1.4817266069393409</v>
      </c>
      <c r="K45" s="840">
        <f t="shared" si="39"/>
        <v>1.1448512727849542</v>
      </c>
      <c r="L45" s="840">
        <f t="shared" si="39"/>
        <v>1.2474020344578249</v>
      </c>
      <c r="M45" s="840">
        <f t="shared" si="39"/>
        <v>4.2389999768785644</v>
      </c>
      <c r="N45" s="840">
        <f t="shared" si="39"/>
        <v>9.760240607570795</v>
      </c>
      <c r="O45" s="833"/>
      <c r="P45" s="833"/>
      <c r="Q45" s="833"/>
      <c r="R45" s="833" t="s">
        <v>226</v>
      </c>
      <c r="S45" s="842">
        <f t="shared" ref="S45:X45" si="46">+S35+S15</f>
        <v>53820.735545598596</v>
      </c>
      <c r="T45" s="842">
        <f t="shared" si="46"/>
        <v>50212.417155915493</v>
      </c>
      <c r="U45" s="842">
        <f t="shared" si="46"/>
        <v>41174.664996103282</v>
      </c>
      <c r="V45" s="842">
        <f t="shared" si="46"/>
        <v>50758.219185000002</v>
      </c>
      <c r="W45" s="842">
        <f t="shared" si="46"/>
        <v>54934.880156384985</v>
      </c>
      <c r="X45" s="842">
        <f t="shared" si="46"/>
        <v>49029.153000704231</v>
      </c>
      <c r="Y45" s="842">
        <f t="shared" ref="Y45" si="47">+Y35+Y15</f>
        <v>48424.938546654928</v>
      </c>
    </row>
    <row r="46" spans="1:27">
      <c r="A46" s="832" t="s">
        <v>2483</v>
      </c>
      <c r="B46" s="859">
        <f t="shared" si="37"/>
        <v>388</v>
      </c>
      <c r="C46" s="859">
        <f t="shared" si="37"/>
        <v>274</v>
      </c>
      <c r="D46" s="859">
        <f t="shared" si="37"/>
        <v>262</v>
      </c>
      <c r="E46" s="859">
        <f t="shared" si="37"/>
        <v>227</v>
      </c>
      <c r="F46" s="859">
        <f t="shared" si="37"/>
        <v>158</v>
      </c>
      <c r="G46" s="859">
        <f t="shared" ref="G46:H50" si="48">G10+G30</f>
        <v>200</v>
      </c>
      <c r="H46" s="859">
        <f t="shared" si="48"/>
        <v>209</v>
      </c>
      <c r="I46" s="859"/>
      <c r="J46" s="840">
        <f t="shared" si="39"/>
        <v>3.3475241098396766E-2</v>
      </c>
      <c r="K46" s="840">
        <f t="shared" si="39"/>
        <v>2.2364994743733612E-2</v>
      </c>
      <c r="L46" s="840">
        <f t="shared" si="39"/>
        <v>1.4953681444942059E-2</v>
      </c>
      <c r="M46" s="840">
        <f t="shared" si="39"/>
        <v>2.1019487166552109E-2</v>
      </c>
      <c r="N46" s="840">
        <f t="shared" si="39"/>
        <v>2.3955307877284636E-2</v>
      </c>
      <c r="O46" s="833"/>
      <c r="P46" s="833"/>
      <c r="Q46" s="833"/>
      <c r="R46" s="833" t="s">
        <v>642</v>
      </c>
      <c r="S46" s="842">
        <f t="shared" ref="S46:Y46" si="49">+S45/B51*10^6</f>
        <v>50992.633120123428</v>
      </c>
      <c r="T46" s="842">
        <f t="shared" si="49"/>
        <v>51001.926985653408</v>
      </c>
      <c r="U46" s="842">
        <f t="shared" si="49"/>
        <v>52608.085415659363</v>
      </c>
      <c r="V46" s="842">
        <f t="shared" si="49"/>
        <v>50009.132390916464</v>
      </c>
      <c r="W46" s="842">
        <f t="shared" si="49"/>
        <v>51992.322662952523</v>
      </c>
      <c r="X46" s="842">
        <f t="shared" si="49"/>
        <v>51528.382614261129</v>
      </c>
      <c r="Y46" s="842">
        <f t="shared" si="49"/>
        <v>55504.034058550591</v>
      </c>
    </row>
    <row r="47" spans="1:27">
      <c r="A47" s="832" t="s">
        <v>2510</v>
      </c>
      <c r="B47" s="859"/>
      <c r="C47" s="859"/>
      <c r="D47" s="859"/>
      <c r="E47" s="859"/>
      <c r="F47" s="859"/>
      <c r="G47" s="859">
        <f t="shared" si="48"/>
        <v>0</v>
      </c>
      <c r="H47" s="859">
        <f t="shared" si="48"/>
        <v>75</v>
      </c>
      <c r="I47" s="859"/>
      <c r="J47" s="840">
        <f t="shared" ref="J47:J48" si="50">D47/D$51*100</f>
        <v>0</v>
      </c>
      <c r="K47" s="840">
        <f t="shared" ref="K47:K48" si="51">E47/E$51*100</f>
        <v>0</v>
      </c>
      <c r="L47" s="840">
        <f t="shared" ref="L47:L48" si="52">F47/F$51*100</f>
        <v>0</v>
      </c>
      <c r="M47" s="840">
        <f t="shared" ref="M47:M48" si="53">G47/G$51*100</f>
        <v>0</v>
      </c>
      <c r="N47" s="840">
        <f t="shared" ref="N47:N48" si="54">H47/H$51*100</f>
        <v>8.5964023483078838E-3</v>
      </c>
      <c r="O47" s="833"/>
      <c r="P47" s="833"/>
      <c r="Q47" s="833"/>
      <c r="R47" s="833"/>
      <c r="S47" s="842"/>
      <c r="T47" s="842"/>
      <c r="U47" s="842"/>
      <c r="V47" s="842"/>
      <c r="W47" s="842"/>
      <c r="X47" s="842"/>
      <c r="Y47" s="842"/>
    </row>
    <row r="48" spans="1:27">
      <c r="A48" s="832" t="s">
        <v>2509</v>
      </c>
      <c r="B48" s="859"/>
      <c r="C48" s="859"/>
      <c r="D48" s="859"/>
      <c r="E48" s="859"/>
      <c r="F48" s="859"/>
      <c r="G48" s="859">
        <f t="shared" si="48"/>
        <v>0</v>
      </c>
      <c r="H48" s="859">
        <f t="shared" si="48"/>
        <v>17974</v>
      </c>
      <c r="I48" s="859"/>
      <c r="J48" s="840">
        <f t="shared" si="50"/>
        <v>0</v>
      </c>
      <c r="K48" s="840">
        <f t="shared" si="51"/>
        <v>0</v>
      </c>
      <c r="L48" s="840">
        <f t="shared" si="52"/>
        <v>0</v>
      </c>
      <c r="M48" s="840">
        <f t="shared" si="53"/>
        <v>0</v>
      </c>
      <c r="N48" s="840">
        <f t="shared" si="54"/>
        <v>2.0601564774464789</v>
      </c>
      <c r="O48" s="833"/>
      <c r="P48" s="833"/>
      <c r="Q48" s="833"/>
      <c r="R48" s="833"/>
      <c r="S48" s="842"/>
      <c r="T48" s="842"/>
      <c r="U48" s="842"/>
      <c r="V48" s="842"/>
      <c r="W48" s="842"/>
      <c r="X48" s="842"/>
      <c r="Y48" s="842"/>
    </row>
    <row r="49" spans="1:25">
      <c r="A49" s="832" t="s">
        <v>2484</v>
      </c>
      <c r="B49" s="859">
        <f>B13+B33</f>
        <v>156429</v>
      </c>
      <c r="C49" s="859">
        <f>C13+C33</f>
        <v>139416</v>
      </c>
      <c r="D49" s="859">
        <f>D13+D33</f>
        <v>109700</v>
      </c>
      <c r="E49" s="859">
        <f>E13+E33</f>
        <v>137794</v>
      </c>
      <c r="F49" s="859">
        <f>F13+F33</f>
        <v>153499</v>
      </c>
      <c r="G49" s="859">
        <f t="shared" si="48"/>
        <v>123981</v>
      </c>
      <c r="H49" s="859">
        <f t="shared" si="48"/>
        <v>119721</v>
      </c>
      <c r="I49" s="859"/>
      <c r="J49" s="840">
        <f>D49/D$51*100</f>
        <v>14.016160108756203</v>
      </c>
      <c r="K49" s="840">
        <f>E49/E$51*100</f>
        <v>13.5760444304759</v>
      </c>
      <c r="L49" s="840">
        <f>F49/F$51*100</f>
        <v>14.527690810868107</v>
      </c>
      <c r="M49" s="840">
        <f>G49/G$51*100</f>
        <v>13.030085191981486</v>
      </c>
      <c r="N49" s="840">
        <f>H49/H$51*100</f>
        <v>13.72226514055691</v>
      </c>
      <c r="O49" s="833"/>
      <c r="P49" s="833"/>
      <c r="Q49" s="833"/>
      <c r="R49" s="833"/>
      <c r="S49" s="833"/>
      <c r="T49" s="857">
        <f t="shared" ref="T49:Y49" si="55">+T46/S46-1</f>
        <v>1.8225898451040834E-4</v>
      </c>
      <c r="U49" s="857">
        <f t="shared" si="55"/>
        <v>3.1492112650131077E-2</v>
      </c>
      <c r="V49" s="848">
        <f t="shared" si="55"/>
        <v>-4.9402159462912043E-2</v>
      </c>
      <c r="W49" s="848">
        <f t="shared" si="55"/>
        <v>3.9656562256142669E-2</v>
      </c>
      <c r="X49" s="848">
        <f t="shared" si="55"/>
        <v>-8.9232414504532009E-3</v>
      </c>
      <c r="Y49" s="848">
        <f t="shared" si="55"/>
        <v>7.7154594081692673E-2</v>
      </c>
    </row>
    <row r="50" spans="1:25">
      <c r="A50" s="832" t="s">
        <v>2498</v>
      </c>
      <c r="B50" s="859"/>
      <c r="C50" s="859"/>
      <c r="D50" s="859"/>
      <c r="E50" s="859"/>
      <c r="F50" s="859"/>
      <c r="G50" s="859">
        <f t="shared" si="48"/>
        <v>116</v>
      </c>
      <c r="H50" s="859">
        <f t="shared" si="48"/>
        <v>218</v>
      </c>
      <c r="I50" s="859"/>
      <c r="J50" s="840"/>
      <c r="K50" s="840"/>
      <c r="L50" s="840"/>
      <c r="M50" s="840">
        <f>G50/G$51*100</f>
        <v>1.2191302556600225E-2</v>
      </c>
      <c r="N50" s="840">
        <f>H50/H$51*100</f>
        <v>2.4986876159081583E-2</v>
      </c>
      <c r="O50" s="833"/>
      <c r="P50" s="833"/>
      <c r="Q50" s="833"/>
      <c r="R50" s="833"/>
      <c r="S50" s="833"/>
      <c r="T50" s="857"/>
      <c r="U50" s="857"/>
      <c r="V50" s="848"/>
      <c r="W50" s="848"/>
      <c r="X50" s="848"/>
      <c r="Y50" s="848"/>
    </row>
    <row r="51" spans="1:25">
      <c r="A51" s="827" t="s">
        <v>230</v>
      </c>
      <c r="B51" s="844">
        <f t="shared" ref="B51:H51" si="56">SUM(B39:B50)</f>
        <v>1055461</v>
      </c>
      <c r="C51" s="844">
        <f t="shared" si="56"/>
        <v>984520</v>
      </c>
      <c r="D51" s="844">
        <f t="shared" si="56"/>
        <v>782668</v>
      </c>
      <c r="E51" s="844">
        <f t="shared" si="56"/>
        <v>1014979</v>
      </c>
      <c r="F51" s="844">
        <f t="shared" si="56"/>
        <v>1056596</v>
      </c>
      <c r="G51" s="844">
        <f t="shared" si="56"/>
        <v>951498</v>
      </c>
      <c r="H51" s="844">
        <f t="shared" si="56"/>
        <v>872458</v>
      </c>
      <c r="I51" s="859"/>
      <c r="J51" s="875">
        <f>SUM(J39:J50)</f>
        <v>100</v>
      </c>
      <c r="K51" s="875">
        <f t="shared" ref="K51:N51" si="57">SUM(K39:K50)</f>
        <v>100</v>
      </c>
      <c r="L51" s="875">
        <f t="shared" si="57"/>
        <v>99.999999999999986</v>
      </c>
      <c r="M51" s="875">
        <f t="shared" si="57"/>
        <v>100</v>
      </c>
      <c r="N51" s="875">
        <f t="shared" si="57"/>
        <v>100</v>
      </c>
      <c r="O51" s="833"/>
      <c r="P51" s="833"/>
      <c r="Q51" s="833"/>
      <c r="R51" s="833"/>
      <c r="S51" s="833"/>
    </row>
    <row r="52" spans="1:25">
      <c r="A52" s="833"/>
      <c r="B52" s="833"/>
      <c r="C52" s="833"/>
      <c r="D52" s="833"/>
      <c r="E52" s="833"/>
      <c r="F52" s="833"/>
      <c r="G52" s="833"/>
      <c r="H52" s="833"/>
      <c r="J52" s="833"/>
      <c r="K52" s="833"/>
      <c r="L52" s="833"/>
      <c r="M52" s="833"/>
      <c r="N52" s="833"/>
      <c r="O52" s="833"/>
      <c r="P52" s="833"/>
      <c r="Q52" s="833"/>
      <c r="R52" s="833" t="s">
        <v>763</v>
      </c>
      <c r="S52" s="876">
        <v>5500</v>
      </c>
      <c r="T52" s="876">
        <v>5500</v>
      </c>
      <c r="U52" s="833">
        <v>5770</v>
      </c>
      <c r="V52" s="833">
        <v>5660</v>
      </c>
      <c r="W52" s="854">
        <v>6210</v>
      </c>
      <c r="X52" s="854">
        <v>6700</v>
      </c>
      <c r="Y52" s="877">
        <v>6500</v>
      </c>
    </row>
    <row r="53" spans="1:25">
      <c r="R53" s="833"/>
      <c r="S53" s="833"/>
    </row>
    <row r="54" spans="1:25">
      <c r="A54" s="847"/>
      <c r="B54" s="847"/>
      <c r="C54" s="847"/>
      <c r="D54" s="860"/>
      <c r="E54" s="830"/>
      <c r="F54" s="830"/>
      <c r="G54" s="830"/>
      <c r="H54" s="830"/>
      <c r="J54" s="860"/>
      <c r="R54" s="833"/>
      <c r="S54" s="834" t="s">
        <v>2477</v>
      </c>
      <c r="T54" s="834" t="s">
        <v>2478</v>
      </c>
      <c r="U54" s="834" t="s">
        <v>2479</v>
      </c>
      <c r="V54" s="834" t="s">
        <v>2417</v>
      </c>
      <c r="W54" s="834" t="s">
        <v>2467</v>
      </c>
      <c r="X54" s="834" t="s">
        <v>2494</v>
      </c>
      <c r="Y54" s="834" t="s">
        <v>2504</v>
      </c>
    </row>
    <row r="55" spans="1:25">
      <c r="A55" s="847"/>
      <c r="B55" s="835"/>
      <c r="C55" s="835"/>
      <c r="D55" s="835"/>
      <c r="E55" s="835"/>
      <c r="F55" s="835"/>
      <c r="G55" s="835"/>
      <c r="H55" s="835"/>
      <c r="J55" s="835"/>
      <c r="K55" s="835"/>
      <c r="L55" s="835"/>
      <c r="M55" s="835"/>
      <c r="N55" s="835"/>
      <c r="P55" s="838"/>
      <c r="Q55" s="838"/>
      <c r="R55" s="878" t="s">
        <v>2491</v>
      </c>
      <c r="S55" s="879">
        <f t="shared" ref="S55:Y55" si="58">+S52+S45</f>
        <v>59320.735545598596</v>
      </c>
      <c r="T55" s="879">
        <f t="shared" si="58"/>
        <v>55712.417155915493</v>
      </c>
      <c r="U55" s="879">
        <f t="shared" si="58"/>
        <v>46944.664996103282</v>
      </c>
      <c r="V55" s="879">
        <f t="shared" si="58"/>
        <v>56418.219185000002</v>
      </c>
      <c r="W55" s="879">
        <f t="shared" si="58"/>
        <v>61144.880156384985</v>
      </c>
      <c r="X55" s="879">
        <f t="shared" si="58"/>
        <v>55729.153000704231</v>
      </c>
      <c r="Y55" s="879">
        <f t="shared" si="58"/>
        <v>54924.938546654928</v>
      </c>
    </row>
    <row r="56" spans="1:25">
      <c r="B56" s="838"/>
      <c r="C56" s="838"/>
      <c r="D56" s="838"/>
      <c r="E56" s="838"/>
      <c r="F56" s="838"/>
      <c r="G56" s="838"/>
      <c r="H56" s="838"/>
      <c r="J56" s="840"/>
      <c r="K56" s="840"/>
      <c r="L56" s="840"/>
      <c r="M56" s="840"/>
      <c r="N56" s="840"/>
      <c r="P56" s="838"/>
      <c r="Q56" s="838"/>
      <c r="R56" s="833" t="s">
        <v>642</v>
      </c>
      <c r="S56" s="833"/>
      <c r="U56" s="842">
        <f>+U55/D51*10^6</f>
        <v>59980.304543054379</v>
      </c>
      <c r="V56" s="842">
        <f>+V55/E51*10^6</f>
        <v>55585.602445961937</v>
      </c>
      <c r="W56" s="842">
        <f>+W55/F51*10^6</f>
        <v>57869.687332135451</v>
      </c>
      <c r="X56" s="842">
        <f>+X55/G51*10^6</f>
        <v>58569.910815056079</v>
      </c>
      <c r="Y56" s="842">
        <f>+Y55/H51*10^6</f>
        <v>62954.249427084083</v>
      </c>
    </row>
    <row r="57" spans="1:25">
      <c r="B57" s="859"/>
      <c r="C57" s="859"/>
      <c r="D57" s="859"/>
      <c r="E57" s="859"/>
      <c r="F57" s="859"/>
      <c r="G57" s="859"/>
      <c r="H57" s="859"/>
      <c r="J57" s="840"/>
      <c r="K57" s="840"/>
      <c r="L57" s="840"/>
      <c r="M57" s="840"/>
      <c r="N57" s="840"/>
      <c r="P57" s="838"/>
      <c r="Q57" s="838"/>
      <c r="R57" s="832" t="s">
        <v>625</v>
      </c>
      <c r="V57" s="848">
        <f>+V56/U56-1</f>
        <v>-7.3269086087048629E-2</v>
      </c>
      <c r="W57" s="848">
        <f>+W56/V56-1</f>
        <v>4.1091303964799319E-2</v>
      </c>
      <c r="X57" s="848">
        <f>+X56/W56-1</f>
        <v>1.2100004600021252E-2</v>
      </c>
      <c r="Y57" s="848">
        <f>+Y56/X56-1</f>
        <v>7.4856501418830268E-2</v>
      </c>
    </row>
    <row r="58" spans="1:25">
      <c r="B58" s="859"/>
      <c r="C58" s="859"/>
      <c r="D58" s="859"/>
      <c r="E58" s="859"/>
      <c r="F58" s="859"/>
      <c r="G58" s="859"/>
      <c r="H58" s="859"/>
      <c r="J58" s="840"/>
      <c r="K58" s="840"/>
      <c r="L58" s="840"/>
      <c r="M58" s="840"/>
      <c r="N58" s="840"/>
      <c r="P58" s="838"/>
      <c r="Q58" s="838"/>
    </row>
    <row r="59" spans="1:25">
      <c r="B59" s="859"/>
      <c r="C59" s="859"/>
      <c r="D59" s="859"/>
      <c r="E59" s="859"/>
      <c r="F59" s="859"/>
      <c r="G59" s="859"/>
      <c r="H59" s="859"/>
      <c r="J59" s="840"/>
      <c r="K59" s="840"/>
      <c r="L59" s="840"/>
      <c r="M59" s="840"/>
      <c r="N59" s="840"/>
      <c r="P59" s="838"/>
      <c r="Q59" s="838"/>
    </row>
    <row r="60" spans="1:25">
      <c r="B60" s="859"/>
      <c r="C60" s="859"/>
      <c r="D60" s="859"/>
      <c r="E60" s="859"/>
      <c r="F60" s="859"/>
      <c r="G60" s="859"/>
      <c r="H60" s="859"/>
      <c r="J60" s="840"/>
      <c r="K60" s="840"/>
      <c r="L60" s="840"/>
      <c r="M60" s="840"/>
      <c r="N60" s="840"/>
      <c r="P60" s="838"/>
      <c r="Q60" s="838"/>
      <c r="R60" s="880" t="s">
        <v>2514</v>
      </c>
      <c r="S60" s="879">
        <f>+Quarterly!AJ14</f>
        <v>59630.9</v>
      </c>
      <c r="T60" s="879">
        <f>+Quarterly!AK14</f>
        <v>56571.7</v>
      </c>
      <c r="U60" s="879">
        <f>+Quarterly!AL14</f>
        <v>47393.4</v>
      </c>
      <c r="V60" s="879">
        <f>+Quarterly!AM14</f>
        <v>55992.800000000003</v>
      </c>
      <c r="W60" s="879">
        <f>+Quarterly!AN14</f>
        <v>60799.4</v>
      </c>
      <c r="X60" s="879">
        <f>+Quarterly!AO14</f>
        <v>55478.3</v>
      </c>
      <c r="Y60" s="879">
        <f>+Quarterly!AP14</f>
        <v>53594.9</v>
      </c>
    </row>
    <row r="61" spans="1:25">
      <c r="B61" s="859"/>
      <c r="C61" s="859"/>
      <c r="D61" s="859"/>
      <c r="E61" s="859"/>
      <c r="F61" s="859"/>
      <c r="G61" s="859"/>
      <c r="H61" s="859"/>
      <c r="J61" s="840"/>
      <c r="K61" s="840"/>
      <c r="L61" s="840"/>
      <c r="M61" s="840"/>
      <c r="N61" s="840"/>
      <c r="P61" s="838"/>
      <c r="Q61" s="838"/>
      <c r="R61" s="832" t="s">
        <v>2515</v>
      </c>
      <c r="U61" s="842">
        <f>+Quarterly!AL98</f>
        <v>60553.567344560724</v>
      </c>
      <c r="V61" s="842">
        <f>+Quarterly!AM98</f>
        <v>55272.652609155317</v>
      </c>
      <c r="W61" s="842">
        <f>+Quarterly!AN98</f>
        <v>57542.712635671531</v>
      </c>
      <c r="X61" s="842">
        <f>+Quarterly!AO98</f>
        <v>58306.270743606401</v>
      </c>
      <c r="Y61" s="842">
        <f>+Quarterly!AP98</f>
        <v>61428.861245817912</v>
      </c>
    </row>
    <row r="62" spans="1:25">
      <c r="B62" s="859"/>
      <c r="C62" s="859"/>
      <c r="D62" s="859"/>
      <c r="E62" s="859"/>
      <c r="F62" s="859"/>
      <c r="G62" s="859"/>
      <c r="H62" s="859"/>
      <c r="J62" s="840"/>
      <c r="K62" s="840"/>
      <c r="L62" s="840"/>
      <c r="M62" s="840"/>
      <c r="N62" s="840"/>
      <c r="P62" s="838"/>
      <c r="Q62" s="838"/>
      <c r="R62" s="832" t="s">
        <v>625</v>
      </c>
      <c r="V62" s="848">
        <f>+V61/U61-1</f>
        <v>-8.7210629645583904E-2</v>
      </c>
      <c r="W62" s="848">
        <f>+W61/V61-1</f>
        <v>4.1070220431942861E-2</v>
      </c>
      <c r="X62" s="848">
        <f>+X61/W61-1</f>
        <v>1.3269414543754632E-2</v>
      </c>
      <c r="Y62" s="848">
        <f>+Y61/X61-1</f>
        <v>5.3554968657533619E-2</v>
      </c>
    </row>
    <row r="63" spans="1:25">
      <c r="B63" s="859"/>
      <c r="C63" s="859"/>
      <c r="D63" s="859"/>
      <c r="E63" s="859"/>
      <c r="F63" s="859"/>
      <c r="G63" s="859"/>
      <c r="H63" s="859"/>
      <c r="J63" s="840"/>
      <c r="K63" s="840"/>
      <c r="L63" s="840"/>
      <c r="M63" s="840"/>
      <c r="N63" s="840"/>
      <c r="P63" s="838"/>
      <c r="Q63" s="838"/>
    </row>
    <row r="64" spans="1:25">
      <c r="B64" s="859"/>
      <c r="C64" s="859"/>
      <c r="D64" s="859"/>
      <c r="E64" s="859"/>
      <c r="F64" s="859"/>
      <c r="G64" s="859"/>
      <c r="H64" s="859"/>
      <c r="J64" s="840"/>
      <c r="K64" s="840"/>
      <c r="L64" s="840"/>
      <c r="M64" s="840"/>
      <c r="N64" s="840"/>
      <c r="P64" s="838"/>
    </row>
    <row r="65" spans="1:25">
      <c r="B65" s="859"/>
      <c r="C65" s="859"/>
      <c r="D65" s="859"/>
      <c r="E65" s="859"/>
      <c r="F65" s="859"/>
      <c r="G65" s="859"/>
      <c r="H65" s="859"/>
      <c r="J65" s="840"/>
      <c r="K65" s="840"/>
      <c r="L65" s="840"/>
      <c r="M65" s="840"/>
      <c r="N65" s="840"/>
      <c r="P65" s="838"/>
    </row>
    <row r="66" spans="1:25">
      <c r="B66" s="859"/>
      <c r="C66" s="859"/>
      <c r="D66" s="859"/>
      <c r="E66" s="859"/>
      <c r="F66" s="859"/>
      <c r="G66" s="859"/>
      <c r="H66" s="859"/>
      <c r="J66" s="840"/>
      <c r="K66" s="840"/>
      <c r="L66" s="840"/>
      <c r="M66" s="840"/>
      <c r="N66" s="840"/>
      <c r="P66" s="838"/>
      <c r="U66" s="842">
        <f>+U60-U55</f>
        <v>448.73500389671972</v>
      </c>
      <c r="V66" s="842">
        <f t="shared" ref="V66:Y66" si="59">+V60-V55</f>
        <v>-425.41918499999883</v>
      </c>
      <c r="W66" s="842">
        <f t="shared" si="59"/>
        <v>-345.48015638498327</v>
      </c>
      <c r="X66" s="842">
        <f t="shared" si="59"/>
        <v>-250.85300070422818</v>
      </c>
      <c r="Y66" s="842">
        <f t="shared" si="59"/>
        <v>-1330.0385466549269</v>
      </c>
    </row>
    <row r="67" spans="1:25">
      <c r="B67" s="859"/>
      <c r="C67" s="859"/>
      <c r="D67" s="859"/>
      <c r="E67" s="859"/>
      <c r="F67" s="859"/>
      <c r="G67" s="859"/>
      <c r="H67" s="859"/>
      <c r="J67" s="840"/>
      <c r="K67" s="840"/>
      <c r="L67" s="840"/>
      <c r="M67" s="840"/>
      <c r="N67" s="840"/>
      <c r="P67" s="838"/>
      <c r="U67" s="842"/>
      <c r="V67" s="842"/>
      <c r="W67" s="842"/>
      <c r="X67" s="842"/>
      <c r="Y67" s="842"/>
    </row>
    <row r="68" spans="1:25">
      <c r="A68" s="847"/>
      <c r="B68" s="845"/>
      <c r="C68" s="845"/>
      <c r="D68" s="845"/>
      <c r="E68" s="845"/>
      <c r="F68" s="845"/>
      <c r="G68" s="845"/>
      <c r="H68" s="845"/>
      <c r="J68" s="861"/>
      <c r="K68" s="861"/>
      <c r="L68" s="861"/>
      <c r="M68" s="861"/>
      <c r="N68" s="861"/>
      <c r="P68" s="838"/>
    </row>
    <row r="71" spans="1:25">
      <c r="A71" s="847"/>
      <c r="B71" s="847"/>
      <c r="C71" s="847"/>
      <c r="D71" s="860"/>
      <c r="E71" s="830"/>
      <c r="F71" s="830"/>
      <c r="G71" s="830"/>
      <c r="H71" s="830"/>
      <c r="J71" s="860"/>
      <c r="O71" s="833"/>
      <c r="P71" s="833"/>
      <c r="Q71" s="833"/>
    </row>
    <row r="72" spans="1:25">
      <c r="A72" s="847"/>
      <c r="B72" s="835"/>
      <c r="C72" s="835"/>
      <c r="D72" s="835"/>
      <c r="E72" s="835"/>
      <c r="F72" s="835"/>
      <c r="G72" s="835"/>
      <c r="H72" s="835"/>
      <c r="J72" s="835"/>
      <c r="K72" s="835"/>
      <c r="L72" s="835"/>
      <c r="M72" s="835"/>
      <c r="N72" s="835"/>
      <c r="O72" s="833"/>
      <c r="P72" s="833"/>
      <c r="Q72" s="833"/>
      <c r="R72" s="833"/>
      <c r="S72" s="833"/>
    </row>
    <row r="73" spans="1:25">
      <c r="B73" s="838"/>
      <c r="C73" s="838"/>
      <c r="D73" s="838"/>
      <c r="E73" s="838"/>
      <c r="F73" s="838"/>
      <c r="G73" s="838"/>
      <c r="H73" s="838"/>
      <c r="J73" s="840"/>
      <c r="K73" s="840"/>
      <c r="L73" s="840"/>
      <c r="M73" s="840"/>
      <c r="N73" s="840"/>
      <c r="O73" s="833"/>
      <c r="P73" s="833"/>
      <c r="Q73" s="833"/>
      <c r="R73" s="833"/>
      <c r="S73" s="833"/>
    </row>
    <row r="74" spans="1:25">
      <c r="B74" s="859"/>
      <c r="C74" s="859"/>
      <c r="D74" s="859"/>
      <c r="E74" s="859"/>
      <c r="F74" s="859"/>
      <c r="G74" s="859"/>
      <c r="H74" s="859"/>
      <c r="J74" s="840"/>
      <c r="K74" s="840"/>
      <c r="L74" s="840"/>
      <c r="M74" s="840"/>
      <c r="N74" s="840"/>
      <c r="O74" s="833"/>
      <c r="P74" s="833"/>
      <c r="Q74" s="833"/>
      <c r="R74" s="833"/>
      <c r="S74" s="833"/>
    </row>
    <row r="75" spans="1:25">
      <c r="B75" s="859"/>
      <c r="C75" s="859"/>
      <c r="D75" s="859"/>
      <c r="E75" s="859"/>
      <c r="F75" s="859"/>
      <c r="G75" s="859"/>
      <c r="H75" s="859"/>
      <c r="J75" s="840"/>
      <c r="K75" s="840"/>
      <c r="L75" s="840"/>
      <c r="M75" s="840"/>
      <c r="N75" s="840"/>
      <c r="O75" s="833"/>
      <c r="P75" s="833"/>
      <c r="Q75" s="833"/>
      <c r="R75" s="833"/>
      <c r="S75" s="833"/>
    </row>
    <row r="76" spans="1:25">
      <c r="B76" s="859"/>
      <c r="C76" s="859"/>
      <c r="D76" s="859"/>
      <c r="E76" s="859"/>
      <c r="F76" s="859"/>
      <c r="G76" s="859"/>
      <c r="H76" s="859"/>
      <c r="J76" s="840"/>
      <c r="K76" s="840"/>
      <c r="L76" s="840"/>
      <c r="M76" s="840"/>
      <c r="N76" s="840"/>
      <c r="O76" s="833"/>
      <c r="P76" s="833"/>
      <c r="Q76" s="833"/>
      <c r="R76" s="833"/>
      <c r="S76" s="833"/>
    </row>
    <row r="77" spans="1:25">
      <c r="B77" s="859"/>
      <c r="C77" s="859"/>
      <c r="D77" s="859"/>
      <c r="E77" s="859"/>
      <c r="F77" s="859"/>
      <c r="G77" s="859"/>
      <c r="H77" s="859"/>
      <c r="J77" s="840"/>
      <c r="K77" s="840"/>
      <c r="L77" s="840"/>
      <c r="M77" s="840"/>
      <c r="N77" s="840"/>
      <c r="O77" s="833"/>
      <c r="P77" s="833"/>
      <c r="Q77" s="833"/>
      <c r="R77" s="833"/>
      <c r="S77" s="833"/>
    </row>
    <row r="78" spans="1:25">
      <c r="B78" s="859"/>
      <c r="C78" s="859"/>
      <c r="D78" s="859"/>
      <c r="E78" s="859"/>
      <c r="F78" s="859"/>
      <c r="G78" s="859"/>
      <c r="H78" s="859"/>
      <c r="J78" s="840"/>
      <c r="K78" s="840"/>
      <c r="L78" s="840"/>
      <c r="M78" s="840"/>
      <c r="N78" s="840"/>
      <c r="O78" s="833"/>
      <c r="P78" s="833"/>
      <c r="Q78" s="833"/>
      <c r="R78" s="833"/>
      <c r="S78" s="833"/>
    </row>
    <row r="79" spans="1:25">
      <c r="B79" s="859"/>
      <c r="C79" s="859"/>
      <c r="D79" s="859"/>
      <c r="E79" s="859"/>
      <c r="F79" s="859"/>
      <c r="G79" s="859"/>
      <c r="H79" s="859"/>
      <c r="J79" s="840"/>
      <c r="K79" s="840"/>
      <c r="L79" s="840"/>
      <c r="M79" s="840"/>
      <c r="N79" s="840"/>
      <c r="O79" s="833"/>
      <c r="P79" s="833"/>
      <c r="Q79" s="833"/>
      <c r="R79" s="833"/>
      <c r="S79" s="833"/>
    </row>
    <row r="80" spans="1:25">
      <c r="B80" s="859"/>
      <c r="C80" s="859"/>
      <c r="D80" s="859"/>
      <c r="E80" s="859"/>
      <c r="F80" s="859"/>
      <c r="G80" s="859"/>
      <c r="H80" s="859"/>
      <c r="J80" s="840"/>
      <c r="K80" s="840"/>
      <c r="L80" s="840"/>
      <c r="M80" s="840"/>
      <c r="N80" s="840"/>
      <c r="O80" s="833"/>
      <c r="P80" s="833"/>
      <c r="Q80" s="833"/>
      <c r="R80" s="833"/>
      <c r="S80" s="833"/>
    </row>
    <row r="81" spans="1:19">
      <c r="B81" s="859"/>
      <c r="C81" s="859"/>
      <c r="D81" s="859"/>
      <c r="E81" s="859"/>
      <c r="F81" s="859"/>
      <c r="G81" s="859"/>
      <c r="H81" s="859"/>
      <c r="J81" s="840"/>
      <c r="K81" s="840"/>
      <c r="L81" s="840"/>
      <c r="M81" s="840"/>
      <c r="N81" s="840"/>
      <c r="O81" s="833"/>
      <c r="P81" s="833"/>
      <c r="Q81" s="833"/>
      <c r="R81" s="833"/>
      <c r="S81" s="833"/>
    </row>
    <row r="82" spans="1:19">
      <c r="B82" s="859"/>
      <c r="C82" s="859"/>
      <c r="D82" s="859"/>
      <c r="E82" s="859"/>
      <c r="F82" s="859"/>
      <c r="G82" s="859"/>
      <c r="H82" s="859"/>
      <c r="J82" s="840"/>
      <c r="K82" s="840"/>
      <c r="L82" s="840"/>
      <c r="M82" s="840"/>
      <c r="N82" s="840"/>
      <c r="O82" s="833"/>
      <c r="P82" s="833"/>
      <c r="Q82" s="833"/>
      <c r="R82" s="833"/>
      <c r="S82" s="833"/>
    </row>
    <row r="83" spans="1:19">
      <c r="B83" s="859"/>
      <c r="C83" s="859"/>
      <c r="D83" s="859"/>
      <c r="E83" s="859"/>
      <c r="F83" s="859"/>
      <c r="G83" s="859"/>
      <c r="H83" s="859"/>
      <c r="J83" s="840"/>
      <c r="K83" s="840"/>
      <c r="L83" s="840"/>
      <c r="M83" s="840"/>
      <c r="N83" s="840"/>
      <c r="O83" s="833"/>
      <c r="P83" s="833"/>
      <c r="Q83" s="833"/>
      <c r="R83" s="833"/>
      <c r="S83" s="833"/>
    </row>
    <row r="84" spans="1:19">
      <c r="B84" s="859"/>
      <c r="C84" s="859"/>
      <c r="D84" s="859"/>
      <c r="E84" s="859"/>
      <c r="F84" s="859"/>
      <c r="G84" s="859"/>
      <c r="H84" s="859"/>
      <c r="J84" s="840"/>
      <c r="K84" s="840"/>
      <c r="L84" s="840"/>
      <c r="M84" s="840"/>
      <c r="N84" s="840"/>
      <c r="O84" s="833"/>
      <c r="P84" s="833"/>
      <c r="Q84" s="833"/>
      <c r="R84" s="833"/>
      <c r="S84" s="833"/>
    </row>
    <row r="85" spans="1:19">
      <c r="A85" s="847"/>
      <c r="B85" s="845"/>
      <c r="C85" s="845"/>
      <c r="D85" s="845"/>
      <c r="E85" s="845"/>
      <c r="F85" s="845"/>
      <c r="G85" s="845"/>
      <c r="H85" s="845"/>
      <c r="J85" s="861"/>
      <c r="K85" s="861"/>
      <c r="L85" s="861"/>
      <c r="M85" s="861"/>
      <c r="N85" s="861"/>
      <c r="O85" s="833"/>
      <c r="P85" s="833"/>
      <c r="Q85" s="833"/>
      <c r="R85" s="833"/>
      <c r="S85" s="833"/>
    </row>
    <row r="86" spans="1:19">
      <c r="R86" s="833"/>
      <c r="S86" s="833"/>
    </row>
    <row r="88" spans="1:19">
      <c r="A88" s="847"/>
      <c r="B88" s="847"/>
      <c r="C88" s="847"/>
      <c r="D88" s="860"/>
      <c r="E88" s="830"/>
      <c r="F88" s="830"/>
      <c r="G88" s="830"/>
      <c r="H88" s="830"/>
      <c r="J88" s="860"/>
      <c r="O88" s="833"/>
      <c r="P88" s="833"/>
      <c r="Q88" s="833"/>
    </row>
    <row r="89" spans="1:19">
      <c r="A89" s="847"/>
      <c r="B89" s="835"/>
      <c r="C89" s="835"/>
      <c r="D89" s="835"/>
      <c r="E89" s="835"/>
      <c r="F89" s="835"/>
      <c r="G89" s="835"/>
      <c r="H89" s="835"/>
      <c r="J89" s="835"/>
      <c r="K89" s="835"/>
      <c r="L89" s="835"/>
      <c r="M89" s="835"/>
      <c r="N89" s="835"/>
      <c r="O89" s="833"/>
      <c r="P89" s="833"/>
      <c r="Q89" s="833"/>
      <c r="R89" s="833"/>
      <c r="S89" s="833"/>
    </row>
    <row r="90" spans="1:19">
      <c r="B90" s="838"/>
      <c r="C90" s="838"/>
      <c r="D90" s="838"/>
      <c r="E90" s="838"/>
      <c r="F90" s="838"/>
      <c r="G90" s="838"/>
      <c r="H90" s="838"/>
      <c r="J90" s="840"/>
      <c r="K90" s="840"/>
      <c r="L90" s="840"/>
      <c r="M90" s="840"/>
      <c r="N90" s="840"/>
      <c r="O90" s="833"/>
      <c r="P90" s="833"/>
      <c r="Q90" s="833"/>
      <c r="R90" s="833"/>
      <c r="S90" s="833"/>
    </row>
    <row r="91" spans="1:19">
      <c r="B91" s="859"/>
      <c r="C91" s="859"/>
      <c r="D91" s="859"/>
      <c r="E91" s="859"/>
      <c r="F91" s="859"/>
      <c r="G91" s="859"/>
      <c r="H91" s="859"/>
      <c r="J91" s="840"/>
      <c r="K91" s="840"/>
      <c r="L91" s="840"/>
      <c r="M91" s="840"/>
      <c r="N91" s="840"/>
      <c r="O91" s="833"/>
      <c r="P91" s="833"/>
      <c r="Q91" s="833"/>
      <c r="R91" s="833"/>
      <c r="S91" s="833"/>
    </row>
    <row r="92" spans="1:19">
      <c r="B92" s="859"/>
      <c r="C92" s="859"/>
      <c r="D92" s="859"/>
      <c r="E92" s="859"/>
      <c r="F92" s="859"/>
      <c r="G92" s="859"/>
      <c r="H92" s="859"/>
      <c r="J92" s="840"/>
      <c r="K92" s="840"/>
      <c r="L92" s="840"/>
      <c r="M92" s="840"/>
      <c r="N92" s="840"/>
      <c r="O92" s="833"/>
      <c r="P92" s="833"/>
      <c r="Q92" s="833"/>
      <c r="R92" s="833"/>
      <c r="S92" s="833"/>
    </row>
    <row r="93" spans="1:19">
      <c r="B93" s="859"/>
      <c r="C93" s="859"/>
      <c r="D93" s="859"/>
      <c r="E93" s="859"/>
      <c r="F93" s="859"/>
      <c r="G93" s="859"/>
      <c r="H93" s="859"/>
      <c r="J93" s="840"/>
      <c r="K93" s="840"/>
      <c r="L93" s="840"/>
      <c r="M93" s="840"/>
      <c r="N93" s="840"/>
      <c r="O93" s="833"/>
      <c r="P93" s="833"/>
      <c r="Q93" s="833"/>
      <c r="R93" s="833"/>
      <c r="S93" s="833"/>
    </row>
    <row r="94" spans="1:19">
      <c r="B94" s="859"/>
      <c r="C94" s="859"/>
      <c r="D94" s="859"/>
      <c r="E94" s="859"/>
      <c r="F94" s="859"/>
      <c r="G94" s="859"/>
      <c r="H94" s="859"/>
      <c r="J94" s="840"/>
      <c r="K94" s="840"/>
      <c r="L94" s="840"/>
      <c r="M94" s="840"/>
      <c r="N94" s="840"/>
      <c r="O94" s="833"/>
      <c r="P94" s="833"/>
      <c r="Q94" s="833"/>
      <c r="R94" s="833"/>
      <c r="S94" s="833"/>
    </row>
    <row r="95" spans="1:19">
      <c r="B95" s="859"/>
      <c r="C95" s="859"/>
      <c r="D95" s="859"/>
      <c r="E95" s="859"/>
      <c r="F95" s="859"/>
      <c r="G95" s="859"/>
      <c r="H95" s="859"/>
      <c r="J95" s="840"/>
      <c r="K95" s="840"/>
      <c r="L95" s="840"/>
      <c r="M95" s="840"/>
      <c r="N95" s="840"/>
      <c r="O95" s="833"/>
      <c r="P95" s="833"/>
      <c r="Q95" s="833"/>
      <c r="R95" s="833"/>
      <c r="S95" s="833"/>
    </row>
    <row r="96" spans="1:19">
      <c r="B96" s="859"/>
      <c r="C96" s="859"/>
      <c r="D96" s="859"/>
      <c r="E96" s="859"/>
      <c r="F96" s="859"/>
      <c r="G96" s="859"/>
      <c r="H96" s="859"/>
      <c r="J96" s="840"/>
      <c r="K96" s="840"/>
      <c r="L96" s="840"/>
      <c r="M96" s="840"/>
      <c r="N96" s="840"/>
      <c r="O96" s="833"/>
      <c r="P96" s="833"/>
      <c r="Q96" s="833"/>
      <c r="R96" s="833"/>
      <c r="S96" s="833"/>
    </row>
    <row r="97" spans="1:19">
      <c r="B97" s="859"/>
      <c r="C97" s="859"/>
      <c r="D97" s="859"/>
      <c r="E97" s="859"/>
      <c r="F97" s="859"/>
      <c r="G97" s="859"/>
      <c r="H97" s="859"/>
      <c r="J97" s="840"/>
      <c r="K97" s="840"/>
      <c r="L97" s="840"/>
      <c r="M97" s="840"/>
      <c r="N97" s="840"/>
      <c r="O97" s="833"/>
      <c r="P97" s="833"/>
      <c r="Q97" s="833"/>
      <c r="R97" s="833"/>
      <c r="S97" s="833"/>
    </row>
    <row r="98" spans="1:19">
      <c r="B98" s="859"/>
      <c r="C98" s="859"/>
      <c r="D98" s="859"/>
      <c r="E98" s="859"/>
      <c r="F98" s="859"/>
      <c r="G98" s="859"/>
      <c r="H98" s="859"/>
      <c r="J98" s="840"/>
      <c r="K98" s="840"/>
      <c r="L98" s="840"/>
      <c r="M98" s="840"/>
      <c r="N98" s="840"/>
      <c r="O98" s="833"/>
      <c r="P98" s="833"/>
      <c r="Q98" s="833"/>
      <c r="R98" s="833"/>
      <c r="S98" s="833"/>
    </row>
    <row r="99" spans="1:19">
      <c r="B99" s="859"/>
      <c r="C99" s="859"/>
      <c r="D99" s="859"/>
      <c r="E99" s="859"/>
      <c r="F99" s="859"/>
      <c r="G99" s="859"/>
      <c r="H99" s="859"/>
      <c r="J99" s="840"/>
      <c r="K99" s="840"/>
      <c r="L99" s="840"/>
      <c r="M99" s="840"/>
      <c r="N99" s="840"/>
      <c r="O99" s="833"/>
      <c r="P99" s="833"/>
      <c r="Q99" s="833"/>
      <c r="R99" s="833"/>
      <c r="S99" s="833"/>
    </row>
    <row r="100" spans="1:19">
      <c r="B100" s="859"/>
      <c r="C100" s="859"/>
      <c r="D100" s="859"/>
      <c r="E100" s="859"/>
      <c r="F100" s="859"/>
      <c r="G100" s="859"/>
      <c r="H100" s="859"/>
      <c r="J100" s="840"/>
      <c r="K100" s="840"/>
      <c r="L100" s="840"/>
      <c r="M100" s="840"/>
      <c r="N100" s="840"/>
      <c r="O100" s="833"/>
      <c r="P100" s="833"/>
      <c r="Q100" s="833"/>
      <c r="R100" s="833"/>
      <c r="S100" s="833"/>
    </row>
    <row r="101" spans="1:19">
      <c r="B101" s="859"/>
      <c r="C101" s="859"/>
      <c r="D101" s="859"/>
      <c r="E101" s="859"/>
      <c r="F101" s="859"/>
      <c r="G101" s="859"/>
      <c r="H101" s="859"/>
      <c r="J101" s="840"/>
      <c r="K101" s="840"/>
      <c r="L101" s="840"/>
      <c r="M101" s="840"/>
      <c r="N101" s="840"/>
      <c r="O101" s="833"/>
      <c r="P101" s="833"/>
      <c r="Q101" s="833"/>
      <c r="R101" s="833"/>
      <c r="S101" s="833"/>
    </row>
    <row r="102" spans="1:19">
      <c r="A102" s="847"/>
      <c r="B102" s="845"/>
      <c r="C102" s="845"/>
      <c r="D102" s="845"/>
      <c r="E102" s="845"/>
      <c r="F102" s="845"/>
      <c r="G102" s="845"/>
      <c r="H102" s="845"/>
      <c r="J102" s="861"/>
      <c r="K102" s="861"/>
      <c r="L102" s="861"/>
      <c r="M102" s="861"/>
      <c r="N102" s="861"/>
      <c r="O102" s="833"/>
      <c r="P102" s="833"/>
      <c r="Q102" s="833"/>
      <c r="R102" s="833"/>
      <c r="S102" s="833"/>
    </row>
    <row r="103" spans="1:19">
      <c r="R103" s="833"/>
      <c r="S103" s="833"/>
    </row>
  </sheetData>
  <pageMargins left="0.7" right="0.7" top="0.75" bottom="0.75" header="0.3" footer="0.3"/>
  <pageSetup orientation="portrait" r:id="rId1"/>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Q58"/>
  <sheetViews>
    <sheetView workbookViewId="0">
      <selection activeCell="K31" sqref="K31"/>
    </sheetView>
  </sheetViews>
  <sheetFormatPr defaultRowHeight="11.25"/>
  <cols>
    <col min="1" max="4" width="9" style="123"/>
    <col min="5" max="5" width="11.375" style="123" bestFit="1" customWidth="1"/>
    <col min="6" max="6" width="11.25" style="123" bestFit="1" customWidth="1"/>
    <col min="7" max="12" width="9" style="123"/>
    <col min="13" max="13" width="13.625" style="123" bestFit="1" customWidth="1"/>
    <col min="14" max="14" width="9.75" style="123" bestFit="1" customWidth="1"/>
    <col min="15" max="16384" width="9" style="123"/>
  </cols>
  <sheetData>
    <row r="1" spans="1:17">
      <c r="A1" s="123" t="s">
        <v>630</v>
      </c>
      <c r="M1" s="191"/>
      <c r="N1" s="193" t="s">
        <v>2501</v>
      </c>
      <c r="O1" s="193" t="s">
        <v>2502</v>
      </c>
      <c r="P1" s="193" t="s">
        <v>404</v>
      </c>
      <c r="Q1" s="193" t="s">
        <v>659</v>
      </c>
    </row>
    <row r="2" spans="1:17">
      <c r="M2" s="123" t="s">
        <v>1216</v>
      </c>
      <c r="N2" s="125">
        <f>6000*12</f>
        <v>72000</v>
      </c>
      <c r="O2" s="125">
        <f>4000*12</f>
        <v>48000</v>
      </c>
      <c r="P2" s="125">
        <f>((N2*100000)+(O2*45000))/10^6</f>
        <v>9360</v>
      </c>
      <c r="Q2" s="125">
        <f>(((N2*100000)*30%)+((O2*45000)*22%))/10^6</f>
        <v>2635.2</v>
      </c>
    </row>
    <row r="3" spans="1:17">
      <c r="A3" s="123" t="s">
        <v>587</v>
      </c>
      <c r="M3" s="127" t="s">
        <v>2503</v>
      </c>
      <c r="N3" s="873"/>
      <c r="O3" s="873"/>
      <c r="P3" s="872">
        <f>P2/'Inc Stmt'!$P$9*100</f>
        <v>4.1440646899123896</v>
      </c>
      <c r="Q3" s="872">
        <f>Q2/'Inc Stmt'!$P$21*100</f>
        <v>5.5107341371911804</v>
      </c>
    </row>
    <row r="4" spans="1:17">
      <c r="A4" s="522" t="s">
        <v>641</v>
      </c>
      <c r="M4" s="123" t="s">
        <v>1218</v>
      </c>
      <c r="N4" s="125">
        <f>4000*12</f>
        <v>48000</v>
      </c>
      <c r="O4" s="125">
        <f>40000*12</f>
        <v>480000</v>
      </c>
      <c r="P4" s="125">
        <f>((N4*100000)+(O4*45000))/10^6</f>
        <v>26400</v>
      </c>
      <c r="Q4" s="125">
        <f>(((N4*100000)*30%)+((O4*45000)*22%))/10^6</f>
        <v>6192</v>
      </c>
    </row>
    <row r="5" spans="1:17">
      <c r="A5" s="123" t="s">
        <v>631</v>
      </c>
      <c r="M5" s="127" t="s">
        <v>2503</v>
      </c>
      <c r="N5" s="125"/>
      <c r="O5" s="125"/>
      <c r="P5" s="872">
        <f>P4/'Inc Stmt'!$P$9*100</f>
        <v>11.688387586932382</v>
      </c>
      <c r="Q5" s="872">
        <f>Q4/'Inc Stmt'!$P$21*100</f>
        <v>12.948719557334467</v>
      </c>
    </row>
    <row r="6" spans="1:17">
      <c r="A6" s="123" t="s">
        <v>632</v>
      </c>
      <c r="M6" s="123" t="s">
        <v>2409</v>
      </c>
      <c r="N6" s="125">
        <f>8000*12</f>
        <v>96000</v>
      </c>
      <c r="O6" s="125">
        <f>8000*12</f>
        <v>96000</v>
      </c>
      <c r="P6" s="125">
        <f>((N6*100000)+(O6*45000))/10^6</f>
        <v>13920</v>
      </c>
      <c r="Q6" s="125">
        <f>(((N6*100000)*30%)+((O6*45000)*22%))/10^6</f>
        <v>3830.4</v>
      </c>
    </row>
    <row r="7" spans="1:17">
      <c r="A7" s="123" t="s">
        <v>633</v>
      </c>
      <c r="M7" s="127" t="s">
        <v>2503</v>
      </c>
      <c r="P7" s="872">
        <f>P6/'Inc Stmt'!$P$9*100</f>
        <v>6.1629680003825289</v>
      </c>
      <c r="Q7" s="872">
        <f>Q6/'Inc Stmt'!$P$21*100</f>
        <v>8.0101381447696944</v>
      </c>
    </row>
    <row r="8" spans="1:17">
      <c r="A8" s="123" t="s">
        <v>2493</v>
      </c>
    </row>
    <row r="10" spans="1:17">
      <c r="A10" s="123" t="s">
        <v>645</v>
      </c>
      <c r="O10" s="126"/>
    </row>
    <row r="11" spans="1:17">
      <c r="N11" s="125"/>
      <c r="O11" s="126"/>
    </row>
    <row r="12" spans="1:17">
      <c r="N12" s="125"/>
    </row>
    <row r="14" spans="1:17">
      <c r="B14" s="191" t="s">
        <v>639</v>
      </c>
      <c r="C14" s="191" t="s">
        <v>638</v>
      </c>
      <c r="D14" s="191" t="s">
        <v>642</v>
      </c>
      <c r="E14" s="191" t="s">
        <v>2376</v>
      </c>
      <c r="F14" s="191" t="s">
        <v>2375</v>
      </c>
      <c r="G14" s="191" t="s">
        <v>640</v>
      </c>
      <c r="H14" s="193" t="s">
        <v>659</v>
      </c>
      <c r="I14" s="191" t="s">
        <v>637</v>
      </c>
    </row>
    <row r="15" spans="1:17">
      <c r="A15" s="191" t="s">
        <v>621</v>
      </c>
      <c r="B15" s="125">
        <v>75000</v>
      </c>
      <c r="C15" s="124">
        <f t="shared" ref="C15:C20" si="0">B15/SUM($B$15:$B$20)*100</f>
        <v>22.522522522522522</v>
      </c>
      <c r="D15" s="123">
        <v>30500</v>
      </c>
      <c r="E15" s="126">
        <f t="shared" ref="E15:E20" si="1">B15*12*D15/10^6</f>
        <v>27450</v>
      </c>
      <c r="F15" s="131">
        <f t="shared" ref="F15:F20" si="2">E15/$E$21*100</f>
        <v>14.010963770557069</v>
      </c>
      <c r="G15" s="521">
        <v>7.0000000000000007E-2</v>
      </c>
      <c r="H15" s="126">
        <f t="shared" ref="H15:H20" si="3">E15*G15</f>
        <v>1921.5000000000002</v>
      </c>
      <c r="I15" s="124">
        <f t="shared" ref="I15:I20" si="4">H15/SUM($H$15:$H$20)*100</f>
        <v>4.4635701592389987</v>
      </c>
    </row>
    <row r="16" spans="1:17">
      <c r="A16" s="191" t="s">
        <v>48</v>
      </c>
      <c r="B16" s="125">
        <v>20000</v>
      </c>
      <c r="C16" s="124">
        <f t="shared" si="0"/>
        <v>6.0060060060060056</v>
      </c>
      <c r="D16" s="123">
        <v>37500</v>
      </c>
      <c r="E16" s="126">
        <f t="shared" si="1"/>
        <v>9000</v>
      </c>
      <c r="F16" s="131">
        <f t="shared" si="2"/>
        <v>4.5937586132974007</v>
      </c>
      <c r="G16" s="521">
        <v>0.14000000000000001</v>
      </c>
      <c r="H16" s="126">
        <f t="shared" si="3"/>
        <v>1260.0000000000002</v>
      </c>
      <c r="I16" s="124">
        <f t="shared" si="4"/>
        <v>2.9269312519599988</v>
      </c>
      <c r="J16" s="124">
        <f>SUM(I15:I17)</f>
        <v>34.987281786821839</v>
      </c>
      <c r="K16" s="191" t="s">
        <v>643</v>
      </c>
    </row>
    <row r="17" spans="1:12">
      <c r="A17" s="191" t="s">
        <v>619</v>
      </c>
      <c r="B17" s="125">
        <v>60000</v>
      </c>
      <c r="C17" s="124">
        <f t="shared" si="0"/>
        <v>18.018018018018019</v>
      </c>
      <c r="D17" s="123">
        <v>66000</v>
      </c>
      <c r="E17" s="126">
        <f t="shared" si="1"/>
        <v>47520</v>
      </c>
      <c r="F17" s="131">
        <f t="shared" si="2"/>
        <v>24.25504547821027</v>
      </c>
      <c r="G17" s="521">
        <v>0.25</v>
      </c>
      <c r="H17" s="126">
        <f t="shared" si="3"/>
        <v>11880</v>
      </c>
      <c r="I17" s="124">
        <f t="shared" si="4"/>
        <v>27.596780375622842</v>
      </c>
    </row>
    <row r="18" spans="1:12">
      <c r="A18" s="191" t="s">
        <v>636</v>
      </c>
      <c r="B18" s="125">
        <v>20000</v>
      </c>
      <c r="C18" s="124">
        <f t="shared" si="0"/>
        <v>6.0060060060060056</v>
      </c>
      <c r="D18" s="123">
        <v>95000</v>
      </c>
      <c r="E18" s="126">
        <f t="shared" si="1"/>
        <v>22800</v>
      </c>
      <c r="F18" s="131">
        <f t="shared" si="2"/>
        <v>11.637521820353413</v>
      </c>
      <c r="G18" s="521">
        <v>0.25</v>
      </c>
      <c r="H18" s="126">
        <f t="shared" si="3"/>
        <v>5700</v>
      </c>
      <c r="I18" s="124">
        <f t="shared" si="4"/>
        <v>13.240879473152376</v>
      </c>
      <c r="J18" s="124">
        <f>I18</f>
        <v>13.240879473152376</v>
      </c>
      <c r="K18" s="191" t="s">
        <v>644</v>
      </c>
    </row>
    <row r="19" spans="1:12">
      <c r="A19" s="191" t="s">
        <v>635</v>
      </c>
      <c r="B19" s="125">
        <v>25000</v>
      </c>
      <c r="C19" s="124">
        <f t="shared" si="0"/>
        <v>7.5075075075075075</v>
      </c>
      <c r="D19" s="123">
        <v>95000</v>
      </c>
      <c r="E19" s="126">
        <f t="shared" si="1"/>
        <v>28500</v>
      </c>
      <c r="F19" s="131">
        <f t="shared" si="2"/>
        <v>14.546902275441767</v>
      </c>
      <c r="G19" s="521">
        <v>0.25</v>
      </c>
      <c r="H19" s="126">
        <f t="shared" si="3"/>
        <v>7125</v>
      </c>
      <c r="I19" s="124">
        <f t="shared" si="4"/>
        <v>16.551099341440466</v>
      </c>
      <c r="J19" s="124">
        <f>SUM(I19:I20)</f>
        <v>51.771838740025785</v>
      </c>
      <c r="K19" s="191" t="s">
        <v>587</v>
      </c>
    </row>
    <row r="20" spans="1:12">
      <c r="A20" s="191" t="s">
        <v>634</v>
      </c>
      <c r="B20" s="125">
        <v>133000</v>
      </c>
      <c r="C20" s="124">
        <f t="shared" si="0"/>
        <v>39.93993993993994</v>
      </c>
      <c r="D20" s="123">
        <v>38000</v>
      </c>
      <c r="E20" s="126">
        <f t="shared" si="1"/>
        <v>60648</v>
      </c>
      <c r="F20" s="131">
        <f t="shared" si="2"/>
        <v>30.955808042140081</v>
      </c>
      <c r="G20" s="521">
        <v>0.25</v>
      </c>
      <c r="H20" s="126">
        <f t="shared" si="3"/>
        <v>15162</v>
      </c>
      <c r="I20" s="124">
        <f t="shared" si="4"/>
        <v>35.220739398585316</v>
      </c>
    </row>
    <row r="21" spans="1:12">
      <c r="E21" s="354">
        <f>SUM(E15:E20)</f>
        <v>195918</v>
      </c>
      <c r="F21" s="354"/>
      <c r="H21" s="354">
        <f>SUM(H15:H20)</f>
        <v>43048.5</v>
      </c>
    </row>
    <row r="22" spans="1:12">
      <c r="H22" s="124">
        <f>H21/E21*100</f>
        <v>21.972713073837014</v>
      </c>
    </row>
    <row r="25" spans="1:12">
      <c r="A25" s="123" t="s">
        <v>2405</v>
      </c>
    </row>
    <row r="26" spans="1:12">
      <c r="B26" s="123" t="s">
        <v>2406</v>
      </c>
      <c r="C26" s="123" t="s">
        <v>2407</v>
      </c>
    </row>
    <row r="27" spans="1:12">
      <c r="B27" s="123" t="s">
        <v>1216</v>
      </c>
      <c r="C27" s="123" t="s">
        <v>2408</v>
      </c>
    </row>
    <row r="28" spans="1:12">
      <c r="B28" s="123" t="s">
        <v>2409</v>
      </c>
      <c r="C28" s="123" t="s">
        <v>2410</v>
      </c>
    </row>
    <row r="32" spans="1:12">
      <c r="B32" s="723" t="s">
        <v>575</v>
      </c>
      <c r="C32" s="193" t="s">
        <v>1858</v>
      </c>
      <c r="E32" s="191" t="s">
        <v>2412</v>
      </c>
      <c r="G32" s="723" t="s">
        <v>404</v>
      </c>
      <c r="H32" s="193" t="s">
        <v>1858</v>
      </c>
      <c r="K32" s="723" t="s">
        <v>659</v>
      </c>
      <c r="L32" s="193" t="s">
        <v>1858</v>
      </c>
    </row>
    <row r="33" spans="1:14">
      <c r="B33" s="191" t="s">
        <v>621</v>
      </c>
      <c r="C33" s="125">
        <f>'Model wise sales'!V6</f>
        <v>72111.916666666672</v>
      </c>
      <c r="E33" s="123">
        <v>30500</v>
      </c>
      <c r="G33" s="191" t="s">
        <v>621</v>
      </c>
      <c r="H33" s="128">
        <f t="shared" ref="H33:H38" si="5">C33*E33/10^6</f>
        <v>2199.4134583333334</v>
      </c>
      <c r="J33" s="521">
        <v>0.04</v>
      </c>
      <c r="K33" s="191" t="s">
        <v>621</v>
      </c>
      <c r="L33" s="126">
        <f t="shared" ref="L33:L38" si="6">H33*J33</f>
        <v>87.976538333333338</v>
      </c>
    </row>
    <row r="34" spans="1:14">
      <c r="B34" s="191" t="s">
        <v>48</v>
      </c>
      <c r="C34" s="125">
        <f>'Model wise sales'!V7</f>
        <v>19841.5</v>
      </c>
      <c r="E34" s="123">
        <v>37500</v>
      </c>
      <c r="G34" s="191" t="s">
        <v>48</v>
      </c>
      <c r="H34" s="126">
        <f t="shared" si="5"/>
        <v>744.05624999999998</v>
      </c>
      <c r="J34" s="521">
        <v>0.04</v>
      </c>
      <c r="K34" s="191" t="s">
        <v>48</v>
      </c>
      <c r="L34" s="126">
        <f t="shared" si="6"/>
        <v>29.762249999999998</v>
      </c>
    </row>
    <row r="35" spans="1:14">
      <c r="B35" s="191" t="s">
        <v>619</v>
      </c>
      <c r="C35" s="125">
        <f>'Model wise sales'!V8</f>
        <v>66293</v>
      </c>
      <c r="E35" s="123">
        <v>66000</v>
      </c>
      <c r="G35" s="191" t="s">
        <v>619</v>
      </c>
      <c r="H35" s="126">
        <f t="shared" si="5"/>
        <v>4375.3379999999997</v>
      </c>
      <c r="J35" s="521">
        <v>0.2</v>
      </c>
      <c r="K35" s="191" t="s">
        <v>619</v>
      </c>
      <c r="L35" s="126">
        <f t="shared" si="6"/>
        <v>875.06759999999997</v>
      </c>
    </row>
    <row r="36" spans="1:14">
      <c r="B36" s="191" t="s">
        <v>636</v>
      </c>
      <c r="C36" s="125">
        <f>'Model wise sales'!V10</f>
        <v>21249.583333333332</v>
      </c>
      <c r="E36" s="123">
        <v>95000</v>
      </c>
      <c r="G36" s="191" t="s">
        <v>636</v>
      </c>
      <c r="H36" s="126">
        <f t="shared" si="5"/>
        <v>2018.7104166666666</v>
      </c>
      <c r="J36" s="521">
        <v>0.25</v>
      </c>
      <c r="K36" s="191" t="s">
        <v>636</v>
      </c>
      <c r="L36" s="126">
        <f t="shared" si="6"/>
        <v>504.67760416666664</v>
      </c>
    </row>
    <row r="37" spans="1:14">
      <c r="B37" s="191" t="s">
        <v>635</v>
      </c>
      <c r="C37" s="125">
        <f>'Model wise sales'!V14</f>
        <v>23333.333333333332</v>
      </c>
      <c r="E37" s="123">
        <v>95000</v>
      </c>
      <c r="G37" s="191" t="s">
        <v>635</v>
      </c>
      <c r="H37" s="126">
        <f t="shared" si="5"/>
        <v>2216.6666666666665</v>
      </c>
      <c r="J37" s="521">
        <v>0.33</v>
      </c>
      <c r="K37" s="191" t="s">
        <v>635</v>
      </c>
      <c r="L37" s="126">
        <f t="shared" si="6"/>
        <v>731.5</v>
      </c>
    </row>
    <row r="38" spans="1:14">
      <c r="B38" s="191" t="s">
        <v>634</v>
      </c>
      <c r="C38" s="125">
        <f>'Model wise sales'!V13</f>
        <v>121607.91666666667</v>
      </c>
      <c r="E38" s="123">
        <v>38000</v>
      </c>
      <c r="G38" s="191" t="s">
        <v>634</v>
      </c>
      <c r="H38" s="126">
        <f t="shared" si="5"/>
        <v>4621.1008333333339</v>
      </c>
      <c r="J38" s="521">
        <v>0.27</v>
      </c>
      <c r="K38" s="191" t="s">
        <v>634</v>
      </c>
      <c r="L38" s="126">
        <f t="shared" si="6"/>
        <v>1247.6972250000001</v>
      </c>
    </row>
    <row r="39" spans="1:14">
      <c r="H39" s="354">
        <f>SUM(H33:H38)</f>
        <v>16175.285625</v>
      </c>
      <c r="I39" s="354"/>
      <c r="J39" s="191"/>
      <c r="K39" s="191"/>
      <c r="L39" s="354">
        <f>SUM(L33:L38)</f>
        <v>3476.6812174999995</v>
      </c>
    </row>
    <row r="40" spans="1:14">
      <c r="K40" s="123" t="s">
        <v>1378</v>
      </c>
      <c r="L40" s="124">
        <f>L39/H39*100</f>
        <v>21.49378563137428</v>
      </c>
      <c r="N40" s="124"/>
    </row>
    <row r="42" spans="1:14">
      <c r="A42" s="723" t="s">
        <v>2530</v>
      </c>
    </row>
    <row r="43" spans="1:14">
      <c r="A43" s="123" t="s">
        <v>2505</v>
      </c>
      <c r="B43" s="123">
        <v>254000</v>
      </c>
    </row>
    <row r="44" spans="1:14">
      <c r="A44" s="123" t="s">
        <v>2506</v>
      </c>
      <c r="B44" s="123">
        <v>180000</v>
      </c>
    </row>
    <row r="45" spans="1:14">
      <c r="A45" s="123" t="s">
        <v>2507</v>
      </c>
      <c r="B45" s="123">
        <v>74000</v>
      </c>
    </row>
    <row r="46" spans="1:14">
      <c r="A46" s="123" t="s">
        <v>2508</v>
      </c>
      <c r="B46" s="123">
        <v>0</v>
      </c>
    </row>
    <row r="48" spans="1:14">
      <c r="A48" s="191" t="s">
        <v>2527</v>
      </c>
    </row>
    <row r="49" spans="1:3">
      <c r="A49" s="123" t="s">
        <v>2482</v>
      </c>
      <c r="B49" s="123" t="s">
        <v>1823</v>
      </c>
    </row>
    <row r="50" spans="1:3">
      <c r="A50" s="123" t="s">
        <v>621</v>
      </c>
      <c r="B50" s="521">
        <v>0.04</v>
      </c>
    </row>
    <row r="51" spans="1:3">
      <c r="A51" s="123" t="s">
        <v>48</v>
      </c>
      <c r="B51" s="521">
        <v>0.04</v>
      </c>
    </row>
    <row r="52" spans="1:3">
      <c r="A52" s="123" t="s">
        <v>2509</v>
      </c>
      <c r="B52" s="123" t="s">
        <v>2528</v>
      </c>
    </row>
    <row r="53" spans="1:3">
      <c r="A53" s="123" t="s">
        <v>619</v>
      </c>
      <c r="B53" s="521">
        <v>0.2</v>
      </c>
    </row>
    <row r="54" spans="1:3">
      <c r="A54" s="123" t="s">
        <v>51</v>
      </c>
      <c r="B54" s="521">
        <v>0.21</v>
      </c>
    </row>
    <row r="55" spans="1:3">
      <c r="A55" s="123" t="s">
        <v>587</v>
      </c>
      <c r="B55" s="521">
        <v>0.27</v>
      </c>
    </row>
    <row r="56" spans="1:3">
      <c r="A56" s="123" t="s">
        <v>2525</v>
      </c>
      <c r="B56" s="521">
        <v>0.25</v>
      </c>
    </row>
    <row r="57" spans="1:3">
      <c r="A57" s="123" t="s">
        <v>2526</v>
      </c>
      <c r="B57" s="521">
        <v>0.33</v>
      </c>
      <c r="C57" s="123" t="s">
        <v>2529</v>
      </c>
    </row>
    <row r="58" spans="1:3">
      <c r="A58" s="123" t="s">
        <v>763</v>
      </c>
      <c r="B58" s="521">
        <v>0.31</v>
      </c>
    </row>
  </sheetData>
  <phoneticPr fontId="63" type="noConversion"/>
  <pageMargins left="0.75" right="0.75" top="1" bottom="1" header="0.5" footer="0.5"/>
  <pageSetup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N65"/>
  <sheetViews>
    <sheetView topLeftCell="A3" zoomScale="85" workbookViewId="0">
      <selection activeCell="K31" sqref="K31"/>
    </sheetView>
  </sheetViews>
  <sheetFormatPr defaultRowHeight="12.75"/>
  <cols>
    <col min="1" max="1" width="18.5" customWidth="1"/>
    <col min="2" max="2" width="16.625" customWidth="1"/>
    <col min="3" max="3" width="13.125" customWidth="1"/>
    <col min="4" max="4" width="14.625" bestFit="1" customWidth="1"/>
    <col min="5" max="5" width="12.125" bestFit="1" customWidth="1"/>
    <col min="6" max="6" width="14.5" customWidth="1"/>
    <col min="7" max="7" width="12.125" customWidth="1"/>
    <col min="8" max="11" width="12.125" bestFit="1" customWidth="1"/>
    <col min="12" max="12" width="10.125" customWidth="1"/>
    <col min="13" max="13" width="10.875" bestFit="1" customWidth="1"/>
  </cols>
  <sheetData>
    <row r="1" spans="1:13" s="1712" customFormat="1">
      <c r="A1" s="1711" t="s">
        <v>2229</v>
      </c>
    </row>
    <row r="3" spans="1:13" s="6" customFormat="1" ht="13.5" thickBot="1">
      <c r="A3" s="6" t="s">
        <v>626</v>
      </c>
    </row>
    <row r="4" spans="1:13" s="1" customFormat="1" ht="13.5" thickBot="1">
      <c r="A4" s="2"/>
      <c r="B4" s="7" t="s">
        <v>668</v>
      </c>
      <c r="C4" s="7" t="s">
        <v>314</v>
      </c>
      <c r="D4" s="8" t="s">
        <v>612</v>
      </c>
      <c r="E4" s="9" t="s">
        <v>195</v>
      </c>
      <c r="F4" s="10" t="s">
        <v>691</v>
      </c>
      <c r="G4" s="11" t="s">
        <v>692</v>
      </c>
      <c r="H4" s="11" t="s">
        <v>693</v>
      </c>
      <c r="I4" s="11" t="s">
        <v>2224</v>
      </c>
      <c r="J4" s="11" t="s">
        <v>1982</v>
      </c>
      <c r="K4" s="11" t="s">
        <v>1633</v>
      </c>
    </row>
    <row r="5" spans="1:13">
      <c r="E5" t="s">
        <v>385</v>
      </c>
      <c r="F5" t="s">
        <v>394</v>
      </c>
    </row>
    <row r="6" spans="1:13">
      <c r="A6" s="59" t="s">
        <v>620</v>
      </c>
    </row>
    <row r="7" spans="1:13">
      <c r="A7" t="s">
        <v>2411</v>
      </c>
      <c r="D7" s="71">
        <f>15000*12</f>
        <v>180000</v>
      </c>
      <c r="E7" s="71">
        <f>25000*12</f>
        <v>300000</v>
      </c>
      <c r="F7" s="71">
        <f>'Model wise sales'!L6</f>
        <v>535631</v>
      </c>
      <c r="G7" s="71">
        <f>'Model wise sales'!M6</f>
        <v>484742</v>
      </c>
      <c r="H7" s="71">
        <f>'Model wise sales'!N6</f>
        <v>459785</v>
      </c>
      <c r="I7" s="71">
        <f>70000*12</f>
        <v>840000</v>
      </c>
      <c r="J7" s="71">
        <f>70000*12</f>
        <v>840000</v>
      </c>
      <c r="K7" s="71">
        <f>70000*12</f>
        <v>840000</v>
      </c>
    </row>
    <row r="8" spans="1:13">
      <c r="A8" t="s">
        <v>622</v>
      </c>
      <c r="D8" s="71">
        <f>18000*12</f>
        <v>216000</v>
      </c>
      <c r="E8" s="71">
        <v>14000</v>
      </c>
      <c r="F8" s="71"/>
      <c r="G8" s="71"/>
      <c r="H8" s="71"/>
      <c r="I8" s="71"/>
      <c r="J8" s="71"/>
      <c r="K8" s="71"/>
    </row>
    <row r="9" spans="1:13">
      <c r="A9" t="s">
        <v>623</v>
      </c>
      <c r="D9" s="71">
        <f>25000*6</f>
        <v>150000</v>
      </c>
      <c r="E9" s="71">
        <f>30000*12</f>
        <v>360000</v>
      </c>
      <c r="F9" s="71"/>
      <c r="G9" s="71"/>
      <c r="H9" s="71"/>
      <c r="I9" s="71"/>
      <c r="J9" s="71"/>
      <c r="K9" s="71"/>
    </row>
    <row r="10" spans="1:13">
      <c r="A10" t="s">
        <v>617</v>
      </c>
      <c r="D10" s="71"/>
      <c r="E10" s="71">
        <f>10000*12</f>
        <v>120000</v>
      </c>
      <c r="F10" s="71"/>
      <c r="G10" s="71"/>
      <c r="H10" s="71"/>
      <c r="I10" s="71"/>
      <c r="J10" s="71"/>
      <c r="K10" s="71"/>
    </row>
    <row r="11" spans="1:13">
      <c r="A11" t="s">
        <v>2532</v>
      </c>
      <c r="D11" s="71"/>
      <c r="E11" s="71">
        <f>10000*12</f>
        <v>120000</v>
      </c>
      <c r="F11" s="71">
        <f t="shared" ref="F11:K11" si="0">F12-F7</f>
        <v>414369</v>
      </c>
      <c r="G11" s="71">
        <f t="shared" si="0"/>
        <v>465258</v>
      </c>
      <c r="H11" s="71">
        <f t="shared" si="0"/>
        <v>470215</v>
      </c>
      <c r="I11" s="71">
        <f t="shared" si="0"/>
        <v>160000</v>
      </c>
      <c r="J11" s="71">
        <f t="shared" si="0"/>
        <v>560000</v>
      </c>
      <c r="K11" s="71">
        <f t="shared" si="0"/>
        <v>560000</v>
      </c>
      <c r="L11" s="886"/>
    </row>
    <row r="12" spans="1:13" s="59" customFormat="1">
      <c r="A12" s="59" t="s">
        <v>230</v>
      </c>
      <c r="B12" s="61">
        <v>276925</v>
      </c>
      <c r="C12" s="61">
        <v>318321</v>
      </c>
      <c r="D12" s="61">
        <f>SUM(D7:D9)</f>
        <v>546000</v>
      </c>
      <c r="E12" s="61">
        <f>SUM(E7:E11)</f>
        <v>914000</v>
      </c>
      <c r="F12" s="61">
        <v>950000</v>
      </c>
      <c r="G12" s="61">
        <v>950000</v>
      </c>
      <c r="H12" s="61">
        <v>930000</v>
      </c>
      <c r="I12" s="61">
        <v>1000000</v>
      </c>
      <c r="J12" s="61">
        <v>1400000</v>
      </c>
      <c r="K12" s="61">
        <v>1400000</v>
      </c>
      <c r="M12" s="59">
        <f>4*35%</f>
        <v>1.4</v>
      </c>
    </row>
    <row r="13" spans="1:13">
      <c r="B13" s="73" t="s">
        <v>2230</v>
      </c>
      <c r="C13" s="73" t="s">
        <v>2230</v>
      </c>
      <c r="E13" s="73">
        <f>(E12/D12-1)*100</f>
        <v>67.399267399267401</v>
      </c>
    </row>
    <row r="14" spans="1:13" s="6" customFormat="1" ht="13.5" thickBot="1">
      <c r="A14" s="6" t="s">
        <v>647</v>
      </c>
    </row>
    <row r="15" spans="1:13" s="1" customFormat="1" ht="13.5" thickBot="1">
      <c r="A15" s="2"/>
      <c r="B15" s="7" t="s">
        <v>668</v>
      </c>
      <c r="C15" s="7" t="s">
        <v>314</v>
      </c>
      <c r="D15" s="8" t="s">
        <v>612</v>
      </c>
      <c r="E15" s="9" t="s">
        <v>195</v>
      </c>
      <c r="F15" s="10" t="s">
        <v>691</v>
      </c>
      <c r="G15" s="11" t="s">
        <v>692</v>
      </c>
      <c r="H15" s="11" t="s">
        <v>693</v>
      </c>
      <c r="I15" s="11" t="s">
        <v>2224</v>
      </c>
      <c r="J15" s="11" t="s">
        <v>1982</v>
      </c>
      <c r="K15" s="11" t="s">
        <v>1633</v>
      </c>
    </row>
    <row r="16" spans="1:13">
      <c r="D16" s="73" t="s">
        <v>649</v>
      </c>
    </row>
    <row r="17" spans="1:14">
      <c r="A17" s="59" t="s">
        <v>620</v>
      </c>
      <c r="B17" t="s">
        <v>648</v>
      </c>
    </row>
    <row r="18" spans="1:14">
      <c r="A18" t="s">
        <v>621</v>
      </c>
      <c r="B18">
        <f>36000*0.78</f>
        <v>28080</v>
      </c>
      <c r="D18" s="71">
        <f>(D7*B18)/1000000</f>
        <v>5054.3999999999996</v>
      </c>
      <c r="E18" s="71">
        <f>(E7*B18)/1000000</f>
        <v>8424</v>
      </c>
      <c r="F18" s="71">
        <f>((F7*B18)/1000000)*1.03</f>
        <v>15491.7340344</v>
      </c>
      <c r="G18" s="71">
        <f>((G7*B18)/1000000)*1.03</f>
        <v>14019.9020208</v>
      </c>
      <c r="H18" s="71">
        <f>((H7*B18)/1000000)*1.03</f>
        <v>13298.085684000001</v>
      </c>
      <c r="I18" s="71">
        <f>((I7*B18)/1000000)*1.03</f>
        <v>24294.816000000003</v>
      </c>
      <c r="J18" s="71">
        <f>((J7*B18)/1000000)*1.03</f>
        <v>24294.816000000003</v>
      </c>
      <c r="K18" s="71">
        <f>((K7*B18)/1000000)*1.03</f>
        <v>24294.816000000003</v>
      </c>
    </row>
    <row r="19" spans="1:14">
      <c r="A19" t="s">
        <v>622</v>
      </c>
      <c r="B19">
        <f>45000*0.78</f>
        <v>35100</v>
      </c>
      <c r="D19" s="71">
        <f>(D8*B19)/1000000</f>
        <v>7581.6</v>
      </c>
      <c r="E19" s="71">
        <f>(E8*B19)/1000000</f>
        <v>491.4</v>
      </c>
      <c r="F19" s="71">
        <f>(F8*B19)/1000000</f>
        <v>0</v>
      </c>
      <c r="G19" s="71">
        <f>(G8*B19)/1000000</f>
        <v>0</v>
      </c>
      <c r="H19" s="71">
        <f>(H8*B19)/1000000</f>
        <v>0</v>
      </c>
      <c r="I19" s="71">
        <f>(I8*B19)/1000000</f>
        <v>0</v>
      </c>
      <c r="J19" s="71">
        <f>(J8*C19)/1000000</f>
        <v>0</v>
      </c>
      <c r="K19" s="71">
        <f>(K8*D19)/1000000</f>
        <v>0</v>
      </c>
    </row>
    <row r="20" spans="1:14">
      <c r="A20" t="s">
        <v>623</v>
      </c>
      <c r="B20">
        <f>41500*0.78</f>
        <v>32370</v>
      </c>
      <c r="D20" s="71">
        <f>(D9*B20)/1000000</f>
        <v>4855.5</v>
      </c>
      <c r="E20" s="71">
        <f>(E9*B20)/1000000</f>
        <v>11653.2</v>
      </c>
      <c r="F20" s="71">
        <f>((F9*B20)/1000000)*1.03</f>
        <v>0</v>
      </c>
      <c r="G20" s="71">
        <f>((G9*B20)/1000000)*1.03</f>
        <v>0</v>
      </c>
      <c r="H20" s="71">
        <f>((H9*B20)/1000000)*1.03</f>
        <v>0</v>
      </c>
      <c r="I20" s="71">
        <f t="shared" ref="I20:K21" si="1">((I9*B20)/1000000)*1.03</f>
        <v>0</v>
      </c>
      <c r="J20" s="71">
        <f t="shared" si="1"/>
        <v>0</v>
      </c>
      <c r="K20" s="71">
        <f t="shared" si="1"/>
        <v>0</v>
      </c>
    </row>
    <row r="21" spans="1:14">
      <c r="A21" t="s">
        <v>617</v>
      </c>
      <c r="B21">
        <f>51000*0.78</f>
        <v>39780</v>
      </c>
      <c r="D21" s="71"/>
      <c r="E21" s="71">
        <f>(E10*B21)/1000000</f>
        <v>4773.6000000000004</v>
      </c>
      <c r="F21" s="71">
        <f>((F10*B21)/1000000)*1.03</f>
        <v>0</v>
      </c>
      <c r="G21" s="71">
        <f>((G10*B21)/1000000)*1.03</f>
        <v>0</v>
      </c>
      <c r="H21" s="71">
        <f>((H10*B21)/1000000)*1.03</f>
        <v>0</v>
      </c>
      <c r="I21" s="71">
        <f t="shared" si="1"/>
        <v>0</v>
      </c>
      <c r="J21" s="71">
        <f t="shared" si="1"/>
        <v>0</v>
      </c>
      <c r="K21" s="71">
        <f t="shared" si="1"/>
        <v>0</v>
      </c>
    </row>
    <row r="22" spans="1:14">
      <c r="A22" s="119" t="s">
        <v>2235</v>
      </c>
      <c r="B22">
        <f>60000*0.78</f>
        <v>46800</v>
      </c>
      <c r="D22" s="71"/>
      <c r="E22" s="71">
        <f>(E11*B22)/1000000</f>
        <v>5616</v>
      </c>
      <c r="F22" s="71">
        <f>((F11*B22)/1000000)*1.03</f>
        <v>19974.243276000001</v>
      </c>
      <c r="G22" s="71">
        <f>((G11*B22)/1000000)*1.03</f>
        <v>22427.296632000001</v>
      </c>
      <c r="H22" s="71">
        <f>((H11*B22)/1000000)*1.03</f>
        <v>22666.243860000002</v>
      </c>
      <c r="I22" s="71">
        <f>((I11*B22)/1000000)*1.03</f>
        <v>7712.64</v>
      </c>
      <c r="J22" s="71">
        <f>((J11*B22)/1000000)*1.03</f>
        <v>26994.240000000002</v>
      </c>
      <c r="K22" s="71">
        <f>((K11*B22)/1000000)*1.03</f>
        <v>26994.240000000002</v>
      </c>
    </row>
    <row r="23" spans="1:14" s="59" customFormat="1">
      <c r="A23" s="59" t="s">
        <v>230</v>
      </c>
      <c r="D23" s="62">
        <f>SUM(D18:D20)</f>
        <v>17491.5</v>
      </c>
      <c r="E23" s="62">
        <f t="shared" ref="E23:K23" si="2">SUM(E18:E22)</f>
        <v>30958.199999999997</v>
      </c>
      <c r="F23" s="62">
        <f t="shared" si="2"/>
        <v>35465.977310400005</v>
      </c>
      <c r="G23" s="62">
        <f t="shared" si="2"/>
        <v>36447.198652799998</v>
      </c>
      <c r="H23" s="62">
        <f t="shared" si="2"/>
        <v>35964.329544000007</v>
      </c>
      <c r="I23" s="62">
        <f t="shared" si="2"/>
        <v>32007.456000000002</v>
      </c>
      <c r="J23" s="62">
        <f t="shared" si="2"/>
        <v>51289.056000000004</v>
      </c>
      <c r="K23" s="62">
        <f t="shared" si="2"/>
        <v>51289.056000000004</v>
      </c>
    </row>
    <row r="24" spans="1:14">
      <c r="E24" s="72">
        <f>(E23/D23-1)*100</f>
        <v>76.989966555183926</v>
      </c>
    </row>
    <row r="25" spans="1:14" s="6" customFormat="1" ht="13.5" thickBot="1">
      <c r="A25" s="6" t="s">
        <v>295</v>
      </c>
    </row>
    <row r="26" spans="1:14" s="1" customFormat="1" ht="13.5" thickBot="1">
      <c r="A26" s="2"/>
      <c r="B26" s="7" t="s">
        <v>668</v>
      </c>
      <c r="C26" s="7" t="s">
        <v>314</v>
      </c>
      <c r="D26" s="8" t="s">
        <v>612</v>
      </c>
      <c r="E26" s="9" t="s">
        <v>195</v>
      </c>
      <c r="F26" s="10" t="s">
        <v>691</v>
      </c>
      <c r="G26" s="11" t="s">
        <v>692</v>
      </c>
      <c r="H26" s="11" t="s">
        <v>693</v>
      </c>
      <c r="I26" s="11" t="s">
        <v>2224</v>
      </c>
      <c r="J26" s="11" t="s">
        <v>1982</v>
      </c>
      <c r="K26" s="11" t="s">
        <v>1633</v>
      </c>
    </row>
    <row r="27" spans="1:14">
      <c r="E27" s="72"/>
    </row>
    <row r="28" spans="1:14">
      <c r="E28" s="72"/>
      <c r="M28" s="71"/>
      <c r="N28" s="60"/>
    </row>
    <row r="29" spans="1:14">
      <c r="A29" t="s">
        <v>296</v>
      </c>
      <c r="D29" s="60">
        <f t="shared" ref="D29:I29" si="3">D23</f>
        <v>17491.5</v>
      </c>
      <c r="E29" s="60">
        <f t="shared" si="3"/>
        <v>30958.199999999997</v>
      </c>
      <c r="F29" s="60">
        <f t="shared" si="3"/>
        <v>35465.977310400005</v>
      </c>
      <c r="G29" s="60">
        <f t="shared" si="3"/>
        <v>36447.198652799998</v>
      </c>
      <c r="H29" s="60">
        <f t="shared" si="3"/>
        <v>35964.329544000007</v>
      </c>
      <c r="I29" s="60">
        <f t="shared" si="3"/>
        <v>32007.456000000002</v>
      </c>
      <c r="J29" s="60">
        <f>J23</f>
        <v>51289.056000000004</v>
      </c>
      <c r="K29" s="60">
        <f>K23</f>
        <v>51289.056000000004</v>
      </c>
    </row>
    <row r="30" spans="1:14" ht="13.5" thickBot="1">
      <c r="E30" s="72"/>
    </row>
    <row r="31" spans="1:14" s="59" customFormat="1" ht="13.5" thickBot="1">
      <c r="A31" s="59" t="s">
        <v>297</v>
      </c>
      <c r="B31" s="703" t="s">
        <v>2533</v>
      </c>
      <c r="D31" s="61">
        <f>D29*(8%*50%)</f>
        <v>699.66</v>
      </c>
      <c r="E31" s="61">
        <f>E29*(10%*50%)</f>
        <v>1547.9099999999999</v>
      </c>
      <c r="F31" s="61">
        <f>F29*(10%*50%)</f>
        <v>1773.2988655200004</v>
      </c>
      <c r="G31" s="616">
        <f t="shared" ref="G31:I31" si="4">G29*(12%*40%)</f>
        <v>1749.4655353343999</v>
      </c>
      <c r="H31" s="616">
        <f t="shared" si="4"/>
        <v>1726.2878181120004</v>
      </c>
      <c r="I31" s="616">
        <f t="shared" si="4"/>
        <v>1536.3578880000002</v>
      </c>
      <c r="J31" s="616">
        <f>J29*(12%*40%)</f>
        <v>2461.8746880000003</v>
      </c>
      <c r="K31" s="617">
        <f>K29*(12%*40%)</f>
        <v>2461.8746880000003</v>
      </c>
    </row>
    <row r="32" spans="1:14">
      <c r="E32" s="72"/>
    </row>
    <row r="33" spans="1:11">
      <c r="A33" t="s">
        <v>298</v>
      </c>
      <c r="D33" s="130">
        <f>D31/'Driver Sheet'!F90*100</f>
        <v>0.60795064517530517</v>
      </c>
      <c r="E33" s="130">
        <f>E31/'Driver Sheet'!G90*100</f>
        <v>0.97372304649609165</v>
      </c>
      <c r="F33" s="130">
        <f>F31/'Driver Sheet'!H90*100</f>
        <v>0.93923384862610571</v>
      </c>
      <c r="G33" s="130">
        <f>G31/'Driver Sheet'!I90*100</f>
        <v>0.89767003233338261</v>
      </c>
      <c r="H33" s="130">
        <f>H31/'Driver Sheet'!J90*100</f>
        <v>0.87550427845928847</v>
      </c>
      <c r="I33" s="130">
        <f>I31/'Driver Sheet'!K90*100</f>
        <v>0.72799610688625305</v>
      </c>
      <c r="J33" s="130">
        <f>J31/'Driver Sheet'!L90*100</f>
        <v>1.1063223057972982</v>
      </c>
      <c r="K33" s="130">
        <f>K31/'Driver Sheet'!M90*100</f>
        <v>1.1266473051082129</v>
      </c>
    </row>
    <row r="34" spans="1:11">
      <c r="D34" s="130"/>
      <c r="E34" s="130"/>
      <c r="F34" s="130"/>
      <c r="G34" s="130"/>
      <c r="H34" s="130"/>
      <c r="I34" s="130"/>
      <c r="J34" s="130"/>
      <c r="K34" s="130"/>
    </row>
    <row r="35" spans="1:11">
      <c r="A35" t="s">
        <v>2238</v>
      </c>
      <c r="D35" s="130">
        <f>D31/'Model wise sales'!J101*100</f>
        <v>0.87083476468567489</v>
      </c>
      <c r="E35" s="130">
        <f>E31/'Model wise sales'!K101*100</f>
        <v>1.3905585645151579</v>
      </c>
      <c r="F35" s="130">
        <f>F31/'Model wise sales'!L101*100</f>
        <v>1.4804657091763389</v>
      </c>
      <c r="G35" s="130">
        <f>G31/'Model wise sales'!M101*100</f>
        <v>1.4091013351362451</v>
      </c>
      <c r="H35" s="130">
        <f>H31/'Model wise sales'!N101*100</f>
        <v>1.5882571536589614</v>
      </c>
      <c r="I35" s="130">
        <f>I31/'Model wise sales'!O101*100</f>
        <v>1.4891200226417585</v>
      </c>
      <c r="J35" s="130">
        <f>J31/'Model wise sales'!P101*100</f>
        <v>2.1878803090217844</v>
      </c>
      <c r="K35" s="130">
        <f>K31/'Model wise sales'!Q101*100</f>
        <v>2.053095313037125</v>
      </c>
    </row>
    <row r="36" spans="1:11">
      <c r="D36" s="130"/>
      <c r="E36" s="130"/>
      <c r="F36" s="130"/>
      <c r="G36" s="130"/>
      <c r="H36" s="130"/>
      <c r="I36" s="130"/>
      <c r="J36" s="130"/>
      <c r="K36" s="130"/>
    </row>
    <row r="37" spans="1:11">
      <c r="E37" s="72"/>
    </row>
    <row r="38" spans="1:11" s="6" customFormat="1" ht="13.5" thickBot="1">
      <c r="A38" s="6" t="s">
        <v>627</v>
      </c>
    </row>
    <row r="39" spans="1:11" s="1" customFormat="1" ht="13.5" thickBot="1">
      <c r="A39" s="2"/>
      <c r="B39" s="7" t="s">
        <v>668</v>
      </c>
      <c r="C39" s="7" t="s">
        <v>314</v>
      </c>
      <c r="D39" s="8" t="s">
        <v>612</v>
      </c>
      <c r="E39" s="9" t="s">
        <v>195</v>
      </c>
      <c r="F39" s="10" t="s">
        <v>691</v>
      </c>
      <c r="G39" s="11" t="s">
        <v>692</v>
      </c>
      <c r="H39" s="11" t="s">
        <v>693</v>
      </c>
      <c r="I39" s="11" t="s">
        <v>2224</v>
      </c>
      <c r="J39" s="11" t="s">
        <v>1982</v>
      </c>
      <c r="K39" s="11" t="s">
        <v>1633</v>
      </c>
    </row>
    <row r="41" spans="1:11">
      <c r="B41" t="s">
        <v>393</v>
      </c>
    </row>
    <row r="42" spans="1:11">
      <c r="A42" t="s">
        <v>621</v>
      </c>
      <c r="B42" s="66">
        <v>0.05</v>
      </c>
      <c r="D42" s="60">
        <f t="shared" ref="D42:I46" si="5">D18*$B42</f>
        <v>252.72</v>
      </c>
      <c r="E42" s="60">
        <f t="shared" si="5"/>
        <v>421.20000000000005</v>
      </c>
      <c r="F42" s="60">
        <f t="shared" si="5"/>
        <v>774.58670172000006</v>
      </c>
      <c r="G42" s="60">
        <f t="shared" si="5"/>
        <v>700.99510104000001</v>
      </c>
      <c r="H42" s="60">
        <f t="shared" si="5"/>
        <v>664.90428420000012</v>
      </c>
      <c r="I42" s="60">
        <f t="shared" si="5"/>
        <v>1214.7408000000003</v>
      </c>
      <c r="J42" s="60">
        <f t="shared" ref="J42:K46" si="6">J18*$B42</f>
        <v>1214.7408000000003</v>
      </c>
      <c r="K42" s="60">
        <f t="shared" si="6"/>
        <v>1214.7408000000003</v>
      </c>
    </row>
    <row r="43" spans="1:11">
      <c r="A43" t="s">
        <v>622</v>
      </c>
      <c r="B43" s="66">
        <v>0.14000000000000001</v>
      </c>
      <c r="D43" s="60">
        <f t="shared" si="5"/>
        <v>1061.4240000000002</v>
      </c>
      <c r="E43" s="60">
        <f t="shared" si="5"/>
        <v>68.796000000000006</v>
      </c>
      <c r="F43" s="60">
        <f t="shared" si="5"/>
        <v>0</v>
      </c>
      <c r="G43" s="60">
        <f t="shared" si="5"/>
        <v>0</v>
      </c>
      <c r="H43" s="60">
        <f t="shared" si="5"/>
        <v>0</v>
      </c>
      <c r="I43" s="60">
        <f t="shared" si="5"/>
        <v>0</v>
      </c>
      <c r="J43" s="60">
        <f t="shared" si="6"/>
        <v>0</v>
      </c>
      <c r="K43" s="60">
        <f t="shared" si="6"/>
        <v>0</v>
      </c>
    </row>
    <row r="44" spans="1:11">
      <c r="A44" t="s">
        <v>628</v>
      </c>
      <c r="B44" s="66">
        <v>0.14000000000000001</v>
      </c>
      <c r="D44" s="60">
        <f t="shared" si="5"/>
        <v>679.7700000000001</v>
      </c>
      <c r="E44" s="60">
        <f t="shared" si="5"/>
        <v>1631.4480000000003</v>
      </c>
      <c r="F44" s="60">
        <f t="shared" si="5"/>
        <v>0</v>
      </c>
      <c r="G44" s="60">
        <f t="shared" si="5"/>
        <v>0</v>
      </c>
      <c r="H44" s="60">
        <f t="shared" si="5"/>
        <v>0</v>
      </c>
      <c r="I44" s="60">
        <f t="shared" si="5"/>
        <v>0</v>
      </c>
      <c r="J44" s="60">
        <f t="shared" si="6"/>
        <v>0</v>
      </c>
      <c r="K44" s="60">
        <f t="shared" si="6"/>
        <v>0</v>
      </c>
    </row>
    <row r="45" spans="1:11">
      <c r="A45" t="s">
        <v>617</v>
      </c>
      <c r="B45" s="66">
        <v>0.16</v>
      </c>
      <c r="D45" s="60">
        <f t="shared" si="5"/>
        <v>0</v>
      </c>
      <c r="E45" s="60">
        <f t="shared" si="5"/>
        <v>763.77600000000007</v>
      </c>
      <c r="F45" s="60">
        <f t="shared" si="5"/>
        <v>0</v>
      </c>
      <c r="G45" s="60">
        <f t="shared" si="5"/>
        <v>0</v>
      </c>
      <c r="H45" s="60">
        <f t="shared" si="5"/>
        <v>0</v>
      </c>
      <c r="I45" s="60">
        <f t="shared" si="5"/>
        <v>0</v>
      </c>
      <c r="J45" s="60">
        <f t="shared" si="6"/>
        <v>0</v>
      </c>
      <c r="K45" s="60">
        <f t="shared" si="6"/>
        <v>0</v>
      </c>
    </row>
    <row r="46" spans="1:11">
      <c r="A46" s="119" t="s">
        <v>2235</v>
      </c>
      <c r="B46" s="66">
        <v>0.16</v>
      </c>
      <c r="D46" s="60">
        <f t="shared" si="5"/>
        <v>0</v>
      </c>
      <c r="E46" s="60">
        <f t="shared" si="5"/>
        <v>898.56000000000006</v>
      </c>
      <c r="F46" s="60">
        <f t="shared" si="5"/>
        <v>3195.8789241600002</v>
      </c>
      <c r="G46" s="60">
        <f t="shared" si="5"/>
        <v>3588.3674611200004</v>
      </c>
      <c r="H46" s="60">
        <f t="shared" si="5"/>
        <v>3626.5990176000005</v>
      </c>
      <c r="I46" s="60">
        <f t="shared" si="5"/>
        <v>1234.0224000000001</v>
      </c>
      <c r="J46" s="60">
        <f t="shared" si="6"/>
        <v>4319.0784000000003</v>
      </c>
      <c r="K46" s="60">
        <f t="shared" si="6"/>
        <v>4319.0784000000003</v>
      </c>
    </row>
    <row r="47" spans="1:11">
      <c r="A47" s="59" t="s">
        <v>650</v>
      </c>
      <c r="D47" s="62">
        <f t="shared" ref="D47:I47" si="7">SUM(D42:D46)</f>
        <v>1993.9140000000002</v>
      </c>
      <c r="E47" s="62">
        <f t="shared" si="7"/>
        <v>3783.78</v>
      </c>
      <c r="F47" s="62">
        <f t="shared" si="7"/>
        <v>3970.4656258800005</v>
      </c>
      <c r="G47" s="62">
        <f t="shared" si="7"/>
        <v>4289.3625621600004</v>
      </c>
      <c r="H47" s="62">
        <f t="shared" si="7"/>
        <v>4291.5033018000004</v>
      </c>
      <c r="I47" s="62">
        <f t="shared" si="7"/>
        <v>2448.7632000000003</v>
      </c>
      <c r="J47" s="62">
        <f>SUM(J42:J46)</f>
        <v>5533.8192000000008</v>
      </c>
      <c r="K47" s="62">
        <f>SUM(K42:K46)</f>
        <v>5533.8192000000008</v>
      </c>
    </row>
    <row r="48" spans="1:11">
      <c r="D48" s="72">
        <f t="shared" ref="D48:I48" si="8">(D47/D23)*100</f>
        <v>11.39933110367893</v>
      </c>
      <c r="E48" s="72">
        <f t="shared" si="8"/>
        <v>12.222222222222225</v>
      </c>
      <c r="F48" s="72">
        <f t="shared" si="8"/>
        <v>11.195139474461078</v>
      </c>
      <c r="G48" s="72">
        <f t="shared" si="8"/>
        <v>11.768703002447287</v>
      </c>
      <c r="H48" s="72">
        <f t="shared" si="8"/>
        <v>11.932665939315305</v>
      </c>
      <c r="I48" s="72">
        <f t="shared" si="8"/>
        <v>7.6506024096385543</v>
      </c>
      <c r="J48" s="72">
        <f>(J47/J23)*100</f>
        <v>10.789473684210527</v>
      </c>
      <c r="K48" s="72">
        <f>(K47/K23)*100</f>
        <v>10.789473684210527</v>
      </c>
    </row>
    <row r="51" spans="1:11">
      <c r="A51" s="59" t="s">
        <v>660</v>
      </c>
      <c r="B51" s="64" t="s">
        <v>2237</v>
      </c>
      <c r="D51">
        <f t="shared" ref="D51:K51" si="9">4%*15000</f>
        <v>600</v>
      </c>
      <c r="E51">
        <f t="shared" si="9"/>
        <v>600</v>
      </c>
      <c r="F51">
        <f t="shared" si="9"/>
        <v>600</v>
      </c>
      <c r="G51">
        <f t="shared" si="9"/>
        <v>600</v>
      </c>
      <c r="H51">
        <f t="shared" si="9"/>
        <v>600</v>
      </c>
      <c r="I51">
        <f t="shared" si="9"/>
        <v>600</v>
      </c>
      <c r="J51">
        <f t="shared" si="9"/>
        <v>600</v>
      </c>
      <c r="K51">
        <f t="shared" si="9"/>
        <v>600</v>
      </c>
    </row>
    <row r="54" spans="1:11">
      <c r="A54" s="59" t="s">
        <v>651</v>
      </c>
      <c r="D54" s="62">
        <f t="shared" ref="D54:I54" si="10">D47-D51</f>
        <v>1393.9140000000002</v>
      </c>
      <c r="E54" s="62">
        <f t="shared" si="10"/>
        <v>3183.78</v>
      </c>
      <c r="F54" s="62">
        <f t="shared" si="10"/>
        <v>3370.4656258800005</v>
      </c>
      <c r="G54" s="62">
        <f t="shared" si="10"/>
        <v>3689.3625621600004</v>
      </c>
      <c r="H54" s="62">
        <f t="shared" si="10"/>
        <v>3691.5033018000004</v>
      </c>
      <c r="I54" s="62">
        <f t="shared" si="10"/>
        <v>1848.7632000000003</v>
      </c>
      <c r="J54" s="62">
        <f>J47-J51</f>
        <v>4933.8192000000008</v>
      </c>
      <c r="K54" s="62">
        <f>K47-K51</f>
        <v>4933.8192000000008</v>
      </c>
    </row>
    <row r="55" spans="1:11">
      <c r="D55" s="72">
        <f t="shared" ref="D55:I55" si="11">D54/D23*100</f>
        <v>7.9690935597290125</v>
      </c>
      <c r="E55" s="72">
        <f t="shared" si="11"/>
        <v>10.284125046029811</v>
      </c>
      <c r="F55" s="72">
        <f t="shared" si="11"/>
        <v>9.503377268816017</v>
      </c>
      <c r="G55" s="72">
        <f t="shared" si="11"/>
        <v>10.122485948248785</v>
      </c>
      <c r="H55" s="72">
        <f t="shared" si="11"/>
        <v>10.264346224732723</v>
      </c>
      <c r="I55" s="72">
        <f t="shared" si="11"/>
        <v>5.7760391828703916</v>
      </c>
      <c r="J55" s="72">
        <f>J54/J23*100</f>
        <v>9.619633475024381</v>
      </c>
      <c r="K55" s="72">
        <f>K54/K23*100</f>
        <v>9.619633475024381</v>
      </c>
    </row>
    <row r="56" spans="1:11" s="6" customFormat="1" ht="13.5" thickBot="1">
      <c r="A56" s="6" t="s">
        <v>627</v>
      </c>
    </row>
    <row r="57" spans="1:11" s="1" customFormat="1" ht="13.5" thickBot="1">
      <c r="A57" s="2"/>
      <c r="B57" s="7" t="s">
        <v>668</v>
      </c>
      <c r="C57" s="7" t="s">
        <v>314</v>
      </c>
      <c r="D57" s="8" t="s">
        <v>612</v>
      </c>
      <c r="E57" s="9" t="s">
        <v>195</v>
      </c>
      <c r="F57" s="10" t="s">
        <v>691</v>
      </c>
      <c r="G57" s="11" t="s">
        <v>692</v>
      </c>
      <c r="H57" s="11" t="s">
        <v>693</v>
      </c>
      <c r="I57" s="11" t="s">
        <v>2224</v>
      </c>
      <c r="J57" s="11" t="s">
        <v>2224</v>
      </c>
      <c r="K57" s="11" t="s">
        <v>2224</v>
      </c>
    </row>
    <row r="60" spans="1:11">
      <c r="A60" t="s">
        <v>652</v>
      </c>
      <c r="D60" s="71">
        <f>'Inc Stmt'!J30</f>
        <v>24111.299999999988</v>
      </c>
      <c r="E60" s="71">
        <f>'Inc Stmt'!K30</f>
        <v>43507.499999999978</v>
      </c>
      <c r="F60" s="71">
        <f>'Inc Stmt'!L30</f>
        <v>40261.699999999997</v>
      </c>
      <c r="G60" s="71">
        <f>'Inc Stmt'!M30</f>
        <v>40179.400000000016</v>
      </c>
      <c r="H60" s="71">
        <f>'Inc Stmt'!N30</f>
        <v>46779.999999999985</v>
      </c>
      <c r="I60" s="71">
        <f>'Inc Stmt'!O30</f>
        <v>41253.700000000004</v>
      </c>
      <c r="J60" s="71">
        <f>'Inc Stmt'!P30</f>
        <v>55473.200000000012</v>
      </c>
      <c r="K60" s="71">
        <f>'Inc Stmt'!Q30</f>
        <v>53356.299999999988</v>
      </c>
    </row>
    <row r="61" spans="1:11">
      <c r="A61" t="s">
        <v>653</v>
      </c>
      <c r="D61" s="71">
        <f>D54</f>
        <v>1393.9140000000002</v>
      </c>
      <c r="E61" s="71">
        <f>E54</f>
        <v>3183.78</v>
      </c>
      <c r="F61" s="71">
        <f>F54</f>
        <v>3370.4656258800005</v>
      </c>
      <c r="G61" s="71">
        <f>(G54)*30%</f>
        <v>1106.8087686480001</v>
      </c>
      <c r="H61" s="71">
        <f>(H54)*30%</f>
        <v>1107.45099054</v>
      </c>
      <c r="I61" s="71">
        <f>(I54)*30%</f>
        <v>554.62896000000012</v>
      </c>
      <c r="J61" s="71">
        <f>(J54)*30%</f>
        <v>1480.1457600000001</v>
      </c>
      <c r="K61" s="71">
        <f>(K54)*30%</f>
        <v>1480.1457600000001</v>
      </c>
    </row>
    <row r="62" spans="1:11">
      <c r="A62" t="s">
        <v>654</v>
      </c>
      <c r="D62" s="71">
        <f t="shared" ref="D62:I62" si="12">D60-D61</f>
        <v>22717.385999999988</v>
      </c>
      <c r="E62" s="71">
        <f t="shared" si="12"/>
        <v>40323.719999999979</v>
      </c>
      <c r="F62" s="71">
        <f t="shared" si="12"/>
        <v>36891.234374119995</v>
      </c>
      <c r="G62" s="71">
        <f t="shared" si="12"/>
        <v>39072.591231352017</v>
      </c>
      <c r="H62" s="71">
        <f t="shared" si="12"/>
        <v>45672.549009459988</v>
      </c>
      <c r="I62" s="71">
        <f t="shared" si="12"/>
        <v>40699.071040000003</v>
      </c>
      <c r="J62" s="71">
        <f>J60-J61</f>
        <v>53993.054240000012</v>
      </c>
      <c r="K62" s="71">
        <f>K60-K61</f>
        <v>51876.154239999989</v>
      </c>
    </row>
    <row r="63" spans="1:11">
      <c r="A63" t="s">
        <v>2233</v>
      </c>
      <c r="D63" s="71">
        <f t="shared" ref="D63:I63" si="13">D62*0.32</f>
        <v>7269.5635199999961</v>
      </c>
      <c r="E63" s="71">
        <f t="shared" si="13"/>
        <v>12903.590399999994</v>
      </c>
      <c r="F63" s="71">
        <f t="shared" si="13"/>
        <v>11805.194999718398</v>
      </c>
      <c r="G63" s="71">
        <f t="shared" si="13"/>
        <v>12503.229194032645</v>
      </c>
      <c r="H63" s="71">
        <f t="shared" si="13"/>
        <v>14615.215683027196</v>
      </c>
      <c r="I63" s="71">
        <f t="shared" si="13"/>
        <v>13023.7027328</v>
      </c>
      <c r="J63" s="71">
        <f>J62*0.32</f>
        <v>17277.777356800005</v>
      </c>
      <c r="K63" s="71">
        <f>K62*0.32</f>
        <v>16600.369356799998</v>
      </c>
    </row>
    <row r="64" spans="1:11" ht="13.5" thickBot="1"/>
    <row r="65" spans="1:11" s="59" customFormat="1" ht="13.5" thickBot="1">
      <c r="A65" s="59" t="s">
        <v>655</v>
      </c>
      <c r="D65" s="139">
        <f t="shared" ref="D65:I65" si="14">D63/D60</f>
        <v>0.30150027248634453</v>
      </c>
      <c r="E65" s="139">
        <f t="shared" si="14"/>
        <v>0.29658312704706086</v>
      </c>
      <c r="F65" s="139">
        <f t="shared" si="14"/>
        <v>0.29321153850230863</v>
      </c>
      <c r="G65" s="139">
        <f t="shared" si="14"/>
        <v>0.31118506483503089</v>
      </c>
      <c r="H65" s="618">
        <f t="shared" si="14"/>
        <v>0.31242444811943565</v>
      </c>
      <c r="I65" s="619">
        <f t="shared" si="14"/>
        <v>0.31569780971888578</v>
      </c>
      <c r="J65" s="619">
        <f>J63/J60</f>
        <v>0.31146170325129974</v>
      </c>
      <c r="K65" s="620">
        <f>K63/K60</f>
        <v>0.31112294812046565</v>
      </c>
    </row>
  </sheetData>
  <mergeCells count="1">
    <mergeCell ref="A1:XFD1"/>
  </mergeCells>
  <phoneticPr fontId="6" type="noConversion"/>
  <pageMargins left="0.75" right="0.75" top="1" bottom="1" header="0.5" footer="0.5"/>
  <pageSetup orientation="portrait" r:id="rId1"/>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dimension ref="A1:R288"/>
  <sheetViews>
    <sheetView zoomScale="90" workbookViewId="0">
      <pane xSplit="1" ySplit="2" topLeftCell="B3" activePane="bottomRight" state="frozen"/>
      <selection activeCell="K31" sqref="K31"/>
      <selection pane="topRight" activeCell="K31" sqref="K31"/>
      <selection pane="bottomLeft" activeCell="K31" sqref="K31"/>
      <selection pane="bottomRight" activeCell="K31" sqref="K31"/>
    </sheetView>
  </sheetViews>
  <sheetFormatPr defaultColWidth="8" defaultRowHeight="12"/>
  <cols>
    <col min="1" max="1" width="25.125" style="324" customWidth="1"/>
    <col min="2" max="2" width="8.75" style="154" bestFit="1" customWidth="1"/>
    <col min="3" max="3" width="9.625" style="154" customWidth="1"/>
    <col min="4" max="4" width="9.75" style="154" customWidth="1"/>
    <col min="5" max="5" width="8.875" style="154" customWidth="1"/>
    <col min="6" max="6" width="10.5" style="154" bestFit="1" customWidth="1"/>
    <col min="7" max="7" width="8.75" style="154" bestFit="1" customWidth="1"/>
    <col min="8" max="8" width="9.625" style="154" bestFit="1" customWidth="1"/>
    <col min="9" max="9" width="8.75" style="154" bestFit="1" customWidth="1"/>
    <col min="10" max="10" width="9.625" style="154" bestFit="1" customWidth="1"/>
    <col min="11" max="11" width="8.75" style="154" bestFit="1" customWidth="1"/>
    <col min="12" max="12" width="9.625" style="154" bestFit="1" customWidth="1"/>
    <col min="13" max="13" width="7.5" style="154" bestFit="1" customWidth="1"/>
    <col min="14" max="14" width="9.625" style="154" bestFit="1" customWidth="1"/>
    <col min="15" max="15" width="10.5" style="154" bestFit="1" customWidth="1"/>
    <col min="16" max="16" width="8.75" style="154" bestFit="1" customWidth="1"/>
    <col min="17" max="16384" width="8" style="154"/>
  </cols>
  <sheetData>
    <row r="1" spans="1:16">
      <c r="F1" s="325"/>
      <c r="G1" s="325"/>
      <c r="H1" s="325"/>
      <c r="I1" s="325"/>
      <c r="J1" s="325"/>
      <c r="K1" s="325"/>
      <c r="L1" s="325"/>
      <c r="M1" s="325"/>
    </row>
    <row r="2" spans="1:16">
      <c r="A2" s="326" t="s">
        <v>938</v>
      </c>
      <c r="B2" s="327">
        <v>36618</v>
      </c>
      <c r="C2" s="327">
        <v>36648</v>
      </c>
      <c r="D2" s="327">
        <v>36679</v>
      </c>
      <c r="E2" s="327">
        <v>36709</v>
      </c>
      <c r="F2" s="327">
        <v>36740</v>
      </c>
      <c r="G2" s="327">
        <v>36771</v>
      </c>
      <c r="H2" s="327">
        <v>36801</v>
      </c>
      <c r="I2" s="327">
        <v>36832</v>
      </c>
      <c r="J2" s="327">
        <v>36862</v>
      </c>
      <c r="K2" s="327">
        <v>36893</v>
      </c>
      <c r="L2" s="327">
        <v>36924</v>
      </c>
      <c r="M2" s="327">
        <v>36952</v>
      </c>
      <c r="N2" s="328" t="s">
        <v>230</v>
      </c>
    </row>
    <row r="3" spans="1:16">
      <c r="A3" s="329" t="s">
        <v>576</v>
      </c>
      <c r="F3" s="154">
        <v>40125</v>
      </c>
      <c r="G3" s="154">
        <v>44239</v>
      </c>
      <c r="H3" s="154">
        <v>33478</v>
      </c>
      <c r="I3" s="154">
        <v>45301</v>
      </c>
      <c r="J3" s="154">
        <v>33708</v>
      </c>
      <c r="K3" s="154">
        <v>32797</v>
      </c>
      <c r="L3" s="154">
        <v>28435</v>
      </c>
      <c r="M3" s="154">
        <v>46143</v>
      </c>
      <c r="N3" s="154">
        <f>SUM(B3:L3)</f>
        <v>258083</v>
      </c>
    </row>
    <row r="4" spans="1:16">
      <c r="A4" s="330" t="s">
        <v>939</v>
      </c>
      <c r="F4" s="154">
        <v>37901</v>
      </c>
      <c r="G4" s="154">
        <v>28436</v>
      </c>
      <c r="H4" s="154">
        <v>33400</v>
      </c>
      <c r="I4" s="154">
        <v>31633</v>
      </c>
      <c r="J4" s="154">
        <v>22246</v>
      </c>
      <c r="K4" s="154">
        <v>31518</v>
      </c>
      <c r="L4" s="154">
        <v>33903</v>
      </c>
      <c r="M4" s="154">
        <v>42623</v>
      </c>
      <c r="N4" s="154">
        <f>SUM(B4:L4)</f>
        <v>219037</v>
      </c>
    </row>
    <row r="5" spans="1:16">
      <c r="A5" s="324" t="s">
        <v>940</v>
      </c>
      <c r="F5" s="154">
        <v>7036</v>
      </c>
      <c r="G5" s="154">
        <v>4823</v>
      </c>
      <c r="H5" s="154">
        <v>9261</v>
      </c>
      <c r="I5" s="154">
        <v>7350</v>
      </c>
      <c r="J5" s="154">
        <v>4237</v>
      </c>
      <c r="K5" s="154">
        <v>4672</v>
      </c>
      <c r="L5" s="154">
        <v>4163</v>
      </c>
      <c r="M5" s="154">
        <v>3816</v>
      </c>
      <c r="N5" s="154">
        <f>SUM(B5:L5)</f>
        <v>41542</v>
      </c>
    </row>
    <row r="6" spans="1:16">
      <c r="A6" s="324" t="s">
        <v>941</v>
      </c>
      <c r="F6" s="154">
        <v>10113</v>
      </c>
      <c r="G6" s="154">
        <v>9874</v>
      </c>
      <c r="H6" s="154">
        <v>12976</v>
      </c>
      <c r="I6" s="154">
        <v>12238</v>
      </c>
      <c r="J6" s="154">
        <v>5216</v>
      </c>
      <c r="K6" s="154">
        <v>7926</v>
      </c>
      <c r="L6" s="154">
        <v>7861</v>
      </c>
      <c r="M6" s="154">
        <v>7354</v>
      </c>
      <c r="N6" s="154">
        <f>SUM(B6:L6)</f>
        <v>66204</v>
      </c>
    </row>
    <row r="7" spans="1:16">
      <c r="A7" s="330" t="s">
        <v>609</v>
      </c>
      <c r="F7" s="154">
        <v>17662</v>
      </c>
      <c r="G7" s="154">
        <v>14553</v>
      </c>
      <c r="H7" s="154">
        <v>11733</v>
      </c>
      <c r="I7" s="154">
        <v>11689</v>
      </c>
      <c r="J7" s="154">
        <v>12612</v>
      </c>
      <c r="K7" s="154">
        <v>11913</v>
      </c>
      <c r="L7" s="154">
        <v>10361</v>
      </c>
      <c r="M7" s="154">
        <v>9601</v>
      </c>
      <c r="N7" s="154">
        <f>SUM(B7:L7)</f>
        <v>90523</v>
      </c>
    </row>
    <row r="8" spans="1:16">
      <c r="A8" s="331" t="s">
        <v>230</v>
      </c>
      <c r="B8" s="178">
        <f t="shared" ref="B8:N8" si="0">B3+B4+B5+B6+B7</f>
        <v>0</v>
      </c>
      <c r="C8" s="178">
        <f t="shared" si="0"/>
        <v>0</v>
      </c>
      <c r="D8" s="178">
        <f t="shared" si="0"/>
        <v>0</v>
      </c>
      <c r="E8" s="178">
        <f t="shared" si="0"/>
        <v>0</v>
      </c>
      <c r="F8" s="178">
        <f t="shared" si="0"/>
        <v>112837</v>
      </c>
      <c r="G8" s="178">
        <f t="shared" si="0"/>
        <v>101925</v>
      </c>
      <c r="H8" s="178">
        <f t="shared" si="0"/>
        <v>100848</v>
      </c>
      <c r="I8" s="178">
        <f t="shared" si="0"/>
        <v>108211</v>
      </c>
      <c r="J8" s="178">
        <f t="shared" si="0"/>
        <v>78019</v>
      </c>
      <c r="K8" s="178">
        <f t="shared" si="0"/>
        <v>88826</v>
      </c>
      <c r="L8" s="178">
        <f t="shared" si="0"/>
        <v>84723</v>
      </c>
      <c r="M8" s="178">
        <f t="shared" si="0"/>
        <v>109537</v>
      </c>
      <c r="N8" s="178">
        <f t="shared" si="0"/>
        <v>675389</v>
      </c>
      <c r="P8" s="154">
        <f>1209078-N8</f>
        <v>533689</v>
      </c>
    </row>
    <row r="10" spans="1:16" s="324" customFormat="1">
      <c r="A10" s="326" t="s">
        <v>938</v>
      </c>
      <c r="B10" s="327">
        <v>36983</v>
      </c>
      <c r="C10" s="327">
        <v>37013</v>
      </c>
      <c r="D10" s="327">
        <v>37044</v>
      </c>
      <c r="E10" s="327">
        <v>37074</v>
      </c>
      <c r="F10" s="327">
        <v>37105</v>
      </c>
      <c r="G10" s="327">
        <v>37136</v>
      </c>
      <c r="H10" s="327">
        <v>37166</v>
      </c>
      <c r="I10" s="327">
        <v>37197</v>
      </c>
      <c r="J10" s="327">
        <v>37227</v>
      </c>
      <c r="K10" s="327">
        <v>37258</v>
      </c>
      <c r="L10" s="327">
        <v>37289</v>
      </c>
      <c r="M10" s="327">
        <v>37317</v>
      </c>
      <c r="N10" s="328" t="s">
        <v>230</v>
      </c>
      <c r="O10" s="332"/>
      <c r="P10" s="332"/>
    </row>
    <row r="11" spans="1:16">
      <c r="A11" s="329" t="s">
        <v>576</v>
      </c>
      <c r="B11" s="154">
        <v>40776</v>
      </c>
      <c r="C11" s="154">
        <v>43282</v>
      </c>
      <c r="D11" s="154">
        <v>35556</v>
      </c>
      <c r="E11" s="154">
        <v>51150</v>
      </c>
      <c r="F11" s="154">
        <v>48015</v>
      </c>
      <c r="G11" s="154">
        <v>53146</v>
      </c>
      <c r="H11" s="154">
        <v>68179</v>
      </c>
      <c r="I11" s="154">
        <v>58415</v>
      </c>
      <c r="J11" s="154">
        <v>62379</v>
      </c>
      <c r="K11" s="154">
        <v>62665</v>
      </c>
      <c r="L11" s="154">
        <v>62584</v>
      </c>
      <c r="M11" s="154">
        <v>69620</v>
      </c>
      <c r="N11" s="154">
        <f>SUM(B11:M11)</f>
        <v>655767</v>
      </c>
      <c r="O11" s="325">
        <f t="shared" ref="O11:O16" si="1">SUM(K19:M19)/SUM(K11:M11)-1</f>
        <v>0.13704591289532964</v>
      </c>
    </row>
    <row r="12" spans="1:16">
      <c r="A12" s="330" t="s">
        <v>939</v>
      </c>
      <c r="B12" s="154">
        <v>42144</v>
      </c>
      <c r="C12" s="154">
        <v>45703</v>
      </c>
      <c r="D12" s="154">
        <v>36124</v>
      </c>
      <c r="E12" s="154">
        <v>30632</v>
      </c>
      <c r="F12" s="154">
        <v>34393</v>
      </c>
      <c r="G12" s="154">
        <v>31827</v>
      </c>
      <c r="H12" s="154">
        <v>34073</v>
      </c>
      <c r="I12" s="154">
        <v>34940</v>
      </c>
      <c r="J12" s="154">
        <v>28636</v>
      </c>
      <c r="K12" s="154">
        <v>30233</v>
      </c>
      <c r="L12" s="154">
        <v>29440</v>
      </c>
      <c r="M12" s="154">
        <v>29533</v>
      </c>
      <c r="N12" s="154">
        <f>SUM(B12:M12)</f>
        <v>407678</v>
      </c>
      <c r="O12" s="325">
        <f t="shared" si="1"/>
        <v>-0.42695558594713356</v>
      </c>
    </row>
    <row r="13" spans="1:16">
      <c r="A13" s="324" t="s">
        <v>940</v>
      </c>
      <c r="B13" s="154">
        <v>3718</v>
      </c>
      <c r="C13" s="154">
        <v>5152</v>
      </c>
      <c r="D13" s="154">
        <v>6734</v>
      </c>
      <c r="E13" s="154">
        <v>6059</v>
      </c>
      <c r="F13" s="154">
        <v>6979</v>
      </c>
      <c r="G13" s="154">
        <v>4936</v>
      </c>
      <c r="H13" s="154">
        <v>8353</v>
      </c>
      <c r="I13" s="154">
        <v>7456</v>
      </c>
      <c r="J13" s="154">
        <v>3903</v>
      </c>
      <c r="K13" s="154">
        <v>4333</v>
      </c>
      <c r="L13" s="154">
        <v>4561</v>
      </c>
      <c r="M13" s="154">
        <v>4354</v>
      </c>
      <c r="N13" s="154">
        <f>SUM(B13:M13)</f>
        <v>66538</v>
      </c>
      <c r="O13" s="325">
        <f t="shared" si="1"/>
        <v>-0.35084541062801933</v>
      </c>
    </row>
    <row r="14" spans="1:16">
      <c r="A14" s="324" t="s">
        <v>941</v>
      </c>
      <c r="B14" s="154">
        <v>6098</v>
      </c>
      <c r="C14" s="154">
        <v>6771</v>
      </c>
      <c r="D14" s="154">
        <v>6491</v>
      </c>
      <c r="E14" s="154">
        <v>5411</v>
      </c>
      <c r="F14" s="154">
        <v>5356</v>
      </c>
      <c r="G14" s="154">
        <v>5487</v>
      </c>
      <c r="H14" s="154">
        <v>6745</v>
      </c>
      <c r="I14" s="154">
        <v>5826</v>
      </c>
      <c r="J14" s="154">
        <v>5573</v>
      </c>
      <c r="K14" s="154">
        <v>5810</v>
      </c>
      <c r="L14" s="154">
        <v>4284</v>
      </c>
      <c r="M14" s="154">
        <v>4143</v>
      </c>
      <c r="N14" s="154">
        <f>SUM(B14:M14)</f>
        <v>67995</v>
      </c>
      <c r="O14" s="325">
        <f t="shared" si="1"/>
        <v>-0.29535716794268452</v>
      </c>
    </row>
    <row r="15" spans="1:16">
      <c r="A15" s="330" t="s">
        <v>609</v>
      </c>
      <c r="B15" s="154">
        <v>9225</v>
      </c>
      <c r="C15" s="154">
        <v>12067</v>
      </c>
      <c r="D15" s="154">
        <v>13492</v>
      </c>
      <c r="E15" s="154">
        <v>14922</v>
      </c>
      <c r="F15" s="154">
        <v>15268</v>
      </c>
      <c r="G15" s="154">
        <v>14133</v>
      </c>
      <c r="H15" s="154">
        <v>14734</v>
      </c>
      <c r="I15" s="154">
        <v>12498</v>
      </c>
      <c r="J15" s="154">
        <v>12143</v>
      </c>
      <c r="K15" s="154">
        <v>14405</v>
      </c>
      <c r="L15" s="154">
        <v>13001</v>
      </c>
      <c r="M15" s="154">
        <v>14596</v>
      </c>
      <c r="N15" s="154">
        <f>SUM(B15:M15)</f>
        <v>160484</v>
      </c>
      <c r="O15" s="325">
        <f t="shared" si="1"/>
        <v>0.19203847435836385</v>
      </c>
    </row>
    <row r="16" spans="1:16">
      <c r="A16" s="331" t="s">
        <v>230</v>
      </c>
      <c r="B16" s="178">
        <f t="shared" ref="B16:N16" si="2">B11+B12+B13+B14+B15</f>
        <v>101961</v>
      </c>
      <c r="C16" s="178">
        <f t="shared" si="2"/>
        <v>112975</v>
      </c>
      <c r="D16" s="178">
        <f t="shared" si="2"/>
        <v>98397</v>
      </c>
      <c r="E16" s="178">
        <f t="shared" si="2"/>
        <v>108174</v>
      </c>
      <c r="F16" s="178">
        <f t="shared" si="2"/>
        <v>110011</v>
      </c>
      <c r="G16" s="178">
        <f t="shared" si="2"/>
        <v>109529</v>
      </c>
      <c r="H16" s="178">
        <f t="shared" si="2"/>
        <v>132084</v>
      </c>
      <c r="I16" s="178">
        <f t="shared" si="2"/>
        <v>119135</v>
      </c>
      <c r="J16" s="178">
        <f t="shared" si="2"/>
        <v>112634</v>
      </c>
      <c r="K16" s="178">
        <f t="shared" si="2"/>
        <v>117446</v>
      </c>
      <c r="L16" s="178">
        <f t="shared" si="2"/>
        <v>113870</v>
      </c>
      <c r="M16" s="178">
        <f t="shared" si="2"/>
        <v>122246</v>
      </c>
      <c r="N16" s="178">
        <f t="shared" si="2"/>
        <v>1358462</v>
      </c>
      <c r="O16" s="325">
        <f t="shared" si="1"/>
        <v>-3.4415463200230811E-2</v>
      </c>
    </row>
    <row r="18" spans="1:16">
      <c r="A18" s="331" t="s">
        <v>938</v>
      </c>
      <c r="B18" s="327">
        <v>37348</v>
      </c>
      <c r="C18" s="327">
        <v>37378</v>
      </c>
      <c r="D18" s="327">
        <v>37409</v>
      </c>
      <c r="E18" s="327">
        <v>37439</v>
      </c>
      <c r="F18" s="327">
        <v>37470</v>
      </c>
      <c r="G18" s="327">
        <v>37501</v>
      </c>
      <c r="H18" s="327">
        <v>37531</v>
      </c>
      <c r="I18" s="327">
        <v>37562</v>
      </c>
      <c r="J18" s="327">
        <v>37592</v>
      </c>
      <c r="K18" s="327">
        <v>37623</v>
      </c>
      <c r="L18" s="327">
        <v>37654</v>
      </c>
      <c r="M18" s="327">
        <v>37682</v>
      </c>
      <c r="N18" s="328" t="s">
        <v>230</v>
      </c>
    </row>
    <row r="19" spans="1:16">
      <c r="A19" s="329" t="s">
        <v>576</v>
      </c>
      <c r="B19" s="154">
        <v>67136</v>
      </c>
      <c r="C19" s="154">
        <v>80274</v>
      </c>
      <c r="D19" s="154">
        <f>412695-(B19+C19+E19+F19+G19)</f>
        <v>68966</v>
      </c>
      <c r="E19" s="154">
        <v>61485</v>
      </c>
      <c r="F19" s="154">
        <v>65475</v>
      </c>
      <c r="G19" s="154">
        <v>69359</v>
      </c>
      <c r="H19" s="154">
        <v>82913</v>
      </c>
      <c r="I19" s="154">
        <v>77332</v>
      </c>
      <c r="J19" s="154">
        <v>68998</v>
      </c>
      <c r="K19" s="154">
        <v>75059</v>
      </c>
      <c r="L19" s="333">
        <v>72485</v>
      </c>
      <c r="M19" s="154">
        <v>74031</v>
      </c>
      <c r="N19" s="154">
        <f>SUM(B19:M19)</f>
        <v>863513</v>
      </c>
      <c r="O19" s="325">
        <f t="shared" ref="O19:O24" si="3">N19/N11-1</f>
        <v>0.31679849702714535</v>
      </c>
    </row>
    <row r="20" spans="1:16">
      <c r="A20" s="330" t="s">
        <v>939</v>
      </c>
      <c r="B20" s="154">
        <v>28808</v>
      </c>
      <c r="C20" s="154">
        <v>31465</v>
      </c>
      <c r="D20" s="154">
        <f>152983-(B20+C20+E20+F20+G20)</f>
        <v>25147</v>
      </c>
      <c r="E20" s="154">
        <v>25358</v>
      </c>
      <c r="F20" s="154">
        <v>20723</v>
      </c>
      <c r="G20" s="154">
        <v>21482</v>
      </c>
      <c r="H20" s="154">
        <v>21217</v>
      </c>
      <c r="I20" s="154">
        <v>21234</v>
      </c>
      <c r="J20" s="154">
        <v>20184</v>
      </c>
      <c r="K20" s="154">
        <v>20211</v>
      </c>
      <c r="L20" s="333">
        <v>15572</v>
      </c>
      <c r="M20" s="154">
        <v>15336</v>
      </c>
      <c r="N20" s="154">
        <f>SUM(B20:M20)</f>
        <v>266737</v>
      </c>
      <c r="O20" s="325">
        <f t="shared" si="3"/>
        <v>-0.34571647231393399</v>
      </c>
    </row>
    <row r="21" spans="1:16">
      <c r="A21" s="324" t="s">
        <v>940</v>
      </c>
      <c r="B21" s="154">
        <v>4908</v>
      </c>
      <c r="C21" s="154">
        <v>3846</v>
      </c>
      <c r="D21" s="154">
        <f>32582-(B21+C21+E21+F21+G21)</f>
        <v>4384</v>
      </c>
      <c r="E21" s="154">
        <v>7200</v>
      </c>
      <c r="F21" s="154">
        <v>5612</v>
      </c>
      <c r="G21" s="154">
        <v>6632</v>
      </c>
      <c r="H21" s="154">
        <v>7485</v>
      </c>
      <c r="I21" s="154">
        <v>7113</v>
      </c>
      <c r="J21" s="154">
        <v>4545</v>
      </c>
      <c r="K21" s="154">
        <v>4349</v>
      </c>
      <c r="L21" s="333">
        <v>1945</v>
      </c>
      <c r="M21" s="154">
        <v>2306</v>
      </c>
      <c r="N21" s="154">
        <f>SUM(B21:M21)</f>
        <v>60325</v>
      </c>
      <c r="O21" s="325">
        <f t="shared" si="3"/>
        <v>-9.3375214163335274E-2</v>
      </c>
    </row>
    <row r="22" spans="1:16">
      <c r="A22" s="324" t="s">
        <v>941</v>
      </c>
      <c r="B22" s="154">
        <v>4886</v>
      </c>
      <c r="C22" s="154">
        <v>4916</v>
      </c>
      <c r="D22" s="154">
        <f>28429-(B22+C22+E22+F22+G22)</f>
        <v>4030</v>
      </c>
      <c r="E22" s="154">
        <v>3616</v>
      </c>
      <c r="F22" s="154">
        <v>4758</v>
      </c>
      <c r="G22" s="154">
        <v>6223</v>
      </c>
      <c r="H22" s="154">
        <v>5060</v>
      </c>
      <c r="I22" s="154">
        <v>6097</v>
      </c>
      <c r="J22" s="154">
        <v>3487</v>
      </c>
      <c r="K22" s="154">
        <v>4563</v>
      </c>
      <c r="L22" s="333">
        <v>2319</v>
      </c>
      <c r="M22" s="154">
        <v>3150</v>
      </c>
      <c r="N22" s="154">
        <f>SUM(B22:M22)</f>
        <v>53105</v>
      </c>
      <c r="O22" s="325">
        <f t="shared" si="3"/>
        <v>-0.2189866901978087</v>
      </c>
    </row>
    <row r="23" spans="1:16">
      <c r="A23" s="330" t="s">
        <v>609</v>
      </c>
      <c r="B23" s="154">
        <v>14147</v>
      </c>
      <c r="C23" s="154">
        <v>14329</v>
      </c>
      <c r="D23" s="154">
        <f>94202-(B23+C23+E23+F23+G23)</f>
        <v>15128</v>
      </c>
      <c r="E23" s="154">
        <v>16353</v>
      </c>
      <c r="F23" s="154">
        <v>17969</v>
      </c>
      <c r="G23" s="154">
        <v>16276</v>
      </c>
      <c r="H23" s="154">
        <v>20676</v>
      </c>
      <c r="I23" s="154">
        <v>15493</v>
      </c>
      <c r="J23" s="154">
        <v>15555</v>
      </c>
      <c r="K23" s="154">
        <v>17426</v>
      </c>
      <c r="L23" s="333">
        <v>16580</v>
      </c>
      <c r="M23" s="154">
        <v>16062</v>
      </c>
      <c r="N23" s="154">
        <f>SUM(B23:M23)</f>
        <v>195994</v>
      </c>
      <c r="O23" s="325">
        <f t="shared" si="3"/>
        <v>0.22126816380449132</v>
      </c>
    </row>
    <row r="24" spans="1:16">
      <c r="A24" s="331" t="s">
        <v>230</v>
      </c>
      <c r="B24" s="178">
        <f t="shared" ref="B24:N24" si="4">B19+B20+B21+B22+B23</f>
        <v>119885</v>
      </c>
      <c r="C24" s="178">
        <f t="shared" si="4"/>
        <v>134830</v>
      </c>
      <c r="D24" s="178">
        <f t="shared" si="4"/>
        <v>117655</v>
      </c>
      <c r="E24" s="178">
        <f t="shared" si="4"/>
        <v>114012</v>
      </c>
      <c r="F24" s="178">
        <f t="shared" si="4"/>
        <v>114537</v>
      </c>
      <c r="G24" s="178">
        <f t="shared" si="4"/>
        <v>119972</v>
      </c>
      <c r="H24" s="178">
        <f t="shared" si="4"/>
        <v>137351</v>
      </c>
      <c r="I24" s="178">
        <f t="shared" si="4"/>
        <v>127269</v>
      </c>
      <c r="J24" s="178">
        <f t="shared" si="4"/>
        <v>112769</v>
      </c>
      <c r="K24" s="178">
        <f t="shared" si="4"/>
        <v>121608</v>
      </c>
      <c r="L24" s="178">
        <f t="shared" si="4"/>
        <v>108901</v>
      </c>
      <c r="M24" s="178">
        <f t="shared" si="4"/>
        <v>110885</v>
      </c>
      <c r="N24" s="178">
        <f t="shared" si="4"/>
        <v>1439674</v>
      </c>
      <c r="O24" s="325">
        <f t="shared" si="3"/>
        <v>5.9782312644740987E-2</v>
      </c>
    </row>
    <row r="25" spans="1:16">
      <c r="A25" s="331"/>
      <c r="B25" s="325">
        <f t="shared" ref="B25:M25" si="5">B19/B11-1</f>
        <v>0.64645870119678239</v>
      </c>
      <c r="C25" s="325">
        <f t="shared" si="5"/>
        <v>0.85467399842890801</v>
      </c>
      <c r="D25" s="325">
        <f t="shared" si="5"/>
        <v>0.93964450444369452</v>
      </c>
      <c r="E25" s="325">
        <f t="shared" si="5"/>
        <v>0.20205278592375375</v>
      </c>
      <c r="F25" s="325">
        <f t="shared" si="5"/>
        <v>0.36363636363636354</v>
      </c>
      <c r="G25" s="325">
        <f t="shared" si="5"/>
        <v>0.30506529183757958</v>
      </c>
      <c r="H25" s="325">
        <f t="shared" si="5"/>
        <v>0.21610759911409683</v>
      </c>
      <c r="I25" s="325">
        <f t="shared" si="5"/>
        <v>0.32383805529401699</v>
      </c>
      <c r="J25" s="325">
        <f t="shared" si="5"/>
        <v>0.10610942785232202</v>
      </c>
      <c r="K25" s="325">
        <f t="shared" si="5"/>
        <v>0.19778185590042296</v>
      </c>
      <c r="L25" s="325">
        <f t="shared" si="5"/>
        <v>0.15820337466445089</v>
      </c>
      <c r="M25" s="325">
        <f t="shared" si="5"/>
        <v>6.335823039356514E-2</v>
      </c>
      <c r="N25" s="178"/>
      <c r="O25" s="325"/>
    </row>
    <row r="26" spans="1:16">
      <c r="A26" s="330"/>
    </row>
    <row r="27" spans="1:16">
      <c r="A27" s="331" t="s">
        <v>938</v>
      </c>
      <c r="B27" s="327">
        <v>37713</v>
      </c>
      <c r="C27" s="327">
        <v>37743</v>
      </c>
      <c r="D27" s="327">
        <v>37774</v>
      </c>
      <c r="E27" s="327">
        <v>37804</v>
      </c>
      <c r="F27" s="327">
        <v>37835</v>
      </c>
      <c r="G27" s="327">
        <v>37866</v>
      </c>
      <c r="H27" s="327">
        <v>37896</v>
      </c>
      <c r="I27" s="327">
        <v>37927</v>
      </c>
      <c r="J27" s="327">
        <v>37957</v>
      </c>
      <c r="K27" s="327">
        <v>37988</v>
      </c>
      <c r="L27" s="327">
        <v>38019</v>
      </c>
      <c r="M27" s="327">
        <v>38048</v>
      </c>
      <c r="N27" s="328" t="s">
        <v>230</v>
      </c>
    </row>
    <row r="28" spans="1:16">
      <c r="A28" s="329" t="s">
        <v>576</v>
      </c>
      <c r="B28" s="154">
        <v>71074</v>
      </c>
      <c r="C28" s="154">
        <v>87217</v>
      </c>
      <c r="D28" s="154">
        <v>82239</v>
      </c>
      <c r="E28" s="154">
        <v>77966</v>
      </c>
      <c r="F28" s="154">
        <v>76487</v>
      </c>
      <c r="G28" s="154">
        <v>95680</v>
      </c>
      <c r="H28" s="154">
        <v>107115</v>
      </c>
      <c r="I28" s="154">
        <v>91257</v>
      </c>
      <c r="J28" s="154">
        <v>71606</v>
      </c>
      <c r="K28" s="154">
        <v>84500</v>
      </c>
      <c r="L28" s="333">
        <v>84170</v>
      </c>
      <c r="M28" s="154">
        <v>94322</v>
      </c>
      <c r="N28" s="154">
        <f>SUM(B28:M28)</f>
        <v>1023633</v>
      </c>
      <c r="O28" s="325">
        <f t="shared" ref="O28:O33" si="6">SUM(H28:J28)/SUM(H19:J19)-1</f>
        <v>0.17769353917022546</v>
      </c>
      <c r="P28" s="325">
        <f t="shared" ref="P28:P33" si="7">SUM(B28:J28)/SUM(B19:J19)-1</f>
        <v>0.18491349631895915</v>
      </c>
    </row>
    <row r="29" spans="1:16">
      <c r="A29" s="330" t="s">
        <v>939</v>
      </c>
      <c r="B29" s="154">
        <v>13160</v>
      </c>
      <c r="C29" s="154">
        <v>16737</v>
      </c>
      <c r="D29" s="154">
        <v>12699</v>
      </c>
      <c r="E29" s="154">
        <v>13148</v>
      </c>
      <c r="F29" s="154">
        <v>12570</v>
      </c>
      <c r="G29" s="154">
        <v>17637</v>
      </c>
      <c r="H29" s="154">
        <v>18746</v>
      </c>
      <c r="I29" s="154">
        <v>15622</v>
      </c>
      <c r="J29" s="154">
        <v>8824</v>
      </c>
      <c r="K29" s="154">
        <v>16908</v>
      </c>
      <c r="L29" s="154">
        <v>15680</v>
      </c>
      <c r="M29" s="154">
        <v>16935</v>
      </c>
      <c r="N29" s="154">
        <f>SUM(B29:M29)</f>
        <v>178666</v>
      </c>
      <c r="O29" s="325">
        <f t="shared" si="6"/>
        <v>-0.31041749820387965</v>
      </c>
      <c r="P29" s="325">
        <f t="shared" si="7"/>
        <v>-0.40105649806602417</v>
      </c>
    </row>
    <row r="30" spans="1:16">
      <c r="A30" s="324" t="s">
        <v>940</v>
      </c>
      <c r="B30" s="154">
        <v>2099</v>
      </c>
      <c r="C30" s="154">
        <v>4052</v>
      </c>
      <c r="D30" s="154">
        <v>5242</v>
      </c>
      <c r="E30" s="154">
        <v>6637</v>
      </c>
      <c r="F30" s="154">
        <v>5427</v>
      </c>
      <c r="G30" s="154">
        <v>5556</v>
      </c>
      <c r="H30" s="154">
        <v>6341</v>
      </c>
      <c r="I30" s="154">
        <v>4253</v>
      </c>
      <c r="J30" s="154">
        <v>3063</v>
      </c>
      <c r="K30" s="154">
        <v>3938</v>
      </c>
      <c r="L30" s="333">
        <v>3563</v>
      </c>
      <c r="M30" s="154">
        <v>4538</v>
      </c>
      <c r="N30" s="154">
        <f>SUM(B30:M30)</f>
        <v>54709</v>
      </c>
      <c r="O30" s="325">
        <f t="shared" si="6"/>
        <v>-0.28657995089588884</v>
      </c>
      <c r="P30" s="325">
        <f t="shared" si="7"/>
        <v>-0.17506041565973895</v>
      </c>
    </row>
    <row r="31" spans="1:16">
      <c r="A31" s="324" t="s">
        <v>941</v>
      </c>
      <c r="B31" s="154">
        <v>2291</v>
      </c>
      <c r="C31" s="154">
        <v>2994</v>
      </c>
      <c r="D31" s="154">
        <v>2726</v>
      </c>
      <c r="E31" s="154">
        <v>3221</v>
      </c>
      <c r="F31" s="154">
        <v>3024</v>
      </c>
      <c r="G31" s="154">
        <v>2693</v>
      </c>
      <c r="H31" s="154">
        <v>2713</v>
      </c>
      <c r="I31" s="154">
        <v>2249</v>
      </c>
      <c r="J31" s="154">
        <v>2104</v>
      </c>
      <c r="K31" s="154">
        <v>3173</v>
      </c>
      <c r="L31" s="333">
        <v>2476</v>
      </c>
      <c r="M31" s="154">
        <v>2838</v>
      </c>
      <c r="N31" s="154">
        <f>SUM(B31:M31)</f>
        <v>32502</v>
      </c>
      <c r="O31" s="325">
        <f t="shared" si="6"/>
        <v>-0.51748156241464083</v>
      </c>
      <c r="P31" s="325">
        <f t="shared" si="7"/>
        <v>-0.44245815243888287</v>
      </c>
    </row>
    <row r="32" spans="1:16">
      <c r="A32" s="330" t="s">
        <v>609</v>
      </c>
      <c r="B32" s="154">
        <v>10681</v>
      </c>
      <c r="C32" s="154">
        <v>16430</v>
      </c>
      <c r="D32" s="154">
        <v>17891</v>
      </c>
      <c r="E32" s="154">
        <v>19675</v>
      </c>
      <c r="F32" s="154">
        <v>19601</v>
      </c>
      <c r="G32" s="154">
        <v>20951</v>
      </c>
      <c r="H32" s="154">
        <v>20834</v>
      </c>
      <c r="I32" s="154">
        <v>21199</v>
      </c>
      <c r="J32" s="154">
        <v>21483</v>
      </c>
      <c r="K32" s="154">
        <v>20150</v>
      </c>
      <c r="L32" s="333">
        <v>20120</v>
      </c>
      <c r="M32" s="154">
        <v>20139</v>
      </c>
      <c r="N32" s="154">
        <f>SUM(B32:M32)</f>
        <v>229154</v>
      </c>
      <c r="O32" s="325">
        <f t="shared" si="6"/>
        <v>0.22797927461139889</v>
      </c>
      <c r="P32" s="325">
        <f t="shared" si="7"/>
        <v>0.15637377849046774</v>
      </c>
    </row>
    <row r="33" spans="1:16">
      <c r="A33" s="331" t="s">
        <v>230</v>
      </c>
      <c r="B33" s="178">
        <f t="shared" ref="B33:N33" si="8">B$28+B$29+B$30+B$31+B$32</f>
        <v>99305</v>
      </c>
      <c r="C33" s="178">
        <f t="shared" si="8"/>
        <v>127430</v>
      </c>
      <c r="D33" s="178">
        <f t="shared" si="8"/>
        <v>120797</v>
      </c>
      <c r="E33" s="178">
        <f t="shared" si="8"/>
        <v>120647</v>
      </c>
      <c r="F33" s="178">
        <f t="shared" si="8"/>
        <v>117109</v>
      </c>
      <c r="G33" s="178">
        <f t="shared" si="8"/>
        <v>142517</v>
      </c>
      <c r="H33" s="178">
        <f t="shared" si="8"/>
        <v>155749</v>
      </c>
      <c r="I33" s="178">
        <f t="shared" si="8"/>
        <v>134580</v>
      </c>
      <c r="J33" s="178">
        <f t="shared" si="8"/>
        <v>107080</v>
      </c>
      <c r="K33" s="178">
        <f t="shared" si="8"/>
        <v>128669</v>
      </c>
      <c r="L33" s="178">
        <f t="shared" si="8"/>
        <v>126009</v>
      </c>
      <c r="M33" s="178">
        <f t="shared" si="8"/>
        <v>138772</v>
      </c>
      <c r="N33" s="178">
        <f t="shared" si="8"/>
        <v>1518664</v>
      </c>
      <c r="O33" s="325">
        <f t="shared" si="6"/>
        <v>5.30487110117146E-2</v>
      </c>
      <c r="P33" s="325">
        <f t="shared" si="7"/>
        <v>2.4523800852241706E-2</v>
      </c>
    </row>
    <row r="34" spans="1:16">
      <c r="A34" s="331"/>
      <c r="B34" s="178"/>
      <c r="C34" s="178"/>
      <c r="D34" s="178"/>
      <c r="E34" s="178"/>
      <c r="F34" s="178"/>
      <c r="G34" s="178"/>
      <c r="H34" s="178"/>
      <c r="I34" s="178"/>
      <c r="J34" s="178"/>
      <c r="K34" s="178"/>
      <c r="L34" s="178"/>
      <c r="M34" s="178"/>
      <c r="N34" s="178"/>
      <c r="O34" s="325"/>
      <c r="P34" s="325"/>
    </row>
    <row r="35" spans="1:16">
      <c r="A35" s="330" t="s">
        <v>744</v>
      </c>
      <c r="B35" s="154">
        <f t="shared" ref="B35:N35" si="9">+B37-B36</f>
        <v>88778</v>
      </c>
      <c r="C35" s="154">
        <f t="shared" si="9"/>
        <v>115660</v>
      </c>
      <c r="D35" s="154">
        <f t="shared" si="9"/>
        <v>109005</v>
      </c>
      <c r="E35" s="154">
        <f t="shared" si="9"/>
        <v>109325</v>
      </c>
      <c r="F35" s="154">
        <f t="shared" si="9"/>
        <v>105410</v>
      </c>
      <c r="G35" s="154">
        <f t="shared" si="9"/>
        <v>130020</v>
      </c>
      <c r="H35" s="154">
        <f t="shared" si="9"/>
        <v>142389</v>
      </c>
      <c r="I35" s="154">
        <f t="shared" si="9"/>
        <v>119156</v>
      </c>
      <c r="J35" s="154">
        <f t="shared" si="9"/>
        <v>107080</v>
      </c>
      <c r="K35" s="154">
        <f t="shared" si="9"/>
        <v>128669</v>
      </c>
      <c r="L35" s="154">
        <f t="shared" si="9"/>
        <v>112178</v>
      </c>
      <c r="M35" s="154">
        <f t="shared" si="9"/>
        <v>125147</v>
      </c>
      <c r="N35" s="154">
        <f t="shared" si="9"/>
        <v>1362657</v>
      </c>
      <c r="O35" s="325"/>
      <c r="P35" s="325"/>
    </row>
    <row r="36" spans="1:16">
      <c r="A36" s="330" t="s">
        <v>587</v>
      </c>
      <c r="B36" s="154">
        <v>10527</v>
      </c>
      <c r="C36" s="154">
        <v>11770</v>
      </c>
      <c r="D36" s="154">
        <v>11792</v>
      </c>
      <c r="E36" s="154">
        <v>11322</v>
      </c>
      <c r="F36" s="154">
        <v>11699</v>
      </c>
      <c r="G36" s="154">
        <v>12497</v>
      </c>
      <c r="H36" s="154">
        <v>13360</v>
      </c>
      <c r="I36" s="154">
        <v>15424</v>
      </c>
      <c r="L36" s="154">
        <v>13831</v>
      </c>
      <c r="M36" s="154">
        <v>13625</v>
      </c>
      <c r="N36" s="154">
        <v>156007</v>
      </c>
      <c r="O36" s="325"/>
      <c r="P36" s="325"/>
    </row>
    <row r="37" spans="1:16">
      <c r="A37" s="331"/>
      <c r="B37" s="178">
        <f t="shared" ref="B37:N37" si="10">B$28+B$29+B$30+B$31+B$32</f>
        <v>99305</v>
      </c>
      <c r="C37" s="178">
        <f t="shared" si="10"/>
        <v>127430</v>
      </c>
      <c r="D37" s="178">
        <f t="shared" si="10"/>
        <v>120797</v>
      </c>
      <c r="E37" s="178">
        <f t="shared" si="10"/>
        <v>120647</v>
      </c>
      <c r="F37" s="178">
        <f t="shared" si="10"/>
        <v>117109</v>
      </c>
      <c r="G37" s="178">
        <f t="shared" si="10"/>
        <v>142517</v>
      </c>
      <c r="H37" s="178">
        <f t="shared" si="10"/>
        <v>155749</v>
      </c>
      <c r="I37" s="178">
        <f t="shared" si="10"/>
        <v>134580</v>
      </c>
      <c r="J37" s="178">
        <f t="shared" si="10"/>
        <v>107080</v>
      </c>
      <c r="K37" s="178">
        <f t="shared" si="10"/>
        <v>128669</v>
      </c>
      <c r="L37" s="178">
        <f t="shared" si="10"/>
        <v>126009</v>
      </c>
      <c r="M37" s="178">
        <f t="shared" si="10"/>
        <v>138772</v>
      </c>
      <c r="N37" s="178">
        <f t="shared" si="10"/>
        <v>1518664</v>
      </c>
      <c r="O37" s="325"/>
      <c r="P37" s="325"/>
    </row>
    <row r="38" spans="1:16">
      <c r="A38" s="331"/>
      <c r="B38" s="178"/>
      <c r="C38" s="178"/>
      <c r="D38" s="178"/>
      <c r="E38" s="178"/>
      <c r="F38" s="178"/>
      <c r="G38" s="178"/>
      <c r="H38" s="178"/>
      <c r="I38" s="178"/>
      <c r="J38" s="178"/>
      <c r="K38" s="178"/>
      <c r="L38" s="178"/>
      <c r="M38" s="178"/>
      <c r="N38" s="178"/>
      <c r="O38" s="325"/>
      <c r="P38" s="325"/>
    </row>
    <row r="39" spans="1:16">
      <c r="A39" s="331"/>
      <c r="B39" s="325"/>
      <c r="C39" s="325"/>
      <c r="D39" s="325"/>
      <c r="E39" s="325"/>
      <c r="F39" s="154">
        <f>C41+F41</f>
        <v>490663</v>
      </c>
      <c r="G39" s="154">
        <f>I41+K41</f>
        <v>532970</v>
      </c>
      <c r="H39" s="154">
        <f>F39+G39</f>
        <v>1023633</v>
      </c>
      <c r="I39" s="325"/>
      <c r="J39" s="325"/>
      <c r="K39" s="325"/>
      <c r="L39" s="325"/>
      <c r="M39" s="325"/>
      <c r="N39" s="178"/>
    </row>
    <row r="40" spans="1:16">
      <c r="A40" s="326" t="s">
        <v>942</v>
      </c>
      <c r="B40" s="328" t="s">
        <v>943</v>
      </c>
      <c r="C40" s="328" t="s">
        <v>944</v>
      </c>
      <c r="D40" s="328" t="s">
        <v>983</v>
      </c>
      <c r="E40" s="328" t="s">
        <v>984</v>
      </c>
      <c r="F40" s="328" t="s">
        <v>985</v>
      </c>
      <c r="G40" s="328" t="s">
        <v>983</v>
      </c>
      <c r="H40" s="328" t="s">
        <v>986</v>
      </c>
      <c r="I40" s="328" t="s">
        <v>987</v>
      </c>
      <c r="J40" s="328" t="s">
        <v>983</v>
      </c>
      <c r="K40" s="328" t="s">
        <v>988</v>
      </c>
    </row>
    <row r="41" spans="1:16">
      <c r="A41" s="329" t="s">
        <v>576</v>
      </c>
      <c r="B41" s="154">
        <f>SUM(B19:D19)</f>
        <v>216376</v>
      </c>
      <c r="C41" s="154">
        <f>SUM(B28:D28)</f>
        <v>240530</v>
      </c>
      <c r="D41" s="325">
        <f t="shared" ref="D41:D46" si="11">C41/B41-1</f>
        <v>0.11162975561060384</v>
      </c>
      <c r="E41" s="154">
        <f>SUM(E19:G19)</f>
        <v>196319</v>
      </c>
      <c r="F41" s="154">
        <f>SUM(E28:G28)</f>
        <v>250133</v>
      </c>
      <c r="G41" s="325">
        <f t="shared" ref="G41:G46" si="12">F41/E41-1</f>
        <v>0.27411508819828945</v>
      </c>
      <c r="H41" s="154">
        <f>SUM(H19:J19)</f>
        <v>229243</v>
      </c>
      <c r="I41" s="154">
        <f>SUM(H28:J28)</f>
        <v>269978</v>
      </c>
      <c r="J41" s="325">
        <f t="shared" ref="J41:J46" si="13">I41/H41-1</f>
        <v>0.17769353917022546</v>
      </c>
      <c r="K41" s="154">
        <f t="shared" ref="K41:K46" si="14">SUM(K28:M28)</f>
        <v>262992</v>
      </c>
    </row>
    <row r="42" spans="1:16">
      <c r="A42" s="330" t="s">
        <v>939</v>
      </c>
      <c r="B42" s="154">
        <f>SUM(B20:D20)</f>
        <v>85420</v>
      </c>
      <c r="C42" s="154">
        <f>SUM(B29:D29)</f>
        <v>42596</v>
      </c>
      <c r="D42" s="325">
        <f t="shared" si="11"/>
        <v>-0.50133458206509007</v>
      </c>
      <c r="E42" s="154">
        <f>SUM(E20:G20)</f>
        <v>67563</v>
      </c>
      <c r="F42" s="154">
        <f>SUM(E29:G29)</f>
        <v>43355</v>
      </c>
      <c r="G42" s="325">
        <f t="shared" si="12"/>
        <v>-0.35830262125719703</v>
      </c>
      <c r="H42" s="154">
        <f>SUM(H20:J20)</f>
        <v>62635</v>
      </c>
      <c r="I42" s="154">
        <f>SUM(H29:J29)</f>
        <v>43192</v>
      </c>
      <c r="J42" s="325">
        <f t="shared" si="13"/>
        <v>-0.31041749820387965</v>
      </c>
      <c r="K42" s="154">
        <f t="shared" si="14"/>
        <v>49523</v>
      </c>
    </row>
    <row r="43" spans="1:16">
      <c r="A43" s="324" t="s">
        <v>940</v>
      </c>
      <c r="B43" s="154">
        <f>SUM(B21:D21)</f>
        <v>13138</v>
      </c>
      <c r="C43" s="154">
        <f>SUM(B30:D30)</f>
        <v>11393</v>
      </c>
      <c r="D43" s="325">
        <f t="shared" si="11"/>
        <v>-0.13282082508753235</v>
      </c>
      <c r="E43" s="154">
        <f>SUM(E21:G21)</f>
        <v>19444</v>
      </c>
      <c r="F43" s="154">
        <f>SUM(E30:G30)</f>
        <v>17620</v>
      </c>
      <c r="G43" s="325">
        <f t="shared" si="12"/>
        <v>-9.3807858465336347E-2</v>
      </c>
      <c r="H43" s="154">
        <f>SUM(H21:J21)</f>
        <v>19143</v>
      </c>
      <c r="I43" s="154">
        <f>SUM(H30:J30)</f>
        <v>13657</v>
      </c>
      <c r="J43" s="325">
        <f t="shared" si="13"/>
        <v>-0.28657995089588884</v>
      </c>
      <c r="K43" s="154">
        <f t="shared" si="14"/>
        <v>12039</v>
      </c>
    </row>
    <row r="44" spans="1:16">
      <c r="A44" s="324" t="s">
        <v>941</v>
      </c>
      <c r="B44" s="154">
        <f>SUM(B22:D22)</f>
        <v>13832</v>
      </c>
      <c r="C44" s="154">
        <f>SUM(B31:D31)</f>
        <v>8011</v>
      </c>
      <c r="D44" s="325">
        <f t="shared" si="11"/>
        <v>-0.42083574320416428</v>
      </c>
      <c r="E44" s="154">
        <f>SUM(E22:G22)</f>
        <v>14597</v>
      </c>
      <c r="F44" s="154">
        <f>SUM(E31:G31)</f>
        <v>8938</v>
      </c>
      <c r="G44" s="325">
        <f t="shared" si="12"/>
        <v>-0.38768240049325209</v>
      </c>
      <c r="H44" s="154">
        <f>SUM(H22:J22)</f>
        <v>14644</v>
      </c>
      <c r="I44" s="154">
        <f>SUM(H31:J31)</f>
        <v>7066</v>
      </c>
      <c r="J44" s="325">
        <f t="shared" si="13"/>
        <v>-0.51748156241464083</v>
      </c>
      <c r="K44" s="154">
        <f t="shared" si="14"/>
        <v>8487</v>
      </c>
    </row>
    <row r="45" spans="1:16">
      <c r="A45" s="330" t="s">
        <v>609</v>
      </c>
      <c r="B45" s="154">
        <f>SUM(B23:D23)</f>
        <v>43604</v>
      </c>
      <c r="C45" s="154">
        <f>SUM(B32:D32)</f>
        <v>45002</v>
      </c>
      <c r="D45" s="325">
        <f t="shared" si="11"/>
        <v>3.2061278781763125E-2</v>
      </c>
      <c r="E45" s="154">
        <f>SUM(E23:G23)</f>
        <v>50598</v>
      </c>
      <c r="F45" s="154">
        <f>SUM(E32:G32)</f>
        <v>60227</v>
      </c>
      <c r="G45" s="325">
        <f t="shared" si="12"/>
        <v>0.19030396458358045</v>
      </c>
      <c r="H45" s="154">
        <f>SUM(H23:J23)</f>
        <v>51724</v>
      </c>
      <c r="I45" s="154">
        <f>SUM(H32:J32)</f>
        <v>63516</v>
      </c>
      <c r="J45" s="325">
        <f t="shared" si="13"/>
        <v>0.22797927461139889</v>
      </c>
      <c r="K45" s="154">
        <f t="shared" si="14"/>
        <v>60409</v>
      </c>
    </row>
    <row r="46" spans="1:16">
      <c r="A46" s="331" t="s">
        <v>230</v>
      </c>
      <c r="B46" s="178">
        <f>SUM(B41:B45)</f>
        <v>372370</v>
      </c>
      <c r="C46" s="178">
        <f>SUM(C41:C45)</f>
        <v>347532</v>
      </c>
      <c r="D46" s="325">
        <f t="shared" si="11"/>
        <v>-6.670247334640278E-2</v>
      </c>
      <c r="E46" s="178">
        <f>SUM(E41:E45)</f>
        <v>348521</v>
      </c>
      <c r="F46" s="178">
        <f>SUM(F41:F45)</f>
        <v>380273</v>
      </c>
      <c r="G46" s="325">
        <f t="shared" si="12"/>
        <v>9.110498363082864E-2</v>
      </c>
      <c r="H46" s="178">
        <f>SUM(H41:H45)</f>
        <v>377389</v>
      </c>
      <c r="I46" s="178">
        <f>SUM(I41:I45)</f>
        <v>397409</v>
      </c>
      <c r="J46" s="325">
        <f t="shared" si="13"/>
        <v>5.30487110117146E-2</v>
      </c>
      <c r="K46" s="178">
        <f t="shared" si="14"/>
        <v>393450</v>
      </c>
    </row>
    <row r="47" spans="1:16">
      <c r="A47" s="331"/>
      <c r="B47" s="178"/>
      <c r="C47" s="178"/>
      <c r="D47" s="325"/>
      <c r="E47" s="178"/>
      <c r="F47" s="178"/>
      <c r="G47" s="325"/>
      <c r="H47" s="178"/>
      <c r="I47" s="178"/>
      <c r="J47" s="325"/>
      <c r="K47" s="325"/>
    </row>
    <row r="48" spans="1:16">
      <c r="A48" s="331" t="s">
        <v>938</v>
      </c>
      <c r="B48" s="327">
        <v>38079</v>
      </c>
      <c r="C48" s="327">
        <v>38109</v>
      </c>
      <c r="D48" s="327">
        <v>38140</v>
      </c>
      <c r="E48" s="327">
        <v>38170</v>
      </c>
      <c r="F48" s="327">
        <v>38201</v>
      </c>
      <c r="G48" s="327">
        <v>38232</v>
      </c>
      <c r="H48" s="327">
        <v>38262</v>
      </c>
      <c r="I48" s="327">
        <v>38293</v>
      </c>
      <c r="J48" s="327">
        <v>38323</v>
      </c>
      <c r="K48" s="327">
        <v>38354</v>
      </c>
      <c r="L48" s="327">
        <v>38385</v>
      </c>
      <c r="M48" s="327">
        <v>38413</v>
      </c>
      <c r="N48" s="328" t="s">
        <v>230</v>
      </c>
    </row>
    <row r="49" spans="1:16">
      <c r="A49" s="329" t="s">
        <v>576</v>
      </c>
      <c r="B49" s="154">
        <v>90532</v>
      </c>
      <c r="C49" s="154">
        <v>87663</v>
      </c>
      <c r="D49" s="154">
        <v>97595</v>
      </c>
      <c r="E49" s="154">
        <v>103260</v>
      </c>
      <c r="F49" s="154">
        <v>106745</v>
      </c>
      <c r="G49" s="154">
        <v>126420</v>
      </c>
      <c r="H49" s="154">
        <v>143491</v>
      </c>
      <c r="I49" s="154">
        <v>154137</v>
      </c>
      <c r="J49" s="154">
        <v>143727</v>
      </c>
      <c r="K49" s="154">
        <v>132028</v>
      </c>
      <c r="L49" s="154">
        <v>129409</v>
      </c>
      <c r="M49" s="154">
        <v>134670</v>
      </c>
      <c r="N49" s="154">
        <f>SUM(B49:M49)</f>
        <v>1449677</v>
      </c>
      <c r="O49" s="325"/>
      <c r="P49" s="325"/>
    </row>
    <row r="50" spans="1:16">
      <c r="A50" s="330" t="s">
        <v>939</v>
      </c>
      <c r="B50" s="154">
        <v>11028</v>
      </c>
      <c r="C50" s="154">
        <v>8679</v>
      </c>
      <c r="D50" s="154">
        <v>9903</v>
      </c>
      <c r="E50" s="154">
        <v>9563</v>
      </c>
      <c r="F50" s="154">
        <v>8898</v>
      </c>
      <c r="G50" s="154">
        <v>9982</v>
      </c>
      <c r="H50" s="154">
        <v>8330</v>
      </c>
      <c r="I50" s="154">
        <v>8715</v>
      </c>
      <c r="J50" s="154">
        <v>7246</v>
      </c>
      <c r="K50" s="154">
        <v>7304</v>
      </c>
      <c r="L50" s="154">
        <v>6577</v>
      </c>
      <c r="M50" s="334">
        <v>6537</v>
      </c>
      <c r="N50" s="154">
        <f>SUM(B50:M50)</f>
        <v>102762</v>
      </c>
      <c r="O50" s="335"/>
      <c r="P50" s="325"/>
    </row>
    <row r="51" spans="1:16">
      <c r="A51" s="324" t="s">
        <v>940</v>
      </c>
      <c r="B51" s="154">
        <v>3309</v>
      </c>
      <c r="C51" s="154">
        <v>2155</v>
      </c>
      <c r="D51" s="154">
        <v>2352</v>
      </c>
      <c r="E51" s="154">
        <v>4879</v>
      </c>
      <c r="F51" s="154">
        <v>3205</v>
      </c>
      <c r="G51" s="154">
        <v>2552</v>
      </c>
      <c r="H51" s="154">
        <v>4088</v>
      </c>
      <c r="I51" s="154">
        <v>2096</v>
      </c>
      <c r="J51" s="154">
        <v>1477</v>
      </c>
      <c r="K51" s="154">
        <v>1501</v>
      </c>
      <c r="L51" s="154">
        <v>1477</v>
      </c>
      <c r="M51" s="154">
        <v>1840</v>
      </c>
      <c r="N51" s="154">
        <f>SUM(B51:M51)</f>
        <v>30931</v>
      </c>
      <c r="O51" s="325"/>
      <c r="P51" s="325"/>
    </row>
    <row r="52" spans="1:16">
      <c r="A52" s="324" t="s">
        <v>941</v>
      </c>
      <c r="B52" s="154">
        <v>2024</v>
      </c>
      <c r="C52" s="154">
        <v>1622</v>
      </c>
      <c r="D52" s="154">
        <v>1973</v>
      </c>
      <c r="E52" s="154">
        <v>1721</v>
      </c>
      <c r="F52" s="154">
        <v>1299</v>
      </c>
      <c r="G52" s="154">
        <v>1990</v>
      </c>
      <c r="H52" s="154">
        <v>1677</v>
      </c>
      <c r="I52" s="154">
        <v>1249</v>
      </c>
      <c r="J52" s="154">
        <v>1249</v>
      </c>
      <c r="K52" s="154">
        <v>1386</v>
      </c>
      <c r="L52" s="154">
        <v>1841</v>
      </c>
      <c r="M52" s="154">
        <v>1164</v>
      </c>
      <c r="N52" s="154">
        <f>SUM(B52:M52)</f>
        <v>19195</v>
      </c>
      <c r="O52" s="325"/>
      <c r="P52" s="325"/>
    </row>
    <row r="53" spans="1:16">
      <c r="A53" s="330" t="s">
        <v>609</v>
      </c>
      <c r="B53" s="154">
        <v>16152</v>
      </c>
      <c r="C53" s="154">
        <v>16178</v>
      </c>
      <c r="D53" s="154">
        <v>21750</v>
      </c>
      <c r="E53" s="154">
        <v>21651</v>
      </c>
      <c r="F53" s="154">
        <v>19848</v>
      </c>
      <c r="G53" s="154">
        <v>23182</v>
      </c>
      <c r="H53" s="154">
        <v>19062</v>
      </c>
      <c r="I53" s="154">
        <v>15734</v>
      </c>
      <c r="J53" s="154">
        <v>14705</v>
      </c>
      <c r="K53" s="154">
        <v>16415</v>
      </c>
      <c r="L53" s="154">
        <v>18556</v>
      </c>
      <c r="M53" s="154">
        <v>18754</v>
      </c>
      <c r="N53" s="154">
        <f>SUM(B53:M53)</f>
        <v>221987</v>
      </c>
      <c r="O53" s="325"/>
      <c r="P53" s="325"/>
    </row>
    <row r="54" spans="1:16">
      <c r="A54" s="331" t="s">
        <v>230</v>
      </c>
      <c r="B54" s="178">
        <f>B$49+B$50+B$51+B$52+B$53</f>
        <v>123045</v>
      </c>
      <c r="C54" s="178">
        <f t="shared" ref="C54:N54" si="15">C49+C50+C51+C52+C53</f>
        <v>116297</v>
      </c>
      <c r="D54" s="178">
        <f t="shared" si="15"/>
        <v>133573</v>
      </c>
      <c r="E54" s="178">
        <f t="shared" si="15"/>
        <v>141074</v>
      </c>
      <c r="F54" s="178">
        <f t="shared" si="15"/>
        <v>139995</v>
      </c>
      <c r="G54" s="178">
        <f t="shared" si="15"/>
        <v>164126</v>
      </c>
      <c r="H54" s="178">
        <f t="shared" si="15"/>
        <v>176648</v>
      </c>
      <c r="I54" s="178">
        <f t="shared" si="15"/>
        <v>181931</v>
      </c>
      <c r="J54" s="178">
        <f t="shared" si="15"/>
        <v>168404</v>
      </c>
      <c r="K54" s="178">
        <f t="shared" si="15"/>
        <v>158634</v>
      </c>
      <c r="L54" s="178">
        <f t="shared" si="15"/>
        <v>157860</v>
      </c>
      <c r="M54" s="178">
        <f t="shared" si="15"/>
        <v>162965</v>
      </c>
      <c r="N54" s="178">
        <f t="shared" si="15"/>
        <v>1824552</v>
      </c>
    </row>
    <row r="55" spans="1:16">
      <c r="A55" s="331"/>
      <c r="B55" s="178"/>
      <c r="C55" s="178"/>
      <c r="D55" s="178"/>
      <c r="E55" s="178"/>
      <c r="F55" s="178"/>
      <c r="G55" s="178"/>
      <c r="H55" s="178"/>
      <c r="I55" s="178"/>
      <c r="J55" s="178"/>
      <c r="K55" s="178"/>
      <c r="L55" s="178"/>
      <c r="M55" s="178"/>
      <c r="N55" s="178"/>
    </row>
    <row r="56" spans="1:16">
      <c r="A56" s="331" t="s">
        <v>268</v>
      </c>
      <c r="B56" s="154">
        <f t="shared" ref="B56:M56" si="16">+B58-B57</f>
        <v>106207</v>
      </c>
      <c r="C56" s="154">
        <f t="shared" si="16"/>
        <v>99493</v>
      </c>
      <c r="D56" s="154">
        <f t="shared" si="16"/>
        <v>117194</v>
      </c>
      <c r="E56" s="154">
        <f t="shared" si="16"/>
        <v>125795</v>
      </c>
      <c r="F56" s="154">
        <f t="shared" si="16"/>
        <v>126420</v>
      </c>
      <c r="G56" s="154">
        <f t="shared" si="16"/>
        <v>146988</v>
      </c>
      <c r="H56" s="154">
        <f t="shared" si="16"/>
        <v>161386</v>
      </c>
      <c r="I56" s="154">
        <f t="shared" si="16"/>
        <v>166412</v>
      </c>
      <c r="J56" s="154">
        <f t="shared" si="16"/>
        <v>157044</v>
      </c>
      <c r="K56" s="154">
        <f t="shared" si="16"/>
        <v>143686</v>
      </c>
      <c r="L56" s="154">
        <f t="shared" si="16"/>
        <v>138656</v>
      </c>
      <c r="M56" s="154">
        <f t="shared" si="16"/>
        <v>138561</v>
      </c>
      <c r="N56" s="178">
        <f>+N54-N57</f>
        <v>1627842</v>
      </c>
    </row>
    <row r="57" spans="1:16">
      <c r="A57" s="331" t="s">
        <v>587</v>
      </c>
      <c r="B57" s="154">
        <v>16838</v>
      </c>
      <c r="C57" s="178">
        <f>65300-E57-D57-B57</f>
        <v>16804</v>
      </c>
      <c r="D57" s="178">
        <v>16379</v>
      </c>
      <c r="E57" s="178">
        <v>15279</v>
      </c>
      <c r="F57" s="178">
        <v>13575</v>
      </c>
      <c r="G57" s="178">
        <v>17138</v>
      </c>
      <c r="H57" s="178">
        <v>15262</v>
      </c>
      <c r="I57" s="178">
        <v>15519</v>
      </c>
      <c r="J57" s="178">
        <v>11360</v>
      </c>
      <c r="K57" s="178">
        <f>+N57-181762</f>
        <v>14948</v>
      </c>
      <c r="L57" s="178">
        <v>19204</v>
      </c>
      <c r="M57" s="178">
        <v>24404</v>
      </c>
      <c r="N57" s="178">
        <v>196710</v>
      </c>
    </row>
    <row r="58" spans="1:16">
      <c r="A58" s="331"/>
      <c r="B58" s="178">
        <f t="shared" ref="B58:N58" si="17">B$49+B$50+B$51+B$52+B$53</f>
        <v>123045</v>
      </c>
      <c r="C58" s="178">
        <f t="shared" si="17"/>
        <v>116297</v>
      </c>
      <c r="D58" s="178">
        <f t="shared" si="17"/>
        <v>133573</v>
      </c>
      <c r="E58" s="178">
        <f t="shared" si="17"/>
        <v>141074</v>
      </c>
      <c r="F58" s="178">
        <f t="shared" si="17"/>
        <v>139995</v>
      </c>
      <c r="G58" s="178">
        <f t="shared" si="17"/>
        <v>164126</v>
      </c>
      <c r="H58" s="178">
        <f t="shared" si="17"/>
        <v>176648</v>
      </c>
      <c r="I58" s="178">
        <f t="shared" si="17"/>
        <v>181931</v>
      </c>
      <c r="J58" s="178">
        <f t="shared" si="17"/>
        <v>168404</v>
      </c>
      <c r="K58" s="178">
        <f t="shared" si="17"/>
        <v>158634</v>
      </c>
      <c r="L58" s="178">
        <f t="shared" si="17"/>
        <v>157860</v>
      </c>
      <c r="M58" s="178">
        <f t="shared" si="17"/>
        <v>162965</v>
      </c>
      <c r="N58" s="178">
        <f t="shared" si="17"/>
        <v>1824552</v>
      </c>
    </row>
    <row r="59" spans="1:16">
      <c r="A59" s="331"/>
      <c r="B59" s="178"/>
      <c r="C59" s="178"/>
      <c r="D59" s="178"/>
      <c r="E59" s="178"/>
      <c r="F59" s="178"/>
      <c r="G59" s="178"/>
      <c r="H59" s="336"/>
      <c r="I59" s="178"/>
      <c r="J59" s="178"/>
      <c r="K59" s="178"/>
      <c r="L59" s="178"/>
      <c r="M59" s="178"/>
      <c r="N59" s="178"/>
    </row>
    <row r="60" spans="1:16">
      <c r="A60" s="324" t="s">
        <v>2286</v>
      </c>
      <c r="B60" s="178"/>
      <c r="C60" s="178"/>
      <c r="D60" s="178"/>
      <c r="E60" s="178"/>
      <c r="F60" s="178"/>
      <c r="G60" s="178"/>
      <c r="H60" s="178"/>
      <c r="I60" s="178"/>
      <c r="J60" s="178"/>
      <c r="K60" s="178"/>
      <c r="L60" s="178"/>
      <c r="M60" s="178"/>
      <c r="N60" s="178"/>
    </row>
    <row r="61" spans="1:16">
      <c r="A61" s="324" t="s">
        <v>48</v>
      </c>
      <c r="B61" s="178"/>
      <c r="C61" s="178"/>
      <c r="D61" s="178"/>
      <c r="E61" s="178"/>
      <c r="F61" s="178"/>
      <c r="G61" s="178"/>
      <c r="H61" s="178"/>
      <c r="I61" s="178"/>
      <c r="J61" s="178"/>
      <c r="K61" s="178"/>
      <c r="L61" s="178"/>
      <c r="M61" s="178"/>
      <c r="N61" s="178">
        <f>337000/2.18</f>
        <v>154587.15596330274</v>
      </c>
    </row>
    <row r="62" spans="1:16">
      <c r="A62" s="324" t="s">
        <v>619</v>
      </c>
      <c r="C62" s="154">
        <v>22178</v>
      </c>
      <c r="D62" s="154">
        <v>23515</v>
      </c>
    </row>
    <row r="63" spans="1:16">
      <c r="A63" s="154"/>
      <c r="I63" s="325"/>
    </row>
    <row r="64" spans="1:16" ht="12.75">
      <c r="B64" s="153"/>
      <c r="C64" s="153"/>
      <c r="D64" s="153"/>
      <c r="E64" s="153"/>
      <c r="F64" s="178"/>
      <c r="I64" s="325"/>
    </row>
    <row r="65" spans="1:17">
      <c r="I65" s="325"/>
    </row>
    <row r="66" spans="1:17">
      <c r="B66" s="173"/>
      <c r="I66" s="325"/>
    </row>
    <row r="67" spans="1:17">
      <c r="B67" s="337"/>
      <c r="C67" s="337"/>
      <c r="D67" s="337"/>
      <c r="E67" s="337"/>
      <c r="I67" s="325"/>
    </row>
    <row r="68" spans="1:17">
      <c r="B68" s="337"/>
      <c r="C68" s="337"/>
      <c r="D68" s="337"/>
      <c r="E68" s="337"/>
      <c r="I68" s="325"/>
    </row>
    <row r="69" spans="1:17">
      <c r="B69" s="337"/>
      <c r="C69" s="337"/>
      <c r="D69" s="337"/>
      <c r="E69" s="337"/>
      <c r="I69" s="325"/>
      <c r="Q69" s="337"/>
    </row>
    <row r="70" spans="1:17">
      <c r="C70" s="335"/>
      <c r="I70" s="325"/>
    </row>
    <row r="71" spans="1:17">
      <c r="A71" s="331" t="s">
        <v>938</v>
      </c>
      <c r="B71" s="327">
        <v>38444</v>
      </c>
      <c r="C71" s="327">
        <v>38474</v>
      </c>
      <c r="D71" s="327">
        <v>38505</v>
      </c>
      <c r="E71" s="327">
        <v>38535</v>
      </c>
      <c r="F71" s="327">
        <v>38566</v>
      </c>
      <c r="G71" s="327">
        <v>38597</v>
      </c>
      <c r="H71" s="327">
        <v>38627</v>
      </c>
      <c r="I71" s="327">
        <v>38658</v>
      </c>
      <c r="J71" s="327">
        <v>38688</v>
      </c>
      <c r="K71" s="327">
        <v>38719</v>
      </c>
      <c r="L71" s="327">
        <v>38750</v>
      </c>
      <c r="M71" s="327">
        <v>38778</v>
      </c>
      <c r="N71" s="328" t="s">
        <v>230</v>
      </c>
    </row>
    <row r="72" spans="1:17">
      <c r="A72" s="329" t="s">
        <v>576</v>
      </c>
      <c r="B72" s="154">
        <v>137858</v>
      </c>
      <c r="C72" s="154">
        <v>153975</v>
      </c>
      <c r="D72" s="154">
        <v>130710</v>
      </c>
      <c r="E72" s="154">
        <v>115216</v>
      </c>
      <c r="F72" s="154">
        <v>149415</v>
      </c>
      <c r="G72" s="154">
        <v>180926</v>
      </c>
      <c r="H72" s="154">
        <v>205012</v>
      </c>
      <c r="I72" s="154">
        <v>157831</v>
      </c>
      <c r="J72" s="154">
        <v>148263</v>
      </c>
      <c r="K72" s="154">
        <v>173835</v>
      </c>
      <c r="L72" s="154">
        <v>175256</v>
      </c>
      <c r="M72" s="154">
        <v>183927</v>
      </c>
      <c r="N72" s="154">
        <f>SUM(B72:M72)</f>
        <v>1912224</v>
      </c>
      <c r="O72" s="154">
        <f>+N72/12</f>
        <v>159352</v>
      </c>
    </row>
    <row r="73" spans="1:17">
      <c r="A73" s="330" t="s">
        <v>939</v>
      </c>
      <c r="B73" s="154">
        <v>6825</v>
      </c>
      <c r="C73" s="154">
        <v>5553</v>
      </c>
      <c r="D73" s="154">
        <v>7640</v>
      </c>
      <c r="E73" s="154">
        <v>5642</v>
      </c>
      <c r="F73" s="154">
        <v>6718</v>
      </c>
      <c r="G73" s="154">
        <v>6433</v>
      </c>
      <c r="H73" s="154">
        <v>6338</v>
      </c>
      <c r="I73" s="154">
        <v>5109</v>
      </c>
      <c r="J73" s="154">
        <v>5071</v>
      </c>
      <c r="K73" s="154">
        <v>4964</v>
      </c>
      <c r="L73" s="154">
        <v>1823</v>
      </c>
      <c r="M73" s="334">
        <v>744</v>
      </c>
      <c r="N73" s="154">
        <f>SUM(B73:M73)</f>
        <v>62860</v>
      </c>
    </row>
    <row r="74" spans="1:17">
      <c r="A74" s="324" t="s">
        <v>940</v>
      </c>
      <c r="B74" s="154">
        <v>2068</v>
      </c>
      <c r="C74" s="154">
        <v>3203</v>
      </c>
      <c r="D74" s="154">
        <v>2987</v>
      </c>
      <c r="E74" s="154">
        <v>6627</v>
      </c>
      <c r="F74" s="154">
        <v>8225</v>
      </c>
      <c r="G74" s="154">
        <v>7865</v>
      </c>
      <c r="H74" s="154">
        <v>8418</v>
      </c>
      <c r="I74" s="154">
        <v>4248</v>
      </c>
      <c r="J74" s="154">
        <v>2962</v>
      </c>
      <c r="K74" s="154">
        <v>2545</v>
      </c>
      <c r="L74" s="154">
        <v>1796</v>
      </c>
      <c r="M74" s="154">
        <v>1668</v>
      </c>
      <c r="N74" s="154">
        <f>SUM(B74:M74)</f>
        <v>52612</v>
      </c>
    </row>
    <row r="75" spans="1:17">
      <c r="A75" s="324" t="s">
        <v>941</v>
      </c>
      <c r="B75" s="154">
        <v>841</v>
      </c>
      <c r="C75" s="154">
        <v>29</v>
      </c>
      <c r="D75" s="154">
        <v>0</v>
      </c>
      <c r="E75" s="154">
        <v>0</v>
      </c>
      <c r="F75" s="154">
        <v>0</v>
      </c>
      <c r="H75" s="154">
        <v>0</v>
      </c>
      <c r="I75" s="154">
        <v>0</v>
      </c>
      <c r="J75" s="154">
        <v>0</v>
      </c>
      <c r="K75" s="154">
        <v>0</v>
      </c>
      <c r="L75" s="154">
        <v>0</v>
      </c>
      <c r="M75" s="154">
        <v>0</v>
      </c>
      <c r="N75" s="154">
        <f>SUM(B75:M75)</f>
        <v>870</v>
      </c>
    </row>
    <row r="76" spans="1:17">
      <c r="A76" s="330" t="s">
        <v>609</v>
      </c>
      <c r="B76" s="154">
        <v>17453</v>
      </c>
      <c r="C76" s="154">
        <v>15892</v>
      </c>
      <c r="D76" s="154">
        <v>19966</v>
      </c>
      <c r="E76" s="154">
        <v>22585</v>
      </c>
      <c r="F76" s="154">
        <v>22782</v>
      </c>
      <c r="G76" s="154">
        <v>23118</v>
      </c>
      <c r="H76" s="154">
        <v>21881</v>
      </c>
      <c r="I76" s="154">
        <v>17157</v>
      </c>
      <c r="J76" s="154">
        <v>18534</v>
      </c>
      <c r="K76" s="154">
        <v>22019</v>
      </c>
      <c r="L76" s="154">
        <v>25896</v>
      </c>
      <c r="M76" s="154">
        <v>24723</v>
      </c>
      <c r="N76" s="154">
        <f>SUM(B76:M76)</f>
        <v>252006</v>
      </c>
    </row>
    <row r="77" spans="1:17">
      <c r="A77" s="331" t="s">
        <v>230</v>
      </c>
      <c r="B77" s="178">
        <f t="shared" ref="B77:N77" si="18">B72+B73+B74+B75+B76</f>
        <v>165045</v>
      </c>
      <c r="C77" s="178">
        <f t="shared" si="18"/>
        <v>178652</v>
      </c>
      <c r="D77" s="178">
        <f t="shared" si="18"/>
        <v>161303</v>
      </c>
      <c r="E77" s="178">
        <f t="shared" si="18"/>
        <v>150070</v>
      </c>
      <c r="F77" s="178">
        <f t="shared" si="18"/>
        <v>187140</v>
      </c>
      <c r="G77" s="178">
        <f t="shared" si="18"/>
        <v>218342</v>
      </c>
      <c r="H77" s="178">
        <f t="shared" si="18"/>
        <v>241649</v>
      </c>
      <c r="I77" s="178">
        <f t="shared" si="18"/>
        <v>184345</v>
      </c>
      <c r="J77" s="178">
        <f t="shared" si="18"/>
        <v>174830</v>
      </c>
      <c r="K77" s="178">
        <f t="shared" si="18"/>
        <v>203363</v>
      </c>
      <c r="L77" s="178">
        <f t="shared" si="18"/>
        <v>204771</v>
      </c>
      <c r="M77" s="178">
        <f t="shared" si="18"/>
        <v>211062</v>
      </c>
      <c r="N77" s="178">
        <f t="shared" si="18"/>
        <v>2280572</v>
      </c>
    </row>
    <row r="78" spans="1:17">
      <c r="B78" s="325">
        <f t="shared" ref="B78:N78" si="19">+B77/B58-1</f>
        <v>0.34133853468243336</v>
      </c>
      <c r="C78" s="325">
        <f t="shared" si="19"/>
        <v>0.53617032253626484</v>
      </c>
      <c r="D78" s="325">
        <f t="shared" si="19"/>
        <v>0.20760183570032864</v>
      </c>
      <c r="E78" s="325">
        <f t="shared" si="19"/>
        <v>6.3767951571515713E-2</v>
      </c>
      <c r="F78" s="325">
        <f t="shared" si="19"/>
        <v>0.33676202721525761</v>
      </c>
      <c r="G78" s="325">
        <f t="shared" si="19"/>
        <v>0.33033157452201367</v>
      </c>
      <c r="H78" s="325">
        <f t="shared" si="19"/>
        <v>0.36796906842987176</v>
      </c>
      <c r="I78" s="325">
        <f t="shared" si="19"/>
        <v>1.3268766730243797E-2</v>
      </c>
      <c r="J78" s="325">
        <f t="shared" si="19"/>
        <v>3.8158238521650345E-2</v>
      </c>
      <c r="K78" s="325">
        <f t="shared" si="19"/>
        <v>0.28196351349647619</v>
      </c>
      <c r="L78" s="325">
        <f t="shared" si="19"/>
        <v>0.29716837704294941</v>
      </c>
      <c r="M78" s="325">
        <f t="shared" si="19"/>
        <v>0.29513699260577431</v>
      </c>
      <c r="N78" s="325">
        <f t="shared" si="19"/>
        <v>0.24993532658976014</v>
      </c>
    </row>
    <row r="79" spans="1:17">
      <c r="A79" s="324" t="s">
        <v>744</v>
      </c>
      <c r="B79" s="154">
        <f>+B77-B80</f>
        <v>146038</v>
      </c>
      <c r="C79" s="154">
        <f t="shared" ref="C79:M79" si="20">+C81-C80</f>
        <v>163112</v>
      </c>
      <c r="D79" s="154">
        <f t="shared" si="20"/>
        <v>145357</v>
      </c>
      <c r="E79" s="154">
        <f t="shared" si="20"/>
        <v>135372</v>
      </c>
      <c r="F79" s="154">
        <f t="shared" si="20"/>
        <v>163388</v>
      </c>
      <c r="G79" s="154">
        <f t="shared" si="20"/>
        <v>194879</v>
      </c>
      <c r="H79" s="154">
        <f t="shared" si="20"/>
        <v>218936</v>
      </c>
      <c r="I79" s="154">
        <f t="shared" si="20"/>
        <v>161233</v>
      </c>
      <c r="J79" s="154">
        <f t="shared" si="20"/>
        <v>156296</v>
      </c>
      <c r="K79" s="154">
        <f t="shared" si="20"/>
        <v>185199</v>
      </c>
      <c r="L79" s="154">
        <f t="shared" si="20"/>
        <v>178534</v>
      </c>
      <c r="M79" s="154">
        <f t="shared" si="20"/>
        <v>182064</v>
      </c>
      <c r="N79" s="154">
        <f>SUM(B79:M79)</f>
        <v>2030408</v>
      </c>
    </row>
    <row r="80" spans="1:17">
      <c r="A80" s="324" t="s">
        <v>587</v>
      </c>
      <c r="B80" s="154">
        <v>19007</v>
      </c>
      <c r="C80" s="154">
        <v>15540</v>
      </c>
      <c r="D80" s="154">
        <v>15946</v>
      </c>
      <c r="E80" s="154">
        <v>14698</v>
      </c>
      <c r="F80" s="154">
        <v>23752</v>
      </c>
      <c r="G80" s="154">
        <v>23463</v>
      </c>
      <c r="H80" s="154">
        <v>22713</v>
      </c>
      <c r="I80" s="154">
        <v>23112</v>
      </c>
      <c r="J80" s="154">
        <v>18534</v>
      </c>
      <c r="K80" s="154">
        <v>18164</v>
      </c>
      <c r="L80" s="154">
        <v>26237</v>
      </c>
      <c r="M80" s="154">
        <v>28998</v>
      </c>
      <c r="N80" s="154">
        <f>SUM(B80:M80)</f>
        <v>250164</v>
      </c>
    </row>
    <row r="81" spans="1:16" s="178" customFormat="1">
      <c r="A81" s="326" t="s">
        <v>230</v>
      </c>
      <c r="B81" s="178">
        <f>+B80+B79</f>
        <v>165045</v>
      </c>
      <c r="C81" s="178">
        <f t="shared" ref="C81:N81" si="21">+C77</f>
        <v>178652</v>
      </c>
      <c r="D81" s="178">
        <f t="shared" si="21"/>
        <v>161303</v>
      </c>
      <c r="E81" s="178">
        <f t="shared" si="21"/>
        <v>150070</v>
      </c>
      <c r="F81" s="178">
        <f t="shared" si="21"/>
        <v>187140</v>
      </c>
      <c r="G81" s="178">
        <f t="shared" si="21"/>
        <v>218342</v>
      </c>
      <c r="H81" s="178">
        <f t="shared" si="21"/>
        <v>241649</v>
      </c>
      <c r="I81" s="178">
        <f t="shared" si="21"/>
        <v>184345</v>
      </c>
      <c r="J81" s="178">
        <f t="shared" si="21"/>
        <v>174830</v>
      </c>
      <c r="K81" s="178">
        <f t="shared" si="21"/>
        <v>203363</v>
      </c>
      <c r="L81" s="178">
        <f t="shared" si="21"/>
        <v>204771</v>
      </c>
      <c r="M81" s="178">
        <f t="shared" si="21"/>
        <v>211062</v>
      </c>
      <c r="N81" s="178">
        <f t="shared" si="21"/>
        <v>2280572</v>
      </c>
    </row>
    <row r="83" spans="1:16">
      <c r="A83" s="324" t="s">
        <v>989</v>
      </c>
      <c r="B83" s="337">
        <f t="shared" ref="B83:N83" si="22">+B72/B49-1</f>
        <v>0.52275438518976713</v>
      </c>
      <c r="C83" s="337">
        <f t="shared" si="22"/>
        <v>0.75644228465829366</v>
      </c>
      <c r="D83" s="337">
        <f t="shared" si="22"/>
        <v>0.339310415492597</v>
      </c>
      <c r="E83" s="337">
        <f t="shared" si="22"/>
        <v>0.1157853960875459</v>
      </c>
      <c r="F83" s="337">
        <f t="shared" si="22"/>
        <v>0.39973769263197334</v>
      </c>
      <c r="G83" s="337">
        <f t="shared" si="22"/>
        <v>0.43115013447239359</v>
      </c>
      <c r="H83" s="337">
        <f t="shared" si="22"/>
        <v>0.42874465994382915</v>
      </c>
      <c r="I83" s="337">
        <f t="shared" si="22"/>
        <v>2.3965692857652598E-2</v>
      </c>
      <c r="J83" s="337">
        <f t="shared" si="22"/>
        <v>3.155983218184466E-2</v>
      </c>
      <c r="K83" s="337">
        <f t="shared" si="22"/>
        <v>0.31665252825158308</v>
      </c>
      <c r="L83" s="337">
        <f t="shared" si="22"/>
        <v>0.35427984143297597</v>
      </c>
      <c r="M83" s="337">
        <f t="shared" si="22"/>
        <v>0.36576074849632434</v>
      </c>
      <c r="N83" s="337">
        <f t="shared" si="22"/>
        <v>0.31906900640625468</v>
      </c>
    </row>
    <row r="85" spans="1:16">
      <c r="A85" s="324" t="s">
        <v>2286</v>
      </c>
      <c r="F85" s="154">
        <v>87000</v>
      </c>
      <c r="G85" s="154">
        <v>105952</v>
      </c>
      <c r="H85" s="154">
        <v>115775</v>
      </c>
      <c r="L85" s="154">
        <v>80683</v>
      </c>
      <c r="M85" s="154">
        <v>72278</v>
      </c>
      <c r="N85" s="154">
        <f>SUM(F85:M85)</f>
        <v>461688</v>
      </c>
      <c r="P85" s="154" t="s">
        <v>990</v>
      </c>
    </row>
    <row r="86" spans="1:16">
      <c r="A86" s="324" t="s">
        <v>991</v>
      </c>
      <c r="F86" s="154">
        <v>27000</v>
      </c>
      <c r="G86" s="154">
        <v>35441</v>
      </c>
      <c r="H86" s="154">
        <v>43680</v>
      </c>
      <c r="K86" s="154">
        <v>58083</v>
      </c>
      <c r="L86" s="154">
        <v>58761</v>
      </c>
      <c r="M86" s="154">
        <v>69516</v>
      </c>
      <c r="N86" s="154">
        <f>113000+337000</f>
        <v>450000</v>
      </c>
    </row>
    <row r="87" spans="1:16">
      <c r="A87" s="324" t="s">
        <v>619</v>
      </c>
      <c r="C87" s="154">
        <v>30312</v>
      </c>
      <c r="D87" s="154">
        <v>32468</v>
      </c>
      <c r="E87" s="154">
        <v>27551</v>
      </c>
      <c r="F87" s="154">
        <v>33000</v>
      </c>
      <c r="G87" s="154">
        <v>35997</v>
      </c>
      <c r="H87" s="154">
        <v>40467</v>
      </c>
      <c r="K87" s="1713">
        <v>33412</v>
      </c>
      <c r="N87" s="154">
        <f>SUM(F87:M87)</f>
        <v>142876</v>
      </c>
      <c r="P87" s="154" t="s">
        <v>992</v>
      </c>
    </row>
    <row r="88" spans="1:16">
      <c r="A88" s="324" t="s">
        <v>51</v>
      </c>
      <c r="D88" s="154">
        <v>1059</v>
      </c>
      <c r="E88" s="154">
        <v>1414</v>
      </c>
      <c r="F88" s="154">
        <v>2300</v>
      </c>
      <c r="G88" s="154">
        <v>3036</v>
      </c>
      <c r="H88" s="154">
        <v>3224</v>
      </c>
      <c r="K88" s="1713"/>
      <c r="L88" s="154">
        <v>33995</v>
      </c>
      <c r="M88" s="154">
        <v>36261</v>
      </c>
      <c r="N88" s="154">
        <f>SUM(F88:M88)</f>
        <v>78816</v>
      </c>
    </row>
    <row r="89" spans="1:16">
      <c r="A89" s="324" t="s">
        <v>993</v>
      </c>
      <c r="E89" s="154">
        <v>5565</v>
      </c>
      <c r="F89" s="154">
        <v>7300</v>
      </c>
      <c r="G89" s="154">
        <v>7561</v>
      </c>
      <c r="H89" s="154">
        <v>8292</v>
      </c>
      <c r="L89" s="154">
        <f>+L81-L85-L86-L88</f>
        <v>31332</v>
      </c>
      <c r="N89" s="154">
        <f>SUM(F89:M89)</f>
        <v>54485</v>
      </c>
    </row>
    <row r="90" spans="1:16">
      <c r="A90" s="324" t="s">
        <v>994</v>
      </c>
    </row>
    <row r="91" spans="1:16">
      <c r="A91" s="338">
        <v>38504</v>
      </c>
      <c r="L91" s="154">
        <f>+L86*5</f>
        <v>293805</v>
      </c>
    </row>
    <row r="92" spans="1:16">
      <c r="A92" s="324" t="s">
        <v>995</v>
      </c>
      <c r="L92" s="173">
        <f>39000*7</f>
        <v>273000</v>
      </c>
      <c r="N92" s="339"/>
    </row>
    <row r="93" spans="1:16">
      <c r="A93" s="324" t="s">
        <v>996</v>
      </c>
      <c r="J93" s="154">
        <f>365/18.32</f>
        <v>19.9235807860262</v>
      </c>
      <c r="L93" s="154">
        <f>+L92+L91</f>
        <v>566805</v>
      </c>
    </row>
    <row r="94" spans="1:16">
      <c r="A94" s="340">
        <v>38359</v>
      </c>
    </row>
    <row r="95" spans="1:16">
      <c r="A95" s="324" t="s">
        <v>997</v>
      </c>
    </row>
    <row r="96" spans="1:16">
      <c r="A96" s="340">
        <v>38360</v>
      </c>
      <c r="M96" s="154">
        <f>145*500</f>
        <v>72500</v>
      </c>
    </row>
    <row r="97" spans="1:18">
      <c r="A97" s="324" t="s">
        <v>998</v>
      </c>
    </row>
    <row r="98" spans="1:18">
      <c r="A98" s="324" t="s">
        <v>1025</v>
      </c>
    </row>
    <row r="100" spans="1:18">
      <c r="N100" s="173"/>
    </row>
    <row r="101" spans="1:18">
      <c r="A101" s="331" t="s">
        <v>938</v>
      </c>
      <c r="B101" s="327">
        <v>38809</v>
      </c>
      <c r="C101" s="327">
        <v>38839</v>
      </c>
      <c r="D101" s="327">
        <v>38870</v>
      </c>
      <c r="E101" s="327">
        <v>38900</v>
      </c>
      <c r="F101" s="327">
        <v>38931</v>
      </c>
      <c r="G101" s="327">
        <v>38962</v>
      </c>
      <c r="H101" s="327">
        <v>38992</v>
      </c>
      <c r="I101" s="327">
        <v>39023</v>
      </c>
      <c r="J101" s="327">
        <v>39053</v>
      </c>
      <c r="K101" s="327">
        <v>39084</v>
      </c>
      <c r="L101" s="327">
        <v>39115</v>
      </c>
      <c r="M101" s="327">
        <v>39143</v>
      </c>
      <c r="N101" s="178" t="s">
        <v>230</v>
      </c>
    </row>
    <row r="102" spans="1:18">
      <c r="A102" s="329" t="s">
        <v>576</v>
      </c>
      <c r="B102" s="154">
        <v>188518</v>
      </c>
      <c r="C102" s="154">
        <v>196120</v>
      </c>
      <c r="D102" s="154">
        <v>183549</v>
      </c>
      <c r="E102" s="154">
        <v>171115</v>
      </c>
      <c r="F102" s="154">
        <v>180570</v>
      </c>
      <c r="G102" s="154">
        <v>271377</v>
      </c>
      <c r="H102" s="154">
        <v>251022</v>
      </c>
      <c r="I102" s="154">
        <v>214321</v>
      </c>
      <c r="J102" s="154">
        <v>187063</v>
      </c>
      <c r="K102" s="154">
        <v>195560</v>
      </c>
      <c r="L102" s="154">
        <v>171780</v>
      </c>
      <c r="M102" s="154">
        <v>165524</v>
      </c>
      <c r="N102" s="154">
        <f>SUM(B102:M102)</f>
        <v>2376519</v>
      </c>
    </row>
    <row r="103" spans="1:18">
      <c r="A103" s="330" t="s">
        <v>939</v>
      </c>
      <c r="B103" s="154">
        <v>638</v>
      </c>
      <c r="C103" s="154">
        <v>618</v>
      </c>
      <c r="D103" s="154">
        <v>3301</v>
      </c>
      <c r="E103" s="154">
        <v>696</v>
      </c>
      <c r="F103" s="154">
        <v>0</v>
      </c>
      <c r="G103" s="154">
        <v>0</v>
      </c>
      <c r="H103" s="154">
        <v>0</v>
      </c>
      <c r="I103" s="154">
        <v>0</v>
      </c>
      <c r="J103" s="154">
        <v>0</v>
      </c>
      <c r="K103" s="154">
        <v>0</v>
      </c>
      <c r="L103" s="154">
        <v>0</v>
      </c>
      <c r="M103" s="154">
        <v>0</v>
      </c>
      <c r="N103" s="154">
        <f>SUM(B103:M103)</f>
        <v>5253</v>
      </c>
    </row>
    <row r="104" spans="1:18">
      <c r="A104" s="324" t="s">
        <v>940</v>
      </c>
      <c r="B104" s="154">
        <v>833</v>
      </c>
      <c r="C104" s="154">
        <v>1307</v>
      </c>
      <c r="D104" s="154">
        <v>1335</v>
      </c>
      <c r="E104" s="154">
        <v>1347</v>
      </c>
      <c r="F104" s="154">
        <v>1443</v>
      </c>
      <c r="G104" s="154">
        <v>894</v>
      </c>
      <c r="H104" s="154">
        <v>49</v>
      </c>
      <c r="I104" s="154">
        <v>8</v>
      </c>
      <c r="J104" s="154">
        <v>116</v>
      </c>
      <c r="K104" s="154">
        <v>1993</v>
      </c>
      <c r="L104" s="154">
        <v>2440</v>
      </c>
      <c r="M104" s="154">
        <v>3462</v>
      </c>
      <c r="N104" s="154">
        <f>SUM(B104:M104)</f>
        <v>15227</v>
      </c>
    </row>
    <row r="105" spans="1:18">
      <c r="A105" s="324" t="s">
        <v>941</v>
      </c>
      <c r="B105" s="154">
        <v>0</v>
      </c>
      <c r="C105" s="154">
        <v>0</v>
      </c>
      <c r="D105" s="154">
        <v>0</v>
      </c>
      <c r="E105" s="154">
        <v>0</v>
      </c>
      <c r="F105" s="154">
        <v>0</v>
      </c>
      <c r="G105" s="154">
        <v>0</v>
      </c>
      <c r="H105" s="154">
        <v>0</v>
      </c>
      <c r="I105" s="154">
        <v>0</v>
      </c>
      <c r="N105" s="154">
        <f>SUM(B105:M105)</f>
        <v>0</v>
      </c>
    </row>
    <row r="106" spans="1:18">
      <c r="A106" s="330" t="s">
        <v>609</v>
      </c>
      <c r="B106" s="154">
        <v>21159</v>
      </c>
      <c r="C106" s="154">
        <v>24029</v>
      </c>
      <c r="D106" s="154">
        <v>25687</v>
      </c>
      <c r="E106" s="154">
        <v>26663</v>
      </c>
      <c r="F106" s="154">
        <v>26150</v>
      </c>
      <c r="G106" s="154">
        <v>27870</v>
      </c>
      <c r="H106" s="154">
        <v>28507</v>
      </c>
      <c r="I106" s="154">
        <v>29384</v>
      </c>
      <c r="J106" s="154">
        <v>27749</v>
      </c>
      <c r="K106" s="154">
        <v>32030</v>
      </c>
      <c r="L106" s="154">
        <v>27992</v>
      </c>
      <c r="M106" s="154">
        <v>24576</v>
      </c>
      <c r="N106" s="154">
        <f>SUM(B106:M106)</f>
        <v>321796</v>
      </c>
    </row>
    <row r="107" spans="1:18">
      <c r="A107" s="331" t="s">
        <v>230</v>
      </c>
      <c r="B107" s="154">
        <f t="shared" ref="B107:M107" si="23">SUM(B102:B106)</f>
        <v>211148</v>
      </c>
      <c r="C107" s="154">
        <f t="shared" si="23"/>
        <v>222074</v>
      </c>
      <c r="D107" s="154">
        <f t="shared" si="23"/>
        <v>213872</v>
      </c>
      <c r="E107" s="154">
        <f t="shared" si="23"/>
        <v>199821</v>
      </c>
      <c r="F107" s="154">
        <f t="shared" si="23"/>
        <v>208163</v>
      </c>
      <c r="G107" s="154">
        <f t="shared" si="23"/>
        <v>300141</v>
      </c>
      <c r="H107" s="154">
        <f t="shared" si="23"/>
        <v>279578</v>
      </c>
      <c r="I107" s="154">
        <f t="shared" si="23"/>
        <v>243713</v>
      </c>
      <c r="J107" s="154">
        <f t="shared" si="23"/>
        <v>214928</v>
      </c>
      <c r="K107" s="154">
        <f t="shared" si="23"/>
        <v>229583</v>
      </c>
      <c r="L107" s="154">
        <f t="shared" si="23"/>
        <v>202212</v>
      </c>
      <c r="M107" s="154">
        <f t="shared" si="23"/>
        <v>193562</v>
      </c>
      <c r="N107" s="178">
        <f>N102+N103+N104+N105+N106</f>
        <v>2718795</v>
      </c>
    </row>
    <row r="108" spans="1:18">
      <c r="B108" s="325">
        <f t="shared" ref="B108:M108" si="24">+B107/B77-1</f>
        <v>0.27933593868338935</v>
      </c>
      <c r="C108" s="325">
        <f t="shared" si="24"/>
        <v>0.24305353424534859</v>
      </c>
      <c r="D108" s="325">
        <f t="shared" si="24"/>
        <v>0.32590218408833072</v>
      </c>
      <c r="E108" s="325">
        <f t="shared" si="24"/>
        <v>0.33151862464183379</v>
      </c>
      <c r="F108" s="325">
        <f t="shared" si="24"/>
        <v>0.11233835631078337</v>
      </c>
      <c r="G108" s="325">
        <f t="shared" si="24"/>
        <v>0.37463703730844267</v>
      </c>
      <c r="H108" s="325">
        <f t="shared" si="24"/>
        <v>0.15695906045545405</v>
      </c>
      <c r="I108" s="325">
        <f t="shared" si="24"/>
        <v>0.32204833328812832</v>
      </c>
      <c r="J108" s="325">
        <f t="shared" si="24"/>
        <v>0.22935422982325693</v>
      </c>
      <c r="K108" s="325">
        <f t="shared" si="24"/>
        <v>0.12893200828075901</v>
      </c>
      <c r="L108" s="325">
        <f t="shared" si="24"/>
        <v>-1.2496886766192428E-2</v>
      </c>
      <c r="M108" s="325">
        <f t="shared" si="24"/>
        <v>-8.291402526271896E-2</v>
      </c>
      <c r="N108" s="325">
        <f>+N107/N88-1</f>
        <v>33.495470462850186</v>
      </c>
    </row>
    <row r="109" spans="1:18">
      <c r="A109" s="324" t="s">
        <v>744</v>
      </c>
      <c r="B109" s="154">
        <f t="shared" ref="B109:M109" si="25">+B111-B110</f>
        <v>179433</v>
      </c>
      <c r="C109" s="154">
        <f t="shared" si="25"/>
        <v>189895</v>
      </c>
      <c r="D109" s="154">
        <f t="shared" si="25"/>
        <v>179503</v>
      </c>
      <c r="E109" s="154">
        <f t="shared" si="25"/>
        <v>157345</v>
      </c>
      <c r="F109" s="154">
        <f t="shared" si="25"/>
        <v>175880</v>
      </c>
      <c r="G109" s="154">
        <f t="shared" si="25"/>
        <v>263053</v>
      </c>
      <c r="H109" s="154">
        <f t="shared" si="25"/>
        <v>239430</v>
      </c>
      <c r="I109" s="154">
        <f t="shared" si="25"/>
        <v>207627</v>
      </c>
      <c r="J109" s="154">
        <f t="shared" si="25"/>
        <v>175543</v>
      </c>
      <c r="K109" s="154">
        <f t="shared" si="25"/>
        <v>189771</v>
      </c>
      <c r="L109" s="154">
        <f t="shared" si="25"/>
        <v>163984</v>
      </c>
      <c r="M109" s="154">
        <f t="shared" si="25"/>
        <v>157899</v>
      </c>
      <c r="N109" s="154">
        <f>SUM(B109:M109)</f>
        <v>2279363</v>
      </c>
      <c r="O109" s="154">
        <f>SUM(B109:D109)</f>
        <v>548831</v>
      </c>
      <c r="P109" s="154">
        <f>SUM(E109:G109)</f>
        <v>596278</v>
      </c>
      <c r="Q109" s="154">
        <f>SUM(H109:J109)</f>
        <v>622600</v>
      </c>
      <c r="R109" s="154">
        <f>SUM(K109:M109)</f>
        <v>511654</v>
      </c>
    </row>
    <row r="110" spans="1:18">
      <c r="A110" s="324" t="s">
        <v>587</v>
      </c>
      <c r="B110" s="154">
        <v>31715</v>
      </c>
      <c r="C110" s="154">
        <v>32179</v>
      </c>
      <c r="D110" s="154">
        <v>34369</v>
      </c>
      <c r="E110" s="154">
        <v>42476</v>
      </c>
      <c r="F110" s="154">
        <v>32283</v>
      </c>
      <c r="G110" s="154">
        <v>37088</v>
      </c>
      <c r="H110" s="154">
        <v>40148</v>
      </c>
      <c r="I110" s="154">
        <v>36086</v>
      </c>
      <c r="J110" s="154">
        <v>39385</v>
      </c>
      <c r="K110" s="154">
        <v>39812</v>
      </c>
      <c r="L110" s="154">
        <v>38228</v>
      </c>
      <c r="M110" s="154">
        <v>35663</v>
      </c>
      <c r="N110" s="154">
        <f>SUM(B110:M110)</f>
        <v>439432</v>
      </c>
      <c r="O110" s="154">
        <f>SUM(B110:D110)</f>
        <v>98263</v>
      </c>
      <c r="P110" s="154">
        <f>SUM(E110:G110)</f>
        <v>111847</v>
      </c>
      <c r="Q110" s="154">
        <f>SUM(H110:J110)</f>
        <v>115619</v>
      </c>
      <c r="R110" s="154">
        <f>SUM(K110:M110)</f>
        <v>113703</v>
      </c>
    </row>
    <row r="111" spans="1:18">
      <c r="A111" s="326" t="s">
        <v>230</v>
      </c>
      <c r="B111" s="154">
        <f t="shared" ref="B111:N111" si="26">+B107</f>
        <v>211148</v>
      </c>
      <c r="C111" s="154">
        <f t="shared" si="26"/>
        <v>222074</v>
      </c>
      <c r="D111" s="154">
        <f t="shared" si="26"/>
        <v>213872</v>
      </c>
      <c r="E111" s="154">
        <f t="shared" si="26"/>
        <v>199821</v>
      </c>
      <c r="F111" s="154">
        <f t="shared" si="26"/>
        <v>208163</v>
      </c>
      <c r="G111" s="154">
        <f t="shared" si="26"/>
        <v>300141</v>
      </c>
      <c r="H111" s="154">
        <f t="shared" si="26"/>
        <v>279578</v>
      </c>
      <c r="I111" s="154">
        <f t="shared" si="26"/>
        <v>243713</v>
      </c>
      <c r="J111" s="154">
        <f t="shared" si="26"/>
        <v>214928</v>
      </c>
      <c r="K111" s="154">
        <f t="shared" si="26"/>
        <v>229583</v>
      </c>
      <c r="L111" s="154">
        <f t="shared" si="26"/>
        <v>202212</v>
      </c>
      <c r="M111" s="154">
        <f t="shared" si="26"/>
        <v>193562</v>
      </c>
      <c r="N111" s="178">
        <f t="shared" si="26"/>
        <v>2718795</v>
      </c>
      <c r="O111" s="154">
        <f>SUM(B111:D111)</f>
        <v>647094</v>
      </c>
      <c r="P111" s="154">
        <f>SUM(E111:G111)</f>
        <v>708125</v>
      </c>
      <c r="Q111" s="154">
        <f>SUM(H111:J111)</f>
        <v>738219</v>
      </c>
      <c r="R111" s="154">
        <f>SUM(K111:M111)</f>
        <v>625357</v>
      </c>
    </row>
    <row r="113" spans="1:18">
      <c r="A113" s="324" t="s">
        <v>989</v>
      </c>
      <c r="B113" s="325">
        <f t="shared" ref="B113:M113" si="27">+B102/B72-1</f>
        <v>0.3674795804378419</v>
      </c>
      <c r="C113" s="325">
        <f t="shared" si="27"/>
        <v>0.27371326514044481</v>
      </c>
      <c r="D113" s="325">
        <f t="shared" si="27"/>
        <v>0.40424604085379845</v>
      </c>
      <c r="E113" s="325">
        <f t="shared" si="27"/>
        <v>0.48516699069573677</v>
      </c>
      <c r="F113" s="325">
        <f t="shared" si="27"/>
        <v>0.20851320148579466</v>
      </c>
      <c r="G113" s="325">
        <f t="shared" si="27"/>
        <v>0.49993367454097259</v>
      </c>
      <c r="H113" s="325">
        <f t="shared" si="27"/>
        <v>0.22442588726513568</v>
      </c>
      <c r="I113" s="325">
        <f t="shared" si="27"/>
        <v>0.35791447814434418</v>
      </c>
      <c r="J113" s="325">
        <f t="shared" si="27"/>
        <v>0.26169711930825623</v>
      </c>
      <c r="K113" s="325">
        <f t="shared" si="27"/>
        <v>0.12497483245606467</v>
      </c>
      <c r="L113" s="325">
        <f t="shared" si="27"/>
        <v>-1.9833843063860823E-2</v>
      </c>
      <c r="M113" s="325">
        <f t="shared" si="27"/>
        <v>-0.10005600047845065</v>
      </c>
      <c r="N113" s="337">
        <f>+N102/N79-1</f>
        <v>0.17046376885827863</v>
      </c>
      <c r="O113" s="154">
        <f>SUM(B113:D113)</f>
        <v>1.0454388864320852</v>
      </c>
      <c r="P113" s="154">
        <f>SUM(E113:G113)</f>
        <v>1.193613866722504</v>
      </c>
      <c r="Q113" s="154">
        <f>SUM(H113:J113)</f>
        <v>0.8440374847177361</v>
      </c>
      <c r="R113" s="154">
        <f>SUM(K113:M113)</f>
        <v>5.0849889137531967E-3</v>
      </c>
    </row>
    <row r="115" spans="1:18">
      <c r="A115" s="324" t="s">
        <v>2286</v>
      </c>
      <c r="N115" s="154">
        <f>SUM(F115:M115)</f>
        <v>0</v>
      </c>
    </row>
    <row r="116" spans="1:18">
      <c r="A116" s="324" t="s">
        <v>621</v>
      </c>
      <c r="N116" s="154">
        <v>739952</v>
      </c>
    </row>
    <row r="117" spans="1:18">
      <c r="A117" s="324" t="s">
        <v>991</v>
      </c>
      <c r="B117" s="154">
        <v>66137</v>
      </c>
      <c r="N117" s="154">
        <f>SUM(F117:M117)</f>
        <v>0</v>
      </c>
    </row>
    <row r="118" spans="1:18">
      <c r="A118" s="324" t="s">
        <v>619</v>
      </c>
      <c r="B118" s="154">
        <v>32700</v>
      </c>
      <c r="N118" s="154">
        <f>SUM(F118:M118)</f>
        <v>0</v>
      </c>
    </row>
    <row r="119" spans="1:18">
      <c r="A119" s="324" t="s">
        <v>51</v>
      </c>
      <c r="D119" s="173">
        <f>1.08024691358025-1</f>
        <v>8.0246913580249934E-2</v>
      </c>
      <c r="K119" s="154">
        <f>35000*12</f>
        <v>420000</v>
      </c>
      <c r="N119" s="154">
        <f>SUM(F119:M119)</f>
        <v>420000</v>
      </c>
    </row>
    <row r="120" spans="1:18">
      <c r="A120" s="324" t="s">
        <v>993</v>
      </c>
      <c r="N120" s="154">
        <f>SUM(F120:M120)</f>
        <v>0</v>
      </c>
    </row>
    <row r="121" spans="1:18">
      <c r="A121" s="324" t="s">
        <v>994</v>
      </c>
    </row>
    <row r="123" spans="1:18" ht="12.75">
      <c r="A123" s="341" t="s">
        <v>1026</v>
      </c>
      <c r="B123" s="342"/>
    </row>
    <row r="124" spans="1:18" ht="12.75">
      <c r="A124" s="341" t="s">
        <v>1027</v>
      </c>
      <c r="B124" s="343"/>
    </row>
    <row r="126" spans="1:18">
      <c r="A126" s="331" t="s">
        <v>938</v>
      </c>
      <c r="B126" s="327">
        <v>39174</v>
      </c>
      <c r="C126" s="327">
        <v>39204</v>
      </c>
      <c r="D126" s="327">
        <v>39235</v>
      </c>
      <c r="E126" s="327">
        <v>39265</v>
      </c>
      <c r="F126" s="327">
        <v>39296</v>
      </c>
      <c r="G126" s="327">
        <v>39327</v>
      </c>
      <c r="H126" s="327">
        <v>39357</v>
      </c>
      <c r="I126" s="327">
        <v>39388</v>
      </c>
      <c r="J126" s="327">
        <v>39418</v>
      </c>
      <c r="K126" s="327">
        <v>39449</v>
      </c>
      <c r="L126" s="327">
        <v>39480</v>
      </c>
      <c r="M126" s="327">
        <v>39509</v>
      </c>
      <c r="N126" s="178" t="s">
        <v>230</v>
      </c>
    </row>
    <row r="127" spans="1:18">
      <c r="A127" s="329" t="s">
        <v>576</v>
      </c>
      <c r="B127" s="154">
        <v>164304</v>
      </c>
      <c r="C127" s="154">
        <v>167008</v>
      </c>
      <c r="D127" s="154">
        <v>162253</v>
      </c>
      <c r="E127" s="154">
        <v>159881</v>
      </c>
      <c r="F127" s="154">
        <v>167483</v>
      </c>
      <c r="G127" s="154">
        <v>204152</v>
      </c>
      <c r="H127" s="154">
        <v>248307</v>
      </c>
      <c r="I127" s="154">
        <v>209876</v>
      </c>
      <c r="J127" s="154">
        <v>176441</v>
      </c>
      <c r="K127" s="154">
        <v>166492</v>
      </c>
      <c r="L127" s="154">
        <v>158662</v>
      </c>
      <c r="M127" s="154">
        <v>154297</v>
      </c>
      <c r="N127" s="154">
        <f>SUM(B127:M127)</f>
        <v>2139156</v>
      </c>
      <c r="O127" s="154">
        <f>SUM(B127:D127)</f>
        <v>493565</v>
      </c>
      <c r="P127" s="154">
        <f>SUM(E127:G127)</f>
        <v>531516</v>
      </c>
      <c r="Q127" s="154">
        <f>SUM(H127:J127)</f>
        <v>634624</v>
      </c>
      <c r="R127" s="154">
        <f>SUM(K127:M127)</f>
        <v>479451</v>
      </c>
    </row>
    <row r="128" spans="1:18">
      <c r="A128" s="324" t="s">
        <v>989</v>
      </c>
      <c r="B128" s="325">
        <f t="shared" ref="B128:N128" si="28">+B127/B102-1</f>
        <v>-0.12844396821523674</v>
      </c>
      <c r="C128" s="325">
        <f t="shared" si="28"/>
        <v>-0.14843973077707528</v>
      </c>
      <c r="D128" s="325">
        <f t="shared" si="28"/>
        <v>-0.11602351415698264</v>
      </c>
      <c r="E128" s="325">
        <f t="shared" si="28"/>
        <v>-6.5651754667913398E-2</v>
      </c>
      <c r="F128" s="325">
        <f t="shared" si="28"/>
        <v>-7.2476048070000521E-2</v>
      </c>
      <c r="G128" s="325">
        <f t="shared" si="28"/>
        <v>-0.24771811907420305</v>
      </c>
      <c r="H128" s="325">
        <f t="shared" si="28"/>
        <v>-1.0815785070631301E-2</v>
      </c>
      <c r="I128" s="325">
        <f t="shared" si="28"/>
        <v>-2.0739918160142978E-2</v>
      </c>
      <c r="J128" s="325">
        <f t="shared" si="28"/>
        <v>-5.6783008932819401E-2</v>
      </c>
      <c r="K128" s="325">
        <f t="shared" si="28"/>
        <v>-0.1486398036408263</v>
      </c>
      <c r="L128" s="325">
        <f t="shared" si="28"/>
        <v>-7.6365118174409163E-2</v>
      </c>
      <c r="M128" s="325">
        <f t="shared" si="28"/>
        <v>-6.7827022063265741E-2</v>
      </c>
      <c r="N128" s="325">
        <f t="shared" si="28"/>
        <v>-9.9878435644739194E-2</v>
      </c>
    </row>
    <row r="129" spans="1:18">
      <c r="A129" s="330" t="s">
        <v>939</v>
      </c>
      <c r="N129" s="154">
        <f>SUM(B129:M129)</f>
        <v>0</v>
      </c>
    </row>
    <row r="130" spans="1:18">
      <c r="A130" s="324" t="s">
        <v>940</v>
      </c>
      <c r="B130" s="154">
        <v>1388</v>
      </c>
      <c r="C130" s="154">
        <v>2319</v>
      </c>
      <c r="D130" s="154">
        <v>2505</v>
      </c>
      <c r="E130" s="154">
        <v>2920</v>
      </c>
      <c r="F130" s="154">
        <f>170203-F127</f>
        <v>2720</v>
      </c>
      <c r="G130" s="154">
        <f>206208-G127</f>
        <v>2056</v>
      </c>
      <c r="H130" s="154">
        <f>250175-H127</f>
        <v>1868</v>
      </c>
      <c r="I130" s="154">
        <f>211600-I127</f>
        <v>1724</v>
      </c>
      <c r="J130" s="154">
        <v>808</v>
      </c>
      <c r="K130" s="154">
        <v>1100</v>
      </c>
      <c r="L130" s="154">
        <v>846</v>
      </c>
      <c r="M130" s="154">
        <v>1039</v>
      </c>
      <c r="N130" s="154">
        <f>SUM(B130:M130)</f>
        <v>21293</v>
      </c>
      <c r="O130" s="154">
        <f>SUM(B130:D130)</f>
        <v>6212</v>
      </c>
      <c r="P130" s="154">
        <f>SUM(E130:G130)</f>
        <v>7696</v>
      </c>
      <c r="Q130" s="154">
        <f>SUM(H130:J130)</f>
        <v>4400</v>
      </c>
      <c r="R130" s="154">
        <f>SUM(K130:M130)</f>
        <v>2985</v>
      </c>
    </row>
    <row r="131" spans="1:18">
      <c r="A131" s="324" t="s">
        <v>941</v>
      </c>
      <c r="B131" s="154">
        <v>0</v>
      </c>
      <c r="C131" s="154">
        <v>0</v>
      </c>
      <c r="D131" s="154">
        <v>0</v>
      </c>
      <c r="E131" s="154">
        <v>0</v>
      </c>
      <c r="F131" s="154">
        <v>0</v>
      </c>
      <c r="G131" s="154">
        <v>0</v>
      </c>
      <c r="H131" s="154">
        <v>0</v>
      </c>
      <c r="I131" s="154">
        <v>0</v>
      </c>
      <c r="N131" s="154">
        <f>SUM(B131:M131)</f>
        <v>0</v>
      </c>
    </row>
    <row r="132" spans="1:18">
      <c r="A132" s="330" t="s">
        <v>609</v>
      </c>
      <c r="B132" s="154">
        <v>24360</v>
      </c>
      <c r="C132" s="154">
        <v>24110</v>
      </c>
      <c r="D132" s="154">
        <v>22866</v>
      </c>
      <c r="E132" s="154">
        <v>23089</v>
      </c>
      <c r="F132" s="154">
        <v>25504</v>
      </c>
      <c r="G132" s="154">
        <v>26288</v>
      </c>
      <c r="H132" s="154">
        <v>28001</v>
      </c>
      <c r="I132" s="154">
        <v>24197</v>
      </c>
      <c r="J132" s="154">
        <v>22221</v>
      </c>
      <c r="K132" s="154">
        <v>24601</v>
      </c>
      <c r="L132" s="154">
        <v>24299</v>
      </c>
      <c r="M132" s="154">
        <v>20765</v>
      </c>
      <c r="N132" s="154">
        <f>SUM(B132:M132)</f>
        <v>290301</v>
      </c>
      <c r="O132" s="154">
        <f>SUM(B132:D132)</f>
        <v>71336</v>
      </c>
      <c r="P132" s="154">
        <f>SUM(E132:G132)</f>
        <v>74881</v>
      </c>
      <c r="Q132" s="154">
        <f>SUM(H132:J132)</f>
        <v>74419</v>
      </c>
      <c r="R132" s="154">
        <f>SUM(K132:M132)</f>
        <v>69665</v>
      </c>
    </row>
    <row r="133" spans="1:18">
      <c r="A133" s="330"/>
      <c r="B133" s="325">
        <f t="shared" ref="B133:M133" si="29">+B132/B106-1</f>
        <v>0.15128314192542192</v>
      </c>
      <c r="C133" s="325">
        <f t="shared" si="29"/>
        <v>3.3709267967871881E-3</v>
      </c>
      <c r="D133" s="325">
        <f t="shared" si="29"/>
        <v>-0.10982208899443302</v>
      </c>
      <c r="E133" s="325">
        <f t="shared" si="29"/>
        <v>-0.13404343097175864</v>
      </c>
      <c r="F133" s="325">
        <f t="shared" si="29"/>
        <v>-2.4703632887189242E-2</v>
      </c>
      <c r="G133" s="325">
        <f t="shared" si="29"/>
        <v>-5.6763545030498741E-2</v>
      </c>
      <c r="H133" s="325">
        <f t="shared" si="29"/>
        <v>-1.7750026309327538E-2</v>
      </c>
      <c r="I133" s="325">
        <f t="shared" si="29"/>
        <v>-0.17652463925946094</v>
      </c>
      <c r="J133" s="325">
        <f t="shared" si="29"/>
        <v>-0.19921438610400377</v>
      </c>
      <c r="K133" s="325">
        <f t="shared" si="29"/>
        <v>-0.23193880736809236</v>
      </c>
      <c r="L133" s="325">
        <f t="shared" si="29"/>
        <v>-0.13193055158616751</v>
      </c>
      <c r="M133" s="325">
        <f t="shared" si="29"/>
        <v>-0.15506998697916663</v>
      </c>
    </row>
    <row r="134" spans="1:18">
      <c r="A134" s="331" t="s">
        <v>230</v>
      </c>
      <c r="B134" s="154">
        <f t="shared" ref="B134:M134" si="30">SUM(B127:B132)</f>
        <v>190051.87155603178</v>
      </c>
      <c r="C134" s="154">
        <f t="shared" si="30"/>
        <v>193436.85156026922</v>
      </c>
      <c r="D134" s="154">
        <f t="shared" si="30"/>
        <v>187623.88397648584</v>
      </c>
      <c r="E134" s="154">
        <f t="shared" si="30"/>
        <v>185889.93434824533</v>
      </c>
      <c r="F134" s="154">
        <f t="shared" si="30"/>
        <v>195706.92752395192</v>
      </c>
      <c r="G134" s="154">
        <f t="shared" si="30"/>
        <v>232495.75228188094</v>
      </c>
      <c r="H134" s="154">
        <f t="shared" si="30"/>
        <v>278175.98918421497</v>
      </c>
      <c r="I134" s="154">
        <f t="shared" si="30"/>
        <v>235796.97926008183</v>
      </c>
      <c r="J134" s="154">
        <f t="shared" si="30"/>
        <v>199469.94321699106</v>
      </c>
      <c r="K134" s="154">
        <f t="shared" si="30"/>
        <v>192192.85136019636</v>
      </c>
      <c r="L134" s="154">
        <f t="shared" si="30"/>
        <v>183806.92363488182</v>
      </c>
      <c r="M134" s="154">
        <f t="shared" si="30"/>
        <v>176100.93217297795</v>
      </c>
      <c r="N134" s="178">
        <f>N127+N129+N130+N131+N132</f>
        <v>2450750</v>
      </c>
      <c r="O134" s="154">
        <f>SUM(B134:D134)</f>
        <v>571112.60709278681</v>
      </c>
      <c r="P134" s="154">
        <f>SUM(E134:G134)</f>
        <v>614092.61415407818</v>
      </c>
      <c r="Q134" s="154">
        <f>SUM(H134:J134)</f>
        <v>713442.91166128789</v>
      </c>
      <c r="R134" s="154">
        <f>SUM(K134:M134)</f>
        <v>552100.70716805616</v>
      </c>
    </row>
    <row r="135" spans="1:18">
      <c r="B135" s="325">
        <f t="shared" ref="B135:N135" si="31">+B134/B111-1</f>
        <v>-9.9911571238980312E-2</v>
      </c>
      <c r="C135" s="325">
        <f t="shared" si="31"/>
        <v>-0.12895317974968157</v>
      </c>
      <c r="D135" s="325">
        <f t="shared" si="31"/>
        <v>-0.12272815526817049</v>
      </c>
      <c r="E135" s="325">
        <f t="shared" si="31"/>
        <v>-6.9717725623206106E-2</v>
      </c>
      <c r="F135" s="325">
        <f t="shared" si="31"/>
        <v>-5.9838071492282929E-2</v>
      </c>
      <c r="G135" s="325">
        <f t="shared" si="31"/>
        <v>-0.22537823129168977</v>
      </c>
      <c r="H135" s="325">
        <f t="shared" si="31"/>
        <v>-5.0147394136342838E-3</v>
      </c>
      <c r="I135" s="325">
        <f t="shared" si="31"/>
        <v>-3.2480912958759545E-2</v>
      </c>
      <c r="J135" s="325">
        <f t="shared" si="31"/>
        <v>-7.1922024040650512E-2</v>
      </c>
      <c r="K135" s="325">
        <f t="shared" si="31"/>
        <v>-0.16286113797538859</v>
      </c>
      <c r="L135" s="325">
        <f t="shared" si="31"/>
        <v>-9.1018714839466441E-2</v>
      </c>
      <c r="M135" s="325">
        <f t="shared" si="31"/>
        <v>-9.020917239448889E-2</v>
      </c>
      <c r="N135" s="325">
        <f t="shared" si="31"/>
        <v>-9.8589632539415439E-2</v>
      </c>
    </row>
    <row r="136" spans="1:18">
      <c r="A136" s="324" t="s">
        <v>744</v>
      </c>
      <c r="B136" s="154">
        <f t="shared" ref="B136:M136" si="32">+B140-B138</f>
        <v>138137.87155603178</v>
      </c>
      <c r="C136" s="154">
        <f t="shared" si="32"/>
        <v>144233.85156026922</v>
      </c>
      <c r="D136" s="154">
        <f t="shared" si="32"/>
        <v>138980.88397648584</v>
      </c>
      <c r="E136" s="154">
        <f t="shared" si="32"/>
        <v>132171.93434824533</v>
      </c>
      <c r="F136" s="154">
        <f t="shared" si="32"/>
        <v>139254.92752395192</v>
      </c>
      <c r="G136" s="154">
        <f t="shared" si="32"/>
        <v>184447.75228188094</v>
      </c>
      <c r="H136" s="154">
        <f t="shared" si="32"/>
        <v>222603.98918421497</v>
      </c>
      <c r="I136" s="154">
        <f t="shared" si="32"/>
        <v>189501.97926008183</v>
      </c>
      <c r="J136" s="154">
        <f t="shared" si="32"/>
        <v>148767.94321699106</v>
      </c>
      <c r="K136" s="154">
        <f t="shared" si="32"/>
        <v>148659.85136019636</v>
      </c>
      <c r="L136" s="154">
        <f t="shared" si="32"/>
        <v>120624.92363488182</v>
      </c>
      <c r="M136" s="154">
        <f t="shared" si="32"/>
        <v>125065.93217297795</v>
      </c>
      <c r="N136" s="154">
        <f>+N134-N138</f>
        <v>1832453</v>
      </c>
      <c r="O136" s="154">
        <f>SUM(B136:D136)</f>
        <v>421352.60709278681</v>
      </c>
      <c r="P136" s="154">
        <f>SUM(E136:G136)</f>
        <v>455874.61415407818</v>
      </c>
      <c r="Q136" s="154">
        <f>SUM(H136:J136)</f>
        <v>560873.91166128789</v>
      </c>
      <c r="R136" s="154">
        <f>SUM(K136:M136)</f>
        <v>394350.70716805616</v>
      </c>
    </row>
    <row r="137" spans="1:18">
      <c r="A137" s="324" t="s">
        <v>1028</v>
      </c>
      <c r="B137" s="325">
        <f t="shared" ref="B137:N137" si="33">+B136/B109-1</f>
        <v>-0.23014232857929262</v>
      </c>
      <c r="C137" s="325">
        <f t="shared" si="33"/>
        <v>-0.24045471676311003</v>
      </c>
      <c r="D137" s="325">
        <f t="shared" si="33"/>
        <v>-0.2257461770751138</v>
      </c>
      <c r="E137" s="325">
        <f t="shared" si="33"/>
        <v>-0.15998643523311629</v>
      </c>
      <c r="F137" s="325">
        <f t="shared" si="33"/>
        <v>-0.20823898383015738</v>
      </c>
      <c r="G137" s="325">
        <f t="shared" si="33"/>
        <v>-0.29881905060242253</v>
      </c>
      <c r="H137" s="325">
        <f t="shared" si="33"/>
        <v>-7.027528219431578E-2</v>
      </c>
      <c r="I137" s="325">
        <f t="shared" si="33"/>
        <v>-8.7296068141032523E-2</v>
      </c>
      <c r="J137" s="325">
        <f t="shared" si="33"/>
        <v>-0.15252705481283191</v>
      </c>
      <c r="K137" s="325">
        <f t="shared" si="33"/>
        <v>-0.21663556939576456</v>
      </c>
      <c r="L137" s="325">
        <f t="shared" si="33"/>
        <v>-0.26441040811980543</v>
      </c>
      <c r="M137" s="325">
        <f t="shared" si="33"/>
        <v>-0.20793714860146073</v>
      </c>
      <c r="N137" s="325">
        <f t="shared" si="33"/>
        <v>-0.19606793652437104</v>
      </c>
    </row>
    <row r="138" spans="1:18">
      <c r="A138" s="324" t="s">
        <v>587</v>
      </c>
      <c r="B138" s="154">
        <f>37810+14104</f>
        <v>51914</v>
      </c>
      <c r="C138" s="154">
        <v>49203</v>
      </c>
      <c r="D138" s="154">
        <f>9186+39457</f>
        <v>48643</v>
      </c>
      <c r="E138" s="154">
        <v>53718</v>
      </c>
      <c r="F138" s="154">
        <v>56452</v>
      </c>
      <c r="G138" s="154">
        <v>48048</v>
      </c>
      <c r="H138" s="154">
        <v>55572</v>
      </c>
      <c r="I138" s="154">
        <v>46295</v>
      </c>
      <c r="J138" s="154">
        <v>50702</v>
      </c>
      <c r="K138" s="154">
        <v>43533</v>
      </c>
      <c r="L138" s="154">
        <v>63182</v>
      </c>
      <c r="M138" s="154">
        <v>51035</v>
      </c>
      <c r="N138" s="154">
        <f>SUM(B138:M138)</f>
        <v>618297</v>
      </c>
      <c r="O138" s="154">
        <f>SUM(B138:D138)</f>
        <v>149760</v>
      </c>
      <c r="P138" s="154">
        <f>SUM(E138:G138)</f>
        <v>158218</v>
      </c>
      <c r="Q138" s="154">
        <f>SUM(H138:J138)</f>
        <v>152569</v>
      </c>
      <c r="R138" s="154">
        <f>SUM(K138:M138)</f>
        <v>157750</v>
      </c>
    </row>
    <row r="139" spans="1:18">
      <c r="B139" s="325">
        <f t="shared" ref="B139:M139" si="34">+B138/B110-1</f>
        <v>0.63689106101213944</v>
      </c>
      <c r="C139" s="325">
        <f t="shared" si="34"/>
        <v>0.52904067870350224</v>
      </c>
      <c r="D139" s="325">
        <f t="shared" si="34"/>
        <v>0.41531612790596184</v>
      </c>
      <c r="E139" s="325">
        <f t="shared" si="34"/>
        <v>0.2646671061305208</v>
      </c>
      <c r="F139" s="325">
        <f t="shared" si="34"/>
        <v>0.7486602855992317</v>
      </c>
      <c r="G139" s="325">
        <f t="shared" si="34"/>
        <v>0.29551337359792917</v>
      </c>
      <c r="H139" s="325">
        <f t="shared" si="34"/>
        <v>0.38417853940420454</v>
      </c>
      <c r="I139" s="325">
        <f t="shared" si="34"/>
        <v>0.28290749875297894</v>
      </c>
      <c r="J139" s="325">
        <f t="shared" si="34"/>
        <v>0.28734289704202109</v>
      </c>
      <c r="K139" s="325">
        <f t="shared" si="34"/>
        <v>9.3464282125992115E-2</v>
      </c>
      <c r="L139" s="325">
        <f t="shared" si="34"/>
        <v>0.65276760489693419</v>
      </c>
      <c r="M139" s="325">
        <f t="shared" si="34"/>
        <v>0.43103496621147963</v>
      </c>
    </row>
    <row r="140" spans="1:18">
      <c r="A140" s="326" t="s">
        <v>230</v>
      </c>
      <c r="B140" s="154">
        <f t="shared" ref="B140:N140" si="35">+B134</f>
        <v>190051.87155603178</v>
      </c>
      <c r="C140" s="154">
        <f t="shared" si="35"/>
        <v>193436.85156026922</v>
      </c>
      <c r="D140" s="154">
        <f t="shared" si="35"/>
        <v>187623.88397648584</v>
      </c>
      <c r="E140" s="154">
        <f t="shared" si="35"/>
        <v>185889.93434824533</v>
      </c>
      <c r="F140" s="154">
        <f t="shared" si="35"/>
        <v>195706.92752395192</v>
      </c>
      <c r="G140" s="154">
        <f t="shared" si="35"/>
        <v>232495.75228188094</v>
      </c>
      <c r="H140" s="154">
        <f t="shared" si="35"/>
        <v>278175.98918421497</v>
      </c>
      <c r="I140" s="154">
        <f t="shared" si="35"/>
        <v>235796.97926008183</v>
      </c>
      <c r="J140" s="154">
        <f t="shared" si="35"/>
        <v>199469.94321699106</v>
      </c>
      <c r="K140" s="154">
        <f t="shared" si="35"/>
        <v>192192.85136019636</v>
      </c>
      <c r="L140" s="154">
        <f t="shared" si="35"/>
        <v>183806.92363488182</v>
      </c>
      <c r="M140" s="154">
        <f t="shared" si="35"/>
        <v>176100.93217297795</v>
      </c>
      <c r="N140" s="178">
        <f t="shared" si="35"/>
        <v>2450750</v>
      </c>
    </row>
    <row r="141" spans="1:18">
      <c r="B141" s="325">
        <f t="shared" ref="B141:N141" si="36">+B140/B111-1</f>
        <v>-9.9911571238980312E-2</v>
      </c>
      <c r="C141" s="325">
        <f t="shared" si="36"/>
        <v>-0.12895317974968157</v>
      </c>
      <c r="D141" s="325">
        <f t="shared" si="36"/>
        <v>-0.12272815526817049</v>
      </c>
      <c r="E141" s="325">
        <f t="shared" si="36"/>
        <v>-6.9717725623206106E-2</v>
      </c>
      <c r="F141" s="325">
        <f t="shared" si="36"/>
        <v>-5.9838071492282929E-2</v>
      </c>
      <c r="G141" s="325">
        <f t="shared" si="36"/>
        <v>-0.22537823129168977</v>
      </c>
      <c r="H141" s="325">
        <f t="shared" si="36"/>
        <v>-5.0147394136342838E-3</v>
      </c>
      <c r="I141" s="325">
        <f t="shared" si="36"/>
        <v>-3.2480912958759545E-2</v>
      </c>
      <c r="J141" s="325">
        <f t="shared" si="36"/>
        <v>-7.1922024040650512E-2</v>
      </c>
      <c r="K141" s="325">
        <f t="shared" si="36"/>
        <v>-0.16286113797538859</v>
      </c>
      <c r="L141" s="325">
        <f t="shared" si="36"/>
        <v>-9.1018714839466441E-2</v>
      </c>
      <c r="M141" s="325">
        <f t="shared" si="36"/>
        <v>-9.020917239448889E-2</v>
      </c>
      <c r="N141" s="325">
        <f t="shared" si="36"/>
        <v>-9.8589632539415439E-2</v>
      </c>
    </row>
    <row r="142" spans="1:18">
      <c r="C142" s="344">
        <f>20000/C132-1</f>
        <v>-0.17046868519286607</v>
      </c>
    </row>
    <row r="143" spans="1:18">
      <c r="A143" s="331" t="s">
        <v>938</v>
      </c>
      <c r="B143" s="327">
        <v>39540</v>
      </c>
      <c r="C143" s="327">
        <v>39570</v>
      </c>
      <c r="D143" s="327">
        <v>39601</v>
      </c>
      <c r="E143" s="327">
        <v>39631</v>
      </c>
      <c r="F143" s="327">
        <v>39662</v>
      </c>
      <c r="G143" s="327">
        <v>39693</v>
      </c>
      <c r="H143" s="327">
        <v>39723</v>
      </c>
      <c r="I143" s="327">
        <v>39754</v>
      </c>
      <c r="J143" s="327">
        <v>39784</v>
      </c>
      <c r="K143" s="327">
        <v>39815</v>
      </c>
      <c r="L143" s="327">
        <v>39846</v>
      </c>
      <c r="M143" s="327">
        <v>39874</v>
      </c>
      <c r="N143" s="178" t="s">
        <v>230</v>
      </c>
    </row>
    <row r="144" spans="1:18">
      <c r="A144" s="329" t="s">
        <v>576</v>
      </c>
      <c r="B144" s="154">
        <v>203081</v>
      </c>
      <c r="C144" s="154">
        <v>179649</v>
      </c>
      <c r="D144" s="154">
        <v>175903</v>
      </c>
      <c r="E144" s="154">
        <v>168836</v>
      </c>
      <c r="F144" s="154">
        <v>175274</v>
      </c>
      <c r="G144" s="154">
        <v>217365</v>
      </c>
      <c r="H144" s="154">
        <v>163850</v>
      </c>
      <c r="I144" s="154">
        <v>131681</v>
      </c>
      <c r="J144" s="154">
        <v>118510</v>
      </c>
      <c r="K144" s="154">
        <v>109666</v>
      </c>
      <c r="L144" s="154">
        <v>131785</v>
      </c>
      <c r="M144" s="154">
        <v>132210</v>
      </c>
      <c r="N144" s="154">
        <f>SUM(B144:M144)</f>
        <v>1907810</v>
      </c>
      <c r="O144" s="154">
        <f>SUM(B144:D144)</f>
        <v>558633</v>
      </c>
      <c r="P144" s="154">
        <f>SUM(E144:G144)</f>
        <v>561475</v>
      </c>
      <c r="Q144" s="154">
        <f>SUM(H144:J144)</f>
        <v>414041</v>
      </c>
      <c r="R144" s="154">
        <f>SUM(K144:M144)</f>
        <v>373661</v>
      </c>
    </row>
    <row r="145" spans="1:18">
      <c r="A145" s="324" t="s">
        <v>989</v>
      </c>
      <c r="B145" s="325">
        <f t="shared" ref="B145:N145" si="37">+B144/B127-1</f>
        <v>0.23600764436653998</v>
      </c>
      <c r="C145" s="325">
        <f t="shared" si="37"/>
        <v>7.5690984863000521E-2</v>
      </c>
      <c r="D145" s="325">
        <f t="shared" si="37"/>
        <v>8.4127874369041011E-2</v>
      </c>
      <c r="E145" s="325">
        <f t="shared" si="37"/>
        <v>5.6010407740757273E-2</v>
      </c>
      <c r="F145" s="325">
        <f t="shared" si="37"/>
        <v>4.651815408130977E-2</v>
      </c>
      <c r="G145" s="325">
        <f t="shared" si="37"/>
        <v>6.4721384066773746E-2</v>
      </c>
      <c r="H145" s="325">
        <f t="shared" si="37"/>
        <v>-0.34013136963516932</v>
      </c>
      <c r="I145" s="325">
        <f t="shared" si="37"/>
        <v>-0.37257714078789383</v>
      </c>
      <c r="J145" s="325">
        <f t="shared" si="37"/>
        <v>-0.328330716783514</v>
      </c>
      <c r="K145" s="325">
        <f t="shared" si="37"/>
        <v>-0.34131369675419843</v>
      </c>
      <c r="L145" s="325">
        <f t="shared" si="37"/>
        <v>-0.16939783943225217</v>
      </c>
      <c r="M145" s="325">
        <f t="shared" si="37"/>
        <v>-0.14314601061589016</v>
      </c>
      <c r="N145" s="325">
        <f t="shared" si="37"/>
        <v>-0.10814826034192926</v>
      </c>
    </row>
    <row r="146" spans="1:18">
      <c r="A146" s="330" t="s">
        <v>939</v>
      </c>
      <c r="N146" s="154">
        <f>SUM(B146:M146)</f>
        <v>0</v>
      </c>
    </row>
    <row r="147" spans="1:18">
      <c r="A147" s="324" t="s">
        <v>940</v>
      </c>
      <c r="B147" s="154">
        <f>203930-B144</f>
        <v>849</v>
      </c>
      <c r="C147" s="154">
        <f>180935-C144</f>
        <v>1286</v>
      </c>
      <c r="D147" s="154">
        <f>177112-175903</f>
        <v>1209</v>
      </c>
      <c r="E147" s="154">
        <f>169971-168836</f>
        <v>1135</v>
      </c>
      <c r="F147" s="154">
        <v>1357</v>
      </c>
      <c r="G147" s="154">
        <f>218494-G144</f>
        <v>1129</v>
      </c>
      <c r="H147" s="154">
        <v>1627</v>
      </c>
      <c r="I147" s="154">
        <v>740</v>
      </c>
      <c r="J147" s="154">
        <f>119215-J144</f>
        <v>705</v>
      </c>
      <c r="K147" s="154">
        <v>697</v>
      </c>
      <c r="L147" s="154">
        <v>608</v>
      </c>
      <c r="M147" s="154">
        <v>430</v>
      </c>
      <c r="N147" s="154">
        <f>SUM(B147:M147)</f>
        <v>11772</v>
      </c>
      <c r="O147" s="154">
        <f>SUM(B147:D147)</f>
        <v>3344</v>
      </c>
      <c r="P147" s="154">
        <f>SUM(E147:G147)</f>
        <v>3621</v>
      </c>
      <c r="Q147" s="154">
        <f>SUM(H147:J147)</f>
        <v>3072</v>
      </c>
      <c r="R147" s="154">
        <f>SUM(K147:M147)</f>
        <v>1735</v>
      </c>
    </row>
    <row r="148" spans="1:18">
      <c r="A148" s="324" t="s">
        <v>941</v>
      </c>
      <c r="B148" s="154">
        <v>0</v>
      </c>
      <c r="C148" s="154">
        <v>0</v>
      </c>
      <c r="D148" s="154">
        <v>0</v>
      </c>
      <c r="E148" s="154">
        <v>0</v>
      </c>
      <c r="F148" s="154">
        <v>0</v>
      </c>
      <c r="G148" s="154">
        <v>0</v>
      </c>
      <c r="H148" s="154">
        <v>0</v>
      </c>
      <c r="I148" s="154">
        <v>0</v>
      </c>
      <c r="N148" s="154">
        <f>SUM(B148:M148)</f>
        <v>0</v>
      </c>
    </row>
    <row r="149" spans="1:18">
      <c r="A149" s="330" t="s">
        <v>609</v>
      </c>
      <c r="B149" s="154">
        <v>17913</v>
      </c>
      <c r="C149" s="154">
        <v>20576</v>
      </c>
      <c r="D149" s="154">
        <v>19629</v>
      </c>
      <c r="E149" s="154">
        <v>23733</v>
      </c>
      <c r="F149" s="154">
        <v>24324</v>
      </c>
      <c r="G149" s="154">
        <v>26887</v>
      </c>
      <c r="H149" s="154">
        <v>26363</v>
      </c>
      <c r="I149" s="154">
        <v>27326</v>
      </c>
      <c r="J149" s="154">
        <v>22948</v>
      </c>
      <c r="K149" s="154">
        <v>21985</v>
      </c>
      <c r="L149" s="154">
        <v>21389</v>
      </c>
      <c r="M149" s="154">
        <v>21453</v>
      </c>
      <c r="N149" s="154">
        <f>SUM(B149:M149)</f>
        <v>274526</v>
      </c>
      <c r="O149" s="154">
        <f>SUM(B149:D149)</f>
        <v>58118</v>
      </c>
      <c r="P149" s="154">
        <f>SUM(E149:G149)</f>
        <v>74944</v>
      </c>
      <c r="Q149" s="154">
        <f>SUM(H149:J149)</f>
        <v>76637</v>
      </c>
      <c r="R149" s="154">
        <f>SUM(K149:M149)</f>
        <v>64827</v>
      </c>
    </row>
    <row r="150" spans="1:18">
      <c r="A150" s="330"/>
      <c r="B150" s="325">
        <f t="shared" ref="B150:N150" si="38">+B149/B132-1</f>
        <v>-0.2646551724137931</v>
      </c>
      <c r="C150" s="325">
        <f t="shared" si="38"/>
        <v>-0.14657818332642059</v>
      </c>
      <c r="D150" s="325">
        <f t="shared" si="38"/>
        <v>-0.14156389399107849</v>
      </c>
      <c r="E150" s="325">
        <f t="shared" si="38"/>
        <v>2.7892069816795928E-2</v>
      </c>
      <c r="F150" s="325">
        <f t="shared" si="38"/>
        <v>-4.6267252195734021E-2</v>
      </c>
      <c r="G150" s="325">
        <f t="shared" si="38"/>
        <v>2.2786062081558089E-2</v>
      </c>
      <c r="H150" s="325">
        <f t="shared" si="38"/>
        <v>-5.8497910788900431E-2</v>
      </c>
      <c r="I150" s="325">
        <f t="shared" si="38"/>
        <v>0.12931355126668587</v>
      </c>
      <c r="J150" s="325">
        <f t="shared" si="38"/>
        <v>3.2716799423968324E-2</v>
      </c>
      <c r="K150" s="325">
        <f t="shared" si="38"/>
        <v>-0.10633714076663547</v>
      </c>
      <c r="L150" s="325">
        <f t="shared" si="38"/>
        <v>-0.11975801473311654</v>
      </c>
      <c r="M150" s="325">
        <f t="shared" si="38"/>
        <v>3.3132675174572634E-2</v>
      </c>
      <c r="N150" s="325">
        <f t="shared" si="38"/>
        <v>-5.4340150395623898E-2</v>
      </c>
    </row>
    <row r="151" spans="1:18">
      <c r="A151" s="331" t="s">
        <v>230</v>
      </c>
      <c r="B151" s="154">
        <f t="shared" ref="B151:M151" si="39">SUM(B144:B149)</f>
        <v>221843.23600764436</v>
      </c>
      <c r="C151" s="154">
        <f t="shared" si="39"/>
        <v>201511.07569098487</v>
      </c>
      <c r="D151" s="154">
        <f t="shared" si="39"/>
        <v>196741.08412787438</v>
      </c>
      <c r="E151" s="154">
        <f t="shared" si="39"/>
        <v>193704.05601040774</v>
      </c>
      <c r="F151" s="154">
        <f t="shared" si="39"/>
        <v>200955.04651815409</v>
      </c>
      <c r="G151" s="154">
        <f t="shared" si="39"/>
        <v>245381.06472138406</v>
      </c>
      <c r="H151" s="154">
        <f t="shared" si="39"/>
        <v>191839.65986863038</v>
      </c>
      <c r="I151" s="154">
        <f t="shared" si="39"/>
        <v>159746.62742285922</v>
      </c>
      <c r="J151" s="154">
        <f t="shared" si="39"/>
        <v>142162.67166928321</v>
      </c>
      <c r="K151" s="154">
        <f t="shared" si="39"/>
        <v>132347.65868630324</v>
      </c>
      <c r="L151" s="154">
        <f t="shared" si="39"/>
        <v>153781.83060216057</v>
      </c>
      <c r="M151" s="154">
        <f t="shared" si="39"/>
        <v>154092.85685398939</v>
      </c>
      <c r="N151" s="178">
        <f>N144+N146+N147+N148+N149</f>
        <v>2194108</v>
      </c>
      <c r="O151" s="154">
        <f>SUM(B151:D151)</f>
        <v>620095.39582650363</v>
      </c>
      <c r="P151" s="154">
        <f>SUM(E151:G151)</f>
        <v>640040.16724994592</v>
      </c>
      <c r="Q151" s="154">
        <f>SUM(H151:J151)</f>
        <v>493748.95896077284</v>
      </c>
      <c r="R151" s="154">
        <f>SUM(K151:M151)</f>
        <v>440222.34614245326</v>
      </c>
    </row>
    <row r="152" spans="1:18">
      <c r="B152" s="325">
        <f t="shared" ref="B152:N152" si="40">+B151/B134-1</f>
        <v>0.16727730272437613</v>
      </c>
      <c r="C152" s="325">
        <f t="shared" si="40"/>
        <v>4.1740878563669037E-2</v>
      </c>
      <c r="D152" s="325">
        <f t="shared" si="40"/>
        <v>4.8592961397873724E-2</v>
      </c>
      <c r="E152" s="325">
        <f t="shared" si="40"/>
        <v>4.2036281789865404E-2</v>
      </c>
      <c r="F152" s="325">
        <f t="shared" si="40"/>
        <v>2.6816214738029087E-2</v>
      </c>
      <c r="G152" s="325">
        <f t="shared" si="40"/>
        <v>5.5421711205634328E-2</v>
      </c>
      <c r="H152" s="325">
        <f t="shared" si="40"/>
        <v>-0.31036585712798725</v>
      </c>
      <c r="I152" s="325">
        <f t="shared" si="40"/>
        <v>-0.32252470780526743</v>
      </c>
      <c r="J152" s="325">
        <f t="shared" si="40"/>
        <v>-0.28729777841951254</v>
      </c>
      <c r="K152" s="325">
        <f t="shared" si="40"/>
        <v>-0.31138095017766731</v>
      </c>
      <c r="L152" s="325">
        <f t="shared" si="40"/>
        <v>-0.16335126250392928</v>
      </c>
      <c r="M152" s="325">
        <f t="shared" si="40"/>
        <v>-0.12497421250087859</v>
      </c>
      <c r="N152" s="325">
        <f t="shared" si="40"/>
        <v>-0.10471977965928803</v>
      </c>
    </row>
    <row r="153" spans="1:18">
      <c r="A153" s="324" t="s">
        <v>744</v>
      </c>
      <c r="B153" s="154">
        <f t="shared" ref="B153:M153" si="41">+B157-B155</f>
        <v>148219.23600764436</v>
      </c>
      <c r="C153" s="154">
        <f t="shared" si="41"/>
        <v>141296.07569098487</v>
      </c>
      <c r="D153" s="154">
        <f t="shared" si="41"/>
        <v>131863.08412787438</v>
      </c>
      <c r="E153" s="154">
        <f t="shared" si="41"/>
        <v>126451.05601040774</v>
      </c>
      <c r="F153" s="154">
        <f t="shared" si="41"/>
        <v>129850.04651815409</v>
      </c>
      <c r="G153" s="154">
        <f t="shared" si="41"/>
        <v>176809.06472138406</v>
      </c>
      <c r="H153" s="154">
        <f t="shared" si="41"/>
        <v>116747.65986863038</v>
      </c>
      <c r="I153" s="154">
        <f t="shared" si="41"/>
        <v>92349.627422859223</v>
      </c>
      <c r="J153" s="154">
        <f t="shared" si="41"/>
        <v>69418.671669283212</v>
      </c>
      <c r="K153" s="154">
        <f t="shared" si="41"/>
        <v>78320.658686303243</v>
      </c>
      <c r="L153" s="154">
        <f t="shared" si="41"/>
        <v>103043.83060216057</v>
      </c>
      <c r="M153" s="154">
        <f t="shared" si="41"/>
        <v>107218.85685398939</v>
      </c>
      <c r="N153" s="154">
        <f>+N151-N155</f>
        <v>1421589</v>
      </c>
      <c r="O153" s="154">
        <f>SUM(B153:D153)</f>
        <v>421378.39582650363</v>
      </c>
      <c r="P153" s="154">
        <f>SUM(E153:G153)</f>
        <v>433110.16724994592</v>
      </c>
      <c r="Q153" s="154">
        <f>SUM(H153:J153)</f>
        <v>278515.95896077284</v>
      </c>
      <c r="R153" s="154">
        <f>SUM(K153:M153)</f>
        <v>288583.3461424532</v>
      </c>
    </row>
    <row r="154" spans="1:18">
      <c r="A154" s="324" t="s">
        <v>1028</v>
      </c>
      <c r="B154" s="325">
        <f t="shared" ref="B154:N154" si="42">+B153/B136-1</f>
        <v>7.2980453065134565E-2</v>
      </c>
      <c r="C154" s="325">
        <f t="shared" si="42"/>
        <v>-2.0368144076474137E-2</v>
      </c>
      <c r="D154" s="325">
        <f t="shared" si="42"/>
        <v>-5.1214236411215586E-2</v>
      </c>
      <c r="E154" s="325">
        <f t="shared" si="42"/>
        <v>-4.3283609081215868E-2</v>
      </c>
      <c r="F154" s="325">
        <f t="shared" si="42"/>
        <v>-6.7537150555625258E-2</v>
      </c>
      <c r="G154" s="325">
        <f t="shared" si="42"/>
        <v>-4.1413828393111141E-2</v>
      </c>
      <c r="H154" s="325">
        <f t="shared" si="42"/>
        <v>-0.47553653330077406</v>
      </c>
      <c r="I154" s="325">
        <f t="shared" si="42"/>
        <v>-0.51267196372596158</v>
      </c>
      <c r="J154" s="325">
        <f t="shared" si="42"/>
        <v>-0.53337614160578939</v>
      </c>
      <c r="K154" s="325">
        <f t="shared" si="42"/>
        <v>-0.47315527380331035</v>
      </c>
      <c r="L154" s="325">
        <f t="shared" si="42"/>
        <v>-0.14575008632492292</v>
      </c>
      <c r="M154" s="325">
        <f t="shared" si="42"/>
        <v>-0.14270133367977755</v>
      </c>
      <c r="N154" s="325">
        <f t="shared" si="42"/>
        <v>-0.22421530047428229</v>
      </c>
    </row>
    <row r="155" spans="1:18">
      <c r="A155" s="324" t="s">
        <v>587</v>
      </c>
      <c r="B155" s="154">
        <v>73624</v>
      </c>
      <c r="C155" s="154">
        <v>60215</v>
      </c>
      <c r="D155" s="154">
        <v>64878</v>
      </c>
      <c r="E155" s="154">
        <v>67253</v>
      </c>
      <c r="F155" s="154">
        <v>71105</v>
      </c>
      <c r="G155" s="154">
        <v>68572</v>
      </c>
      <c r="H155" s="154">
        <v>75092</v>
      </c>
      <c r="I155" s="154">
        <v>67397</v>
      </c>
      <c r="J155" s="154">
        <v>72744</v>
      </c>
      <c r="K155" s="154">
        <v>54027</v>
      </c>
      <c r="L155" s="154">
        <v>50738</v>
      </c>
      <c r="M155" s="154">
        <v>46874</v>
      </c>
      <c r="N155" s="154">
        <f>SUM(B155:M155)</f>
        <v>772519</v>
      </c>
      <c r="O155" s="154">
        <f>SUM(B155:D155)</f>
        <v>198717</v>
      </c>
      <c r="P155" s="154">
        <f>SUM(E155:G155)</f>
        <v>206930</v>
      </c>
      <c r="Q155" s="154">
        <f>SUM(H155:J155)</f>
        <v>215233</v>
      </c>
      <c r="R155" s="154">
        <f>SUM(K155:M155)</f>
        <v>151639</v>
      </c>
    </row>
    <row r="156" spans="1:18">
      <c r="B156" s="325">
        <f t="shared" ref="B156:N156" si="43">+B155/B138-1</f>
        <v>0.41819162460993176</v>
      </c>
      <c r="C156" s="325">
        <f t="shared" si="43"/>
        <v>0.22380749141312517</v>
      </c>
      <c r="D156" s="325">
        <f t="shared" si="43"/>
        <v>0.33375819747959623</v>
      </c>
      <c r="E156" s="325">
        <f t="shared" si="43"/>
        <v>0.2519639599389405</v>
      </c>
      <c r="F156" s="325">
        <f t="shared" si="43"/>
        <v>0.25956564869269472</v>
      </c>
      <c r="G156" s="325">
        <f t="shared" si="43"/>
        <v>0.42715617715617715</v>
      </c>
      <c r="H156" s="325">
        <f t="shared" si="43"/>
        <v>0.35125602821564827</v>
      </c>
      <c r="I156" s="325">
        <f t="shared" si="43"/>
        <v>0.4558159628469598</v>
      </c>
      <c r="J156" s="325">
        <f t="shared" si="43"/>
        <v>0.43473630231549043</v>
      </c>
      <c r="K156" s="325">
        <f t="shared" si="43"/>
        <v>0.24105850733925993</v>
      </c>
      <c r="L156" s="325">
        <f t="shared" si="43"/>
        <v>-0.19695482890696714</v>
      </c>
      <c r="M156" s="325">
        <f t="shared" si="43"/>
        <v>-8.1532281767414561E-2</v>
      </c>
      <c r="N156" s="325">
        <f t="shared" si="43"/>
        <v>0.24943028997391226</v>
      </c>
    </row>
    <row r="157" spans="1:18">
      <c r="A157" s="326" t="s">
        <v>230</v>
      </c>
      <c r="B157" s="154">
        <f t="shared" ref="B157:N157" si="44">+B151</f>
        <v>221843.23600764436</v>
      </c>
      <c r="C157" s="154">
        <f t="shared" si="44"/>
        <v>201511.07569098487</v>
      </c>
      <c r="D157" s="154">
        <f t="shared" si="44"/>
        <v>196741.08412787438</v>
      </c>
      <c r="E157" s="154">
        <f t="shared" si="44"/>
        <v>193704.05601040774</v>
      </c>
      <c r="F157" s="154">
        <f t="shared" si="44"/>
        <v>200955.04651815409</v>
      </c>
      <c r="G157" s="154">
        <f t="shared" si="44"/>
        <v>245381.06472138406</v>
      </c>
      <c r="H157" s="154">
        <f t="shared" si="44"/>
        <v>191839.65986863038</v>
      </c>
      <c r="I157" s="154">
        <f t="shared" si="44"/>
        <v>159746.62742285922</v>
      </c>
      <c r="J157" s="154">
        <f t="shared" si="44"/>
        <v>142162.67166928321</v>
      </c>
      <c r="K157" s="154">
        <f t="shared" si="44"/>
        <v>132347.65868630324</v>
      </c>
      <c r="L157" s="154">
        <f t="shared" si="44"/>
        <v>153781.83060216057</v>
      </c>
      <c r="M157" s="154">
        <f t="shared" si="44"/>
        <v>154092.85685398939</v>
      </c>
      <c r="N157" s="178">
        <f t="shared" si="44"/>
        <v>2194108</v>
      </c>
    </row>
    <row r="158" spans="1:18">
      <c r="B158" s="325">
        <f t="shared" ref="B158:N158" si="45">+B157/B140-1</f>
        <v>0.16727730272437613</v>
      </c>
      <c r="C158" s="325">
        <f t="shared" si="45"/>
        <v>4.1740878563669037E-2</v>
      </c>
      <c r="D158" s="325">
        <f t="shared" si="45"/>
        <v>4.8592961397873724E-2</v>
      </c>
      <c r="E158" s="325">
        <f t="shared" si="45"/>
        <v>4.2036281789865404E-2</v>
      </c>
      <c r="F158" s="325">
        <f t="shared" si="45"/>
        <v>2.6816214738029087E-2</v>
      </c>
      <c r="G158" s="325">
        <f t="shared" si="45"/>
        <v>5.5421711205634328E-2</v>
      </c>
      <c r="H158" s="325">
        <f t="shared" si="45"/>
        <v>-0.31036585712798725</v>
      </c>
      <c r="I158" s="325">
        <f t="shared" si="45"/>
        <v>-0.32252470780526743</v>
      </c>
      <c r="J158" s="325">
        <f t="shared" si="45"/>
        <v>-0.28729777841951254</v>
      </c>
      <c r="K158" s="325">
        <f t="shared" si="45"/>
        <v>-0.31138095017766731</v>
      </c>
      <c r="L158" s="325">
        <f t="shared" si="45"/>
        <v>-0.16335126250392928</v>
      </c>
      <c r="M158" s="325">
        <f t="shared" si="45"/>
        <v>-0.12497421250087859</v>
      </c>
      <c r="N158" s="325">
        <f t="shared" si="45"/>
        <v>-0.10471977965928803</v>
      </c>
    </row>
    <row r="160" spans="1:18">
      <c r="A160" s="331" t="s">
        <v>938</v>
      </c>
      <c r="B160" s="327">
        <v>39905</v>
      </c>
      <c r="C160" s="327">
        <v>39935</v>
      </c>
      <c r="D160" s="327">
        <v>39966</v>
      </c>
      <c r="E160" s="327">
        <v>39996</v>
      </c>
      <c r="F160" s="327">
        <v>40027</v>
      </c>
      <c r="G160" s="327">
        <v>40058</v>
      </c>
      <c r="H160" s="327">
        <v>40088</v>
      </c>
      <c r="I160" s="327">
        <v>40119</v>
      </c>
      <c r="J160" s="327">
        <v>40149</v>
      </c>
      <c r="K160" s="327">
        <v>40180</v>
      </c>
      <c r="L160" s="327">
        <v>40211</v>
      </c>
      <c r="M160" s="327">
        <v>40239</v>
      </c>
      <c r="N160" s="178" t="s">
        <v>230</v>
      </c>
    </row>
    <row r="161" spans="1:18">
      <c r="A161" s="329" t="s">
        <v>576</v>
      </c>
      <c r="B161" s="154">
        <v>149733</v>
      </c>
      <c r="C161" s="154">
        <v>165049</v>
      </c>
      <c r="D161" s="154">
        <v>167945</v>
      </c>
      <c r="E161" s="154">
        <v>168163</v>
      </c>
      <c r="F161" s="154">
        <v>182441</v>
      </c>
      <c r="G161" s="154">
        <v>249133</v>
      </c>
      <c r="H161" s="345">
        <v>249681</v>
      </c>
      <c r="I161" s="154">
        <v>242390</v>
      </c>
      <c r="J161" s="154">
        <v>219920</v>
      </c>
      <c r="K161" s="154">
        <v>232939</v>
      </c>
      <c r="L161" s="154">
        <v>234623</v>
      </c>
      <c r="M161" s="154">
        <v>244889</v>
      </c>
      <c r="N161" s="154">
        <f>SUM(B161:M161)</f>
        <v>2506906</v>
      </c>
      <c r="O161" s="154">
        <f>SUM(B161:D161)</f>
        <v>482727</v>
      </c>
      <c r="P161" s="154">
        <f>SUM(E161:G161)</f>
        <v>599737</v>
      </c>
      <c r="Q161" s="154">
        <f>SUM(H161:J161)</f>
        <v>711991</v>
      </c>
      <c r="R161" s="154">
        <f>SUM(K161:M161)</f>
        <v>712451</v>
      </c>
    </row>
    <row r="162" spans="1:18">
      <c r="A162" s="324" t="s">
        <v>989</v>
      </c>
      <c r="B162" s="325">
        <f t="shared" ref="B162:N162" si="46">+B161/B144-1</f>
        <v>-0.26269321108326238</v>
      </c>
      <c r="C162" s="325">
        <f t="shared" si="46"/>
        <v>-8.1269586805381655E-2</v>
      </c>
      <c r="D162" s="325">
        <f t="shared" si="46"/>
        <v>-4.5240842964588412E-2</v>
      </c>
      <c r="E162" s="325">
        <f t="shared" si="46"/>
        <v>-3.9861167049681789E-3</v>
      </c>
      <c r="F162" s="325">
        <f t="shared" si="46"/>
        <v>4.0890263244976355E-2</v>
      </c>
      <c r="G162" s="325">
        <f t="shared" si="46"/>
        <v>0.14615048420858923</v>
      </c>
      <c r="H162" s="325">
        <f t="shared" si="46"/>
        <v>0.5238388770216662</v>
      </c>
      <c r="I162" s="325">
        <f t="shared" si="46"/>
        <v>0.8407363249064026</v>
      </c>
      <c r="J162" s="325">
        <f t="shared" si="46"/>
        <v>0.85570837903974351</v>
      </c>
      <c r="K162" s="325">
        <f t="shared" si="46"/>
        <v>1.1240767421078548</v>
      </c>
      <c r="L162" s="325">
        <f t="shared" si="46"/>
        <v>0.78034677694730048</v>
      </c>
      <c r="M162" s="325">
        <f t="shared" si="46"/>
        <v>0.85227289917555393</v>
      </c>
      <c r="N162" s="325">
        <f t="shared" si="46"/>
        <v>0.31402288487847319</v>
      </c>
    </row>
    <row r="163" spans="1:18">
      <c r="A163" s="330" t="s">
        <v>939</v>
      </c>
      <c r="N163" s="154">
        <f>SUM(B163:M163)</f>
        <v>0</v>
      </c>
    </row>
    <row r="164" spans="1:18">
      <c r="A164" s="324" t="s">
        <v>940</v>
      </c>
      <c r="B164" s="154">
        <f>150252-149733</f>
        <v>519</v>
      </c>
      <c r="C164" s="154">
        <f>165697-165049</f>
        <v>648</v>
      </c>
      <c r="D164" s="154">
        <f>168471-D161</f>
        <v>526</v>
      </c>
      <c r="E164" s="154">
        <v>568</v>
      </c>
      <c r="F164" s="154">
        <v>610</v>
      </c>
      <c r="G164" s="154">
        <f>249795-G161</f>
        <v>662</v>
      </c>
      <c r="H164" s="345">
        <v>293</v>
      </c>
      <c r="I164" s="154">
        <v>258</v>
      </c>
      <c r="J164" s="154">
        <f>220429-J161</f>
        <v>509</v>
      </c>
      <c r="K164" s="154">
        <v>110</v>
      </c>
      <c r="L164" s="173">
        <v>87</v>
      </c>
      <c r="M164" s="154">
        <v>0</v>
      </c>
      <c r="N164" s="154">
        <f>SUM(B164:M164)</f>
        <v>4790</v>
      </c>
      <c r="O164" s="154">
        <f>SUM(B164:D164)</f>
        <v>1693</v>
      </c>
      <c r="P164" s="154">
        <f>SUM(E164:G164)</f>
        <v>1840</v>
      </c>
      <c r="Q164" s="154">
        <f>SUM(H164:J164)</f>
        <v>1060</v>
      </c>
      <c r="R164" s="154">
        <f>SUM(K164:M164)</f>
        <v>197</v>
      </c>
    </row>
    <row r="165" spans="1:18">
      <c r="A165" s="324" t="s">
        <v>941</v>
      </c>
      <c r="B165" s="154">
        <v>0</v>
      </c>
      <c r="C165" s="154">
        <v>0</v>
      </c>
      <c r="D165" s="154">
        <v>0</v>
      </c>
      <c r="E165" s="154">
        <v>0</v>
      </c>
      <c r="F165" s="154">
        <v>0</v>
      </c>
      <c r="G165" s="154">
        <v>0</v>
      </c>
      <c r="H165" s="154">
        <v>0</v>
      </c>
      <c r="I165" s="154">
        <v>0</v>
      </c>
      <c r="N165" s="154">
        <f>SUM(B165:M165)</f>
        <v>0</v>
      </c>
    </row>
    <row r="166" spans="1:18">
      <c r="A166" s="330" t="s">
        <v>609</v>
      </c>
      <c r="B166" s="154">
        <v>18867</v>
      </c>
      <c r="C166" s="154">
        <v>19644</v>
      </c>
      <c r="D166" s="154">
        <v>24731</v>
      </c>
      <c r="E166" s="154">
        <v>24104</v>
      </c>
      <c r="F166" s="345">
        <v>30021</v>
      </c>
      <c r="G166" s="154">
        <v>31121</v>
      </c>
      <c r="H166" s="345">
        <v>30481</v>
      </c>
      <c r="I166" s="154">
        <v>34111</v>
      </c>
      <c r="J166" s="154">
        <v>31575</v>
      </c>
      <c r="K166" s="154">
        <v>32969</v>
      </c>
      <c r="L166" s="154">
        <v>33968</v>
      </c>
      <c r="M166" s="154">
        <v>29344</v>
      </c>
      <c r="N166" s="154">
        <f>SUM(B166:M166)</f>
        <v>340936</v>
      </c>
      <c r="O166" s="154">
        <f>SUM(B166:D166)</f>
        <v>63242</v>
      </c>
      <c r="P166" s="154">
        <f>SUM(E166:G166)</f>
        <v>85246</v>
      </c>
      <c r="Q166" s="154">
        <f>SUM(H166:J166)</f>
        <v>96167</v>
      </c>
      <c r="R166" s="154">
        <f>SUM(K166:M166)</f>
        <v>96281</v>
      </c>
    </row>
    <row r="167" spans="1:18">
      <c r="A167" s="330"/>
      <c r="B167" s="325">
        <f t="shared" ref="B167:N167" si="47">+B166/B149-1</f>
        <v>5.3257410818958295E-2</v>
      </c>
      <c r="C167" s="325">
        <f t="shared" si="47"/>
        <v>-4.5295489891135299E-2</v>
      </c>
      <c r="D167" s="325">
        <f t="shared" si="47"/>
        <v>0.25992154465331896</v>
      </c>
      <c r="E167" s="325">
        <f t="shared" si="47"/>
        <v>1.5632242025871212E-2</v>
      </c>
      <c r="F167" s="325">
        <f t="shared" si="47"/>
        <v>0.23421312284163798</v>
      </c>
      <c r="G167" s="325">
        <f t="shared" si="47"/>
        <v>0.15747387213151343</v>
      </c>
      <c r="H167" s="325">
        <f t="shared" si="47"/>
        <v>0.15620377043583811</v>
      </c>
      <c r="I167" s="325">
        <f t="shared" si="47"/>
        <v>0.24829832394056939</v>
      </c>
      <c r="J167" s="325">
        <f t="shared" si="47"/>
        <v>0.37593690081924347</v>
      </c>
      <c r="K167" s="325">
        <f t="shared" si="47"/>
        <v>0.49961337275415052</v>
      </c>
      <c r="L167" s="325">
        <f t="shared" si="47"/>
        <v>0.58810603581280096</v>
      </c>
      <c r="M167" s="325">
        <f t="shared" si="47"/>
        <v>0.36782734349508228</v>
      </c>
      <c r="N167" s="325">
        <f t="shared" si="47"/>
        <v>0.24190787029279548</v>
      </c>
    </row>
    <row r="168" spans="1:18">
      <c r="A168" s="331" t="s">
        <v>230</v>
      </c>
      <c r="B168" s="154">
        <f t="shared" ref="B168:N168" si="48">B161+B163+B164+B165+B166</f>
        <v>169119</v>
      </c>
      <c r="C168" s="154">
        <f t="shared" si="48"/>
        <v>185341</v>
      </c>
      <c r="D168" s="154">
        <f t="shared" si="48"/>
        <v>193202</v>
      </c>
      <c r="E168" s="154">
        <f t="shared" si="48"/>
        <v>192835</v>
      </c>
      <c r="F168" s="154">
        <f t="shared" si="48"/>
        <v>213072</v>
      </c>
      <c r="G168" s="154">
        <f t="shared" si="48"/>
        <v>280916</v>
      </c>
      <c r="H168" s="154">
        <f t="shared" si="48"/>
        <v>280455</v>
      </c>
      <c r="I168" s="154">
        <f t="shared" si="48"/>
        <v>276759</v>
      </c>
      <c r="J168" s="154">
        <f t="shared" si="48"/>
        <v>252004</v>
      </c>
      <c r="K168" s="154">
        <f t="shared" si="48"/>
        <v>266018</v>
      </c>
      <c r="L168" s="154">
        <f t="shared" si="48"/>
        <v>268678</v>
      </c>
      <c r="M168" s="154">
        <f t="shared" si="48"/>
        <v>274233</v>
      </c>
      <c r="N168" s="154">
        <f t="shared" si="48"/>
        <v>2852632</v>
      </c>
      <c r="O168" s="154">
        <f>SUM(B168:D168)</f>
        <v>547662</v>
      </c>
      <c r="P168" s="154">
        <f>SUM(E168:G168)</f>
        <v>686823</v>
      </c>
      <c r="Q168" s="154">
        <f>SUM(H168:J168)</f>
        <v>809218</v>
      </c>
      <c r="R168" s="154">
        <f>SUM(K168:M168)</f>
        <v>808929</v>
      </c>
    </row>
    <row r="169" spans="1:18">
      <c r="B169" s="325">
        <f t="shared" ref="B169:N169" si="49">+B168/B151-1</f>
        <v>-0.23766438389776989</v>
      </c>
      <c r="C169" s="325">
        <f t="shared" si="49"/>
        <v>-8.0244103881324635E-2</v>
      </c>
      <c r="D169" s="325">
        <f t="shared" si="49"/>
        <v>-1.7988536271224875E-2</v>
      </c>
      <c r="E169" s="325">
        <f t="shared" si="49"/>
        <v>-4.486514264631869E-3</v>
      </c>
      <c r="F169" s="325">
        <f t="shared" si="49"/>
        <v>6.0296835992875941E-2</v>
      </c>
      <c r="G169" s="325">
        <f t="shared" si="49"/>
        <v>0.14481531131574399</v>
      </c>
      <c r="H169" s="325">
        <f t="shared" si="49"/>
        <v>0.46192398481133878</v>
      </c>
      <c r="I169" s="325">
        <f t="shared" si="49"/>
        <v>0.73248727979340544</v>
      </c>
      <c r="J169" s="325">
        <f t="shared" si="49"/>
        <v>0.77264535789144118</v>
      </c>
      <c r="K169" s="325">
        <f t="shared" si="49"/>
        <v>1.0099940009556843</v>
      </c>
      <c r="L169" s="325">
        <f t="shared" si="49"/>
        <v>0.74713748007773551</v>
      </c>
      <c r="M169" s="325">
        <f t="shared" si="49"/>
        <v>0.77966069030603635</v>
      </c>
      <c r="N169" s="325">
        <f t="shared" si="49"/>
        <v>0.30013290138862803</v>
      </c>
    </row>
    <row r="170" spans="1:18">
      <c r="A170" s="324" t="s">
        <v>744</v>
      </c>
      <c r="B170" s="154">
        <f t="shared" ref="B170:M170" si="50">+B174-B172</f>
        <v>117232</v>
      </c>
      <c r="C170" s="154">
        <f t="shared" si="50"/>
        <v>126659</v>
      </c>
      <c r="D170" s="154">
        <f t="shared" si="50"/>
        <v>125476</v>
      </c>
      <c r="E170" s="154">
        <f t="shared" si="50"/>
        <v>124250</v>
      </c>
      <c r="F170" s="154">
        <f t="shared" si="50"/>
        <v>144487</v>
      </c>
      <c r="G170" s="154">
        <f t="shared" si="50"/>
        <v>200235</v>
      </c>
      <c r="H170" s="154">
        <f t="shared" si="50"/>
        <v>196443</v>
      </c>
      <c r="I170" s="154">
        <f t="shared" si="50"/>
        <v>178238</v>
      </c>
      <c r="J170" s="154">
        <f t="shared" si="50"/>
        <v>160635</v>
      </c>
      <c r="K170" s="154">
        <f t="shared" si="50"/>
        <v>194323</v>
      </c>
      <c r="L170" s="154">
        <f t="shared" si="50"/>
        <v>191036</v>
      </c>
      <c r="M170" s="154">
        <f t="shared" si="50"/>
        <v>209099</v>
      </c>
      <c r="N170" s="154">
        <f>+N168-N172</f>
        <v>1968113</v>
      </c>
    </row>
    <row r="171" spans="1:18">
      <c r="A171" s="324" t="s">
        <v>1028</v>
      </c>
      <c r="B171" s="325">
        <f t="shared" ref="B171:N171" si="51">+B170/B153-1</f>
        <v>-0.209063525371607</v>
      </c>
      <c r="C171" s="325">
        <f t="shared" si="51"/>
        <v>-0.10359152311488262</v>
      </c>
      <c r="D171" s="325">
        <f t="shared" si="51"/>
        <v>-4.8437242084224952E-2</v>
      </c>
      <c r="E171" s="325">
        <f t="shared" si="51"/>
        <v>-1.7406386944104124E-2</v>
      </c>
      <c r="F171" s="325">
        <f t="shared" si="51"/>
        <v>0.1127219733402216</v>
      </c>
      <c r="G171" s="325">
        <f t="shared" si="51"/>
        <v>0.13249284088194546</v>
      </c>
      <c r="H171" s="325">
        <f t="shared" si="51"/>
        <v>0.68262901561407174</v>
      </c>
      <c r="I171" s="325">
        <f t="shared" si="51"/>
        <v>0.93003485746474057</v>
      </c>
      <c r="J171" s="325">
        <f t="shared" si="51"/>
        <v>1.3140027911406831</v>
      </c>
      <c r="K171" s="325">
        <f t="shared" si="51"/>
        <v>1.4811206041859211</v>
      </c>
      <c r="L171" s="325">
        <f t="shared" si="51"/>
        <v>0.85392952575265046</v>
      </c>
      <c r="M171" s="325">
        <f t="shared" si="51"/>
        <v>0.95020732486218318</v>
      </c>
      <c r="N171" s="325">
        <f t="shared" si="51"/>
        <v>0.38444585601042225</v>
      </c>
    </row>
    <row r="172" spans="1:18">
      <c r="A172" s="324" t="s">
        <v>587</v>
      </c>
      <c r="B172" s="154">
        <v>51887</v>
      </c>
      <c r="C172" s="154">
        <v>58682</v>
      </c>
      <c r="D172" s="154">
        <v>67726</v>
      </c>
      <c r="E172" s="154">
        <v>68585</v>
      </c>
      <c r="F172" s="154">
        <v>68585</v>
      </c>
      <c r="G172" s="154">
        <v>80681</v>
      </c>
      <c r="H172" s="345">
        <v>84012</v>
      </c>
      <c r="I172" s="154">
        <v>98521</v>
      </c>
      <c r="J172" s="154">
        <v>91369</v>
      </c>
      <c r="K172" s="154">
        <v>71695</v>
      </c>
      <c r="L172" s="154">
        <v>77642</v>
      </c>
      <c r="M172" s="154">
        <v>65134</v>
      </c>
      <c r="N172" s="154">
        <f>SUM(B172:M172)</f>
        <v>884519</v>
      </c>
    </row>
    <row r="173" spans="1:18">
      <c r="B173" s="325">
        <f t="shared" ref="B173:N173" si="52">+B172/B155-1</f>
        <v>-0.29524339889166573</v>
      </c>
      <c r="C173" s="325">
        <f t="shared" si="52"/>
        <v>-2.545877273104713E-2</v>
      </c>
      <c r="D173" s="325">
        <f t="shared" si="52"/>
        <v>4.3897777366749935E-2</v>
      </c>
      <c r="E173" s="325">
        <f t="shared" si="52"/>
        <v>1.9805807919349272E-2</v>
      </c>
      <c r="F173" s="325">
        <f t="shared" si="52"/>
        <v>-3.5440545671893697E-2</v>
      </c>
      <c r="G173" s="325">
        <f t="shared" si="52"/>
        <v>0.1765881117657353</v>
      </c>
      <c r="H173" s="325">
        <f t="shared" si="52"/>
        <v>0.11878762051883029</v>
      </c>
      <c r="I173" s="325">
        <f t="shared" si="52"/>
        <v>0.4618009703696011</v>
      </c>
      <c r="J173" s="325">
        <f t="shared" si="52"/>
        <v>0.2560348619817443</v>
      </c>
      <c r="K173" s="325">
        <f t="shared" si="52"/>
        <v>0.32702167434801122</v>
      </c>
      <c r="L173" s="325">
        <f t="shared" si="52"/>
        <v>0.53025345894595777</v>
      </c>
      <c r="M173" s="325">
        <f t="shared" si="52"/>
        <v>0.38955497717284637</v>
      </c>
      <c r="N173" s="325">
        <f t="shared" si="52"/>
        <v>0.14498025291287342</v>
      </c>
    </row>
    <row r="174" spans="1:18">
      <c r="A174" s="326" t="s">
        <v>230</v>
      </c>
      <c r="B174" s="154">
        <f t="shared" ref="B174:N174" si="53">+B168</f>
        <v>169119</v>
      </c>
      <c r="C174" s="154">
        <f t="shared" si="53"/>
        <v>185341</v>
      </c>
      <c r="D174" s="154">
        <f t="shared" si="53"/>
        <v>193202</v>
      </c>
      <c r="E174" s="154">
        <f t="shared" si="53"/>
        <v>192835</v>
      </c>
      <c r="F174" s="154">
        <f t="shared" si="53"/>
        <v>213072</v>
      </c>
      <c r="G174" s="154">
        <f t="shared" si="53"/>
        <v>280916</v>
      </c>
      <c r="H174" s="154">
        <f t="shared" si="53"/>
        <v>280455</v>
      </c>
      <c r="I174" s="154">
        <f t="shared" si="53"/>
        <v>276759</v>
      </c>
      <c r="J174" s="154">
        <f t="shared" si="53"/>
        <v>252004</v>
      </c>
      <c r="K174" s="154">
        <f t="shared" si="53"/>
        <v>266018</v>
      </c>
      <c r="L174" s="154">
        <f t="shared" si="53"/>
        <v>268678</v>
      </c>
      <c r="M174" s="154">
        <f t="shared" si="53"/>
        <v>274233</v>
      </c>
      <c r="N174" s="178">
        <f t="shared" si="53"/>
        <v>2852632</v>
      </c>
    </row>
    <row r="175" spans="1:18">
      <c r="B175" s="325">
        <f t="shared" ref="B175:N175" si="54">+B174/B157-1</f>
        <v>-0.23766438389776989</v>
      </c>
      <c r="C175" s="325">
        <f t="shared" si="54"/>
        <v>-8.0244103881324635E-2</v>
      </c>
      <c r="D175" s="325">
        <f t="shared" si="54"/>
        <v>-1.7988536271224875E-2</v>
      </c>
      <c r="E175" s="325">
        <f t="shared" si="54"/>
        <v>-4.486514264631869E-3</v>
      </c>
      <c r="F175" s="325">
        <f t="shared" si="54"/>
        <v>6.0296835992875941E-2</v>
      </c>
      <c r="G175" s="325">
        <f t="shared" si="54"/>
        <v>0.14481531131574399</v>
      </c>
      <c r="H175" s="325">
        <f t="shared" si="54"/>
        <v>0.46192398481133878</v>
      </c>
      <c r="I175" s="325">
        <f t="shared" si="54"/>
        <v>0.73248727979340544</v>
      </c>
      <c r="J175" s="325">
        <f t="shared" si="54"/>
        <v>0.77264535789144118</v>
      </c>
      <c r="K175" s="325">
        <f t="shared" si="54"/>
        <v>1.0099940009556843</v>
      </c>
      <c r="L175" s="325">
        <f t="shared" si="54"/>
        <v>0.74713748007773551</v>
      </c>
      <c r="M175" s="325">
        <f t="shared" si="54"/>
        <v>0.77966069030603635</v>
      </c>
      <c r="N175" s="325">
        <f t="shared" si="54"/>
        <v>0.30013290138862803</v>
      </c>
    </row>
    <row r="177" spans="1:17">
      <c r="A177" s="331" t="s">
        <v>938</v>
      </c>
      <c r="B177" s="327">
        <v>40270</v>
      </c>
      <c r="C177" s="327">
        <v>40300</v>
      </c>
      <c r="D177" s="327">
        <v>40331</v>
      </c>
      <c r="E177" s="327">
        <v>40361</v>
      </c>
      <c r="F177" s="327">
        <v>40392</v>
      </c>
      <c r="G177" s="327">
        <v>40423</v>
      </c>
      <c r="H177" s="327">
        <v>40453</v>
      </c>
      <c r="I177" s="327">
        <v>40484</v>
      </c>
      <c r="J177" s="327">
        <v>40514</v>
      </c>
      <c r="K177" s="327">
        <v>40545</v>
      </c>
      <c r="L177" s="327">
        <v>40576</v>
      </c>
      <c r="M177" s="327">
        <v>40604</v>
      </c>
      <c r="N177" s="178" t="s">
        <v>230</v>
      </c>
    </row>
    <row r="178" spans="1:17">
      <c r="A178" s="329" t="s">
        <v>576</v>
      </c>
      <c r="B178" s="154">
        <v>276122</v>
      </c>
      <c r="C178" s="154">
        <v>269488</v>
      </c>
      <c r="D178" s="154">
        <v>282808</v>
      </c>
      <c r="E178" s="154">
        <v>279781</v>
      </c>
      <c r="F178" s="154">
        <v>289176</v>
      </c>
      <c r="G178" s="154">
        <v>314515</v>
      </c>
      <c r="H178" s="154">
        <v>329776</v>
      </c>
      <c r="I178" s="154">
        <v>265036</v>
      </c>
      <c r="J178" s="154">
        <v>243675</v>
      </c>
      <c r="K178" s="154">
        <v>275622</v>
      </c>
      <c r="L178" s="154">
        <v>286657</v>
      </c>
      <c r="M178" s="154">
        <v>274389</v>
      </c>
      <c r="N178" s="154">
        <f>SUM(B178:M178)</f>
        <v>3387045</v>
      </c>
    </row>
    <row r="179" spans="1:17">
      <c r="A179" s="324" t="s">
        <v>989</v>
      </c>
      <c r="B179" s="325">
        <f t="shared" ref="B179:N179" si="55">+B178/B161-1</f>
        <v>0.84409582389987503</v>
      </c>
      <c r="C179" s="325">
        <f t="shared" si="55"/>
        <v>0.63277572114947689</v>
      </c>
      <c r="D179" s="325">
        <f t="shared" si="55"/>
        <v>0.68393223972133743</v>
      </c>
      <c r="E179" s="325">
        <f t="shared" si="55"/>
        <v>0.66374886271058431</v>
      </c>
      <c r="F179" s="325">
        <f t="shared" si="55"/>
        <v>0.58503845078682981</v>
      </c>
      <c r="G179" s="325">
        <f t="shared" si="55"/>
        <v>0.26243813545375372</v>
      </c>
      <c r="H179" s="325">
        <f t="shared" si="55"/>
        <v>0.32078932718148367</v>
      </c>
      <c r="I179" s="325">
        <f t="shared" si="55"/>
        <v>9.3427946697471009E-2</v>
      </c>
      <c r="J179" s="325">
        <f t="shared" si="55"/>
        <v>0.10801655147326295</v>
      </c>
      <c r="K179" s="325">
        <f t="shared" si="55"/>
        <v>0.18323681307123318</v>
      </c>
      <c r="L179" s="325">
        <f t="shared" si="55"/>
        <v>0.22177706362973781</v>
      </c>
      <c r="M179" s="325">
        <f t="shared" si="55"/>
        <v>0.1204627402619145</v>
      </c>
      <c r="N179" s="325">
        <f t="shared" si="55"/>
        <v>0.35108576069465713</v>
      </c>
    </row>
    <row r="180" spans="1:17">
      <c r="A180" s="330" t="s">
        <v>939</v>
      </c>
      <c r="N180" s="154">
        <f>SUM(B180:M180)</f>
        <v>0</v>
      </c>
    </row>
    <row r="181" spans="1:17">
      <c r="A181" s="324" t="s">
        <v>940</v>
      </c>
      <c r="B181" s="154">
        <v>0</v>
      </c>
      <c r="C181" s="154">
        <v>0</v>
      </c>
      <c r="D181" s="154">
        <v>0</v>
      </c>
      <c r="E181" s="154">
        <v>0</v>
      </c>
      <c r="F181" s="154">
        <v>0</v>
      </c>
      <c r="G181" s="154">
        <v>0</v>
      </c>
      <c r="H181" s="346">
        <v>0</v>
      </c>
      <c r="I181" s="154">
        <v>0</v>
      </c>
      <c r="J181" s="154">
        <v>0</v>
      </c>
      <c r="K181" s="154">
        <v>0</v>
      </c>
      <c r="L181" s="173">
        <v>0</v>
      </c>
      <c r="M181" s="154">
        <v>0</v>
      </c>
      <c r="N181" s="154">
        <f>SUM(B181:M181)</f>
        <v>0</v>
      </c>
    </row>
    <row r="182" spans="1:17">
      <c r="A182" s="324" t="s">
        <v>941</v>
      </c>
      <c r="B182" s="154">
        <v>0</v>
      </c>
      <c r="C182" s="154">
        <v>0</v>
      </c>
      <c r="D182" s="154">
        <v>0</v>
      </c>
      <c r="E182" s="154">
        <v>0</v>
      </c>
      <c r="F182" s="154">
        <v>0</v>
      </c>
      <c r="G182" s="154">
        <v>0</v>
      </c>
      <c r="H182" s="154">
        <v>0</v>
      </c>
      <c r="I182" s="154">
        <v>0</v>
      </c>
      <c r="N182" s="154">
        <f>SUM(B182:M182)</f>
        <v>0</v>
      </c>
      <c r="O182" s="339">
        <f>891*0.25</f>
        <v>222.75</v>
      </c>
    </row>
    <row r="183" spans="1:17" ht="12.75">
      <c r="A183" s="330" t="s">
        <v>609</v>
      </c>
      <c r="B183" s="154">
        <v>37350</v>
      </c>
      <c r="C183" s="154">
        <v>29954</v>
      </c>
      <c r="D183" s="154">
        <v>32614</v>
      </c>
      <c r="E183" s="154">
        <v>38634</v>
      </c>
      <c r="F183" s="345">
        <v>40188</v>
      </c>
      <c r="G183" s="345">
        <v>38254</v>
      </c>
      <c r="H183" s="154">
        <v>41040</v>
      </c>
      <c r="I183" s="154">
        <v>34195</v>
      </c>
      <c r="J183" s="154">
        <v>33128</v>
      </c>
      <c r="K183" s="154">
        <v>37961</v>
      </c>
      <c r="L183" s="154">
        <v>40217</v>
      </c>
      <c r="M183" s="154">
        <v>33349</v>
      </c>
      <c r="N183" s="154">
        <f>SUM(B183:M183)</f>
        <v>436884</v>
      </c>
      <c r="O183" s="347">
        <f>+O182/2852</f>
        <v>7.8103085553997198E-2</v>
      </c>
      <c r="Q183" s="325"/>
    </row>
    <row r="184" spans="1:17">
      <c r="A184" s="330"/>
      <c r="B184" s="325">
        <f t="shared" ref="B184:N184" si="56">+B183/B166-1</f>
        <v>0.97964700270313254</v>
      </c>
      <c r="C184" s="325">
        <f t="shared" si="56"/>
        <v>0.52484219099979645</v>
      </c>
      <c r="D184" s="325">
        <f t="shared" si="56"/>
        <v>0.31874974728074079</v>
      </c>
      <c r="E184" s="325">
        <f t="shared" si="56"/>
        <v>0.60280451377364752</v>
      </c>
      <c r="F184" s="325">
        <f t="shared" si="56"/>
        <v>0.33866293594483854</v>
      </c>
      <c r="G184" s="325">
        <f t="shared" si="56"/>
        <v>0.22920214646058934</v>
      </c>
      <c r="H184" s="325">
        <f t="shared" si="56"/>
        <v>0.34641251927430194</v>
      </c>
      <c r="I184" s="325">
        <f t="shared" si="56"/>
        <v>2.462548737943715E-3</v>
      </c>
      <c r="J184" s="325">
        <f t="shared" si="56"/>
        <v>4.9184481393507617E-2</v>
      </c>
      <c r="K184" s="325">
        <f t="shared" si="56"/>
        <v>0.15141496557372069</v>
      </c>
      <c r="L184" s="325">
        <f t="shared" si="56"/>
        <v>0.18396726330664159</v>
      </c>
      <c r="M184" s="325">
        <f t="shared" si="56"/>
        <v>0.13648446019629223</v>
      </c>
      <c r="N184" s="325">
        <f t="shared" si="56"/>
        <v>0.28142525283337627</v>
      </c>
    </row>
    <row r="185" spans="1:17">
      <c r="A185" s="331" t="s">
        <v>230</v>
      </c>
      <c r="B185" s="178">
        <f t="shared" ref="B185:N185" si="57">B178+B180+B181+B182+B183</f>
        <v>313472</v>
      </c>
      <c r="C185" s="178">
        <f t="shared" si="57"/>
        <v>299442</v>
      </c>
      <c r="D185" s="178">
        <f t="shared" si="57"/>
        <v>315422</v>
      </c>
      <c r="E185" s="178">
        <f t="shared" si="57"/>
        <v>318415</v>
      </c>
      <c r="F185" s="178">
        <f t="shared" si="57"/>
        <v>329364</v>
      </c>
      <c r="G185" s="178">
        <f t="shared" si="57"/>
        <v>352769</v>
      </c>
      <c r="H185" s="178">
        <f t="shared" si="57"/>
        <v>370816</v>
      </c>
      <c r="I185" s="178">
        <f t="shared" si="57"/>
        <v>299231</v>
      </c>
      <c r="J185" s="178">
        <f t="shared" si="57"/>
        <v>276803</v>
      </c>
      <c r="K185" s="178">
        <f t="shared" si="57"/>
        <v>313583</v>
      </c>
      <c r="L185" s="178">
        <f t="shared" si="57"/>
        <v>326874</v>
      </c>
      <c r="M185" s="178">
        <f t="shared" si="57"/>
        <v>307738</v>
      </c>
      <c r="N185" s="178">
        <f t="shared" si="57"/>
        <v>3823929</v>
      </c>
    </row>
    <row r="186" spans="1:17">
      <c r="B186" s="325">
        <f t="shared" ref="B186:N186" si="58">+B185/B168-1</f>
        <v>0.85355873674749727</v>
      </c>
      <c r="C186" s="325">
        <f t="shared" si="58"/>
        <v>0.61562741109630359</v>
      </c>
      <c r="D186" s="325">
        <f t="shared" si="58"/>
        <v>0.63260214697570416</v>
      </c>
      <c r="E186" s="325">
        <f t="shared" si="58"/>
        <v>0.65123032644488821</v>
      </c>
      <c r="F186" s="325">
        <f t="shared" si="58"/>
        <v>0.54578733949087632</v>
      </c>
      <c r="G186" s="325">
        <f t="shared" si="58"/>
        <v>0.25578108758490092</v>
      </c>
      <c r="H186" s="325">
        <f t="shared" si="58"/>
        <v>0.32219429141930078</v>
      </c>
      <c r="I186" s="325">
        <f t="shared" si="58"/>
        <v>8.1196998110269147E-2</v>
      </c>
      <c r="J186" s="325">
        <f t="shared" si="58"/>
        <v>9.840716814018835E-2</v>
      </c>
      <c r="K186" s="325">
        <f t="shared" si="58"/>
        <v>0.17880368997586626</v>
      </c>
      <c r="L186" s="325">
        <f t="shared" si="58"/>
        <v>0.21660128480932572</v>
      </c>
      <c r="M186" s="325">
        <f t="shared" si="58"/>
        <v>0.12217712674988057</v>
      </c>
      <c r="N186" s="325">
        <f t="shared" si="58"/>
        <v>0.34049151800863209</v>
      </c>
    </row>
    <row r="187" spans="1:17">
      <c r="A187" s="324" t="s">
        <v>744</v>
      </c>
      <c r="B187" s="154">
        <f t="shared" ref="B187:M187" si="59">+B191-B189</f>
        <v>199561</v>
      </c>
      <c r="C187" s="154">
        <f t="shared" si="59"/>
        <v>203878</v>
      </c>
      <c r="D187" s="154">
        <f t="shared" si="59"/>
        <v>201398</v>
      </c>
      <c r="E187" s="154">
        <f t="shared" si="59"/>
        <v>211621</v>
      </c>
      <c r="F187" s="154">
        <f t="shared" si="59"/>
        <v>230786</v>
      </c>
      <c r="G187" s="154">
        <f t="shared" si="59"/>
        <v>250809</v>
      </c>
      <c r="H187" s="154">
        <f t="shared" si="59"/>
        <v>260429</v>
      </c>
      <c r="I187" s="154">
        <f t="shared" si="59"/>
        <v>208362</v>
      </c>
      <c r="J187" s="154">
        <f t="shared" si="59"/>
        <v>181415</v>
      </c>
      <c r="K187" s="154">
        <f t="shared" si="59"/>
        <v>210057</v>
      </c>
      <c r="L187" s="154">
        <f t="shared" si="59"/>
        <v>224441</v>
      </c>
      <c r="M187" s="154">
        <f t="shared" si="59"/>
        <v>237854</v>
      </c>
      <c r="N187" s="154">
        <f>+N185-N189</f>
        <v>2620611</v>
      </c>
    </row>
    <row r="188" spans="1:17">
      <c r="A188" s="324" t="s">
        <v>1028</v>
      </c>
      <c r="B188" s="325">
        <f t="shared" ref="B188:N188" si="60">+B187/B170-1</f>
        <v>0.7022741231063192</v>
      </c>
      <c r="C188" s="325">
        <f t="shared" si="60"/>
        <v>0.60966058471960149</v>
      </c>
      <c r="D188" s="325">
        <f t="shared" si="60"/>
        <v>0.60507188625713293</v>
      </c>
      <c r="E188" s="325">
        <f t="shared" si="60"/>
        <v>0.70318712273641859</v>
      </c>
      <c r="F188" s="325">
        <f t="shared" si="60"/>
        <v>0.59727864790603991</v>
      </c>
      <c r="G188" s="325">
        <f t="shared" si="60"/>
        <v>0.25257322645891067</v>
      </c>
      <c r="H188" s="325">
        <f t="shared" si="60"/>
        <v>0.32572298325722993</v>
      </c>
      <c r="I188" s="325">
        <f t="shared" si="60"/>
        <v>0.16900997542611562</v>
      </c>
      <c r="J188" s="325">
        <f t="shared" si="60"/>
        <v>0.12936159616521925</v>
      </c>
      <c r="K188" s="325">
        <f t="shared" si="60"/>
        <v>8.0968284762997778E-2</v>
      </c>
      <c r="L188" s="325">
        <f t="shared" si="60"/>
        <v>0.17486232961326653</v>
      </c>
      <c r="M188" s="325">
        <f t="shared" si="60"/>
        <v>0.13751859167188751</v>
      </c>
      <c r="N188" s="325">
        <f t="shared" si="60"/>
        <v>0.33153482549020308</v>
      </c>
    </row>
    <row r="189" spans="1:17">
      <c r="A189" s="324" t="s">
        <v>587</v>
      </c>
      <c r="B189" s="154">
        <v>113911</v>
      </c>
      <c r="C189" s="154">
        <v>95564</v>
      </c>
      <c r="D189" s="154">
        <v>114024</v>
      </c>
      <c r="E189" s="154">
        <v>106794</v>
      </c>
      <c r="F189" s="154">
        <v>98578</v>
      </c>
      <c r="G189" s="154">
        <v>101960</v>
      </c>
      <c r="H189" s="154">
        <v>110387</v>
      </c>
      <c r="I189" s="154">
        <v>90869</v>
      </c>
      <c r="J189" s="154">
        <v>95388</v>
      </c>
      <c r="K189" s="154">
        <v>103526</v>
      </c>
      <c r="L189" s="154">
        <v>102433</v>
      </c>
      <c r="M189" s="154">
        <v>69884</v>
      </c>
      <c r="N189" s="154">
        <f>SUM(B189:M189)</f>
        <v>1203318</v>
      </c>
    </row>
    <row r="190" spans="1:17">
      <c r="B190" s="325">
        <f t="shared" ref="B190:N190" si="61">+B189/B172-1</f>
        <v>1.1953668548962169</v>
      </c>
      <c r="C190" s="325">
        <f t="shared" si="61"/>
        <v>0.62850618588323504</v>
      </c>
      <c r="D190" s="325">
        <f t="shared" si="61"/>
        <v>0.68360747718749071</v>
      </c>
      <c r="E190" s="325">
        <f t="shared" si="61"/>
        <v>0.55710432310271929</v>
      </c>
      <c r="F190" s="325">
        <f t="shared" si="61"/>
        <v>0.43731136545891958</v>
      </c>
      <c r="G190" s="325">
        <f t="shared" si="61"/>
        <v>0.26374239288060375</v>
      </c>
      <c r="H190" s="325">
        <f t="shared" si="61"/>
        <v>0.31394324620292346</v>
      </c>
      <c r="I190" s="325">
        <f t="shared" si="61"/>
        <v>-7.7668720374336475E-2</v>
      </c>
      <c r="J190" s="325">
        <f t="shared" si="61"/>
        <v>4.3986472435946444E-2</v>
      </c>
      <c r="K190" s="325">
        <f t="shared" si="61"/>
        <v>0.44397796220099028</v>
      </c>
      <c r="L190" s="325">
        <f t="shared" si="61"/>
        <v>0.31929883310579332</v>
      </c>
      <c r="M190" s="325">
        <f t="shared" si="61"/>
        <v>7.2926582123007844E-2</v>
      </c>
      <c r="N190" s="325">
        <f t="shared" si="61"/>
        <v>0.36042074845198346</v>
      </c>
    </row>
    <row r="191" spans="1:17">
      <c r="A191" s="326" t="s">
        <v>230</v>
      </c>
      <c r="B191" s="178">
        <f t="shared" ref="B191:N191" si="62">+B185</f>
        <v>313472</v>
      </c>
      <c r="C191" s="178">
        <f t="shared" si="62"/>
        <v>299442</v>
      </c>
      <c r="D191" s="178">
        <f t="shared" si="62"/>
        <v>315422</v>
      </c>
      <c r="E191" s="178">
        <f t="shared" si="62"/>
        <v>318415</v>
      </c>
      <c r="F191" s="178">
        <f t="shared" si="62"/>
        <v>329364</v>
      </c>
      <c r="G191" s="178">
        <f t="shared" si="62"/>
        <v>352769</v>
      </c>
      <c r="H191" s="178">
        <f t="shared" si="62"/>
        <v>370816</v>
      </c>
      <c r="I191" s="178">
        <f t="shared" si="62"/>
        <v>299231</v>
      </c>
      <c r="J191" s="154">
        <f t="shared" si="62"/>
        <v>276803</v>
      </c>
      <c r="K191" s="154">
        <f t="shared" si="62"/>
        <v>313583</v>
      </c>
      <c r="L191" s="154">
        <f t="shared" si="62"/>
        <v>326874</v>
      </c>
      <c r="M191" s="154">
        <f t="shared" si="62"/>
        <v>307738</v>
      </c>
      <c r="N191" s="178">
        <f t="shared" si="62"/>
        <v>3823929</v>
      </c>
    </row>
    <row r="192" spans="1:17">
      <c r="B192" s="325">
        <f t="shared" ref="B192:N192" si="63">+B191/B174-1</f>
        <v>0.85355873674749727</v>
      </c>
      <c r="C192" s="325">
        <f t="shared" si="63"/>
        <v>0.61562741109630359</v>
      </c>
      <c r="D192" s="325">
        <f t="shared" si="63"/>
        <v>0.63260214697570416</v>
      </c>
      <c r="E192" s="325">
        <f t="shared" si="63"/>
        <v>0.65123032644488821</v>
      </c>
      <c r="F192" s="325">
        <f t="shared" si="63"/>
        <v>0.54578733949087632</v>
      </c>
      <c r="G192" s="325">
        <f t="shared" si="63"/>
        <v>0.25578108758490092</v>
      </c>
      <c r="H192" s="325">
        <f t="shared" si="63"/>
        <v>0.32219429141930078</v>
      </c>
      <c r="I192" s="325">
        <f t="shared" si="63"/>
        <v>8.1196998110269147E-2</v>
      </c>
      <c r="J192" s="325">
        <f t="shared" si="63"/>
        <v>9.840716814018835E-2</v>
      </c>
      <c r="K192" s="325">
        <f t="shared" si="63"/>
        <v>0.17880368997586626</v>
      </c>
      <c r="L192" s="325">
        <f t="shared" si="63"/>
        <v>0.21660128480932572</v>
      </c>
      <c r="M192" s="325">
        <f t="shared" si="63"/>
        <v>0.12217712674988057</v>
      </c>
      <c r="N192" s="325">
        <f t="shared" si="63"/>
        <v>0.34049151800863209</v>
      </c>
    </row>
    <row r="194" spans="1:17">
      <c r="A194" s="331" t="s">
        <v>938</v>
      </c>
      <c r="B194" s="327">
        <v>40634</v>
      </c>
      <c r="C194" s="327">
        <v>40664</v>
      </c>
      <c r="D194" s="327">
        <v>40695</v>
      </c>
      <c r="E194" s="327">
        <v>40725</v>
      </c>
      <c r="F194" s="327">
        <v>40756</v>
      </c>
      <c r="G194" s="327">
        <v>40787</v>
      </c>
      <c r="H194" s="327">
        <v>40817</v>
      </c>
      <c r="I194" s="327">
        <v>40848</v>
      </c>
      <c r="J194" s="327">
        <v>40878</v>
      </c>
      <c r="K194" s="327">
        <v>40909</v>
      </c>
      <c r="L194" s="327">
        <v>40940</v>
      </c>
      <c r="M194" s="327">
        <v>40969</v>
      </c>
      <c r="N194" s="178" t="s">
        <v>230</v>
      </c>
    </row>
    <row r="195" spans="1:17">
      <c r="A195" s="329" t="s">
        <v>576</v>
      </c>
      <c r="B195" s="154">
        <v>322235</v>
      </c>
      <c r="C195" s="154">
        <v>317989</v>
      </c>
      <c r="D195" s="154">
        <v>322827</v>
      </c>
      <c r="E195" s="154">
        <v>318095</v>
      </c>
      <c r="F195" s="154">
        <v>338054</v>
      </c>
      <c r="G195" s="154">
        <v>371208</v>
      </c>
      <c r="H195" s="154">
        <v>351083</v>
      </c>
      <c r="I195" s="154">
        <v>331967</v>
      </c>
      <c r="J195" s="154">
        <v>263699</v>
      </c>
      <c r="K195" s="154">
        <v>294439</v>
      </c>
      <c r="L195" s="154">
        <v>301961</v>
      </c>
      <c r="M195" s="154">
        <v>300848</v>
      </c>
      <c r="N195" s="154">
        <f>SUM(B195:M195)</f>
        <v>3834405</v>
      </c>
    </row>
    <row r="196" spans="1:17">
      <c r="A196" s="324" t="s">
        <v>989</v>
      </c>
      <c r="B196" s="325">
        <f t="shared" ref="B196:N196" si="64">+B195/B178-1</f>
        <v>0.16700226711381205</v>
      </c>
      <c r="C196" s="325">
        <f t="shared" si="64"/>
        <v>0.17997461853589036</v>
      </c>
      <c r="D196" s="325">
        <f t="shared" si="64"/>
        <v>0.14150589799439905</v>
      </c>
      <c r="E196" s="325">
        <f t="shared" si="64"/>
        <v>0.13694282313666761</v>
      </c>
      <c r="F196" s="325">
        <f t="shared" si="64"/>
        <v>0.16902509198550364</v>
      </c>
      <c r="G196" s="325">
        <f t="shared" si="64"/>
        <v>0.18025531373702375</v>
      </c>
      <c r="H196" s="325">
        <f t="shared" si="64"/>
        <v>6.4610523506865247E-2</v>
      </c>
      <c r="I196" s="325">
        <f t="shared" si="64"/>
        <v>0.25253550461069429</v>
      </c>
      <c r="J196" s="325">
        <f t="shared" si="64"/>
        <v>8.2175028213809398E-2</v>
      </c>
      <c r="K196" s="325">
        <f t="shared" si="64"/>
        <v>6.8271037870706985E-2</v>
      </c>
      <c r="L196" s="325">
        <f t="shared" si="64"/>
        <v>5.338784679948505E-2</v>
      </c>
      <c r="M196" s="325">
        <f t="shared" si="64"/>
        <v>9.6428792699415844E-2</v>
      </c>
      <c r="N196" s="325">
        <f t="shared" si="64"/>
        <v>0.1320797332187793</v>
      </c>
    </row>
    <row r="197" spans="1:17">
      <c r="A197" s="330" t="s">
        <v>939</v>
      </c>
      <c r="N197" s="154">
        <f>SUM(B197:M197)</f>
        <v>0</v>
      </c>
    </row>
    <row r="198" spans="1:17">
      <c r="A198" s="324" t="s">
        <v>940</v>
      </c>
      <c r="H198" s="346"/>
      <c r="L198" s="173"/>
      <c r="N198" s="154">
        <f>SUM(B198:M198)</f>
        <v>0</v>
      </c>
    </row>
    <row r="199" spans="1:17">
      <c r="A199" s="324" t="s">
        <v>941</v>
      </c>
      <c r="N199" s="154">
        <f>SUM(B199:M199)</f>
        <v>0</v>
      </c>
      <c r="O199" s="339">
        <f>891*0.25</f>
        <v>222.75</v>
      </c>
    </row>
    <row r="200" spans="1:17" ht="12.75">
      <c r="A200" s="330" t="s">
        <v>609</v>
      </c>
      <c r="B200" s="154">
        <v>45074</v>
      </c>
      <c r="C200" s="154">
        <v>40860</v>
      </c>
      <c r="D200" s="154">
        <v>43830</v>
      </c>
      <c r="E200" s="154">
        <v>45617</v>
      </c>
      <c r="F200" s="345">
        <v>44685</v>
      </c>
      <c r="G200" s="154">
        <v>46478</v>
      </c>
      <c r="H200" s="154">
        <v>44191</v>
      </c>
      <c r="I200" s="154">
        <v>42510</v>
      </c>
      <c r="J200" s="154">
        <v>41991</v>
      </c>
      <c r="K200" s="154">
        <v>43436</v>
      </c>
      <c r="L200" s="154">
        <v>41816</v>
      </c>
      <c r="M200" s="154">
        <v>34667</v>
      </c>
      <c r="N200" s="154">
        <f>SUM(B200:M200)</f>
        <v>515155</v>
      </c>
      <c r="O200" s="347">
        <f>+O199/2852</f>
        <v>7.8103085553997198E-2</v>
      </c>
      <c r="Q200" s="325"/>
    </row>
    <row r="201" spans="1:17">
      <c r="A201" s="330"/>
      <c r="B201" s="325">
        <f t="shared" ref="B201:N201" si="65">+B200/B183-1</f>
        <v>0.20680053547523425</v>
      </c>
      <c r="C201" s="325">
        <f t="shared" si="65"/>
        <v>0.36409160713093414</v>
      </c>
      <c r="D201" s="325">
        <f t="shared" si="65"/>
        <v>0.34390139204022807</v>
      </c>
      <c r="E201" s="325">
        <f t="shared" si="65"/>
        <v>0.18074752808407113</v>
      </c>
      <c r="F201" s="325">
        <f t="shared" si="65"/>
        <v>0.11189907435055235</v>
      </c>
      <c r="G201" s="325">
        <f t="shared" si="65"/>
        <v>0.21498405395514197</v>
      </c>
      <c r="H201" s="325">
        <f t="shared" si="65"/>
        <v>7.6778752436647224E-2</v>
      </c>
      <c r="I201" s="325">
        <f t="shared" si="65"/>
        <v>0.24316420529317151</v>
      </c>
      <c r="J201" s="325">
        <f t="shared" si="65"/>
        <v>0.26753803429123391</v>
      </c>
      <c r="K201" s="325">
        <f t="shared" si="65"/>
        <v>0.14422696978477911</v>
      </c>
      <c r="L201" s="325">
        <f t="shared" si="65"/>
        <v>3.9759305766218223E-2</v>
      </c>
      <c r="M201" s="325">
        <f t="shared" si="65"/>
        <v>3.9521424930282878E-2</v>
      </c>
      <c r="N201" s="325">
        <f t="shared" si="65"/>
        <v>0.17915739647137463</v>
      </c>
    </row>
    <row r="202" spans="1:17">
      <c r="A202" s="331" t="s">
        <v>230</v>
      </c>
      <c r="B202" s="178">
        <f t="shared" ref="B202:N202" si="66">B195+B197+B198+B199+B200</f>
        <v>367309</v>
      </c>
      <c r="C202" s="178">
        <f t="shared" si="66"/>
        <v>358849</v>
      </c>
      <c r="D202" s="178">
        <f t="shared" si="66"/>
        <v>366657</v>
      </c>
      <c r="E202" s="178">
        <f t="shared" si="66"/>
        <v>363712</v>
      </c>
      <c r="F202" s="178">
        <f t="shared" si="66"/>
        <v>382739</v>
      </c>
      <c r="G202" s="178">
        <f t="shared" si="66"/>
        <v>417686</v>
      </c>
      <c r="H202" s="178">
        <f t="shared" si="66"/>
        <v>395274</v>
      </c>
      <c r="I202" s="178">
        <f t="shared" si="66"/>
        <v>374477</v>
      </c>
      <c r="J202" s="178">
        <f t="shared" si="66"/>
        <v>305690</v>
      </c>
      <c r="K202" s="178">
        <f t="shared" si="66"/>
        <v>337875</v>
      </c>
      <c r="L202" s="178">
        <f t="shared" si="66"/>
        <v>343777</v>
      </c>
      <c r="M202" s="178">
        <f t="shared" si="66"/>
        <v>335515</v>
      </c>
      <c r="N202" s="178">
        <f t="shared" si="66"/>
        <v>4349560</v>
      </c>
    </row>
    <row r="203" spans="1:17">
      <c r="B203" s="325">
        <f t="shared" ref="B203:N203" si="67">+B202/B185-1</f>
        <v>0.17174420681910973</v>
      </c>
      <c r="C203" s="325">
        <f t="shared" si="67"/>
        <v>0.19839234309148357</v>
      </c>
      <c r="D203" s="325">
        <f t="shared" si="67"/>
        <v>0.16243318474931989</v>
      </c>
      <c r="E203" s="325">
        <f t="shared" si="67"/>
        <v>0.14225774539516034</v>
      </c>
      <c r="F203" s="325">
        <f t="shared" si="67"/>
        <v>0.16205474793845109</v>
      </c>
      <c r="G203" s="325">
        <f t="shared" si="67"/>
        <v>0.18402127171038263</v>
      </c>
      <c r="H203" s="325">
        <f t="shared" si="67"/>
        <v>6.5957240248532889E-2</v>
      </c>
      <c r="I203" s="325">
        <f t="shared" si="67"/>
        <v>0.25146458755944412</v>
      </c>
      <c r="J203" s="325">
        <f t="shared" si="67"/>
        <v>0.1043594180698908</v>
      </c>
      <c r="K203" s="325">
        <f t="shared" si="67"/>
        <v>7.7465934058925434E-2</v>
      </c>
      <c r="L203" s="325">
        <f t="shared" si="67"/>
        <v>5.1711056859829796E-2</v>
      </c>
      <c r="M203" s="325">
        <f t="shared" si="67"/>
        <v>9.0261846115851752E-2</v>
      </c>
      <c r="N203" s="325">
        <f t="shared" si="67"/>
        <v>0.13745835762117964</v>
      </c>
    </row>
    <row r="204" spans="1:17">
      <c r="A204" s="324" t="s">
        <v>744</v>
      </c>
      <c r="B204" s="154">
        <f t="shared" ref="B204:M204" si="68">+B208-B206</f>
        <v>208887</v>
      </c>
      <c r="C204" s="154">
        <f t="shared" si="68"/>
        <v>232031</v>
      </c>
      <c r="D204" s="154">
        <f t="shared" si="68"/>
        <v>224533</v>
      </c>
      <c r="E204" s="154">
        <f t="shared" si="68"/>
        <v>219716</v>
      </c>
      <c r="F204" s="154">
        <f t="shared" si="68"/>
        <v>244514</v>
      </c>
      <c r="G204" s="154">
        <f t="shared" si="68"/>
        <v>275773</v>
      </c>
      <c r="H204" s="154">
        <f t="shared" si="68"/>
        <v>263326</v>
      </c>
      <c r="I204" s="154">
        <f t="shared" si="68"/>
        <v>245221</v>
      </c>
      <c r="J204" s="154">
        <f t="shared" si="68"/>
        <v>185982</v>
      </c>
      <c r="K204" s="154">
        <f t="shared" si="68"/>
        <v>220879</v>
      </c>
      <c r="L204" s="154">
        <f t="shared" si="68"/>
        <v>221050</v>
      </c>
      <c r="M204" s="154">
        <f t="shared" si="68"/>
        <v>227824</v>
      </c>
      <c r="N204" s="154">
        <f>+N202-N206</f>
        <v>2769736</v>
      </c>
    </row>
    <row r="205" spans="1:17">
      <c r="A205" s="324" t="s">
        <v>1028</v>
      </c>
      <c r="B205" s="325">
        <f t="shared" ref="B205:N205" si="69">+B204/B187-1</f>
        <v>4.6732578008729098E-2</v>
      </c>
      <c r="C205" s="325">
        <f t="shared" si="69"/>
        <v>0.13808748369122714</v>
      </c>
      <c r="D205" s="325">
        <f t="shared" si="69"/>
        <v>0.11487204440957699</v>
      </c>
      <c r="E205" s="325">
        <f t="shared" si="69"/>
        <v>3.8252347356831251E-2</v>
      </c>
      <c r="F205" s="325">
        <f t="shared" si="69"/>
        <v>5.948367751943362E-2</v>
      </c>
      <c r="G205" s="325">
        <f t="shared" si="69"/>
        <v>9.9533908272829041E-2</v>
      </c>
      <c r="H205" s="325">
        <f t="shared" si="69"/>
        <v>1.1123953169577927E-2</v>
      </c>
      <c r="I205" s="325">
        <f t="shared" si="69"/>
        <v>0.17689885871704059</v>
      </c>
      <c r="J205" s="325">
        <f t="shared" si="69"/>
        <v>2.5174324063611087E-2</v>
      </c>
      <c r="K205" s="325">
        <f t="shared" si="69"/>
        <v>5.1519349509894896E-2</v>
      </c>
      <c r="L205" s="325">
        <f t="shared" si="69"/>
        <v>-1.5108647706969736E-2</v>
      </c>
      <c r="M205" s="325">
        <f t="shared" si="69"/>
        <v>-4.2168725352527137E-2</v>
      </c>
      <c r="N205" s="325">
        <f t="shared" si="69"/>
        <v>5.690466841511399E-2</v>
      </c>
    </row>
    <row r="206" spans="1:17">
      <c r="A206" s="324" t="s">
        <v>587</v>
      </c>
      <c r="B206" s="154">
        <v>158422</v>
      </c>
      <c r="C206" s="154">
        <v>126818</v>
      </c>
      <c r="D206" s="154">
        <v>142124</v>
      </c>
      <c r="E206" s="154">
        <v>143996</v>
      </c>
      <c r="F206" s="154">
        <v>138225</v>
      </c>
      <c r="G206" s="154">
        <v>141913</v>
      </c>
      <c r="H206" s="154">
        <v>131948</v>
      </c>
      <c r="I206" s="154">
        <v>129256</v>
      </c>
      <c r="J206" s="154">
        <v>119708</v>
      </c>
      <c r="K206" s="154">
        <v>116996</v>
      </c>
      <c r="L206" s="154">
        <v>122727</v>
      </c>
      <c r="M206" s="154">
        <v>107691</v>
      </c>
      <c r="N206" s="154">
        <f>SUM(B206:M206)</f>
        <v>1579824</v>
      </c>
    </row>
    <row r="207" spans="1:17">
      <c r="B207" s="325">
        <f t="shared" ref="B207:N207" si="70">+B206/B189-1</f>
        <v>0.39075242952831601</v>
      </c>
      <c r="C207" s="325">
        <f t="shared" si="70"/>
        <v>0.32704784228370509</v>
      </c>
      <c r="D207" s="325">
        <f t="shared" si="70"/>
        <v>0.2464393461025749</v>
      </c>
      <c r="E207" s="325">
        <f t="shared" si="70"/>
        <v>0.34835290372118277</v>
      </c>
      <c r="F207" s="325">
        <f t="shared" si="70"/>
        <v>0.40218912942035745</v>
      </c>
      <c r="G207" s="325">
        <f t="shared" si="70"/>
        <v>0.39184974499803849</v>
      </c>
      <c r="H207" s="325">
        <f t="shared" si="70"/>
        <v>0.19532191290641099</v>
      </c>
      <c r="I207" s="325">
        <f t="shared" si="70"/>
        <v>0.42244329749419496</v>
      </c>
      <c r="J207" s="325">
        <f t="shared" si="70"/>
        <v>0.25495869501404789</v>
      </c>
      <c r="K207" s="325">
        <f t="shared" si="70"/>
        <v>0.13011224233525875</v>
      </c>
      <c r="L207" s="325">
        <f t="shared" si="70"/>
        <v>0.19811974656604803</v>
      </c>
      <c r="M207" s="325">
        <f t="shared" si="70"/>
        <v>0.54099650849979963</v>
      </c>
      <c r="N207" s="325">
        <f t="shared" si="70"/>
        <v>0.31288985953837645</v>
      </c>
    </row>
    <row r="208" spans="1:17">
      <c r="A208" s="326" t="s">
        <v>230</v>
      </c>
      <c r="B208" s="178">
        <f t="shared" ref="B208:N208" si="71">+B202</f>
        <v>367309</v>
      </c>
      <c r="C208" s="178">
        <f t="shared" si="71"/>
        <v>358849</v>
      </c>
      <c r="D208" s="178">
        <f t="shared" si="71"/>
        <v>366657</v>
      </c>
      <c r="E208" s="178">
        <f t="shared" si="71"/>
        <v>363712</v>
      </c>
      <c r="F208" s="178">
        <f t="shared" si="71"/>
        <v>382739</v>
      </c>
      <c r="G208" s="178">
        <f t="shared" si="71"/>
        <v>417686</v>
      </c>
      <c r="H208" s="178">
        <f t="shared" si="71"/>
        <v>395274</v>
      </c>
      <c r="I208" s="178">
        <f t="shared" si="71"/>
        <v>374477</v>
      </c>
      <c r="J208" s="178">
        <f t="shared" si="71"/>
        <v>305690</v>
      </c>
      <c r="K208" s="178">
        <f t="shared" si="71"/>
        <v>337875</v>
      </c>
      <c r="L208" s="178">
        <f t="shared" si="71"/>
        <v>343777</v>
      </c>
      <c r="M208" s="178">
        <f t="shared" si="71"/>
        <v>335515</v>
      </c>
      <c r="N208" s="178">
        <f t="shared" si="71"/>
        <v>4349560</v>
      </c>
    </row>
    <row r="209" spans="1:17">
      <c r="B209" s="325">
        <f t="shared" ref="B209:N209" si="72">+B208/B191-1</f>
        <v>0.17174420681910973</v>
      </c>
      <c r="C209" s="325">
        <f t="shared" si="72"/>
        <v>0.19839234309148357</v>
      </c>
      <c r="D209" s="325">
        <f t="shared" si="72"/>
        <v>0.16243318474931989</v>
      </c>
      <c r="E209" s="325">
        <f t="shared" si="72"/>
        <v>0.14225774539516034</v>
      </c>
      <c r="F209" s="325">
        <f t="shared" si="72"/>
        <v>0.16205474793845109</v>
      </c>
      <c r="G209" s="325">
        <f t="shared" si="72"/>
        <v>0.18402127171038263</v>
      </c>
      <c r="H209" s="325">
        <f t="shared" si="72"/>
        <v>6.5957240248532889E-2</v>
      </c>
      <c r="I209" s="325">
        <f t="shared" si="72"/>
        <v>0.25146458755944412</v>
      </c>
      <c r="J209" s="325">
        <f t="shared" si="72"/>
        <v>0.1043594180698908</v>
      </c>
      <c r="K209" s="325">
        <f t="shared" si="72"/>
        <v>7.7465934058925434E-2</v>
      </c>
      <c r="L209" s="325">
        <f t="shared" si="72"/>
        <v>5.1711056859829796E-2</v>
      </c>
      <c r="M209" s="325">
        <f t="shared" si="72"/>
        <v>9.0261846115851752E-2</v>
      </c>
      <c r="N209" s="325">
        <f t="shared" si="72"/>
        <v>0.13745835762117964</v>
      </c>
    </row>
    <row r="210" spans="1:17">
      <c r="L210" s="325"/>
    </row>
    <row r="211" spans="1:17">
      <c r="A211" s="331" t="s">
        <v>938</v>
      </c>
      <c r="B211" s="327">
        <v>41000</v>
      </c>
      <c r="C211" s="327">
        <v>41030</v>
      </c>
      <c r="D211" s="327">
        <v>41061</v>
      </c>
      <c r="E211" s="327">
        <v>41091</v>
      </c>
      <c r="F211" s="327">
        <v>41122</v>
      </c>
      <c r="G211" s="327">
        <v>41153</v>
      </c>
      <c r="H211" s="327">
        <v>41183</v>
      </c>
      <c r="I211" s="327">
        <v>41214</v>
      </c>
      <c r="J211" s="327">
        <v>41244</v>
      </c>
      <c r="K211" s="327">
        <v>41275</v>
      </c>
      <c r="L211" s="327">
        <v>41306</v>
      </c>
      <c r="M211" s="327">
        <v>41334</v>
      </c>
      <c r="N211" s="178" t="s">
        <v>230</v>
      </c>
    </row>
    <row r="212" spans="1:17">
      <c r="A212" s="329" t="s">
        <v>576</v>
      </c>
      <c r="B212" s="154">
        <v>342432</v>
      </c>
      <c r="C212" s="154">
        <v>321922</v>
      </c>
      <c r="D212" s="154">
        <v>318377</v>
      </c>
      <c r="E212" s="154">
        <v>35292</v>
      </c>
      <c r="N212" s="154">
        <f>SUM(B212:M212)</f>
        <v>1018023</v>
      </c>
    </row>
    <row r="213" spans="1:17">
      <c r="A213" s="324" t="s">
        <v>989</v>
      </c>
      <c r="B213" s="325">
        <f t="shared" ref="B213:N213" si="73">+B212/B195-1</f>
        <v>6.2677859326268015E-2</v>
      </c>
      <c r="C213" s="325">
        <f t="shared" si="73"/>
        <v>1.2368352364390045E-2</v>
      </c>
      <c r="D213" s="325">
        <f t="shared" si="73"/>
        <v>-1.3784472798124114E-2</v>
      </c>
      <c r="E213" s="325">
        <f t="shared" si="73"/>
        <v>-0.88905201276348267</v>
      </c>
      <c r="F213" s="325">
        <f t="shared" si="73"/>
        <v>-1</v>
      </c>
      <c r="G213" s="325">
        <f t="shared" si="73"/>
        <v>-1</v>
      </c>
      <c r="H213" s="325">
        <f t="shared" si="73"/>
        <v>-1</v>
      </c>
      <c r="I213" s="325">
        <f t="shared" si="73"/>
        <v>-1</v>
      </c>
      <c r="J213" s="325">
        <f t="shared" si="73"/>
        <v>-1</v>
      </c>
      <c r="K213" s="325">
        <f t="shared" si="73"/>
        <v>-1</v>
      </c>
      <c r="L213" s="325">
        <f t="shared" si="73"/>
        <v>-1</v>
      </c>
      <c r="M213" s="325">
        <f t="shared" si="73"/>
        <v>-1</v>
      </c>
      <c r="N213" s="325">
        <f t="shared" si="73"/>
        <v>-0.73450300633344678</v>
      </c>
    </row>
    <row r="214" spans="1:17">
      <c r="A214" s="330" t="s">
        <v>939</v>
      </c>
      <c r="N214" s="154">
        <f>SUM(B214:M214)</f>
        <v>0</v>
      </c>
    </row>
    <row r="215" spans="1:17">
      <c r="A215" s="324" t="s">
        <v>940</v>
      </c>
      <c r="H215" s="346"/>
      <c r="L215" s="173"/>
      <c r="N215" s="154">
        <f>SUM(B215:M215)</f>
        <v>0</v>
      </c>
    </row>
    <row r="216" spans="1:17">
      <c r="A216" s="324" t="s">
        <v>941</v>
      </c>
      <c r="N216" s="154">
        <f>SUM(B216:M216)</f>
        <v>0</v>
      </c>
      <c r="O216" s="339">
        <f>891*0.25</f>
        <v>222.75</v>
      </c>
    </row>
    <row r="217" spans="1:17" ht="12.75">
      <c r="A217" s="330" t="s">
        <v>609</v>
      </c>
      <c r="B217" s="154">
        <v>39266</v>
      </c>
      <c r="C217" s="154">
        <v>30297</v>
      </c>
      <c r="D217" s="154">
        <v>26785</v>
      </c>
      <c r="E217" s="154">
        <v>344150</v>
      </c>
      <c r="F217" s="345"/>
      <c r="N217" s="154">
        <f>SUM(B217:M217)</f>
        <v>440498</v>
      </c>
      <c r="O217" s="347">
        <f>+O216/2852</f>
        <v>7.8103085553997198E-2</v>
      </c>
      <c r="Q217" s="325"/>
    </row>
    <row r="218" spans="1:17">
      <c r="A218" s="330"/>
      <c r="B218" s="325">
        <f t="shared" ref="B218:N218" si="74">+B217/B200-1</f>
        <v>-0.12885477215246044</v>
      </c>
      <c r="C218" s="325">
        <f t="shared" si="74"/>
        <v>-0.25851688693098385</v>
      </c>
      <c r="D218" s="325">
        <f t="shared" si="74"/>
        <v>-0.38888888888888884</v>
      </c>
      <c r="E218" s="325">
        <f t="shared" si="74"/>
        <v>6.5443365412017451</v>
      </c>
      <c r="F218" s="325">
        <f t="shared" si="74"/>
        <v>-1</v>
      </c>
      <c r="G218" s="325">
        <f t="shared" si="74"/>
        <v>-1</v>
      </c>
      <c r="H218" s="325">
        <f t="shared" si="74"/>
        <v>-1</v>
      </c>
      <c r="I218" s="325">
        <f t="shared" si="74"/>
        <v>-1</v>
      </c>
      <c r="J218" s="325">
        <f t="shared" si="74"/>
        <v>-1</v>
      </c>
      <c r="K218" s="325">
        <f t="shared" si="74"/>
        <v>-1</v>
      </c>
      <c r="L218" s="325">
        <f t="shared" si="74"/>
        <v>-1</v>
      </c>
      <c r="M218" s="325">
        <f t="shared" si="74"/>
        <v>-1</v>
      </c>
      <c r="N218" s="325">
        <f t="shared" si="74"/>
        <v>-0.14492143141384628</v>
      </c>
    </row>
    <row r="219" spans="1:17">
      <c r="A219" s="331" t="s">
        <v>230</v>
      </c>
      <c r="B219" s="178">
        <f t="shared" ref="B219:N219" si="75">B212+B214+B215+B216+B217</f>
        <v>381698</v>
      </c>
      <c r="C219" s="178">
        <f t="shared" si="75"/>
        <v>352219</v>
      </c>
      <c r="D219" s="178">
        <f t="shared" si="75"/>
        <v>345162</v>
      </c>
      <c r="E219" s="178">
        <f t="shared" si="75"/>
        <v>379442</v>
      </c>
      <c r="F219" s="178">
        <f t="shared" si="75"/>
        <v>0</v>
      </c>
      <c r="G219" s="178">
        <f t="shared" si="75"/>
        <v>0</v>
      </c>
      <c r="H219" s="178">
        <f t="shared" si="75"/>
        <v>0</v>
      </c>
      <c r="I219" s="178">
        <f t="shared" si="75"/>
        <v>0</v>
      </c>
      <c r="J219" s="178">
        <f t="shared" si="75"/>
        <v>0</v>
      </c>
      <c r="K219" s="178">
        <f t="shared" si="75"/>
        <v>0</v>
      </c>
      <c r="L219" s="178">
        <f t="shared" si="75"/>
        <v>0</v>
      </c>
      <c r="M219" s="178">
        <f t="shared" si="75"/>
        <v>0</v>
      </c>
      <c r="N219" s="178">
        <f t="shared" si="75"/>
        <v>1458521</v>
      </c>
    </row>
    <row r="220" spans="1:17">
      <c r="B220" s="325">
        <f t="shared" ref="B220:N220" si="76">+B219/B202-1</f>
        <v>3.917410136969135E-2</v>
      </c>
      <c r="C220" s="325">
        <f t="shared" si="76"/>
        <v>-1.8475737705831663E-2</v>
      </c>
      <c r="D220" s="325">
        <f t="shared" si="76"/>
        <v>-5.8624272821737988E-2</v>
      </c>
      <c r="E220" s="325">
        <f t="shared" si="76"/>
        <v>4.3248504311103275E-2</v>
      </c>
      <c r="F220" s="325">
        <f t="shared" si="76"/>
        <v>-1</v>
      </c>
      <c r="G220" s="325">
        <f t="shared" si="76"/>
        <v>-1</v>
      </c>
      <c r="H220" s="325">
        <f t="shared" si="76"/>
        <v>-1</v>
      </c>
      <c r="I220" s="325">
        <f t="shared" si="76"/>
        <v>-1</v>
      </c>
      <c r="J220" s="325">
        <f t="shared" si="76"/>
        <v>-1</v>
      </c>
      <c r="K220" s="325">
        <f t="shared" si="76"/>
        <v>-1</v>
      </c>
      <c r="L220" s="325">
        <f t="shared" si="76"/>
        <v>-1</v>
      </c>
      <c r="M220" s="325">
        <f t="shared" si="76"/>
        <v>-1</v>
      </c>
      <c r="N220" s="325">
        <f t="shared" si="76"/>
        <v>-0.66467389804945787</v>
      </c>
    </row>
    <row r="221" spans="1:17">
      <c r="A221" s="324" t="s">
        <v>744</v>
      </c>
      <c r="B221" s="154">
        <f t="shared" ref="B221:M221" si="77">+B225-B223</f>
        <v>212688</v>
      </c>
      <c r="C221" s="154">
        <f t="shared" si="77"/>
        <v>221646</v>
      </c>
      <c r="D221" s="154">
        <f t="shared" si="77"/>
        <v>229100</v>
      </c>
      <c r="E221" s="154">
        <f t="shared" si="77"/>
        <v>160793</v>
      </c>
      <c r="F221" s="154">
        <f t="shared" si="77"/>
        <v>0</v>
      </c>
      <c r="G221" s="154">
        <f t="shared" si="77"/>
        <v>0</v>
      </c>
      <c r="H221" s="154">
        <f t="shared" si="77"/>
        <v>0</v>
      </c>
      <c r="I221" s="154">
        <f t="shared" si="77"/>
        <v>0</v>
      </c>
      <c r="J221" s="154">
        <f t="shared" si="77"/>
        <v>0</v>
      </c>
      <c r="K221" s="154">
        <f t="shared" si="77"/>
        <v>0</v>
      </c>
      <c r="L221" s="154">
        <f t="shared" si="77"/>
        <v>0</v>
      </c>
      <c r="M221" s="154">
        <f t="shared" si="77"/>
        <v>0</v>
      </c>
      <c r="N221" s="154">
        <f>+N219-N223</f>
        <v>824227</v>
      </c>
    </row>
    <row r="222" spans="1:17">
      <c r="A222" s="324" t="s">
        <v>1028</v>
      </c>
      <c r="B222" s="325">
        <f t="shared" ref="B222:N222" si="78">+B221/B204-1</f>
        <v>1.8196441138031538E-2</v>
      </c>
      <c r="C222" s="325">
        <f t="shared" si="78"/>
        <v>-4.4756950579879384E-2</v>
      </c>
      <c r="D222" s="325">
        <f t="shared" si="78"/>
        <v>2.0339994566500152E-2</v>
      </c>
      <c r="E222" s="325">
        <f t="shared" si="78"/>
        <v>-0.26817801161499388</v>
      </c>
      <c r="F222" s="325">
        <f t="shared" si="78"/>
        <v>-1</v>
      </c>
      <c r="G222" s="325">
        <f t="shared" si="78"/>
        <v>-1</v>
      </c>
      <c r="H222" s="325">
        <f t="shared" si="78"/>
        <v>-1</v>
      </c>
      <c r="I222" s="325">
        <f t="shared" si="78"/>
        <v>-1</v>
      </c>
      <c r="J222" s="325">
        <f t="shared" si="78"/>
        <v>-1</v>
      </c>
      <c r="K222" s="325">
        <f t="shared" si="78"/>
        <v>-1</v>
      </c>
      <c r="L222" s="325">
        <f t="shared" si="78"/>
        <v>-1</v>
      </c>
      <c r="M222" s="325">
        <f t="shared" si="78"/>
        <v>-1</v>
      </c>
      <c r="N222" s="325">
        <f t="shared" si="78"/>
        <v>-0.70241676463027525</v>
      </c>
    </row>
    <row r="223" spans="1:17">
      <c r="A223" s="324" t="s">
        <v>587</v>
      </c>
      <c r="B223" s="154">
        <v>169010</v>
      </c>
      <c r="C223" s="154">
        <v>130573</v>
      </c>
      <c r="D223" s="154">
        <v>116062</v>
      </c>
      <c r="E223" s="154">
        <v>218649</v>
      </c>
      <c r="N223" s="154">
        <f>SUM(B223:M223)</f>
        <v>634294</v>
      </c>
    </row>
    <row r="224" spans="1:17">
      <c r="B224" s="325">
        <f t="shared" ref="B224:N224" si="79">+B223/B206-1</f>
        <v>6.6834151822347865E-2</v>
      </c>
      <c r="C224" s="325">
        <f t="shared" si="79"/>
        <v>2.9609361447113125E-2</v>
      </c>
      <c r="D224" s="325">
        <f>+D223/D206-1</f>
        <v>-0.18337508091525712</v>
      </c>
      <c r="E224" s="325">
        <f t="shared" si="79"/>
        <v>0.51843801216700469</v>
      </c>
      <c r="F224" s="325">
        <f t="shared" si="79"/>
        <v>-1</v>
      </c>
      <c r="G224" s="325">
        <f t="shared" si="79"/>
        <v>-1</v>
      </c>
      <c r="H224" s="325">
        <f t="shared" si="79"/>
        <v>-1</v>
      </c>
      <c r="I224" s="325">
        <f t="shared" si="79"/>
        <v>-1</v>
      </c>
      <c r="J224" s="325">
        <f t="shared" si="79"/>
        <v>-1</v>
      </c>
      <c r="K224" s="325">
        <f t="shared" si="79"/>
        <v>-1</v>
      </c>
      <c r="L224" s="325">
        <f t="shared" si="79"/>
        <v>-1</v>
      </c>
      <c r="M224" s="325">
        <f t="shared" si="79"/>
        <v>-1</v>
      </c>
      <c r="N224" s="325">
        <f t="shared" si="79"/>
        <v>-0.59850337759142791</v>
      </c>
    </row>
    <row r="225" spans="1:14">
      <c r="A225" s="326" t="s">
        <v>230</v>
      </c>
      <c r="B225" s="178">
        <f t="shared" ref="B225:N225" si="80">+B219</f>
        <v>381698</v>
      </c>
      <c r="C225" s="178">
        <f t="shared" si="80"/>
        <v>352219</v>
      </c>
      <c r="D225" s="178">
        <f t="shared" si="80"/>
        <v>345162</v>
      </c>
      <c r="E225" s="178">
        <f t="shared" si="80"/>
        <v>379442</v>
      </c>
      <c r="F225" s="178">
        <f t="shared" si="80"/>
        <v>0</v>
      </c>
      <c r="G225" s="178">
        <f t="shared" si="80"/>
        <v>0</v>
      </c>
      <c r="H225" s="178">
        <f t="shared" si="80"/>
        <v>0</v>
      </c>
      <c r="I225" s="178">
        <f t="shared" si="80"/>
        <v>0</v>
      </c>
      <c r="J225" s="178">
        <f t="shared" si="80"/>
        <v>0</v>
      </c>
      <c r="K225" s="178">
        <f t="shared" si="80"/>
        <v>0</v>
      </c>
      <c r="L225" s="178">
        <f t="shared" si="80"/>
        <v>0</v>
      </c>
      <c r="M225" s="178">
        <f t="shared" si="80"/>
        <v>0</v>
      </c>
      <c r="N225" s="178">
        <f t="shared" si="80"/>
        <v>1458521</v>
      </c>
    </row>
    <row r="226" spans="1:14">
      <c r="B226" s="325">
        <f t="shared" ref="B226:N226" si="81">+B225/B208-1</f>
        <v>3.917410136969135E-2</v>
      </c>
      <c r="C226" s="325">
        <f t="shared" si="81"/>
        <v>-1.8475737705831663E-2</v>
      </c>
      <c r="D226" s="325">
        <f t="shared" si="81"/>
        <v>-5.8624272821737988E-2</v>
      </c>
      <c r="E226" s="325">
        <f t="shared" si="81"/>
        <v>4.3248504311103275E-2</v>
      </c>
      <c r="F226" s="325">
        <f t="shared" si="81"/>
        <v>-1</v>
      </c>
      <c r="G226" s="325">
        <f t="shared" si="81"/>
        <v>-1</v>
      </c>
      <c r="H226" s="325">
        <f t="shared" si="81"/>
        <v>-1</v>
      </c>
      <c r="I226" s="325">
        <f t="shared" si="81"/>
        <v>-1</v>
      </c>
      <c r="J226" s="325">
        <f t="shared" si="81"/>
        <v>-1</v>
      </c>
      <c r="K226" s="325">
        <f t="shared" si="81"/>
        <v>-1</v>
      </c>
      <c r="L226" s="325">
        <f t="shared" si="81"/>
        <v>-1</v>
      </c>
      <c r="M226" s="325">
        <f t="shared" si="81"/>
        <v>-1</v>
      </c>
      <c r="N226" s="325">
        <f t="shared" si="81"/>
        <v>-0.66467389804945787</v>
      </c>
    </row>
    <row r="227" spans="1:14">
      <c r="B227" s="325"/>
      <c r="L227" s="325"/>
    </row>
    <row r="230" spans="1:14" s="350" customFormat="1">
      <c r="A230" s="348" t="s">
        <v>1030</v>
      </c>
      <c r="B230" s="349">
        <v>39387</v>
      </c>
      <c r="C230" s="349">
        <v>39022</v>
      </c>
      <c r="D230" s="349" t="s">
        <v>1031</v>
      </c>
      <c r="E230" s="349" t="s">
        <v>1032</v>
      </c>
      <c r="N230" s="344" t="e">
        <f>+N160/252</f>
        <v>#VALUE!</v>
      </c>
    </row>
    <row r="231" spans="1:14">
      <c r="A231" s="324" t="s">
        <v>1033</v>
      </c>
      <c r="B231" s="154">
        <v>245000</v>
      </c>
      <c r="C231" s="154">
        <v>214000</v>
      </c>
      <c r="D231" s="154">
        <v>493000</v>
      </c>
      <c r="E231" s="154">
        <v>465000</v>
      </c>
    </row>
    <row r="232" spans="1:14">
      <c r="A232" s="351" t="s">
        <v>1034</v>
      </c>
      <c r="B232" s="154">
        <f>275000+10000</f>
        <v>285000</v>
      </c>
      <c r="C232" s="154">
        <v>280000</v>
      </c>
      <c r="D232" s="154">
        <v>650000</v>
      </c>
      <c r="E232" s="154">
        <v>643000</v>
      </c>
      <c r="J232" s="325"/>
      <c r="N232" s="154">
        <f>57-45</f>
        <v>12</v>
      </c>
    </row>
    <row r="233" spans="1:14">
      <c r="A233" s="324" t="s">
        <v>1035</v>
      </c>
      <c r="B233" s="154">
        <v>80000</v>
      </c>
      <c r="C233" s="154">
        <v>69000</v>
      </c>
      <c r="D233" s="154">
        <f>+B233+68000</f>
        <v>148000</v>
      </c>
      <c r="E233" s="154">
        <v>161000</v>
      </c>
      <c r="J233" s="344">
        <f>1.04790419161677-1</f>
        <v>4.7904191616769953E-2</v>
      </c>
      <c r="N233" s="344">
        <f>+N232/57</f>
        <v>0.21052631578947367</v>
      </c>
    </row>
    <row r="236" spans="1:14">
      <c r="A236" s="326"/>
      <c r="B236" s="349">
        <v>39387</v>
      </c>
      <c r="C236" s="349">
        <v>39022</v>
      </c>
      <c r="D236" s="349" t="s">
        <v>1028</v>
      </c>
      <c r="E236" s="349" t="s">
        <v>1036</v>
      </c>
      <c r="F236" s="178" t="s">
        <v>1037</v>
      </c>
      <c r="G236" s="349" t="s">
        <v>1028</v>
      </c>
    </row>
    <row r="237" spans="1:14">
      <c r="A237" s="324" t="s">
        <v>768</v>
      </c>
      <c r="B237" s="154">
        <v>209876</v>
      </c>
      <c r="C237" s="154">
        <v>214321</v>
      </c>
      <c r="D237" s="352">
        <f>(+B237/C237-1)*100</f>
        <v>-2.0739918160142978</v>
      </c>
      <c r="E237" s="154">
        <v>1483741</v>
      </c>
      <c r="F237" s="154">
        <v>1656591</v>
      </c>
      <c r="G237" s="352">
        <f t="shared" ref="G237:G243" si="82">(+E237/F237-1)*100</f>
        <v>-10.434078176206441</v>
      </c>
    </row>
    <row r="238" spans="1:14">
      <c r="A238" s="324" t="s">
        <v>1038</v>
      </c>
      <c r="B238" s="154">
        <v>1724</v>
      </c>
      <c r="C238" s="154">
        <v>8</v>
      </c>
      <c r="D238" s="352"/>
      <c r="E238" s="154">
        <v>17501</v>
      </c>
      <c r="F238" s="154">
        <v>12469</v>
      </c>
      <c r="G238" s="352">
        <f t="shared" si="82"/>
        <v>40.35608308605341</v>
      </c>
    </row>
    <row r="239" spans="1:14" s="178" customFormat="1">
      <c r="A239" s="326" t="s">
        <v>1039</v>
      </c>
      <c r="B239" s="178">
        <f>+B237+B238</f>
        <v>211600</v>
      </c>
      <c r="C239" s="178">
        <f>+C237+C238</f>
        <v>214329</v>
      </c>
      <c r="D239" s="353">
        <f>(+B239/C239-1)*100</f>
        <v>-1.2732761315547569</v>
      </c>
      <c r="E239" s="178">
        <f>+E237+E238</f>
        <v>1501242</v>
      </c>
      <c r="F239" s="178">
        <f>+F237+F238</f>
        <v>1669060</v>
      </c>
      <c r="G239" s="353">
        <f t="shared" si="82"/>
        <v>-10.054641534756092</v>
      </c>
    </row>
    <row r="240" spans="1:14">
      <c r="A240" s="324" t="s">
        <v>609</v>
      </c>
      <c r="B240" s="154">
        <v>24197</v>
      </c>
      <c r="C240" s="154">
        <v>29384</v>
      </c>
      <c r="D240" s="352">
        <f>(+B240/C240-1)*100</f>
        <v>-17.652463925946094</v>
      </c>
      <c r="E240" s="154">
        <v>198417</v>
      </c>
      <c r="F240" s="154">
        <v>209449</v>
      </c>
      <c r="G240" s="352">
        <f t="shared" si="82"/>
        <v>-5.2671533404313191</v>
      </c>
    </row>
    <row r="241" spans="1:8" s="178" customFormat="1">
      <c r="A241" s="326" t="s">
        <v>230</v>
      </c>
      <c r="B241" s="178">
        <f>+B239+B240</f>
        <v>235797</v>
      </c>
      <c r="C241" s="178">
        <f>+C239+C240</f>
        <v>243713</v>
      </c>
      <c r="D241" s="353">
        <f>(+B241/C241-1)*100</f>
        <v>-3.2480827858998085</v>
      </c>
      <c r="E241" s="178">
        <f>+E239+E240</f>
        <v>1699659</v>
      </c>
      <c r="F241" s="178">
        <f>+F239+F240</f>
        <v>1878509</v>
      </c>
      <c r="G241" s="353">
        <f t="shared" si="82"/>
        <v>-9.5208487156569372</v>
      </c>
    </row>
    <row r="242" spans="1:8">
      <c r="A242" s="324" t="s">
        <v>744</v>
      </c>
      <c r="B242" s="154">
        <f>+B241-B243</f>
        <v>189502</v>
      </c>
      <c r="C242" s="154">
        <f>+C241-C243</f>
        <v>207627</v>
      </c>
      <c r="D242" s="352">
        <f>(+B242/C242-1)*100</f>
        <v>-8.7295968250757365</v>
      </c>
      <c r="E242" s="154">
        <f>+E241-E243</f>
        <v>1289814</v>
      </c>
      <c r="F242" s="154">
        <f>+F241-F243</f>
        <v>1592165</v>
      </c>
      <c r="G242" s="352">
        <f t="shared" si="82"/>
        <v>-18.989928807629862</v>
      </c>
    </row>
    <row r="243" spans="1:8">
      <c r="A243" s="324" t="s">
        <v>587</v>
      </c>
      <c r="B243" s="154">
        <v>46295</v>
      </c>
      <c r="C243" s="154">
        <v>36086</v>
      </c>
      <c r="D243" s="352">
        <f>(+B243/C243-1)*100</f>
        <v>28.290749875297895</v>
      </c>
      <c r="E243" s="154">
        <v>409845</v>
      </c>
      <c r="F243" s="154">
        <v>286344</v>
      </c>
      <c r="G243" s="352">
        <f t="shared" si="82"/>
        <v>43.130290838990874</v>
      </c>
    </row>
    <row r="246" spans="1:8">
      <c r="A246" s="413"/>
      <c r="B246" s="1715" t="s">
        <v>425</v>
      </c>
      <c r="C246" s="1715"/>
      <c r="D246" s="414"/>
      <c r="E246" s="414"/>
    </row>
    <row r="247" spans="1:8">
      <c r="A247" s="411" t="s">
        <v>429</v>
      </c>
      <c r="B247" s="415" t="s">
        <v>395</v>
      </c>
      <c r="C247" s="415" t="s">
        <v>279</v>
      </c>
      <c r="D247" s="415" t="s">
        <v>620</v>
      </c>
      <c r="E247" s="415" t="s">
        <v>430</v>
      </c>
    </row>
    <row r="248" spans="1:8">
      <c r="A248" s="324" t="s">
        <v>540</v>
      </c>
      <c r="B248" s="346">
        <v>1.8</v>
      </c>
      <c r="C248" s="346">
        <v>1.8</v>
      </c>
      <c r="D248" s="173">
        <v>1.1200000000000001</v>
      </c>
    </row>
    <row r="249" spans="1:8">
      <c r="A249" s="324" t="s">
        <v>539</v>
      </c>
      <c r="B249" s="346">
        <v>1.2</v>
      </c>
      <c r="C249" s="346">
        <v>1.2</v>
      </c>
      <c r="D249" s="173">
        <v>0.88</v>
      </c>
      <c r="E249" s="154" t="s">
        <v>423</v>
      </c>
    </row>
    <row r="250" spans="1:8">
      <c r="A250" s="324" t="s">
        <v>426</v>
      </c>
      <c r="B250" s="346">
        <v>1.5</v>
      </c>
      <c r="C250" s="346">
        <v>1.8</v>
      </c>
      <c r="D250" s="1714">
        <v>2.2200000000000002</v>
      </c>
      <c r="E250" s="154" t="s">
        <v>428</v>
      </c>
    </row>
    <row r="251" spans="1:8">
      <c r="A251" s="324" t="s">
        <v>427</v>
      </c>
      <c r="B251" s="346">
        <v>0.6</v>
      </c>
      <c r="C251" s="346">
        <v>0.6</v>
      </c>
      <c r="D251" s="1714"/>
    </row>
    <row r="252" spans="1:8">
      <c r="A252" s="411" t="s">
        <v>230</v>
      </c>
      <c r="B252" s="412">
        <f>+SUM(B248:B251)</f>
        <v>5.0999999999999996</v>
      </c>
      <c r="C252" s="412">
        <f>+SUM(C248:C251)</f>
        <v>5.3999999999999995</v>
      </c>
      <c r="D252" s="406"/>
      <c r="E252" s="406"/>
    </row>
    <row r="254" spans="1:8">
      <c r="B254" s="407" t="s">
        <v>229</v>
      </c>
      <c r="C254" s="408" t="s">
        <v>668</v>
      </c>
      <c r="D254" s="408" t="s">
        <v>314</v>
      </c>
      <c r="E254" s="408" t="s">
        <v>612</v>
      </c>
      <c r="F254" s="408" t="s">
        <v>195</v>
      </c>
      <c r="G254" s="408" t="s">
        <v>395</v>
      </c>
      <c r="H254" s="408" t="s">
        <v>279</v>
      </c>
    </row>
    <row r="255" spans="1:8">
      <c r="B255" s="405" t="s">
        <v>424</v>
      </c>
      <c r="C255" s="405">
        <v>1187</v>
      </c>
      <c r="D255" s="405">
        <v>1148</v>
      </c>
      <c r="E255" s="405">
        <v>1347.6</v>
      </c>
      <c r="F255" s="405">
        <v>1246</v>
      </c>
      <c r="G255" s="405">
        <v>1559.2</v>
      </c>
      <c r="H255" s="405">
        <v>2385.9</v>
      </c>
    </row>
    <row r="256" spans="1:8">
      <c r="B256" s="409" t="s">
        <v>927</v>
      </c>
      <c r="C256" s="410">
        <f>+C255/'Inc Stmt'!H9*100</f>
        <v>1.3164096507133787</v>
      </c>
      <c r="D256" s="410">
        <f>+D255/'Inc Stmt'!I9*100</f>
        <v>1.3023536525461126</v>
      </c>
      <c r="E256" s="410">
        <f>+E255/'Inc Stmt'!J9*100</f>
        <v>1.1337259926622454</v>
      </c>
      <c r="F256" s="410">
        <f>+F255/'Inc Stmt'!K9*100</f>
        <v>0.75983810447834921</v>
      </c>
      <c r="G256" s="410">
        <f>+G255/'Inc Stmt'!L9*100</f>
        <v>0.79840319361277456</v>
      </c>
      <c r="H256" s="410">
        <f>+H255/'Inc Stmt'!M9*100</f>
        <v>1.1931140531823126</v>
      </c>
    </row>
    <row r="259" spans="3:6">
      <c r="C259" s="407" t="s">
        <v>229</v>
      </c>
      <c r="D259" s="408" t="s">
        <v>395</v>
      </c>
      <c r="E259" s="408" t="s">
        <v>279</v>
      </c>
      <c r="F259" s="408" t="s">
        <v>579</v>
      </c>
    </row>
    <row r="260" spans="3:6">
      <c r="C260" s="154" t="s">
        <v>667</v>
      </c>
      <c r="D260" s="154">
        <f>+Cashflow!L9</f>
        <v>40261.699999999997</v>
      </c>
      <c r="E260" s="154">
        <f>+Cashflow!M9</f>
        <v>42662.3</v>
      </c>
      <c r="F260" s="346">
        <f>+(E260/D260-1)*100</f>
        <v>5.9624904065153972</v>
      </c>
    </row>
    <row r="261" spans="3:6">
      <c r="C261" s="154" t="s">
        <v>2</v>
      </c>
      <c r="D261" s="154">
        <f>+Cashflow!L10+Cashflow!L11+Cashflow!L12+Cashflow!L13+Cashflow!L14+Cashflow!L15+Cashflow!L16</f>
        <v>-169.20000000000016</v>
      </c>
      <c r="E261" s="154">
        <f>+Cashflow!M10+Cashflow!M11+Cashflow!M12+Cashflow!M13+Cashflow!M14+Cashflow!M15+Cashflow!M16</f>
        <v>-3401.7</v>
      </c>
    </row>
    <row r="262" spans="3:6">
      <c r="C262" s="154" t="s">
        <v>1</v>
      </c>
      <c r="D262" s="154">
        <f>+Cashflow!L17+Cashflow!L18+Cashflow!L19</f>
        <v>192.9</v>
      </c>
      <c r="E262" s="154">
        <f>+Cashflow!M17+Cashflow!M18+Cashflow!M19</f>
        <v>-309.90000000000003</v>
      </c>
    </row>
    <row r="263" spans="3:6">
      <c r="C263" s="178" t="s">
        <v>230</v>
      </c>
      <c r="D263" s="178">
        <f>+SUM(D260:D262)</f>
        <v>40285.4</v>
      </c>
      <c r="E263" s="178">
        <f>+SUM(E260:E262)</f>
        <v>38950.700000000004</v>
      </c>
      <c r="F263" s="154">
        <f>+(E263/D263-1)*100</f>
        <v>-3.3131109533478531</v>
      </c>
    </row>
    <row r="264" spans="3:6">
      <c r="C264" s="414" t="s">
        <v>3</v>
      </c>
      <c r="D264" s="418"/>
      <c r="E264" s="418"/>
      <c r="F264" s="418"/>
    </row>
    <row r="265" spans="3:6">
      <c r="C265" s="405" t="s">
        <v>4</v>
      </c>
      <c r="D265" s="405">
        <f>+Cashflow!L20+Cashflow!L21+Cashflow!L22+Cashflow!L23</f>
        <v>-1989.4</v>
      </c>
      <c r="E265" s="405">
        <f>+Cashflow!M20+Cashflow!M21+Cashflow!M22+Cashflow!M23</f>
        <v>-5006.7000000000007</v>
      </c>
      <c r="F265" s="405"/>
    </row>
    <row r="266" spans="3:6">
      <c r="C266" s="405" t="s">
        <v>557</v>
      </c>
      <c r="D266" s="405">
        <f>+Cashflow!L24+Cashflow!L25</f>
        <v>2978.1</v>
      </c>
      <c r="E266" s="405">
        <f>+Cashflow!M24+Cashflow!M25</f>
        <v>-4.5999999999999996</v>
      </c>
      <c r="F266" s="405"/>
    </row>
    <row r="267" spans="3:6">
      <c r="C267" s="406" t="s">
        <v>230</v>
      </c>
      <c r="D267" s="406">
        <f>+D265+D266</f>
        <v>988.69999999999982</v>
      </c>
      <c r="E267" s="406">
        <f>+E265+E266</f>
        <v>-5011.3000000000011</v>
      </c>
      <c r="F267" s="154">
        <f>+(E267/D267-1)*100</f>
        <v>-606.85748963285141</v>
      </c>
    </row>
    <row r="268" spans="3:6">
      <c r="C268" s="418" t="s">
        <v>554</v>
      </c>
      <c r="D268" s="418">
        <f>+Cashflow!L27+Cashflow!L28</f>
        <v>-11674.7</v>
      </c>
      <c r="E268" s="418">
        <f>+Cashflow!M27+Cashflow!M28</f>
        <v>-12595.7</v>
      </c>
      <c r="F268" s="418"/>
    </row>
    <row r="269" spans="3:6">
      <c r="C269" s="419" t="s">
        <v>5</v>
      </c>
      <c r="D269" s="419">
        <f>+D263+D267+D268</f>
        <v>29599.399999999998</v>
      </c>
      <c r="E269" s="419">
        <f>+E263+E267+E268</f>
        <v>21343.7</v>
      </c>
      <c r="F269" s="154">
        <f>+(E269/D269-1)*100</f>
        <v>-27.891443745481315</v>
      </c>
    </row>
    <row r="270" spans="3:6">
      <c r="C270" s="405" t="s">
        <v>1619</v>
      </c>
      <c r="D270" s="405">
        <f>+Cashflow!L31</f>
        <v>-1089.8</v>
      </c>
      <c r="E270" s="405">
        <f>+Cashflow!M31</f>
        <v>-5485.6</v>
      </c>
      <c r="F270" s="405"/>
    </row>
    <row r="271" spans="3:6">
      <c r="C271" s="415" t="s">
        <v>1291</v>
      </c>
      <c r="D271" s="415">
        <f>+D269+D270</f>
        <v>28509.599999999999</v>
      </c>
      <c r="E271" s="415">
        <f>+E269+E270</f>
        <v>15858.1</v>
      </c>
      <c r="F271" s="415">
        <f>+(E271/D271-1)*100</f>
        <v>-44.376280270505376</v>
      </c>
    </row>
    <row r="273" spans="3:7">
      <c r="C273" s="407" t="s">
        <v>229</v>
      </c>
      <c r="D273" s="408" t="s">
        <v>395</v>
      </c>
      <c r="E273" s="408" t="s">
        <v>279</v>
      </c>
      <c r="F273" s="408" t="s">
        <v>579</v>
      </c>
    </row>
    <row r="274" spans="3:7">
      <c r="C274" s="405" t="s">
        <v>2208</v>
      </c>
      <c r="D274" s="405">
        <f>+Investments!D4</f>
        <v>11246.800000000001</v>
      </c>
      <c r="E274" s="405">
        <f>+Investments!E4</f>
        <v>12187.5</v>
      </c>
      <c r="F274" s="154">
        <f t="shared" ref="F274:F279" si="83">+(E274/D274-1)*100</f>
        <v>8.3641569157449034</v>
      </c>
    </row>
    <row r="275" spans="3:7">
      <c r="C275" s="405" t="s">
        <v>2212</v>
      </c>
      <c r="D275" s="405">
        <f>+Investments!D12</f>
        <v>1390</v>
      </c>
      <c r="E275" s="405">
        <f>+Investments!E12</f>
        <v>12280</v>
      </c>
      <c r="F275" s="154">
        <f t="shared" si="83"/>
        <v>783.45323741007201</v>
      </c>
    </row>
    <row r="276" spans="3:7">
      <c r="C276" s="405" t="s">
        <v>6</v>
      </c>
      <c r="D276" s="405">
        <f>+Investments!D17</f>
        <v>23675</v>
      </c>
      <c r="E276" s="405">
        <f>+Investments!E17</f>
        <v>23675</v>
      </c>
      <c r="F276" s="154">
        <f t="shared" si="83"/>
        <v>0</v>
      </c>
    </row>
    <row r="277" spans="3:7">
      <c r="C277" s="405" t="s">
        <v>7</v>
      </c>
      <c r="D277" s="405">
        <f>+Investments!D18</f>
        <v>5607.8</v>
      </c>
      <c r="E277" s="405">
        <f>+Investments!E18</f>
        <v>15457.5</v>
      </c>
      <c r="F277" s="154">
        <f t="shared" si="83"/>
        <v>175.64285459538499</v>
      </c>
    </row>
    <row r="278" spans="3:7">
      <c r="C278" s="405" t="s">
        <v>741</v>
      </c>
      <c r="D278" s="405">
        <f>+Investments!D20</f>
        <v>687.7</v>
      </c>
      <c r="E278" s="405">
        <f>+Investments!E20</f>
        <v>704.7</v>
      </c>
      <c r="F278" s="154">
        <f t="shared" si="83"/>
        <v>2.4720081430856577</v>
      </c>
    </row>
    <row r="279" spans="3:7">
      <c r="C279" s="407" t="s">
        <v>230</v>
      </c>
      <c r="D279" s="407">
        <f>+SUM(D274:D278)</f>
        <v>42607.3</v>
      </c>
      <c r="E279" s="407">
        <f>+SUM(E274:E278)</f>
        <v>64304.7</v>
      </c>
      <c r="F279" s="407">
        <f t="shared" si="83"/>
        <v>50.924137413072401</v>
      </c>
    </row>
    <row r="281" spans="3:7">
      <c r="C281" s="418"/>
      <c r="D281" s="429" t="s">
        <v>395</v>
      </c>
      <c r="E281" s="430"/>
      <c r="F281" s="429" t="s">
        <v>279</v>
      </c>
      <c r="G281" s="430"/>
    </row>
    <row r="282" spans="3:7">
      <c r="C282" s="405"/>
      <c r="D282" s="421" t="s">
        <v>1115</v>
      </c>
      <c r="E282" s="405" t="s">
        <v>1116</v>
      </c>
      <c r="F282" s="421" t="s">
        <v>1115</v>
      </c>
      <c r="G282" s="422" t="s">
        <v>1116</v>
      </c>
    </row>
    <row r="283" spans="3:7">
      <c r="C283" s="406"/>
      <c r="D283" s="424" t="s">
        <v>1114</v>
      </c>
      <c r="E283" s="406" t="s">
        <v>229</v>
      </c>
      <c r="F283" s="424" t="s">
        <v>1114</v>
      </c>
      <c r="G283" s="425" t="s">
        <v>229</v>
      </c>
    </row>
    <row r="284" spans="3:7">
      <c r="C284" s="418" t="s">
        <v>1111</v>
      </c>
      <c r="D284" s="426">
        <v>330</v>
      </c>
      <c r="E284" s="418">
        <v>-837.6</v>
      </c>
      <c r="F284" s="426">
        <v>336</v>
      </c>
      <c r="G284" s="427">
        <v>115</v>
      </c>
    </row>
    <row r="285" spans="3:7">
      <c r="C285" s="405" t="s">
        <v>1112</v>
      </c>
      <c r="D285" s="421">
        <v>365</v>
      </c>
      <c r="E285" s="405">
        <v>-1098.0999999999999</v>
      </c>
      <c r="F285" s="421">
        <v>256</v>
      </c>
      <c r="G285" s="422">
        <v>51</v>
      </c>
    </row>
    <row r="286" spans="3:7">
      <c r="C286" s="405" t="s">
        <v>1113</v>
      </c>
      <c r="D286" s="421">
        <v>717</v>
      </c>
      <c r="E286" s="405">
        <v>-2754.1</v>
      </c>
      <c r="F286" s="421">
        <v>312</v>
      </c>
      <c r="G286" s="422">
        <v>-6.4</v>
      </c>
    </row>
    <row r="287" spans="3:7">
      <c r="C287" s="415" t="s">
        <v>230</v>
      </c>
      <c r="D287" s="428">
        <f>+SUM(D284:D286)</f>
        <v>1412</v>
      </c>
      <c r="E287" s="415">
        <f>+SUM(E284:E286)</f>
        <v>-4689.7999999999993</v>
      </c>
      <c r="F287" s="428">
        <f>+SUM(F284:F286)</f>
        <v>904</v>
      </c>
      <c r="G287" s="423">
        <f>+SUM(G284:G286)</f>
        <v>159.6</v>
      </c>
    </row>
    <row r="288" spans="3:7">
      <c r="F288" s="337"/>
    </row>
  </sheetData>
  <mergeCells count="3">
    <mergeCell ref="K87:K88"/>
    <mergeCell ref="D250:D251"/>
    <mergeCell ref="B246:C246"/>
  </mergeCells>
  <phoneticPr fontId="75" type="noConversion"/>
  <printOptions gridLines="1"/>
  <pageMargins left="0.75" right="0.75" top="1" bottom="1" header="0.5" footer="0.5"/>
  <pageSetup orientation="landscape" horizontalDpi="300" verticalDpi="300"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8"/>
  <dimension ref="A2:IV62"/>
  <sheetViews>
    <sheetView workbookViewId="0">
      <selection activeCell="G6" sqref="G6"/>
    </sheetView>
  </sheetViews>
  <sheetFormatPr defaultRowHeight="10.5"/>
  <cols>
    <col min="1" max="1" width="34.375" style="75" customWidth="1"/>
    <col min="2" max="3" width="10.625" style="75" bestFit="1" customWidth="1"/>
    <col min="4" max="7" width="9.375" style="75" bestFit="1" customWidth="1"/>
    <col min="8" max="16384" width="9" style="75"/>
  </cols>
  <sheetData>
    <row r="2" spans="1:256">
      <c r="A2" s="77" t="s">
        <v>2207</v>
      </c>
      <c r="B2" s="611" t="s">
        <v>612</v>
      </c>
      <c r="C2" s="611" t="s">
        <v>195</v>
      </c>
      <c r="D2" s="611" t="s">
        <v>395</v>
      </c>
      <c r="E2" s="611" t="s">
        <v>279</v>
      </c>
      <c r="F2" s="611" t="s">
        <v>1419</v>
      </c>
      <c r="G2" s="611" t="s">
        <v>1857</v>
      </c>
    </row>
    <row r="4" spans="1:256">
      <c r="A4" s="77" t="s">
        <v>2208</v>
      </c>
      <c r="B4" s="594">
        <f t="shared" ref="B4:G4" si="0">B5+B6</f>
        <v>8470.3000000000011</v>
      </c>
      <c r="C4" s="594">
        <f t="shared" si="0"/>
        <v>10571.1</v>
      </c>
      <c r="D4" s="594">
        <f t="shared" si="0"/>
        <v>11246.800000000001</v>
      </c>
      <c r="E4" s="594">
        <f t="shared" si="0"/>
        <v>12187.5</v>
      </c>
      <c r="F4" s="594">
        <f t="shared" si="0"/>
        <v>12227.2</v>
      </c>
      <c r="G4" s="594">
        <f t="shared" si="0"/>
        <v>12227.2</v>
      </c>
    </row>
    <row r="5" spans="1:256">
      <c r="A5" s="134" t="s">
        <v>2209</v>
      </c>
      <c r="B5" s="595">
        <v>5.6999999999999993</v>
      </c>
      <c r="C5" s="595">
        <v>5.6999999999999993</v>
      </c>
      <c r="D5" s="595">
        <v>5.6999999999999993</v>
      </c>
      <c r="E5" s="595"/>
      <c r="F5" s="595"/>
      <c r="G5" s="595"/>
    </row>
    <row r="6" spans="1:256">
      <c r="A6" s="134" t="s">
        <v>2210</v>
      </c>
      <c r="B6" s="595">
        <v>8464.6</v>
      </c>
      <c r="C6" s="595">
        <v>10565.4</v>
      </c>
      <c r="D6" s="595">
        <v>11241.1</v>
      </c>
      <c r="E6" s="595">
        <v>12187.5</v>
      </c>
      <c r="F6" s="595">
        <v>12227.2</v>
      </c>
      <c r="G6" s="595">
        <f>+F6</f>
        <v>12227.2</v>
      </c>
      <c r="H6" s="84"/>
    </row>
    <row r="7" spans="1:256">
      <c r="B7" s="595"/>
      <c r="C7" s="595"/>
      <c r="D7" s="596"/>
      <c r="E7" s="596"/>
      <c r="F7" s="596"/>
      <c r="G7" s="596"/>
    </row>
    <row r="8" spans="1:256">
      <c r="A8" s="77" t="s">
        <v>2211</v>
      </c>
      <c r="B8" s="597">
        <f>B9+B10</f>
        <v>0</v>
      </c>
      <c r="C8" s="597">
        <f>C9+C10</f>
        <v>0</v>
      </c>
      <c r="D8" s="594">
        <v>0</v>
      </c>
      <c r="E8" s="594">
        <v>0</v>
      </c>
      <c r="F8" s="594">
        <v>0</v>
      </c>
      <c r="G8" s="594">
        <f>F8</f>
        <v>0</v>
      </c>
      <c r="IV8" s="84"/>
    </row>
    <row r="9" spans="1:256">
      <c r="A9" s="134" t="s">
        <v>2209</v>
      </c>
      <c r="B9" s="595"/>
      <c r="C9" s="595"/>
      <c r="D9" s="596"/>
      <c r="E9" s="596"/>
      <c r="F9" s="596"/>
      <c r="G9" s="596"/>
    </row>
    <row r="10" spans="1:256">
      <c r="A10" s="134" t="s">
        <v>2210</v>
      </c>
      <c r="B10" s="595"/>
      <c r="C10" s="595"/>
      <c r="D10" s="596"/>
      <c r="E10" s="596"/>
      <c r="F10" s="596"/>
      <c r="G10" s="596"/>
    </row>
    <row r="11" spans="1:256">
      <c r="B11" s="595"/>
      <c r="C11" s="595"/>
      <c r="D11" s="596"/>
      <c r="E11" s="596"/>
      <c r="F11" s="596"/>
      <c r="G11" s="596"/>
    </row>
    <row r="12" spans="1:256">
      <c r="A12" s="77" t="s">
        <v>2212</v>
      </c>
      <c r="B12" s="597">
        <f t="shared" ref="B12:G12" si="1">B13+B14</f>
        <v>550</v>
      </c>
      <c r="C12" s="597">
        <f t="shared" si="1"/>
        <v>300</v>
      </c>
      <c r="D12" s="597">
        <f t="shared" si="1"/>
        <v>1390</v>
      </c>
      <c r="E12" s="597">
        <f t="shared" si="1"/>
        <v>12280</v>
      </c>
      <c r="F12" s="597">
        <f t="shared" si="1"/>
        <v>57550</v>
      </c>
      <c r="G12" s="597">
        <f t="shared" si="1"/>
        <v>62406</v>
      </c>
    </row>
    <row r="13" spans="1:256">
      <c r="A13" s="134" t="s">
        <v>2209</v>
      </c>
      <c r="B13" s="595"/>
      <c r="C13" s="595"/>
      <c r="D13" s="596">
        <v>1050</v>
      </c>
      <c r="E13" s="596">
        <f>D13</f>
        <v>1050</v>
      </c>
      <c r="F13" s="596"/>
      <c r="G13" s="596">
        <f>F13</f>
        <v>0</v>
      </c>
    </row>
    <row r="14" spans="1:256">
      <c r="A14" s="134" t="s">
        <v>2210</v>
      </c>
      <c r="B14" s="595">
        <v>550</v>
      </c>
      <c r="C14" s="595">
        <f>(25+5)*10</f>
        <v>300</v>
      </c>
      <c r="D14" s="596">
        <v>340</v>
      </c>
      <c r="E14" s="596">
        <v>11230</v>
      </c>
      <c r="F14" s="596">
        <f>57200+350</f>
        <v>57550</v>
      </c>
      <c r="G14" s="596">
        <f>15717.2+43004.3+3684.5</f>
        <v>62406</v>
      </c>
    </row>
    <row r="15" spans="1:256">
      <c r="B15" s="596"/>
      <c r="C15" s="596"/>
      <c r="D15" s="596"/>
      <c r="E15" s="596"/>
      <c r="F15" s="596"/>
      <c r="G15" s="596"/>
    </row>
    <row r="16" spans="1:256">
      <c r="A16" s="77" t="s">
        <v>2213</v>
      </c>
      <c r="B16" s="597">
        <f t="shared" ref="B16:G16" si="2">B17+B18</f>
        <v>31572.7</v>
      </c>
      <c r="C16" s="597">
        <f t="shared" si="2"/>
        <v>38188.5</v>
      </c>
      <c r="D16" s="597">
        <f t="shared" si="2"/>
        <v>29282.799999999999</v>
      </c>
      <c r="E16" s="597">
        <f t="shared" si="2"/>
        <v>39132.5</v>
      </c>
      <c r="F16" s="597">
        <f t="shared" si="2"/>
        <v>15074.6</v>
      </c>
      <c r="G16" s="597">
        <f t="shared" si="2"/>
        <v>16284.7</v>
      </c>
    </row>
    <row r="17" spans="1:12">
      <c r="A17" s="75" t="s">
        <v>2214</v>
      </c>
      <c r="B17" s="595">
        <f>(246.46+1.13+241+998.48)*10</f>
        <v>14870.7</v>
      </c>
      <c r="C17" s="595">
        <f>(108.83+437.69+2700.95)*10</f>
        <v>32474.699999999997</v>
      </c>
      <c r="D17" s="596">
        <f>1331.6+3883.7+11737.6+6722.1</f>
        <v>23675</v>
      </c>
      <c r="E17" s="596">
        <f>1331.6+3883.7+11737.6+6722.1</f>
        <v>23675</v>
      </c>
      <c r="F17" s="596">
        <v>12930.2</v>
      </c>
      <c r="G17" s="596">
        <f>4967.9+2421.2</f>
        <v>7389.0999999999995</v>
      </c>
    </row>
    <row r="18" spans="1:12">
      <c r="A18" s="75" t="s">
        <v>2223</v>
      </c>
      <c r="B18" s="595">
        <f>(24.38+1645.82)*10</f>
        <v>16702</v>
      </c>
      <c r="C18" s="595">
        <v>5713.8</v>
      </c>
      <c r="D18" s="596">
        <v>5607.8</v>
      </c>
      <c r="E18" s="596">
        <f>15457.5</f>
        <v>15457.5</v>
      </c>
      <c r="F18" s="596">
        <v>2144.4</v>
      </c>
      <c r="G18" s="596">
        <v>8895.6</v>
      </c>
    </row>
    <row r="19" spans="1:12">
      <c r="B19" s="595"/>
      <c r="C19" s="595"/>
      <c r="D19" s="596"/>
      <c r="E19" s="596"/>
      <c r="F19" s="596"/>
      <c r="G19" s="596"/>
    </row>
    <row r="20" spans="1:12">
      <c r="A20" s="77" t="s">
        <v>2215</v>
      </c>
      <c r="B20" s="597">
        <f>B21</f>
        <v>0</v>
      </c>
      <c r="C20" s="597">
        <f>C21</f>
        <v>0</v>
      </c>
      <c r="D20" s="594">
        <f>636.2+51.5</f>
        <v>687.7</v>
      </c>
      <c r="E20" s="594">
        <f>653.7+51</f>
        <v>704.7</v>
      </c>
      <c r="F20" s="594">
        <f>640.9+0.1</f>
        <v>641</v>
      </c>
      <c r="G20" s="594">
        <f>615.2+0.1</f>
        <v>615.30000000000007</v>
      </c>
    </row>
    <row r="21" spans="1:12">
      <c r="A21" s="135"/>
      <c r="B21" s="595"/>
      <c r="C21" s="595"/>
      <c r="D21" s="596"/>
      <c r="E21" s="596"/>
      <c r="F21" s="596"/>
      <c r="G21" s="596"/>
    </row>
    <row r="22" spans="1:12">
      <c r="A22" s="75" t="s">
        <v>1688</v>
      </c>
      <c r="B22" s="596"/>
      <c r="C22" s="596"/>
      <c r="D22" s="596"/>
      <c r="E22" s="596"/>
      <c r="F22" s="596"/>
      <c r="G22" s="596"/>
    </row>
    <row r="23" spans="1:12">
      <c r="B23" s="596"/>
      <c r="C23" s="596"/>
      <c r="D23" s="596"/>
      <c r="E23" s="596"/>
      <c r="F23" s="596"/>
      <c r="G23" s="596"/>
    </row>
    <row r="24" spans="1:12" s="137" customFormat="1">
      <c r="A24" s="136" t="s">
        <v>230</v>
      </c>
      <c r="B24" s="598">
        <f t="shared" ref="B24:G24" si="3">B4+B8+B16+B12+B20</f>
        <v>40593</v>
      </c>
      <c r="C24" s="598">
        <f t="shared" si="3"/>
        <v>49059.6</v>
      </c>
      <c r="D24" s="598">
        <f>D4+D8+D16+D12+D20+D22</f>
        <v>42607.299999999996</v>
      </c>
      <c r="E24" s="598">
        <f t="shared" si="3"/>
        <v>64304.7</v>
      </c>
      <c r="F24" s="598">
        <f t="shared" si="3"/>
        <v>85492.800000000003</v>
      </c>
      <c r="G24" s="598">
        <f t="shared" si="3"/>
        <v>91533.2</v>
      </c>
      <c r="H24" s="417"/>
      <c r="I24" s="416"/>
    </row>
    <row r="25" spans="1:12">
      <c r="B25" s="596"/>
      <c r="C25" s="596"/>
      <c r="D25" s="596"/>
      <c r="E25" s="596"/>
      <c r="F25" s="596"/>
      <c r="G25" s="596"/>
      <c r="L25" s="724"/>
    </row>
    <row r="26" spans="1:12">
      <c r="B26" s="596"/>
      <c r="C26" s="596"/>
      <c r="D26" s="596"/>
      <c r="E26" s="596"/>
      <c r="F26" s="596"/>
      <c r="G26" s="596"/>
    </row>
    <row r="27" spans="1:12">
      <c r="A27" s="77" t="s">
        <v>2216</v>
      </c>
      <c r="B27" s="597"/>
      <c r="C27" s="597"/>
      <c r="D27" s="594">
        <f>D28%*D4</f>
        <v>0</v>
      </c>
      <c r="E27" s="594">
        <f>E28%*E4</f>
        <v>0</v>
      </c>
      <c r="F27" s="594">
        <v>270.8</v>
      </c>
      <c r="G27" s="594">
        <f>G28%*G4</f>
        <v>0</v>
      </c>
    </row>
    <row r="28" spans="1:12" s="85" customFormat="1">
      <c r="A28" s="85" t="s">
        <v>2217</v>
      </c>
      <c r="B28" s="600">
        <f>B27/B4*100</f>
        <v>0</v>
      </c>
      <c r="C28" s="600">
        <f>C27/C4*100</f>
        <v>0</v>
      </c>
      <c r="D28" s="601"/>
      <c r="E28" s="601"/>
      <c r="F28" s="602"/>
      <c r="G28" s="601"/>
    </row>
    <row r="29" spans="1:12">
      <c r="B29" s="595"/>
      <c r="C29" s="595"/>
      <c r="D29" s="596"/>
      <c r="E29" s="596"/>
      <c r="F29" s="615"/>
      <c r="G29" s="596"/>
    </row>
    <row r="30" spans="1:12">
      <c r="A30" s="77" t="s">
        <v>2218</v>
      </c>
      <c r="B30" s="597">
        <v>2.5</v>
      </c>
      <c r="C30" s="597">
        <v>4.6999999999999993</v>
      </c>
      <c r="D30" s="597">
        <v>1.4</v>
      </c>
      <c r="E30" s="597">
        <v>1.5</v>
      </c>
      <c r="F30" s="597">
        <v>0</v>
      </c>
      <c r="G30" s="597">
        <v>0</v>
      </c>
    </row>
    <row r="31" spans="1:12" s="85" customFormat="1">
      <c r="A31" s="85" t="s">
        <v>2219</v>
      </c>
      <c r="B31" s="602">
        <f t="shared" ref="B31:G31" si="4">B30/SUM(B8+B12)*100</f>
        <v>0.45454545454545453</v>
      </c>
      <c r="C31" s="602">
        <f t="shared" si="4"/>
        <v>1.5666666666666667</v>
      </c>
      <c r="D31" s="602">
        <f t="shared" si="4"/>
        <v>0.10071942446043165</v>
      </c>
      <c r="E31" s="602">
        <f t="shared" si="4"/>
        <v>1.2214983713355049E-2</v>
      </c>
      <c r="F31" s="602">
        <f t="shared" si="4"/>
        <v>0</v>
      </c>
      <c r="G31" s="602">
        <f t="shared" si="4"/>
        <v>0</v>
      </c>
    </row>
    <row r="32" spans="1:12">
      <c r="B32" s="596"/>
      <c r="C32" s="596"/>
      <c r="D32" s="596"/>
      <c r="E32" s="596"/>
      <c r="F32" s="596"/>
      <c r="G32" s="596"/>
    </row>
    <row r="33" spans="1:7">
      <c r="A33" s="77" t="s">
        <v>368</v>
      </c>
      <c r="B33" s="597">
        <f>(81.46+5.98)*10</f>
        <v>874.4</v>
      </c>
      <c r="C33" s="597">
        <f>(349.84+1.69)*10</f>
        <v>3515.2999999999997</v>
      </c>
      <c r="D33" s="594">
        <f>249.1+2996.8</f>
        <v>3245.9</v>
      </c>
      <c r="E33" s="594">
        <v>3758</v>
      </c>
      <c r="F33" s="594">
        <v>3412</v>
      </c>
      <c r="G33" s="594">
        <f>G34%*AVERAGE(G16+G12+G38,F12+F16+F38)</f>
        <v>6075.5639999999994</v>
      </c>
    </row>
    <row r="34" spans="1:7">
      <c r="A34" s="75" t="s">
        <v>2220</v>
      </c>
      <c r="B34" s="596">
        <f>B33/(B16+B12+B38)*100</f>
        <v>2.6990320031608062</v>
      </c>
      <c r="C34" s="140">
        <f>C33/AVERAGE(C16+C12+C38,B12+B16+B38)*100</f>
        <v>9.8788642664339754</v>
      </c>
      <c r="D34" s="140">
        <f>D33/AVERAGE(D16+D12+D38,C12+C16+C38)*100</f>
        <v>9.3097761397369894</v>
      </c>
      <c r="E34" s="140">
        <f>E33/AVERAGE(E16+E12+E38,D12+D16+D38)*100</f>
        <v>9.0927677654365944</v>
      </c>
      <c r="F34" s="140">
        <f>F33/AVERAGE(F16+F12+F38,E12+E16+E38)*100</f>
        <v>5.4762464599806275</v>
      </c>
      <c r="G34" s="702">
        <v>8</v>
      </c>
    </row>
    <row r="35" spans="1:7">
      <c r="B35" s="596"/>
      <c r="C35" s="596"/>
      <c r="D35" s="596"/>
      <c r="E35" s="596"/>
      <c r="F35" s="596"/>
      <c r="G35" s="596"/>
    </row>
    <row r="36" spans="1:7" s="137" customFormat="1">
      <c r="A36" s="136" t="s">
        <v>2221</v>
      </c>
      <c r="B36" s="598">
        <f t="shared" ref="B36:G36" si="5">B27+B30+B33</f>
        <v>876.9</v>
      </c>
      <c r="C36" s="598">
        <f t="shared" si="5"/>
        <v>3519.9999999999995</v>
      </c>
      <c r="D36" s="598">
        <f t="shared" si="5"/>
        <v>3247.3</v>
      </c>
      <c r="E36" s="598">
        <f t="shared" si="5"/>
        <v>3759.5</v>
      </c>
      <c r="F36" s="598">
        <f t="shared" si="5"/>
        <v>3682.8</v>
      </c>
      <c r="G36" s="598">
        <f t="shared" si="5"/>
        <v>6075.5639999999994</v>
      </c>
    </row>
    <row r="37" spans="1:7">
      <c r="B37" s="596"/>
      <c r="C37" s="596"/>
      <c r="D37" s="596"/>
      <c r="E37" s="596"/>
      <c r="F37" s="596"/>
      <c r="G37" s="596"/>
    </row>
    <row r="38" spans="1:7" s="77" customFormat="1">
      <c r="A38" s="77" t="s">
        <v>708</v>
      </c>
      <c r="B38" s="597">
        <f>(27.41)*10</f>
        <v>274.10000000000002</v>
      </c>
      <c r="C38" s="597">
        <f>(28.28)*10</f>
        <v>282.8</v>
      </c>
      <c r="D38" s="594">
        <v>286.89999999999998</v>
      </c>
      <c r="E38" s="599">
        <f>D38</f>
        <v>286.89999999999998</v>
      </c>
      <c r="F38" s="599">
        <f>E38</f>
        <v>286.89999999999998</v>
      </c>
      <c r="G38" s="599">
        <f>F38</f>
        <v>286.89999999999998</v>
      </c>
    </row>
    <row r="39" spans="1:7">
      <c r="A39" s="75" t="s">
        <v>2222</v>
      </c>
    </row>
    <row r="43" spans="1:7" ht="12.75">
      <c r="A43"/>
      <c r="B43"/>
      <c r="C43"/>
    </row>
    <row r="44" spans="1:7" ht="11.25">
      <c r="A44" s="191" t="s">
        <v>965</v>
      </c>
      <c r="B44" s="142" t="s">
        <v>977</v>
      </c>
      <c r="C44" s="727"/>
      <c r="E44" s="142" t="s">
        <v>2413</v>
      </c>
    </row>
    <row r="45" spans="1:7">
      <c r="A45" s="77" t="s">
        <v>978</v>
      </c>
      <c r="B45" s="594">
        <v>495.48</v>
      </c>
      <c r="C45" s="727"/>
      <c r="E45" s="726">
        <v>586.15</v>
      </c>
    </row>
    <row r="46" spans="1:7" ht="11.25">
      <c r="A46" s="191" t="s">
        <v>60</v>
      </c>
      <c r="B46" s="614">
        <v>8549.6299999999992</v>
      </c>
      <c r="C46" s="727"/>
      <c r="E46" s="726">
        <v>9153.32</v>
      </c>
    </row>
    <row r="47" spans="1:7">
      <c r="A47" s="606" t="s">
        <v>967</v>
      </c>
      <c r="B47" s="613">
        <v>2289.6999999999998</v>
      </c>
      <c r="C47" s="727"/>
      <c r="E47" s="725">
        <v>5800.56</v>
      </c>
    </row>
    <row r="48" spans="1:7">
      <c r="A48" s="606" t="s">
        <v>968</v>
      </c>
      <c r="B48" s="613">
        <v>6259.93</v>
      </c>
      <c r="C48" s="727"/>
      <c r="E48" s="725">
        <v>3252.76</v>
      </c>
    </row>
    <row r="49" spans="1:5">
      <c r="A49" s="606"/>
      <c r="B49" s="606"/>
      <c r="C49" s="727"/>
      <c r="E49" s="606"/>
    </row>
    <row r="50" spans="1:5" ht="11.25">
      <c r="A50" s="191" t="s">
        <v>966</v>
      </c>
      <c r="B50" s="614">
        <v>9045.11</v>
      </c>
      <c r="C50" s="727"/>
      <c r="E50" s="726">
        <f>+E46+E45</f>
        <v>9739.4699999999993</v>
      </c>
    </row>
    <row r="51" spans="1:5">
      <c r="A51" s="606"/>
      <c r="B51" s="606"/>
      <c r="C51" s="728"/>
    </row>
    <row r="52" spans="1:5" ht="11.25">
      <c r="A52" s="191" t="s">
        <v>60</v>
      </c>
      <c r="B52" s="142" t="s">
        <v>967</v>
      </c>
      <c r="C52" s="729" t="s">
        <v>968</v>
      </c>
      <c r="D52" s="142" t="s">
        <v>967</v>
      </c>
      <c r="E52" s="142" t="s">
        <v>968</v>
      </c>
    </row>
    <row r="53" spans="1:5">
      <c r="A53" s="606" t="s">
        <v>969</v>
      </c>
      <c r="B53" s="613">
        <v>0</v>
      </c>
      <c r="C53" s="730">
        <v>64.09</v>
      </c>
      <c r="D53" s="75">
        <v>0</v>
      </c>
      <c r="E53" s="732">
        <v>61.52</v>
      </c>
    </row>
    <row r="54" spans="1:5">
      <c r="A54" s="606" t="s">
        <v>970</v>
      </c>
      <c r="B54" s="613">
        <v>0</v>
      </c>
      <c r="C54" s="730">
        <v>0.01</v>
      </c>
      <c r="D54" s="75">
        <v>0</v>
      </c>
      <c r="E54" s="732">
        <v>0.01</v>
      </c>
    </row>
    <row r="55" spans="1:5">
      <c r="A55" s="606" t="s">
        <v>971</v>
      </c>
      <c r="B55" s="613">
        <v>0</v>
      </c>
      <c r="C55" s="730">
        <v>1222.72</v>
      </c>
      <c r="D55" s="75">
        <v>0</v>
      </c>
      <c r="E55" s="732">
        <v>1222.72</v>
      </c>
    </row>
    <row r="56" spans="1:5">
      <c r="A56" s="606" t="s">
        <v>972</v>
      </c>
      <c r="B56" s="613">
        <v>586.91</v>
      </c>
      <c r="C56" s="730">
        <v>706.11</v>
      </c>
      <c r="D56" s="732">
        <f>242.12+473.02</f>
        <v>715.14</v>
      </c>
      <c r="E56" s="732">
        <v>496.79</v>
      </c>
    </row>
    <row r="57" spans="1:5">
      <c r="A57" s="606" t="s">
        <v>973</v>
      </c>
      <c r="B57" s="613">
        <v>1453</v>
      </c>
      <c r="C57" s="730">
        <v>4267</v>
      </c>
      <c r="D57" s="732">
        <f>4300.43+18.57</f>
        <v>4319</v>
      </c>
      <c r="E57" s="732">
        <v>1571.72</v>
      </c>
    </row>
    <row r="58" spans="1:5">
      <c r="A58" s="606" t="s">
        <v>974</v>
      </c>
      <c r="B58" s="613"/>
      <c r="C58" s="730"/>
      <c r="D58" s="732">
        <v>46.11</v>
      </c>
    </row>
    <row r="59" spans="1:5">
      <c r="A59" s="606" t="s">
        <v>975</v>
      </c>
      <c r="B59" s="613">
        <v>214.44</v>
      </c>
      <c r="C59" s="730">
        <v>0</v>
      </c>
      <c r="D59" s="732">
        <f>370.43</f>
        <v>370.43</v>
      </c>
      <c r="E59" s="75">
        <v>0</v>
      </c>
    </row>
    <row r="60" spans="1:5">
      <c r="A60" s="606" t="s">
        <v>976</v>
      </c>
      <c r="B60" s="613">
        <v>35</v>
      </c>
      <c r="C60" s="730"/>
      <c r="D60" s="732">
        <v>349.88</v>
      </c>
    </row>
    <row r="61" spans="1:5" ht="11.25">
      <c r="A61" s="191" t="s">
        <v>230</v>
      </c>
      <c r="B61" s="614">
        <v>2289.35</v>
      </c>
      <c r="C61" s="731">
        <v>6259.93</v>
      </c>
      <c r="D61" s="75">
        <f>+SUM(D53:D60)</f>
        <v>5800.56</v>
      </c>
      <c r="E61" s="75">
        <f>+SUM(E53:E60)</f>
        <v>3352.76</v>
      </c>
    </row>
    <row r="62" spans="1:5">
      <c r="A62" s="606"/>
      <c r="B62" s="613"/>
      <c r="C62" s="613"/>
    </row>
  </sheetData>
  <phoneticPr fontId="63" type="noConversion"/>
  <pageMargins left="0.7" right="0.7" top="0.75" bottom="0.75" header="0.3" footer="0.3"/>
  <pageSetup orientation="portrait" r:id="rId1"/>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W87"/>
  <sheetViews>
    <sheetView zoomScale="85" workbookViewId="0">
      <pane xSplit="3" ySplit="7" topLeftCell="Q19" activePane="bottomRight" state="frozen"/>
      <selection activeCell="V96" sqref="V96"/>
      <selection pane="topRight" activeCell="V96" sqref="V96"/>
      <selection pane="bottomLeft" activeCell="V96" sqref="V96"/>
      <selection pane="bottomRight" activeCell="U33" sqref="U33"/>
    </sheetView>
  </sheetViews>
  <sheetFormatPr defaultColWidth="10.625" defaultRowHeight="13.5"/>
  <cols>
    <col min="1" max="1" width="6.25" style="1373" customWidth="1"/>
    <col min="2" max="2" width="33.375" style="1374" bestFit="1" customWidth="1"/>
    <col min="3" max="3" width="10.625" style="1374"/>
    <col min="4" max="16" width="0" style="1374" hidden="1" customWidth="1"/>
    <col min="17" max="21" width="10.625" style="1374"/>
    <col min="22" max="22" width="13.625" style="1385" bestFit="1" customWidth="1"/>
    <col min="23" max="16384" width="10.625" style="1385"/>
  </cols>
  <sheetData>
    <row r="1" spans="1:21" s="1375" customFormat="1">
      <c r="A1" s="1688" t="s">
        <v>537</v>
      </c>
      <c r="B1" s="1689"/>
      <c r="C1" s="1335"/>
      <c r="D1" s="1335"/>
      <c r="E1" s="1335"/>
      <c r="F1" s="1335"/>
      <c r="G1" s="1335"/>
      <c r="H1" s="1335"/>
      <c r="I1" s="1335"/>
      <c r="J1" s="1335"/>
      <c r="K1" s="1335"/>
      <c r="L1" s="1335"/>
      <c r="M1" s="1335"/>
      <c r="N1" s="1335"/>
      <c r="O1" s="1335"/>
      <c r="P1" s="1335"/>
      <c r="Q1" s="1335"/>
      <c r="R1" s="1335"/>
      <c r="S1" s="1335"/>
      <c r="T1" s="1335"/>
      <c r="U1" s="1335"/>
    </row>
    <row r="2" spans="1:21" s="1375" customFormat="1" ht="18">
      <c r="A2" s="1707" t="s">
        <v>559</v>
      </c>
      <c r="B2" s="1708"/>
      <c r="C2" s="1708"/>
      <c r="D2" s="1708"/>
      <c r="E2" s="1708"/>
      <c r="F2" s="1708"/>
      <c r="G2" s="1708"/>
      <c r="H2" s="1708"/>
      <c r="I2" s="1708"/>
      <c r="J2" s="1708"/>
      <c r="K2" s="1708"/>
      <c r="L2" s="1708"/>
      <c r="M2" s="1335"/>
      <c r="N2" s="1335"/>
      <c r="O2" s="1335"/>
      <c r="P2" s="1335"/>
      <c r="Q2" s="1335"/>
      <c r="R2" s="1335"/>
      <c r="S2" s="1335"/>
      <c r="T2" s="1335"/>
      <c r="U2" s="1335"/>
    </row>
    <row r="3" spans="1:21" s="1375" customFormat="1" ht="7.5" customHeight="1">
      <c r="A3" s="1336"/>
      <c r="B3" s="1335"/>
      <c r="C3" s="1335"/>
      <c r="D3" s="1335"/>
      <c r="E3" s="1335"/>
      <c r="F3" s="1335"/>
      <c r="G3" s="1335"/>
      <c r="H3" s="1335"/>
      <c r="I3" s="1335"/>
      <c r="J3" s="1335"/>
      <c r="K3" s="1335"/>
      <c r="L3" s="1335"/>
      <c r="M3" s="1335"/>
      <c r="N3" s="1335"/>
      <c r="O3" s="1335"/>
      <c r="P3" s="1335"/>
      <c r="Q3" s="1335"/>
      <c r="R3" s="1335"/>
      <c r="S3" s="1335"/>
      <c r="T3" s="1335"/>
      <c r="U3" s="1335"/>
    </row>
    <row r="4" spans="1:21" s="1376" customFormat="1" ht="18">
      <c r="A4" s="1709" t="s">
        <v>321</v>
      </c>
      <c r="B4" s="1710"/>
      <c r="C4" s="1710"/>
      <c r="D4" s="1710"/>
      <c r="E4" s="1710"/>
      <c r="F4" s="1710"/>
      <c r="G4" s="1710"/>
      <c r="H4" s="1710"/>
      <c r="I4" s="1710"/>
      <c r="J4" s="1710"/>
      <c r="K4" s="1710"/>
      <c r="L4" s="1710"/>
      <c r="M4" s="1337"/>
      <c r="N4" s="1337"/>
      <c r="O4" s="1337"/>
      <c r="P4" s="1337"/>
      <c r="Q4" s="1337"/>
      <c r="R4" s="1337"/>
      <c r="S4" s="1337"/>
      <c r="T4" s="1337"/>
      <c r="U4" s="1337"/>
    </row>
    <row r="5" spans="1:21" s="1377" customFormat="1" ht="12.75">
      <c r="A5" s="1338"/>
      <c r="B5" s="1339" t="s">
        <v>674</v>
      </c>
      <c r="C5" s="1339"/>
      <c r="D5" s="1340"/>
      <c r="E5" s="1340"/>
      <c r="F5" s="1340"/>
      <c r="G5" s="1340"/>
      <c r="H5" s="1340"/>
      <c r="I5" s="1340"/>
      <c r="J5" s="1339"/>
      <c r="K5" s="1339"/>
      <c r="L5" s="1339"/>
      <c r="M5" s="1339"/>
      <c r="N5" s="1339"/>
      <c r="O5" s="1339"/>
      <c r="P5" s="1339"/>
      <c r="Q5" s="1339"/>
      <c r="R5" s="1339"/>
      <c r="S5" s="1339"/>
      <c r="T5" s="1339"/>
      <c r="U5" s="1339"/>
    </row>
    <row r="6" spans="1:21" s="1375" customFormat="1" ht="14.25" thickBot="1">
      <c r="A6" s="1336"/>
      <c r="B6" s="1335"/>
      <c r="C6" s="1341"/>
      <c r="D6" s="1341"/>
      <c r="E6" s="1341"/>
      <c r="F6" s="1341"/>
      <c r="G6" s="1341"/>
      <c r="H6" s="1341"/>
      <c r="I6" s="1341"/>
      <c r="J6" s="1341"/>
      <c r="K6" s="1341"/>
      <c r="L6" s="1341"/>
      <c r="M6" s="1341"/>
      <c r="N6" s="1341"/>
      <c r="O6" s="1341"/>
      <c r="P6" s="1341"/>
      <c r="Q6" s="1335"/>
      <c r="R6" s="1335"/>
      <c r="S6" s="1335"/>
      <c r="T6" s="1335"/>
      <c r="U6" s="1335"/>
    </row>
    <row r="7" spans="1:21" s="1378" customFormat="1" thickBot="1">
      <c r="A7" s="1338"/>
      <c r="B7" s="1342"/>
      <c r="C7" s="1606" t="s">
        <v>266</v>
      </c>
      <c r="D7" s="1343" t="s">
        <v>672</v>
      </c>
      <c r="E7" s="1344" t="s">
        <v>673</v>
      </c>
      <c r="F7" s="1344" t="s">
        <v>671</v>
      </c>
      <c r="G7" s="1344" t="s">
        <v>670</v>
      </c>
      <c r="H7" s="1344" t="s">
        <v>669</v>
      </c>
      <c r="I7" s="1345" t="s">
        <v>668</v>
      </c>
      <c r="J7" s="1346" t="s">
        <v>314</v>
      </c>
      <c r="K7" s="1347" t="s">
        <v>612</v>
      </c>
      <c r="L7" s="1583" t="s">
        <v>195</v>
      </c>
      <c r="M7" s="1583" t="s">
        <v>395</v>
      </c>
      <c r="N7" s="1583" t="s">
        <v>279</v>
      </c>
      <c r="O7" s="1583" t="s">
        <v>1419</v>
      </c>
      <c r="P7" s="1583" t="s">
        <v>1857</v>
      </c>
      <c r="Q7" s="1351" t="s">
        <v>1982</v>
      </c>
      <c r="R7" s="1351" t="s">
        <v>1633</v>
      </c>
      <c r="S7" s="1351" t="s">
        <v>1634</v>
      </c>
      <c r="T7" s="1351" t="s">
        <v>1635</v>
      </c>
      <c r="U7" s="1351" t="s">
        <v>1636</v>
      </c>
    </row>
    <row r="8" spans="1:21" s="1375" customFormat="1">
      <c r="A8" s="1336"/>
      <c r="B8" s="1335"/>
      <c r="C8" s="1352"/>
      <c r="D8" s="1335"/>
      <c r="E8" s="1335"/>
      <c r="F8" s="1335"/>
      <c r="G8" s="1335"/>
      <c r="H8" s="1335"/>
      <c r="I8" s="1353"/>
      <c r="J8" s="1358"/>
      <c r="K8" s="1335"/>
      <c r="L8" s="1335"/>
      <c r="M8" s="1352"/>
      <c r="N8" s="1335"/>
      <c r="O8" s="1335"/>
      <c r="P8" s="1335"/>
      <c r="Q8" s="1335"/>
      <c r="R8" s="1335"/>
      <c r="S8" s="1335"/>
      <c r="T8" s="1335"/>
      <c r="U8" s="1335"/>
    </row>
    <row r="9" spans="1:21" s="1379" customFormat="1" ht="12.75" hidden="1">
      <c r="A9" s="1355"/>
      <c r="B9" s="1356" t="s">
        <v>264</v>
      </c>
      <c r="C9" s="1356"/>
      <c r="D9" s="1356"/>
      <c r="E9" s="1356"/>
      <c r="F9" s="1356"/>
      <c r="G9" s="1356"/>
      <c r="H9" s="1356"/>
      <c r="I9" s="1356"/>
      <c r="J9" s="1357"/>
      <c r="K9" s="1356"/>
      <c r="L9" s="1356"/>
      <c r="M9" s="1356"/>
      <c r="N9" s="1356"/>
      <c r="O9" s="1356"/>
      <c r="P9" s="1356"/>
      <c r="Q9" s="1356"/>
      <c r="R9" s="1356"/>
      <c r="S9" s="1356"/>
      <c r="T9" s="1356"/>
      <c r="U9" s="1356"/>
    </row>
    <row r="10" spans="1:21" s="1375" customFormat="1" hidden="1">
      <c r="A10" s="1336"/>
      <c r="B10" s="1335"/>
      <c r="C10" s="1335"/>
      <c r="D10" s="1335"/>
      <c r="E10" s="1335"/>
      <c r="F10" s="1335"/>
      <c r="G10" s="1335"/>
      <c r="H10" s="1335"/>
      <c r="I10" s="1335"/>
      <c r="J10" s="1358"/>
      <c r="K10" s="1335"/>
      <c r="L10" s="1335"/>
      <c r="M10" s="1335"/>
      <c r="N10" s="1335"/>
      <c r="O10" s="1335"/>
      <c r="P10" s="1335"/>
      <c r="Q10" s="1335"/>
      <c r="R10" s="1335"/>
      <c r="S10" s="1335"/>
      <c r="T10" s="1335"/>
      <c r="U10" s="1335"/>
    </row>
    <row r="11" spans="1:21" s="1382" customFormat="1" hidden="1">
      <c r="A11" s="1362" t="s">
        <v>265</v>
      </c>
      <c r="B11" s="1363" t="s">
        <v>251</v>
      </c>
      <c r="C11" s="1363">
        <f>+AVERAGE(E11:I11)</f>
        <v>0</v>
      </c>
      <c r="D11" s="1363"/>
      <c r="E11" s="1363">
        <f t="shared" ref="E11:I16" si="0">+IF($A11="SLM",(E47-D47)/AVERAGE(E23,D23),IF($A11="WDVM",(E47-D47)/AVERAGE(D61,E61),"Err"))</f>
        <v>0</v>
      </c>
      <c r="F11" s="1363">
        <f t="shared" si="0"/>
        <v>0</v>
      </c>
      <c r="G11" s="1363">
        <f t="shared" si="0"/>
        <v>0</v>
      </c>
      <c r="H11" s="1363">
        <f t="shared" si="0"/>
        <v>0</v>
      </c>
      <c r="I11" s="1363">
        <f t="shared" si="0"/>
        <v>0</v>
      </c>
      <c r="J11" s="1364"/>
      <c r="K11" s="1363"/>
      <c r="L11" s="1363"/>
      <c r="M11" s="1363"/>
      <c r="N11" s="1363"/>
      <c r="O11" s="1363"/>
      <c r="P11" s="1363"/>
      <c r="Q11" s="1363"/>
      <c r="R11" s="1363"/>
      <c r="S11" s="1363"/>
      <c r="T11" s="1363"/>
      <c r="U11" s="1363"/>
    </row>
    <row r="12" spans="1:21" s="1382" customFormat="1" hidden="1">
      <c r="A12" s="1362" t="s">
        <v>265</v>
      </c>
      <c r="B12" s="1363" t="s">
        <v>252</v>
      </c>
      <c r="C12" s="1363">
        <f t="shared" ref="C12:C18" si="1">+AVERAGE(E12:I12)</f>
        <v>2.3017986597998003E-2</v>
      </c>
      <c r="D12" s="1363"/>
      <c r="E12" s="1363">
        <f t="shared" si="0"/>
        <v>2.6299557619886515E-2</v>
      </c>
      <c r="F12" s="1363">
        <f t="shared" si="0"/>
        <v>2.4806249888649344E-2</v>
      </c>
      <c r="G12" s="1363">
        <f t="shared" si="0"/>
        <v>2.5300745291673969E-2</v>
      </c>
      <c r="H12" s="1363">
        <f t="shared" si="0"/>
        <v>2.3449612403100784E-2</v>
      </c>
      <c r="I12" s="1363">
        <f t="shared" si="0"/>
        <v>1.5233767786679404E-2</v>
      </c>
      <c r="J12" s="1364"/>
      <c r="K12" s="1363"/>
      <c r="L12" s="1363"/>
      <c r="M12" s="1363"/>
      <c r="N12" s="1363"/>
      <c r="O12" s="1363"/>
      <c r="P12" s="1363"/>
      <c r="Q12" s="1363"/>
      <c r="R12" s="1363"/>
      <c r="S12" s="1363"/>
      <c r="T12" s="1363"/>
      <c r="U12" s="1363"/>
    </row>
    <row r="13" spans="1:21" s="1382" customFormat="1" hidden="1">
      <c r="A13" s="1362" t="s">
        <v>265</v>
      </c>
      <c r="B13" s="1363" t="s">
        <v>253</v>
      </c>
      <c r="C13" s="1363">
        <f t="shared" si="1"/>
        <v>4.7202727001122213E-2</v>
      </c>
      <c r="D13" s="1363"/>
      <c r="E13" s="1363">
        <f t="shared" si="0"/>
        <v>5.5929882680089998E-2</v>
      </c>
      <c r="F13" s="1363">
        <f t="shared" si="0"/>
        <v>4.624801635274102E-2</v>
      </c>
      <c r="G13" s="1363">
        <f t="shared" si="0"/>
        <v>5.4834179041675722E-2</v>
      </c>
      <c r="H13" s="1363">
        <f t="shared" si="0"/>
        <v>4.9787370250125772E-2</v>
      </c>
      <c r="I13" s="1363">
        <f t="shared" si="0"/>
        <v>2.9214186680978554E-2</v>
      </c>
      <c r="J13" s="1364"/>
      <c r="K13" s="1363"/>
      <c r="L13" s="1363"/>
      <c r="M13" s="1363"/>
      <c r="N13" s="1363"/>
      <c r="O13" s="1363"/>
      <c r="P13" s="1363"/>
      <c r="Q13" s="1363"/>
      <c r="R13" s="1363"/>
      <c r="S13" s="1363"/>
      <c r="T13" s="1363"/>
      <c r="U13" s="1363"/>
    </row>
    <row r="14" spans="1:21" s="1382" customFormat="1" hidden="1">
      <c r="A14" s="1362" t="s">
        <v>265</v>
      </c>
      <c r="B14" s="1363" t="s">
        <v>254</v>
      </c>
      <c r="C14" s="1363">
        <f t="shared" si="1"/>
        <v>5.1226121281475967E-2</v>
      </c>
      <c r="D14" s="1363"/>
      <c r="E14" s="1363">
        <f t="shared" si="0"/>
        <v>5.5407384519670047E-2</v>
      </c>
      <c r="F14" s="1363">
        <f t="shared" si="0"/>
        <v>6.7673702973202826E-2</v>
      </c>
      <c r="G14" s="1363">
        <f t="shared" si="0"/>
        <v>5.0242334085128786E-2</v>
      </c>
      <c r="H14" s="1363">
        <f t="shared" si="0"/>
        <v>7.1149228130360231E-2</v>
      </c>
      <c r="I14" s="1363">
        <f t="shared" si="0"/>
        <v>1.165795669901795E-2</v>
      </c>
      <c r="J14" s="1364"/>
      <c r="K14" s="1363"/>
      <c r="L14" s="1363"/>
      <c r="M14" s="1363"/>
      <c r="N14" s="1363"/>
      <c r="O14" s="1363"/>
      <c r="P14" s="1363"/>
      <c r="Q14" s="1363"/>
      <c r="R14" s="1363"/>
      <c r="S14" s="1363"/>
      <c r="T14" s="1363"/>
      <c r="U14" s="1363"/>
    </row>
    <row r="15" spans="1:21" s="1382" customFormat="1" hidden="1">
      <c r="A15" s="1362" t="s">
        <v>265</v>
      </c>
      <c r="B15" s="1363" t="s">
        <v>256</v>
      </c>
      <c r="C15" s="1363">
        <f t="shared" si="1"/>
        <v>7.0567828480629299E-2</v>
      </c>
      <c r="D15" s="1363"/>
      <c r="E15" s="1363">
        <f t="shared" si="0"/>
        <v>7.7444157509126976E-2</v>
      </c>
      <c r="F15" s="1363">
        <f t="shared" si="0"/>
        <v>6.8944087272065718E-2</v>
      </c>
      <c r="G15" s="1363">
        <f t="shared" si="0"/>
        <v>5.7440514222915129E-2</v>
      </c>
      <c r="H15" s="1363">
        <f t="shared" si="0"/>
        <v>9.2313751628442395E-2</v>
      </c>
      <c r="I15" s="1363">
        <f t="shared" si="0"/>
        <v>5.669663177059632E-2</v>
      </c>
      <c r="J15" s="1364"/>
      <c r="K15" s="1363"/>
      <c r="L15" s="1363"/>
      <c r="M15" s="1363"/>
      <c r="N15" s="1363"/>
      <c r="O15" s="1363"/>
      <c r="P15" s="1363"/>
      <c r="Q15" s="1363"/>
      <c r="R15" s="1363"/>
      <c r="S15" s="1363"/>
      <c r="T15" s="1363"/>
      <c r="U15" s="1363"/>
    </row>
    <row r="16" spans="1:21" s="1382" customFormat="1" hidden="1">
      <c r="A16" s="1362" t="s">
        <v>265</v>
      </c>
      <c r="B16" s="1363" t="s">
        <v>257</v>
      </c>
      <c r="C16" s="1363">
        <f t="shared" si="1"/>
        <v>-2.7518859114811535E-2</v>
      </c>
      <c r="D16" s="1363"/>
      <c r="E16" s="1363">
        <f t="shared" si="0"/>
        <v>2.1351296771773966E-2</v>
      </c>
      <c r="F16" s="1363">
        <f t="shared" si="0"/>
        <v>3.9996040848119196E-2</v>
      </c>
      <c r="G16" s="1363">
        <f t="shared" si="0"/>
        <v>5.6347761372546531E-3</v>
      </c>
      <c r="H16" s="1363">
        <f t="shared" si="0"/>
        <v>-0.18409151370045229</v>
      </c>
      <c r="I16" s="1363">
        <f t="shared" si="0"/>
        <v>-2.0484895630753217E-2</v>
      </c>
      <c r="J16" s="1364"/>
      <c r="K16" s="1363"/>
      <c r="L16" s="1363"/>
      <c r="M16" s="1363"/>
      <c r="N16" s="1363"/>
      <c r="O16" s="1363"/>
      <c r="P16" s="1363"/>
      <c r="Q16" s="1363"/>
      <c r="R16" s="1363"/>
      <c r="S16" s="1363"/>
      <c r="T16" s="1363"/>
      <c r="U16" s="1363"/>
    </row>
    <row r="17" spans="1:23" s="1382" customFormat="1" hidden="1">
      <c r="A17" s="1362" t="s">
        <v>265</v>
      </c>
      <c r="B17" s="1363" t="s">
        <v>258</v>
      </c>
      <c r="C17" s="1363">
        <f t="shared" si="1"/>
        <v>1.6346939262487026E-2</v>
      </c>
      <c r="D17" s="1363"/>
      <c r="E17" s="1363">
        <f t="shared" ref="E17:I18" si="2">+IF($A17="SLM",(E54-D54)/AVERAGE(E30,D30),IF($A17="WDVM",(E54-D54)/AVERAGE(D68,E68),"Err"))</f>
        <v>4.4789239896872023E-2</v>
      </c>
      <c r="F17" s="1363">
        <f t="shared" si="2"/>
        <v>4.0861883729258613E-2</v>
      </c>
      <c r="G17" s="1363">
        <f t="shared" si="2"/>
        <v>4.9388601036269457E-2</v>
      </c>
      <c r="H17" s="1363">
        <f t="shared" si="2"/>
        <v>-6.7278827476602507E-2</v>
      </c>
      <c r="I17" s="1363">
        <f t="shared" si="2"/>
        <v>1.3973799126637527E-2</v>
      </c>
      <c r="J17" s="1364"/>
      <c r="K17" s="1363"/>
      <c r="L17" s="1363"/>
      <c r="M17" s="1363"/>
      <c r="N17" s="1363"/>
      <c r="O17" s="1363"/>
      <c r="P17" s="1363"/>
      <c r="Q17" s="1363"/>
      <c r="R17" s="1363"/>
      <c r="S17" s="1363"/>
      <c r="T17" s="1363"/>
      <c r="U17" s="1363"/>
    </row>
    <row r="18" spans="1:23" s="1382" customFormat="1" hidden="1">
      <c r="A18" s="1362" t="s">
        <v>265</v>
      </c>
      <c r="B18" s="1363" t="s">
        <v>731</v>
      </c>
      <c r="C18" s="1363">
        <f t="shared" si="1"/>
        <v>-0.14143828186607482</v>
      </c>
      <c r="D18" s="1363"/>
      <c r="E18" s="1363">
        <f t="shared" si="2"/>
        <v>1.1422924112657768E-2</v>
      </c>
      <c r="F18" s="1363">
        <f t="shared" si="2"/>
        <v>-2.9745868201481243E-2</v>
      </c>
      <c r="G18" s="1363">
        <f t="shared" si="2"/>
        <v>1.3118615253844232E-2</v>
      </c>
      <c r="H18" s="1363">
        <f t="shared" si="2"/>
        <v>-2.7458605857050209E-2</v>
      </c>
      <c r="I18" s="1363">
        <f t="shared" si="2"/>
        <v>-0.67452847463834464</v>
      </c>
      <c r="J18" s="1364"/>
      <c r="K18" s="1363"/>
      <c r="L18" s="1363"/>
      <c r="M18" s="1363"/>
      <c r="N18" s="1363"/>
      <c r="O18" s="1363"/>
      <c r="P18" s="1363"/>
      <c r="Q18" s="1363"/>
      <c r="R18" s="1363"/>
      <c r="S18" s="1363"/>
      <c r="T18" s="1363"/>
      <c r="U18" s="1363"/>
    </row>
    <row r="19" spans="1:23" s="1375" customFormat="1">
      <c r="A19" s="1336"/>
      <c r="B19" s="1335"/>
      <c r="C19" s="1335"/>
      <c r="D19" s="1335"/>
      <c r="E19" s="1335"/>
      <c r="F19" s="1335"/>
      <c r="G19" s="1335"/>
      <c r="H19" s="1335"/>
      <c r="I19" s="1335"/>
      <c r="J19" s="1358"/>
      <c r="K19" s="1335"/>
      <c r="L19" s="1335"/>
      <c r="M19" s="1335"/>
      <c r="N19" s="1335"/>
      <c r="O19" s="1335"/>
      <c r="P19" s="1335"/>
      <c r="Q19" s="1335"/>
      <c r="R19" s="1335"/>
      <c r="S19" s="1335"/>
      <c r="T19" s="1335"/>
      <c r="U19" s="1335"/>
    </row>
    <row r="20" spans="1:23" s="1375" customFormat="1">
      <c r="A20" s="1336"/>
      <c r="B20" s="1335"/>
      <c r="C20" s="1335"/>
      <c r="D20" s="1352"/>
      <c r="E20" s="1352"/>
      <c r="F20" s="1352"/>
      <c r="G20" s="1352"/>
      <c r="H20" s="1352"/>
      <c r="I20" s="1352"/>
      <c r="J20" s="1354"/>
      <c r="K20" s="1352"/>
      <c r="L20" s="1352"/>
      <c r="M20" s="1352"/>
      <c r="N20" s="1352"/>
      <c r="O20" s="1352"/>
      <c r="P20" s="1352"/>
      <c r="Q20" s="1352"/>
      <c r="R20" s="1352"/>
      <c r="S20" s="1352"/>
      <c r="T20" s="1352"/>
      <c r="U20" s="1352"/>
    </row>
    <row r="21" spans="1:23" s="1379" customFormat="1" ht="12.75">
      <c r="A21" s="1355"/>
      <c r="B21" s="1356" t="s">
        <v>733</v>
      </c>
      <c r="C21" s="1356"/>
      <c r="D21" s="1356"/>
      <c r="E21" s="1356"/>
      <c r="F21" s="1356"/>
      <c r="G21" s="1356"/>
      <c r="H21" s="1356"/>
      <c r="I21" s="1356"/>
      <c r="J21" s="1357"/>
      <c r="K21" s="1356"/>
      <c r="L21" s="1356"/>
      <c r="M21" s="1356"/>
      <c r="N21" s="1356"/>
      <c r="O21" s="1356"/>
      <c r="P21" s="1356"/>
      <c r="Q21" s="1356"/>
      <c r="R21" s="1356"/>
      <c r="S21" s="1356"/>
      <c r="T21" s="1356"/>
      <c r="U21" s="1356"/>
    </row>
    <row r="22" spans="1:23" s="1375" customFormat="1">
      <c r="A22" s="1336"/>
      <c r="B22" s="1335"/>
      <c r="C22" s="1335"/>
      <c r="D22" s="1335"/>
      <c r="E22" s="1335"/>
      <c r="F22" s="1335"/>
      <c r="G22" s="1335"/>
      <c r="H22" s="1335"/>
      <c r="I22" s="1335"/>
      <c r="J22" s="1358"/>
      <c r="K22" s="1335"/>
      <c r="L22" s="1335"/>
      <c r="M22" s="1335"/>
      <c r="N22" s="1335"/>
      <c r="O22" s="1335"/>
      <c r="P22" s="1335"/>
      <c r="Q22" s="1335"/>
      <c r="R22" s="1335"/>
      <c r="S22" s="1335"/>
      <c r="T22" s="1335"/>
      <c r="U22" s="1335"/>
    </row>
    <row r="23" spans="1:23" s="1375" customFormat="1">
      <c r="A23" s="1336" t="s">
        <v>678</v>
      </c>
      <c r="B23" s="1335" t="s">
        <v>251</v>
      </c>
      <c r="C23" s="1335"/>
      <c r="D23" s="1335">
        <f>85.601+367.895</f>
        <v>453.49599999999998</v>
      </c>
      <c r="E23" s="1335">
        <f>85.6+363.68</f>
        <v>449.28</v>
      </c>
      <c r="F23" s="1335">
        <f>85.6+359.47</f>
        <v>445.07000000000005</v>
      </c>
      <c r="G23" s="1335">
        <f>85.6+365.4</f>
        <v>451</v>
      </c>
      <c r="H23" s="1335">
        <f>178.1+578</f>
        <v>756.1</v>
      </c>
      <c r="I23" s="1335">
        <f>311.8+557.8</f>
        <v>869.59999999999991</v>
      </c>
      <c r="J23" s="1358"/>
      <c r="K23" s="1335"/>
      <c r="L23" s="1335"/>
      <c r="M23" s="1335"/>
      <c r="N23" s="1335"/>
      <c r="O23" s="1335"/>
      <c r="P23" s="1335"/>
      <c r="Q23" s="1335"/>
      <c r="R23" s="1335"/>
      <c r="S23" s="1335"/>
      <c r="T23" s="1335"/>
      <c r="U23" s="1335"/>
    </row>
    <row r="24" spans="1:23" s="1375" customFormat="1">
      <c r="A24" s="1336" t="s">
        <v>678</v>
      </c>
      <c r="B24" s="1335" t="s">
        <v>252</v>
      </c>
      <c r="C24" s="1335"/>
      <c r="D24" s="1335">
        <v>2080.7370000000001</v>
      </c>
      <c r="E24" s="1335">
        <v>2178.27</v>
      </c>
      <c r="F24" s="1335">
        <v>2312.0500000000002</v>
      </c>
      <c r="G24" s="1335">
        <v>2538.4</v>
      </c>
      <c r="H24" s="1335">
        <v>3653.6</v>
      </c>
      <c r="I24" s="1335">
        <v>4709.3999999999996</v>
      </c>
      <c r="J24" s="1358"/>
      <c r="K24" s="1335"/>
      <c r="L24" s="1335"/>
      <c r="M24" s="1335"/>
      <c r="N24" s="1335"/>
      <c r="O24" s="1335"/>
      <c r="P24" s="1335"/>
      <c r="Q24" s="1335"/>
      <c r="R24" s="1335"/>
      <c r="S24" s="1335"/>
      <c r="T24" s="1335"/>
      <c r="U24" s="1335"/>
    </row>
    <row r="25" spans="1:23" s="1375" customFormat="1">
      <c r="A25" s="1336" t="s">
        <v>678</v>
      </c>
      <c r="B25" s="1335" t="s">
        <v>253</v>
      </c>
      <c r="C25" s="1335"/>
      <c r="D25" s="1335">
        <v>14795.087</v>
      </c>
      <c r="E25" s="1335">
        <v>15114.67</v>
      </c>
      <c r="F25" s="1335">
        <v>15201.96</v>
      </c>
      <c r="G25" s="1335">
        <v>16026.3</v>
      </c>
      <c r="H25" s="1335">
        <v>16777.2</v>
      </c>
      <c r="I25" s="1335">
        <v>16761.3</v>
      </c>
      <c r="J25" s="1358"/>
      <c r="K25" s="1335"/>
      <c r="L25" s="1335"/>
      <c r="M25" s="1335"/>
      <c r="N25" s="1335"/>
      <c r="O25" s="1335"/>
      <c r="P25" s="1335"/>
      <c r="Q25" s="1335"/>
      <c r="R25" s="1335"/>
      <c r="S25" s="1335"/>
      <c r="T25" s="1335"/>
      <c r="U25" s="1335"/>
    </row>
    <row r="26" spans="1:23" s="1375" customFormat="1">
      <c r="A26" s="1336" t="s">
        <v>678</v>
      </c>
      <c r="B26" s="1335" t="s">
        <v>548</v>
      </c>
      <c r="C26" s="1335"/>
      <c r="D26" s="1335">
        <v>823.10400000000004</v>
      </c>
      <c r="E26" s="1335">
        <v>1092.8499999999999</v>
      </c>
      <c r="F26" s="1335">
        <v>1224.18</v>
      </c>
      <c r="G26" s="1335">
        <v>1276.5</v>
      </c>
      <c r="H26" s="1335">
        <v>1638.5</v>
      </c>
      <c r="I26" s="1335">
        <v>1844.1</v>
      </c>
      <c r="J26" s="1358"/>
      <c r="K26" s="1335"/>
      <c r="L26" s="1335"/>
      <c r="M26" s="1335"/>
      <c r="N26" s="1335"/>
      <c r="O26" s="1335"/>
      <c r="P26" s="1335"/>
      <c r="Q26" s="1335"/>
      <c r="R26" s="1335"/>
      <c r="S26" s="1335"/>
      <c r="T26" s="1335"/>
      <c r="U26" s="1335"/>
    </row>
    <row r="27" spans="1:23" s="1375" customFormat="1">
      <c r="A27" s="1336" t="s">
        <v>678</v>
      </c>
      <c r="B27" s="1335" t="s">
        <v>549</v>
      </c>
      <c r="C27" s="1335"/>
      <c r="D27" s="1335">
        <v>2950.25</v>
      </c>
      <c r="E27" s="1335">
        <v>3040.26</v>
      </c>
      <c r="F27" s="1335">
        <v>3116.12</v>
      </c>
      <c r="G27" s="1335">
        <v>3144.2</v>
      </c>
      <c r="H27" s="1335">
        <v>3457.2</v>
      </c>
      <c r="I27" s="1335">
        <v>3573.2</v>
      </c>
      <c r="J27" s="1358"/>
      <c r="K27" s="1335"/>
      <c r="L27" s="1335"/>
      <c r="M27" s="1335"/>
      <c r="N27" s="1335"/>
      <c r="O27" s="1335"/>
      <c r="P27" s="1335"/>
      <c r="Q27" s="1335"/>
      <c r="R27" s="1335"/>
      <c r="S27" s="1335"/>
      <c r="T27" s="1335"/>
      <c r="U27" s="1335"/>
    </row>
    <row r="28" spans="1:23" s="1375" customFormat="1">
      <c r="A28" s="1336" t="s">
        <v>678</v>
      </c>
      <c r="B28" s="1335" t="s">
        <v>257</v>
      </c>
      <c r="C28" s="1335"/>
      <c r="D28" s="1335">
        <v>354.01100000000002</v>
      </c>
      <c r="E28" s="1335">
        <v>339.24900000000002</v>
      </c>
      <c r="F28" s="1335">
        <v>357.87</v>
      </c>
      <c r="G28" s="1335">
        <v>394.6</v>
      </c>
      <c r="H28" s="1335">
        <v>357.2</v>
      </c>
      <c r="I28" s="1335">
        <v>414.1</v>
      </c>
      <c r="J28" s="1358"/>
      <c r="K28" s="1335"/>
      <c r="L28" s="1335"/>
      <c r="M28" s="1335"/>
      <c r="N28" s="1335"/>
      <c r="O28" s="1335"/>
      <c r="P28" s="1335"/>
      <c r="Q28" s="1335"/>
      <c r="R28" s="1335"/>
      <c r="S28" s="1335"/>
      <c r="T28" s="1335"/>
      <c r="U28" s="1335"/>
    </row>
    <row r="29" spans="1:23" s="1375" customFormat="1">
      <c r="A29" s="1336" t="s">
        <v>678</v>
      </c>
      <c r="B29" s="1335" t="s">
        <v>551</v>
      </c>
      <c r="C29" s="1335"/>
      <c r="D29" s="1335">
        <v>2839.22</v>
      </c>
      <c r="E29" s="1335">
        <v>2839.22</v>
      </c>
      <c r="F29" s="1335">
        <v>2839.22</v>
      </c>
      <c r="G29" s="1335">
        <v>2837.2</v>
      </c>
      <c r="H29" s="1335">
        <v>2838.1</v>
      </c>
      <c r="I29" s="1335"/>
      <c r="J29" s="1358"/>
      <c r="K29" s="1335"/>
      <c r="L29" s="1335"/>
      <c r="M29" s="1335"/>
      <c r="N29" s="1335"/>
      <c r="O29" s="1335"/>
      <c r="P29" s="1335"/>
      <c r="Q29" s="1335"/>
      <c r="R29" s="1335"/>
      <c r="S29" s="1335"/>
      <c r="T29" s="1335"/>
      <c r="U29" s="1335"/>
    </row>
    <row r="30" spans="1:23" s="1375" customFormat="1">
      <c r="A30" s="1336" t="s">
        <v>678</v>
      </c>
      <c r="B30" s="1335" t="s">
        <v>258</v>
      </c>
      <c r="C30" s="1335"/>
      <c r="D30" s="1335">
        <v>316.7</v>
      </c>
      <c r="E30" s="1335">
        <v>327.16000000000003</v>
      </c>
      <c r="F30" s="1335">
        <v>343</v>
      </c>
      <c r="G30" s="1335">
        <v>622</v>
      </c>
      <c r="H30" s="1335">
        <v>510.6</v>
      </c>
      <c r="I30" s="1335">
        <v>748.9</v>
      </c>
      <c r="J30" s="1358"/>
      <c r="K30" s="1335"/>
      <c r="L30" s="1335"/>
      <c r="M30" s="1335"/>
      <c r="N30" s="1335"/>
      <c r="O30" s="1335"/>
      <c r="P30" s="1335"/>
      <c r="Q30" s="1335"/>
      <c r="R30" s="1335"/>
      <c r="S30" s="1335"/>
      <c r="T30" s="1335"/>
      <c r="U30" s="1335"/>
    </row>
    <row r="31" spans="1:23" s="1375" customFormat="1" ht="15.75">
      <c r="A31" s="1336" t="s">
        <v>678</v>
      </c>
      <c r="B31" s="1335" t="s">
        <v>731</v>
      </c>
      <c r="C31" s="1335"/>
      <c r="D31" s="1335">
        <f>944.222+142.28+90.558+379.992+52.223</f>
        <v>1609.2749999999999</v>
      </c>
      <c r="E31" s="1335">
        <f>52.82+411.68+97.91+944.22+142.28</f>
        <v>1648.91</v>
      </c>
      <c r="F31" s="1335">
        <f>55.36+422.56+101.45+875+142.28</f>
        <v>1596.6499999999999</v>
      </c>
      <c r="G31" s="1335">
        <f>59.6+446.3+115.4+875+142.3</f>
        <v>1638.6000000000001</v>
      </c>
      <c r="H31" s="1335">
        <f>71+611.6+125.5+875+72.5</f>
        <v>1755.6</v>
      </c>
      <c r="I31" s="1335">
        <f>127.6+641+138.3+68</f>
        <v>974.90000000000009</v>
      </c>
      <c r="J31" s="1358">
        <v>33395.1</v>
      </c>
      <c r="K31" s="1358">
        <v>33792.5</v>
      </c>
      <c r="L31" s="1358">
        <v>33908.800000000003</v>
      </c>
      <c r="M31" s="1358">
        <v>33939.199999999997</v>
      </c>
      <c r="N31" s="1358">
        <v>38288.5</v>
      </c>
      <c r="O31" s="1358">
        <v>40770.400000000001</v>
      </c>
      <c r="P31" s="1358">
        <v>41009.1</v>
      </c>
      <c r="Q31" s="1358">
        <f>43009.6+892.9</f>
        <v>43902.5</v>
      </c>
      <c r="R31" s="1358">
        <f>Q32+R33</f>
        <v>46902.5</v>
      </c>
      <c r="S31" s="1358">
        <f>R32+S33</f>
        <v>50902.5</v>
      </c>
      <c r="T31" s="1099">
        <f>S31+T33</f>
        <v>54902.5</v>
      </c>
      <c r="U31" s="1099">
        <f>T31+U33</f>
        <v>58902.5</v>
      </c>
      <c r="V31" s="1607" t="s">
        <v>2583</v>
      </c>
      <c r="W31" s="1447" t="s">
        <v>2585</v>
      </c>
    </row>
    <row r="32" spans="1:23" s="1384" customFormat="1" ht="12.75">
      <c r="A32" s="1368"/>
      <c r="B32" s="1369" t="s">
        <v>259</v>
      </c>
      <c r="C32" s="1369"/>
      <c r="D32" s="1369">
        <f t="shared" ref="D32:I32" si="3">+SUM(D23:D31)</f>
        <v>26221.88</v>
      </c>
      <c r="E32" s="1369">
        <f t="shared" si="3"/>
        <v>27029.869000000002</v>
      </c>
      <c r="F32" s="1369">
        <f t="shared" si="3"/>
        <v>27436.12</v>
      </c>
      <c r="G32" s="1369">
        <f t="shared" si="3"/>
        <v>28928.799999999999</v>
      </c>
      <c r="H32" s="1369">
        <f t="shared" si="3"/>
        <v>31744.1</v>
      </c>
      <c r="I32" s="1369">
        <f t="shared" si="3"/>
        <v>29895.5</v>
      </c>
      <c r="J32" s="1370">
        <f t="shared" ref="J32:P32" si="4">+SUM(J23:J31)</f>
        <v>33395.1</v>
      </c>
      <c r="K32" s="1369">
        <f t="shared" si="4"/>
        <v>33792.5</v>
      </c>
      <c r="L32" s="1369">
        <f t="shared" si="4"/>
        <v>33908.800000000003</v>
      </c>
      <c r="M32" s="1369">
        <f t="shared" si="4"/>
        <v>33939.199999999997</v>
      </c>
      <c r="N32" s="1369">
        <f t="shared" si="4"/>
        <v>38288.5</v>
      </c>
      <c r="O32" s="1369">
        <f t="shared" si="4"/>
        <v>40770.400000000001</v>
      </c>
      <c r="P32" s="1369">
        <f t="shared" si="4"/>
        <v>41009.1</v>
      </c>
      <c r="Q32" s="1369">
        <f>+SUM(Q23:Q31)</f>
        <v>43902.5</v>
      </c>
      <c r="R32" s="1369">
        <f>+SUM(R23:R31)</f>
        <v>46902.5</v>
      </c>
      <c r="S32" s="1369">
        <f>+SUM(S23:S31)</f>
        <v>50902.5</v>
      </c>
      <c r="T32" s="1369">
        <f t="shared" ref="T32:U32" si="5">+SUM(T23:T31)</f>
        <v>54902.5</v>
      </c>
      <c r="U32" s="1369">
        <f t="shared" si="5"/>
        <v>58902.5</v>
      </c>
    </row>
    <row r="33" spans="1:22" s="1375" customFormat="1">
      <c r="A33" s="1336"/>
      <c r="B33" s="1339" t="s">
        <v>558</v>
      </c>
      <c r="C33" s="1335"/>
      <c r="D33" s="1335"/>
      <c r="E33" s="1335"/>
      <c r="F33" s="1335"/>
      <c r="G33" s="1335"/>
      <c r="H33" s="1335"/>
      <c r="I33" s="1335"/>
      <c r="J33" s="1358"/>
      <c r="K33" s="1335"/>
      <c r="L33" s="1335"/>
      <c r="M33" s="1335"/>
      <c r="N33" s="1335">
        <f>+N31-M31</f>
        <v>4349.3000000000029</v>
      </c>
      <c r="O33" s="1335">
        <f>+O31-N31</f>
        <v>2481.9000000000015</v>
      </c>
      <c r="P33" s="1335">
        <f>+P31-O31</f>
        <v>238.69999999999709</v>
      </c>
      <c r="Q33" s="1335">
        <f>+Q31-P31</f>
        <v>2893.4000000000015</v>
      </c>
      <c r="R33" s="1335">
        <v>3000</v>
      </c>
      <c r="S33" s="1100">
        <v>4000</v>
      </c>
      <c r="T33" s="1100">
        <v>4000</v>
      </c>
      <c r="U33" s="1100">
        <v>4000</v>
      </c>
      <c r="V33" s="1607" t="s">
        <v>2569</v>
      </c>
    </row>
    <row r="34" spans="1:22" s="1384" customFormat="1" ht="12.75" hidden="1">
      <c r="A34" s="1368"/>
      <c r="B34" s="1369" t="s">
        <v>300</v>
      </c>
      <c r="C34" s="1369"/>
      <c r="D34" s="1369"/>
      <c r="E34" s="1369"/>
      <c r="F34" s="1369"/>
      <c r="G34" s="1369"/>
      <c r="H34" s="1369"/>
      <c r="I34" s="1369"/>
      <c r="J34" s="1370"/>
      <c r="K34" s="1369"/>
      <c r="L34" s="1369"/>
      <c r="M34" s="1369"/>
      <c r="N34" s="1369"/>
      <c r="O34" s="1369"/>
      <c r="P34" s="1369"/>
      <c r="Q34" s="1369"/>
      <c r="R34" s="1369"/>
      <c r="S34" s="1369"/>
      <c r="T34" s="1369"/>
      <c r="U34" s="1369"/>
    </row>
    <row r="35" spans="1:22" s="1611" customFormat="1" hidden="1">
      <c r="A35" s="1608" t="s">
        <v>163</v>
      </c>
      <c r="B35" s="1609" t="s">
        <v>251</v>
      </c>
      <c r="C35" s="1609">
        <f>+AVERAGE(D35:I35)</f>
        <v>1.97724687205631E-2</v>
      </c>
      <c r="D35" s="1609">
        <f t="shared" ref="D35:I40" si="6">+D23/D$32</f>
        <v>1.7294564691776485E-2</v>
      </c>
      <c r="E35" s="1609">
        <f t="shared" si="6"/>
        <v>1.6621612187613634E-2</v>
      </c>
      <c r="F35" s="1609">
        <f t="shared" si="6"/>
        <v>1.622204597443079E-2</v>
      </c>
      <c r="G35" s="1609">
        <f t="shared" si="6"/>
        <v>1.5590000276541026E-2</v>
      </c>
      <c r="H35" s="1609">
        <f t="shared" si="6"/>
        <v>2.3818599361771164E-2</v>
      </c>
      <c r="I35" s="1609">
        <f t="shared" si="6"/>
        <v>2.9087989831245501E-2</v>
      </c>
      <c r="J35" s="1610"/>
      <c r="K35" s="1609"/>
      <c r="L35" s="1609"/>
      <c r="M35" s="1609"/>
      <c r="N35" s="1609"/>
      <c r="O35" s="1609"/>
      <c r="P35" s="1609"/>
      <c r="Q35" s="1609"/>
      <c r="R35" s="1609"/>
      <c r="S35" s="1609"/>
      <c r="T35" s="1609"/>
      <c r="U35" s="1609"/>
    </row>
    <row r="36" spans="1:22" s="1611" customFormat="1" hidden="1">
      <c r="A36" s="1608" t="s">
        <v>163</v>
      </c>
      <c r="B36" s="1609" t="s">
        <v>252</v>
      </c>
      <c r="C36" s="1609">
        <f t="shared" ref="C36:C42" si="7">+AVERAGE(D36:I36)</f>
        <v>0.10076326415155849</v>
      </c>
      <c r="D36" s="1609">
        <f t="shared" si="6"/>
        <v>7.9351175430594598E-2</v>
      </c>
      <c r="E36" s="1609">
        <f t="shared" si="6"/>
        <v>8.0587515980932042E-2</v>
      </c>
      <c r="F36" s="1609">
        <f t="shared" si="6"/>
        <v>8.427029769515515E-2</v>
      </c>
      <c r="G36" s="1609">
        <f t="shared" si="6"/>
        <v>8.7746467188407409E-2</v>
      </c>
      <c r="H36" s="1609">
        <f t="shared" si="6"/>
        <v>0.11509540355530634</v>
      </c>
      <c r="I36" s="1609">
        <f t="shared" si="6"/>
        <v>0.15752872505895535</v>
      </c>
      <c r="J36" s="1610"/>
      <c r="K36" s="1609"/>
      <c r="L36" s="1609"/>
      <c r="M36" s="1609"/>
      <c r="N36" s="1609"/>
      <c r="O36" s="1609"/>
      <c r="P36" s="1609"/>
      <c r="Q36" s="1609"/>
      <c r="R36" s="1609"/>
      <c r="S36" s="1609"/>
      <c r="T36" s="1609"/>
      <c r="U36" s="1609"/>
    </row>
    <row r="37" spans="1:22" s="1611" customFormat="1" hidden="1">
      <c r="A37" s="1608" t="s">
        <v>163</v>
      </c>
      <c r="B37" s="1609" t="s">
        <v>253</v>
      </c>
      <c r="C37" s="1609">
        <f t="shared" si="7"/>
        <v>0.55344408728660621</v>
      </c>
      <c r="D37" s="1609">
        <f t="shared" si="6"/>
        <v>0.56422678312920349</v>
      </c>
      <c r="E37" s="1609">
        <f t="shared" si="6"/>
        <v>0.55918399012588627</v>
      </c>
      <c r="F37" s="1609">
        <f t="shared" si="6"/>
        <v>0.55408563601558825</v>
      </c>
      <c r="G37" s="1609">
        <f t="shared" si="6"/>
        <v>0.55399117834130696</v>
      </c>
      <c r="H37" s="1609">
        <f t="shared" si="6"/>
        <v>0.5285139600744706</v>
      </c>
      <c r="I37" s="1609">
        <f t="shared" si="6"/>
        <v>0.56066297603318227</v>
      </c>
      <c r="J37" s="1610"/>
      <c r="K37" s="1609"/>
      <c r="L37" s="1609"/>
      <c r="M37" s="1609"/>
      <c r="N37" s="1609"/>
      <c r="O37" s="1609"/>
      <c r="P37" s="1609"/>
      <c r="Q37" s="1609"/>
      <c r="R37" s="1609"/>
      <c r="S37" s="1609"/>
      <c r="T37" s="1609"/>
      <c r="U37" s="1609"/>
    </row>
    <row r="38" spans="1:22" s="1611" customFormat="1" hidden="1">
      <c r="A38" s="1608" t="s">
        <v>163</v>
      </c>
      <c r="B38" s="1609" t="s">
        <v>254</v>
      </c>
      <c r="C38" s="1609">
        <f t="shared" si="7"/>
        <v>4.5644464582331123E-2</v>
      </c>
      <c r="D38" s="1609">
        <f t="shared" si="6"/>
        <v>3.138996898773086E-2</v>
      </c>
      <c r="E38" s="1609">
        <f t="shared" si="6"/>
        <v>4.0431198538180106E-2</v>
      </c>
      <c r="F38" s="1609">
        <f t="shared" si="6"/>
        <v>4.4619282901518148E-2</v>
      </c>
      <c r="G38" s="1609">
        <f t="shared" si="6"/>
        <v>4.41255772793894E-2</v>
      </c>
      <c r="H38" s="1609">
        <f t="shared" si="6"/>
        <v>5.161589082695682E-2</v>
      </c>
      <c r="I38" s="1609">
        <f t="shared" si="6"/>
        <v>6.16848689602114E-2</v>
      </c>
      <c r="J38" s="1610"/>
      <c r="K38" s="1609"/>
      <c r="L38" s="1609"/>
      <c r="M38" s="1609"/>
      <c r="N38" s="1609"/>
      <c r="O38" s="1609"/>
      <c r="P38" s="1609"/>
      <c r="Q38" s="1609"/>
      <c r="R38" s="1609"/>
      <c r="S38" s="1609"/>
      <c r="T38" s="1609"/>
      <c r="U38" s="1609"/>
    </row>
    <row r="39" spans="1:22" s="1611" customFormat="1" hidden="1">
      <c r="A39" s="1608" t="s">
        <v>163</v>
      </c>
      <c r="B39" s="1609" t="s">
        <v>256</v>
      </c>
      <c r="C39" s="1609">
        <f t="shared" si="7"/>
        <v>0.11261417460746963</v>
      </c>
      <c r="D39" s="1609">
        <f t="shared" si="6"/>
        <v>0.11251100226223291</v>
      </c>
      <c r="E39" s="1609">
        <f t="shared" si="6"/>
        <v>0.11247779262267235</v>
      </c>
      <c r="F39" s="1609">
        <f t="shared" si="6"/>
        <v>0.11357728425156327</v>
      </c>
      <c r="G39" s="1609">
        <f t="shared" si="6"/>
        <v>0.10868753629600951</v>
      </c>
      <c r="H39" s="1609">
        <f t="shared" si="6"/>
        <v>0.10890842707778768</v>
      </c>
      <c r="I39" s="1609">
        <f t="shared" si="6"/>
        <v>0.11952300513455201</v>
      </c>
      <c r="J39" s="1610"/>
      <c r="K39" s="1609"/>
      <c r="L39" s="1609"/>
      <c r="M39" s="1609"/>
      <c r="N39" s="1609"/>
      <c r="O39" s="1609"/>
      <c r="P39" s="1609"/>
      <c r="Q39" s="1609"/>
      <c r="R39" s="1609"/>
      <c r="S39" s="1609"/>
      <c r="T39" s="1609"/>
      <c r="U39" s="1609"/>
    </row>
    <row r="40" spans="1:22" s="1611" customFormat="1" hidden="1">
      <c r="A40" s="1608" t="s">
        <v>163</v>
      </c>
      <c r="B40" s="1609" t="s">
        <v>257</v>
      </c>
      <c r="C40" s="1609">
        <f t="shared" si="7"/>
        <v>1.2973282783499436E-2</v>
      </c>
      <c r="D40" s="1609">
        <f t="shared" si="6"/>
        <v>1.3500595685740305E-2</v>
      </c>
      <c r="E40" s="1609">
        <f t="shared" si="6"/>
        <v>1.2550893235923562E-2</v>
      </c>
      <c r="F40" s="1609">
        <f t="shared" si="6"/>
        <v>1.3043754000201196E-2</v>
      </c>
      <c r="G40" s="1609">
        <f t="shared" si="6"/>
        <v>1.3640386051270707E-2</v>
      </c>
      <c r="H40" s="1609">
        <f t="shared" si="6"/>
        <v>1.1252484713694829E-2</v>
      </c>
      <c r="I40" s="1609">
        <f t="shared" si="6"/>
        <v>1.3851583014166013E-2</v>
      </c>
      <c r="J40" s="1610"/>
      <c r="K40" s="1609"/>
      <c r="L40" s="1609"/>
      <c r="M40" s="1609"/>
      <c r="N40" s="1609"/>
      <c r="O40" s="1609"/>
      <c r="P40" s="1609"/>
      <c r="Q40" s="1609"/>
      <c r="R40" s="1609"/>
      <c r="S40" s="1609"/>
      <c r="T40" s="1609"/>
      <c r="U40" s="1609"/>
    </row>
    <row r="41" spans="1:22" s="1611" customFormat="1" hidden="1">
      <c r="A41" s="1608" t="s">
        <v>163</v>
      </c>
      <c r="B41" s="1609" t="s">
        <v>258</v>
      </c>
      <c r="C41" s="1609">
        <f t="shared" si="7"/>
        <v>1.6553275225227544E-2</v>
      </c>
      <c r="D41" s="1609">
        <f t="shared" ref="D41:I41" si="8">+D30/D$32</f>
        <v>1.2077699997101655E-2</v>
      </c>
      <c r="E41" s="1609">
        <f t="shared" si="8"/>
        <v>1.2103647265179124E-2</v>
      </c>
      <c r="F41" s="1609">
        <f t="shared" si="8"/>
        <v>1.2501767742669154E-2</v>
      </c>
      <c r="G41" s="1609">
        <f t="shared" si="8"/>
        <v>2.1501064682945714E-2</v>
      </c>
      <c r="H41" s="1609">
        <f t="shared" si="8"/>
        <v>1.6084878764872843E-2</v>
      </c>
      <c r="I41" s="1609">
        <f t="shared" si="8"/>
        <v>2.5050592898596777E-2</v>
      </c>
      <c r="J41" s="1610"/>
      <c r="K41" s="1609"/>
      <c r="L41" s="1609"/>
      <c r="M41" s="1609"/>
      <c r="N41" s="1609"/>
      <c r="O41" s="1609"/>
      <c r="P41" s="1609"/>
      <c r="Q41" s="1609"/>
      <c r="R41" s="1609"/>
      <c r="S41" s="1609"/>
      <c r="T41" s="1609"/>
      <c r="U41" s="1609"/>
    </row>
    <row r="42" spans="1:22" s="1611" customFormat="1" hidden="1">
      <c r="A42" s="1608" t="s">
        <v>163</v>
      </c>
      <c r="B42" s="1609" t="s">
        <v>731</v>
      </c>
      <c r="C42" s="1609">
        <f t="shared" si="7"/>
        <v>5.4187905825449328E-2</v>
      </c>
      <c r="D42" s="1609">
        <f t="shared" ref="D42:I42" si="9">+D31/D$32</f>
        <v>6.1371457729194084E-2</v>
      </c>
      <c r="E42" s="1609">
        <f t="shared" si="9"/>
        <v>6.1003255324692841E-2</v>
      </c>
      <c r="F42" s="1609">
        <f t="shared" si="9"/>
        <v>5.8195182117588055E-2</v>
      </c>
      <c r="G42" s="1609">
        <f t="shared" si="9"/>
        <v>5.6642515417162143E-2</v>
      </c>
      <c r="H42" s="1609">
        <f t="shared" si="9"/>
        <v>5.5304765294968201E-2</v>
      </c>
      <c r="I42" s="1609">
        <f t="shared" si="9"/>
        <v>3.2610259069090666E-2</v>
      </c>
      <c r="J42" s="1610"/>
      <c r="K42" s="1609"/>
      <c r="L42" s="1609"/>
      <c r="M42" s="1609"/>
      <c r="N42" s="1609"/>
      <c r="O42" s="1609"/>
      <c r="P42" s="1609"/>
      <c r="Q42" s="1609"/>
      <c r="R42" s="1609"/>
      <c r="S42" s="1609"/>
      <c r="T42" s="1609"/>
      <c r="U42" s="1609"/>
    </row>
    <row r="43" spans="1:22" s="1375" customFormat="1">
      <c r="A43" s="1336"/>
      <c r="B43" s="1335"/>
      <c r="C43" s="1335"/>
      <c r="D43" s="1335"/>
      <c r="E43" s="1335"/>
      <c r="F43" s="1335"/>
      <c r="G43" s="1335"/>
      <c r="H43" s="1335"/>
      <c r="I43" s="1335"/>
      <c r="J43" s="1358"/>
      <c r="K43" s="1335"/>
      <c r="L43" s="1335"/>
      <c r="M43" s="1335"/>
      <c r="N43" s="1335"/>
      <c r="O43" s="1335"/>
      <c r="P43" s="1335"/>
      <c r="Q43" s="1335"/>
      <c r="R43" s="1335"/>
      <c r="S43" s="1612"/>
      <c r="T43" s="1612"/>
      <c r="U43" s="1612"/>
    </row>
    <row r="44" spans="1:22" s="1375" customFormat="1">
      <c r="A44" s="1336"/>
      <c r="B44" s="1335"/>
      <c r="C44" s="1335"/>
      <c r="D44" s="1335"/>
      <c r="E44" s="1335"/>
      <c r="F44" s="1335"/>
      <c r="G44" s="1335"/>
      <c r="H44" s="1335"/>
      <c r="I44" s="1335"/>
      <c r="J44" s="1358"/>
      <c r="K44" s="1335"/>
      <c r="L44" s="1335"/>
      <c r="M44" s="1335"/>
      <c r="N44" s="1335"/>
      <c r="O44" s="1335"/>
      <c r="P44" s="1335"/>
      <c r="Q44" s="1335"/>
      <c r="R44" s="1335"/>
      <c r="S44" s="1335"/>
      <c r="T44" s="1335"/>
      <c r="U44" s="1335"/>
    </row>
    <row r="45" spans="1:22" s="1379" customFormat="1" ht="12.75">
      <c r="A45" s="1355"/>
      <c r="B45" s="1356" t="s">
        <v>262</v>
      </c>
      <c r="C45" s="1356"/>
      <c r="D45" s="1356"/>
      <c r="E45" s="1356"/>
      <c r="F45" s="1356"/>
      <c r="G45" s="1356"/>
      <c r="H45" s="1356"/>
      <c r="I45" s="1356"/>
      <c r="J45" s="1357"/>
      <c r="K45" s="1356"/>
      <c r="L45" s="1356"/>
      <c r="M45" s="1356"/>
      <c r="N45" s="1356"/>
      <c r="O45" s="1356"/>
      <c r="P45" s="1356"/>
      <c r="Q45" s="1356"/>
      <c r="R45" s="1356"/>
      <c r="S45" s="1356"/>
      <c r="T45" s="1356"/>
      <c r="U45" s="1356"/>
    </row>
    <row r="46" spans="1:22" s="1375" customFormat="1">
      <c r="A46" s="1336"/>
      <c r="B46" s="1335"/>
      <c r="C46" s="1335"/>
      <c r="D46" s="1335"/>
      <c r="E46" s="1335"/>
      <c r="F46" s="1335"/>
      <c r="G46" s="1335"/>
      <c r="H46" s="1335"/>
      <c r="I46" s="1335"/>
      <c r="J46" s="1358"/>
      <c r="K46" s="1335"/>
      <c r="L46" s="1335"/>
      <c r="M46" s="1335"/>
      <c r="N46" s="1335"/>
      <c r="O46" s="1335"/>
      <c r="P46" s="1335"/>
      <c r="Q46" s="1335"/>
      <c r="R46" s="1335"/>
      <c r="S46" s="1335"/>
      <c r="T46" s="1335"/>
      <c r="U46" s="1335"/>
    </row>
    <row r="47" spans="1:22" s="1375" customFormat="1">
      <c r="A47" s="1336" t="s">
        <v>678</v>
      </c>
      <c r="B47" s="1335" t="s">
        <v>251</v>
      </c>
      <c r="C47" s="1335"/>
      <c r="D47" s="1335"/>
      <c r="E47" s="1335"/>
      <c r="F47" s="1335"/>
      <c r="G47" s="1335"/>
      <c r="H47" s="1335"/>
      <c r="I47" s="1335"/>
      <c r="J47" s="1358"/>
      <c r="K47" s="1335"/>
      <c r="L47" s="1335"/>
      <c r="M47" s="1335"/>
      <c r="N47" s="1335"/>
      <c r="O47" s="1335"/>
      <c r="P47" s="1335"/>
      <c r="Q47" s="1335"/>
      <c r="R47" s="1335"/>
      <c r="S47" s="1335"/>
      <c r="T47" s="1335"/>
      <c r="U47" s="1335"/>
    </row>
    <row r="48" spans="1:22" s="1375" customFormat="1">
      <c r="A48" s="1336" t="s">
        <v>678</v>
      </c>
      <c r="B48" s="1335" t="s">
        <v>252</v>
      </c>
      <c r="C48" s="1335"/>
      <c r="D48" s="1335">
        <v>647.04100000000005</v>
      </c>
      <c r="E48" s="1335">
        <v>703.04600000000005</v>
      </c>
      <c r="F48" s="1335">
        <v>758.74</v>
      </c>
      <c r="G48" s="1335">
        <v>820.1</v>
      </c>
      <c r="H48" s="1335">
        <v>892.7</v>
      </c>
      <c r="I48" s="1335">
        <v>956.4</v>
      </c>
      <c r="J48" s="1358"/>
      <c r="K48" s="1335"/>
      <c r="L48" s="1335"/>
      <c r="M48" s="1335"/>
      <c r="N48" s="1335"/>
      <c r="O48" s="1335"/>
      <c r="P48" s="1335"/>
      <c r="Q48" s="1335"/>
      <c r="R48" s="1335"/>
      <c r="S48" s="1335"/>
      <c r="T48" s="1335"/>
      <c r="U48" s="1335"/>
    </row>
    <row r="49" spans="1:22" s="1375" customFormat="1">
      <c r="A49" s="1336" t="s">
        <v>678</v>
      </c>
      <c r="B49" s="1335" t="s">
        <v>253</v>
      </c>
      <c r="C49" s="1335"/>
      <c r="D49" s="1335">
        <v>8504.9454000000005</v>
      </c>
      <c r="E49" s="1335">
        <v>9341.3700000000008</v>
      </c>
      <c r="F49" s="1335">
        <v>10042.412</v>
      </c>
      <c r="G49" s="1335">
        <v>10898.6</v>
      </c>
      <c r="H49" s="1335">
        <v>11715.2</v>
      </c>
      <c r="I49" s="1335">
        <v>12205.1</v>
      </c>
      <c r="J49" s="1358"/>
      <c r="K49" s="1335"/>
      <c r="L49" s="1335"/>
      <c r="M49" s="1335"/>
      <c r="N49" s="1335"/>
      <c r="O49" s="1335"/>
      <c r="P49" s="1335"/>
      <c r="Q49" s="1335"/>
      <c r="R49" s="1335"/>
      <c r="S49" s="1335"/>
      <c r="T49" s="1335"/>
      <c r="U49" s="1335"/>
    </row>
    <row r="50" spans="1:22" s="1375" customFormat="1">
      <c r="A50" s="1336" t="s">
        <v>678</v>
      </c>
      <c r="B50" s="1335" t="s">
        <v>548</v>
      </c>
      <c r="C50" s="1335"/>
      <c r="D50" s="1335">
        <v>468</v>
      </c>
      <c r="E50" s="1335">
        <v>521.07899999999995</v>
      </c>
      <c r="F50" s="1335">
        <v>599.48</v>
      </c>
      <c r="G50" s="1335">
        <v>662.3</v>
      </c>
      <c r="H50" s="1335">
        <v>766</v>
      </c>
      <c r="I50" s="1335">
        <v>786.3</v>
      </c>
      <c r="J50" s="1358"/>
      <c r="K50" s="1335"/>
      <c r="L50" s="1335"/>
      <c r="M50" s="1335"/>
      <c r="N50" s="1335"/>
      <c r="O50" s="1335"/>
      <c r="P50" s="1335"/>
      <c r="Q50" s="1335"/>
      <c r="R50" s="1335"/>
      <c r="S50" s="1335"/>
      <c r="T50" s="1335"/>
      <c r="U50" s="1335"/>
    </row>
    <row r="51" spans="1:22" s="1375" customFormat="1">
      <c r="A51" s="1336" t="s">
        <v>678</v>
      </c>
      <c r="B51" s="1335" t="s">
        <v>549</v>
      </c>
      <c r="C51" s="1335"/>
      <c r="D51" s="1335">
        <v>1480.5139999999999</v>
      </c>
      <c r="E51" s="1335">
        <v>1712.479</v>
      </c>
      <c r="F51" s="1335">
        <v>1924.702</v>
      </c>
      <c r="G51" s="1335">
        <v>2104.5</v>
      </c>
      <c r="H51" s="1335">
        <v>2409.1999999999998</v>
      </c>
      <c r="I51" s="1335">
        <v>2608.5</v>
      </c>
      <c r="J51" s="1358"/>
      <c r="K51" s="1335"/>
      <c r="L51" s="1335"/>
      <c r="M51" s="1335"/>
      <c r="N51" s="1335"/>
      <c r="O51" s="1335"/>
      <c r="P51" s="1335"/>
      <c r="Q51" s="1335"/>
      <c r="R51" s="1335"/>
      <c r="S51" s="1335"/>
      <c r="T51" s="1335"/>
      <c r="U51" s="1335"/>
    </row>
    <row r="52" spans="1:22" s="1375" customFormat="1">
      <c r="A52" s="1336" t="s">
        <v>678</v>
      </c>
      <c r="B52" s="1335" t="s">
        <v>257</v>
      </c>
      <c r="C52" s="1335"/>
      <c r="D52" s="1335">
        <v>220.43799999999999</v>
      </c>
      <c r="E52" s="1335">
        <v>227.839</v>
      </c>
      <c r="F52" s="1335">
        <v>241.78</v>
      </c>
      <c r="G52" s="1335">
        <v>243.9</v>
      </c>
      <c r="H52" s="1335">
        <v>174.7</v>
      </c>
      <c r="I52" s="1335">
        <v>166.8</v>
      </c>
      <c r="J52" s="1358"/>
      <c r="K52" s="1335"/>
      <c r="L52" s="1335"/>
      <c r="M52" s="1335"/>
      <c r="N52" s="1335"/>
      <c r="O52" s="1335"/>
      <c r="P52" s="1335"/>
      <c r="Q52" s="1335"/>
      <c r="R52" s="1335"/>
      <c r="S52" s="1335"/>
      <c r="T52" s="1335"/>
      <c r="U52" s="1335"/>
    </row>
    <row r="53" spans="1:22" s="1375" customFormat="1">
      <c r="A53" s="1336" t="s">
        <v>678</v>
      </c>
      <c r="B53" s="1335" t="s">
        <v>551</v>
      </c>
      <c r="C53" s="1335"/>
      <c r="D53" s="1335">
        <v>635.59799999999996</v>
      </c>
      <c r="E53" s="1335">
        <v>929.87300000000005</v>
      </c>
      <c r="F53" s="1335">
        <v>1222.75</v>
      </c>
      <c r="G53" s="1335">
        <v>1516.2</v>
      </c>
      <c r="H53" s="1335">
        <v>1809.6</v>
      </c>
      <c r="I53" s="1335"/>
      <c r="J53" s="1358"/>
      <c r="K53" s="1335"/>
      <c r="L53" s="1335"/>
      <c r="M53" s="1335"/>
      <c r="N53" s="1335"/>
      <c r="O53" s="1335"/>
      <c r="P53" s="1335"/>
      <c r="Q53" s="1335"/>
      <c r="R53" s="1335"/>
      <c r="S53" s="1335"/>
      <c r="T53" s="1335"/>
      <c r="U53" s="1335"/>
    </row>
    <row r="54" spans="1:22" s="1375" customFormat="1">
      <c r="A54" s="1336" t="s">
        <v>678</v>
      </c>
      <c r="B54" s="1335" t="s">
        <v>258</v>
      </c>
      <c r="C54" s="1335"/>
      <c r="D54" s="1335">
        <v>121.559</v>
      </c>
      <c r="E54" s="1335">
        <v>135.97800000000001</v>
      </c>
      <c r="F54" s="1335">
        <v>149.66999999999999</v>
      </c>
      <c r="G54" s="1335">
        <v>173.5</v>
      </c>
      <c r="H54" s="1335">
        <v>135.4</v>
      </c>
      <c r="I54" s="1335">
        <v>144.19999999999999</v>
      </c>
      <c r="J54" s="1358"/>
      <c r="K54" s="1335"/>
      <c r="L54" s="1335"/>
      <c r="M54" s="1335"/>
      <c r="N54" s="1335"/>
      <c r="O54" s="1335"/>
      <c r="P54" s="1335"/>
      <c r="Q54" s="1335"/>
      <c r="R54" s="1335"/>
      <c r="S54" s="1335"/>
      <c r="T54" s="1335"/>
      <c r="U54" s="1335"/>
    </row>
    <row r="55" spans="1:22" s="1375" customFormat="1">
      <c r="A55" s="1336" t="s">
        <v>678</v>
      </c>
      <c r="B55" s="1335" t="s">
        <v>731</v>
      </c>
      <c r="C55" s="1335"/>
      <c r="D55" s="1335">
        <f>944.222+142.28+24.727+206.279+59.033</f>
        <v>1376.5409999999999</v>
      </c>
      <c r="E55" s="1335">
        <f>27.29+219.39+62.67+944.22+141.58</f>
        <v>1395.1499999999999</v>
      </c>
      <c r="F55" s="1335">
        <f>29.86+233.81+65.929+875+142.28</f>
        <v>1346.8790000000001</v>
      </c>
      <c r="G55" s="1335">
        <f>32.6+249+69.2+875+142.3</f>
        <v>1368.1</v>
      </c>
      <c r="H55" s="1335">
        <f>35.4+266.1+72.5+875+72.5</f>
        <v>1321.5</v>
      </c>
      <c r="I55" s="1335">
        <f>40.8+235.4+56.4+68</f>
        <v>400.59999999999997</v>
      </c>
      <c r="J55" s="1358">
        <v>18093.900000000001</v>
      </c>
      <c r="K55" s="1358">
        <v>18996.599999999999</v>
      </c>
      <c r="L55" s="1358">
        <v>19124.5</v>
      </c>
      <c r="M55" s="1358">
        <v>19143.3</v>
      </c>
      <c r="N55" s="1358">
        <v>20244.2</v>
      </c>
      <c r="O55" s="1358">
        <v>20710</v>
      </c>
      <c r="P55" s="1358">
        <v>21836.7</v>
      </c>
      <c r="Q55" s="1358">
        <v>23645.8</v>
      </c>
      <c r="R55" s="1358">
        <f>Q56+'Inc Stmt'!Q23</f>
        <v>26718.7</v>
      </c>
      <c r="S55" s="1358">
        <f>R56+'Inc Stmt'!R23</f>
        <v>30092.9725</v>
      </c>
      <c r="T55" s="1099">
        <f>S55+'Inc Stmt'!S159</f>
        <v>33743.245000000003</v>
      </c>
      <c r="U55" s="1099">
        <f>T55+'Inc Stmt'!T159</f>
        <v>37726.420000000006</v>
      </c>
      <c r="V55" s="1607" t="s">
        <v>2583</v>
      </c>
    </row>
    <row r="56" spans="1:22" s="1384" customFormat="1">
      <c r="A56" s="1368"/>
      <c r="B56" s="1369" t="s">
        <v>263</v>
      </c>
      <c r="C56" s="1369"/>
      <c r="D56" s="1369">
        <f t="shared" ref="D56:I56" si="10">+SUM(D47:D55)</f>
        <v>13454.636399999998</v>
      </c>
      <c r="E56" s="1369">
        <f t="shared" si="10"/>
        <v>14966.813999999998</v>
      </c>
      <c r="F56" s="1369">
        <f t="shared" si="10"/>
        <v>16286.413</v>
      </c>
      <c r="G56" s="1369">
        <f t="shared" si="10"/>
        <v>17787.199999999997</v>
      </c>
      <c r="H56" s="1369">
        <f t="shared" si="10"/>
        <v>19224.300000000003</v>
      </c>
      <c r="I56" s="1369">
        <f t="shared" si="10"/>
        <v>17267.899999999998</v>
      </c>
      <c r="J56" s="1370">
        <f t="shared" ref="J56:O56" si="11">+SUM(J47:J55)</f>
        <v>18093.900000000001</v>
      </c>
      <c r="K56" s="1369">
        <f t="shared" si="11"/>
        <v>18996.599999999999</v>
      </c>
      <c r="L56" s="1369">
        <f t="shared" si="11"/>
        <v>19124.5</v>
      </c>
      <c r="M56" s="1369">
        <f t="shared" si="11"/>
        <v>19143.3</v>
      </c>
      <c r="N56" s="1369">
        <f t="shared" si="11"/>
        <v>20244.2</v>
      </c>
      <c r="O56" s="1369">
        <f t="shared" si="11"/>
        <v>20710</v>
      </c>
      <c r="P56" s="1369">
        <f>+SUM(P47:P55)</f>
        <v>21836.7</v>
      </c>
      <c r="Q56" s="1369">
        <f>+SUM(Q47:Q55)</f>
        <v>23645.8</v>
      </c>
      <c r="R56" s="1369">
        <f>+SUM(R47:R55)</f>
        <v>26718.7</v>
      </c>
      <c r="S56" s="1369">
        <f>+SUM(S47:S55)</f>
        <v>30092.9725</v>
      </c>
      <c r="T56" s="1369">
        <f t="shared" ref="T56:U56" si="12">+SUM(T47:T55)</f>
        <v>33743.245000000003</v>
      </c>
      <c r="U56" s="1369">
        <f t="shared" si="12"/>
        <v>37726.420000000006</v>
      </c>
      <c r="V56" s="1607"/>
    </row>
    <row r="57" spans="1:22" s="1375" customFormat="1">
      <c r="A57" s="1336"/>
      <c r="B57" s="1335"/>
      <c r="C57" s="1335"/>
      <c r="D57" s="1335"/>
      <c r="E57" s="1335"/>
      <c r="F57" s="1335"/>
      <c r="G57" s="1335"/>
      <c r="H57" s="1335"/>
      <c r="I57" s="1335"/>
      <c r="J57" s="1358"/>
      <c r="K57" s="1335"/>
      <c r="L57" s="1335"/>
      <c r="M57" s="1335"/>
      <c r="N57" s="1335"/>
      <c r="O57" s="1335"/>
      <c r="P57" s="1335"/>
      <c r="Q57" s="1335"/>
      <c r="R57" s="1335"/>
      <c r="S57" s="1335"/>
      <c r="T57" s="1335"/>
      <c r="U57" s="1335"/>
    </row>
    <row r="58" spans="1:22" s="1375" customFormat="1">
      <c r="A58" s="1336"/>
      <c r="B58" s="1335"/>
      <c r="C58" s="1335"/>
      <c r="D58" s="1335"/>
      <c r="E58" s="1335"/>
      <c r="F58" s="1335"/>
      <c r="G58" s="1335"/>
      <c r="H58" s="1335"/>
      <c r="I58" s="1335"/>
      <c r="J58" s="1358"/>
      <c r="K58" s="1335"/>
      <c r="L58" s="1335"/>
      <c r="M58" s="1335"/>
      <c r="N58" s="1335"/>
      <c r="O58" s="1335"/>
      <c r="P58" s="1335"/>
      <c r="Q58" s="1335"/>
      <c r="R58" s="1335"/>
      <c r="S58" s="1335"/>
      <c r="T58" s="1335"/>
      <c r="U58" s="1335"/>
    </row>
    <row r="59" spans="1:22" s="1379" customFormat="1" ht="12.75">
      <c r="A59" s="1355"/>
      <c r="B59" s="1356" t="s">
        <v>301</v>
      </c>
      <c r="C59" s="1356"/>
      <c r="D59" s="1356"/>
      <c r="E59" s="1356"/>
      <c r="F59" s="1356"/>
      <c r="G59" s="1356"/>
      <c r="H59" s="1356"/>
      <c r="I59" s="1356"/>
      <c r="J59" s="1357"/>
      <c r="K59" s="1356"/>
      <c r="L59" s="1356"/>
      <c r="M59" s="1356"/>
      <c r="N59" s="1356"/>
      <c r="O59" s="1356"/>
      <c r="P59" s="1356"/>
      <c r="Q59" s="1356"/>
      <c r="R59" s="1356"/>
      <c r="S59" s="1356"/>
      <c r="T59" s="1356"/>
      <c r="U59" s="1356"/>
    </row>
    <row r="60" spans="1:22" s="1375" customFormat="1">
      <c r="A60" s="1336"/>
      <c r="B60" s="1335"/>
      <c r="C60" s="1335"/>
      <c r="D60" s="1335"/>
      <c r="E60" s="1335"/>
      <c r="F60" s="1335"/>
      <c r="G60" s="1335"/>
      <c r="H60" s="1335"/>
      <c r="I60" s="1335"/>
      <c r="J60" s="1358"/>
      <c r="K60" s="1335"/>
      <c r="L60" s="1335"/>
      <c r="M60" s="1335"/>
      <c r="N60" s="1335"/>
      <c r="O60" s="1335"/>
      <c r="P60" s="1335"/>
      <c r="Q60" s="1335"/>
      <c r="R60" s="1335"/>
      <c r="S60" s="1335"/>
      <c r="T60" s="1335"/>
      <c r="U60" s="1335"/>
    </row>
    <row r="61" spans="1:22" s="1375" customFormat="1">
      <c r="A61" s="1336" t="s">
        <v>678</v>
      </c>
      <c r="B61" s="1335" t="s">
        <v>251</v>
      </c>
      <c r="C61" s="1335"/>
      <c r="D61" s="1335">
        <f t="shared" ref="D61:O61" si="13">+D23-D47</f>
        <v>453.49599999999998</v>
      </c>
      <c r="E61" s="1335">
        <f t="shared" si="13"/>
        <v>449.28</v>
      </c>
      <c r="F61" s="1335">
        <f t="shared" si="13"/>
        <v>445.07000000000005</v>
      </c>
      <c r="G61" s="1335">
        <f t="shared" si="13"/>
        <v>451</v>
      </c>
      <c r="H61" s="1335">
        <f t="shared" si="13"/>
        <v>756.1</v>
      </c>
      <c r="I61" s="1335">
        <f t="shared" si="13"/>
        <v>869.59999999999991</v>
      </c>
      <c r="J61" s="1358">
        <f t="shared" si="13"/>
        <v>0</v>
      </c>
      <c r="K61" s="1335">
        <f t="shared" si="13"/>
        <v>0</v>
      </c>
      <c r="L61" s="1335">
        <f t="shared" si="13"/>
        <v>0</v>
      </c>
      <c r="M61" s="1335">
        <f t="shared" si="13"/>
        <v>0</v>
      </c>
      <c r="N61" s="1335">
        <f t="shared" si="13"/>
        <v>0</v>
      </c>
      <c r="O61" s="1335">
        <f t="shared" si="13"/>
        <v>0</v>
      </c>
      <c r="P61" s="1335">
        <f t="shared" ref="P61:Q66" si="14">+P23-P47</f>
        <v>0</v>
      </c>
      <c r="Q61" s="1335">
        <f t="shared" si="14"/>
        <v>0</v>
      </c>
      <c r="R61" s="1335">
        <f t="shared" ref="R61:S66" si="15">+R23-R47</f>
        <v>0</v>
      </c>
      <c r="S61" s="1335">
        <f t="shared" si="15"/>
        <v>0</v>
      </c>
      <c r="T61" s="1335">
        <f t="shared" ref="T61:U61" si="16">+T23-T47</f>
        <v>0</v>
      </c>
      <c r="U61" s="1335">
        <f t="shared" si="16"/>
        <v>0</v>
      </c>
    </row>
    <row r="62" spans="1:22" s="1375" customFormat="1">
      <c r="A62" s="1336" t="s">
        <v>678</v>
      </c>
      <c r="B62" s="1335" t="s">
        <v>252</v>
      </c>
      <c r="C62" s="1335"/>
      <c r="D62" s="1335">
        <f t="shared" ref="D62:O62" si="17">+D24-D48</f>
        <v>1433.6959999999999</v>
      </c>
      <c r="E62" s="1335">
        <f t="shared" si="17"/>
        <v>1475.2239999999999</v>
      </c>
      <c r="F62" s="1335">
        <f t="shared" si="17"/>
        <v>1553.3100000000002</v>
      </c>
      <c r="G62" s="1335">
        <f t="shared" si="17"/>
        <v>1718.3000000000002</v>
      </c>
      <c r="H62" s="1335">
        <f t="shared" si="17"/>
        <v>2760.8999999999996</v>
      </c>
      <c r="I62" s="1335">
        <f t="shared" si="17"/>
        <v>3752.9999999999995</v>
      </c>
      <c r="J62" s="1358">
        <f t="shared" si="17"/>
        <v>0</v>
      </c>
      <c r="K62" s="1335">
        <f t="shared" si="17"/>
        <v>0</v>
      </c>
      <c r="L62" s="1335">
        <f t="shared" si="17"/>
        <v>0</v>
      </c>
      <c r="M62" s="1335">
        <f t="shared" si="17"/>
        <v>0</v>
      </c>
      <c r="N62" s="1335">
        <f t="shared" si="17"/>
        <v>0</v>
      </c>
      <c r="O62" s="1335">
        <f t="shared" si="17"/>
        <v>0</v>
      </c>
      <c r="P62" s="1335">
        <f t="shared" si="14"/>
        <v>0</v>
      </c>
      <c r="Q62" s="1335">
        <f t="shared" si="14"/>
        <v>0</v>
      </c>
      <c r="R62" s="1335">
        <f t="shared" si="15"/>
        <v>0</v>
      </c>
      <c r="S62" s="1335">
        <f t="shared" si="15"/>
        <v>0</v>
      </c>
      <c r="T62" s="1335">
        <f t="shared" ref="T62:U62" si="18">+T24-T48</f>
        <v>0</v>
      </c>
      <c r="U62" s="1335">
        <f t="shared" si="18"/>
        <v>0</v>
      </c>
    </row>
    <row r="63" spans="1:22" s="1375" customFormat="1">
      <c r="A63" s="1336" t="s">
        <v>678</v>
      </c>
      <c r="B63" s="1335" t="s">
        <v>253</v>
      </c>
      <c r="C63" s="1335"/>
      <c r="D63" s="1335">
        <f t="shared" ref="D63:O63" si="19">+D25-D49</f>
        <v>6290.141599999999</v>
      </c>
      <c r="E63" s="1335">
        <f t="shared" si="19"/>
        <v>5773.2999999999993</v>
      </c>
      <c r="F63" s="1335">
        <f t="shared" si="19"/>
        <v>5159.5479999999989</v>
      </c>
      <c r="G63" s="1335">
        <f t="shared" si="19"/>
        <v>5127.6999999999989</v>
      </c>
      <c r="H63" s="1335">
        <f t="shared" si="19"/>
        <v>5062</v>
      </c>
      <c r="I63" s="1335">
        <f t="shared" si="19"/>
        <v>4556.1999999999989</v>
      </c>
      <c r="J63" s="1358">
        <f t="shared" si="19"/>
        <v>0</v>
      </c>
      <c r="K63" s="1335">
        <f t="shared" si="19"/>
        <v>0</v>
      </c>
      <c r="L63" s="1335">
        <f t="shared" si="19"/>
        <v>0</v>
      </c>
      <c r="M63" s="1335">
        <f t="shared" si="19"/>
        <v>0</v>
      </c>
      <c r="N63" s="1335">
        <f t="shared" si="19"/>
        <v>0</v>
      </c>
      <c r="O63" s="1335">
        <f t="shared" si="19"/>
        <v>0</v>
      </c>
      <c r="P63" s="1335">
        <f t="shared" si="14"/>
        <v>0</v>
      </c>
      <c r="Q63" s="1335">
        <f t="shared" si="14"/>
        <v>0</v>
      </c>
      <c r="R63" s="1335">
        <f t="shared" si="15"/>
        <v>0</v>
      </c>
      <c r="S63" s="1335">
        <f t="shared" si="15"/>
        <v>0</v>
      </c>
      <c r="T63" s="1335">
        <f t="shared" ref="T63:U63" si="20">+T25-T49</f>
        <v>0</v>
      </c>
      <c r="U63" s="1335">
        <f t="shared" si="20"/>
        <v>0</v>
      </c>
    </row>
    <row r="64" spans="1:22" s="1375" customFormat="1">
      <c r="A64" s="1336" t="s">
        <v>678</v>
      </c>
      <c r="B64" s="1335" t="s">
        <v>548</v>
      </c>
      <c r="C64" s="1335"/>
      <c r="D64" s="1335">
        <f t="shared" ref="D64:O64" si="21">+D26-D50</f>
        <v>355.10400000000004</v>
      </c>
      <c r="E64" s="1335">
        <f t="shared" si="21"/>
        <v>571.77099999999996</v>
      </c>
      <c r="F64" s="1335">
        <f t="shared" si="21"/>
        <v>624.70000000000005</v>
      </c>
      <c r="G64" s="1335">
        <f t="shared" si="21"/>
        <v>614.20000000000005</v>
      </c>
      <c r="H64" s="1335">
        <f t="shared" si="21"/>
        <v>872.5</v>
      </c>
      <c r="I64" s="1335">
        <f t="shared" si="21"/>
        <v>1057.8</v>
      </c>
      <c r="J64" s="1358">
        <f t="shared" si="21"/>
        <v>0</v>
      </c>
      <c r="K64" s="1335">
        <f t="shared" si="21"/>
        <v>0</v>
      </c>
      <c r="L64" s="1335">
        <f t="shared" si="21"/>
        <v>0</v>
      </c>
      <c r="M64" s="1335">
        <f t="shared" si="21"/>
        <v>0</v>
      </c>
      <c r="N64" s="1335">
        <f t="shared" si="21"/>
        <v>0</v>
      </c>
      <c r="O64" s="1335">
        <f t="shared" si="21"/>
        <v>0</v>
      </c>
      <c r="P64" s="1335">
        <f t="shared" si="14"/>
        <v>0</v>
      </c>
      <c r="Q64" s="1335">
        <f t="shared" si="14"/>
        <v>0</v>
      </c>
      <c r="R64" s="1335">
        <f t="shared" si="15"/>
        <v>0</v>
      </c>
      <c r="S64" s="1335">
        <f t="shared" si="15"/>
        <v>0</v>
      </c>
      <c r="T64" s="1335">
        <f t="shared" ref="T64:U64" si="22">+T26-T50</f>
        <v>0</v>
      </c>
      <c r="U64" s="1335">
        <f t="shared" si="22"/>
        <v>0</v>
      </c>
    </row>
    <row r="65" spans="1:21" s="1375" customFormat="1">
      <c r="A65" s="1336" t="s">
        <v>678</v>
      </c>
      <c r="B65" s="1335" t="s">
        <v>552</v>
      </c>
      <c r="C65" s="1335"/>
      <c r="D65" s="1335">
        <f t="shared" ref="D65:O65" si="23">+D27-D51</f>
        <v>1469.7360000000001</v>
      </c>
      <c r="E65" s="1335">
        <f t="shared" si="23"/>
        <v>1327.7810000000002</v>
      </c>
      <c r="F65" s="1335">
        <f t="shared" si="23"/>
        <v>1191.4179999999999</v>
      </c>
      <c r="G65" s="1335">
        <f t="shared" si="23"/>
        <v>1039.6999999999998</v>
      </c>
      <c r="H65" s="1335">
        <f t="shared" si="23"/>
        <v>1048</v>
      </c>
      <c r="I65" s="1335">
        <f t="shared" si="23"/>
        <v>964.69999999999982</v>
      </c>
      <c r="J65" s="1358">
        <f t="shared" si="23"/>
        <v>0</v>
      </c>
      <c r="K65" s="1335">
        <f t="shared" si="23"/>
        <v>0</v>
      </c>
      <c r="L65" s="1335">
        <f t="shared" si="23"/>
        <v>0</v>
      </c>
      <c r="M65" s="1335">
        <f t="shared" si="23"/>
        <v>0</v>
      </c>
      <c r="N65" s="1335">
        <f t="shared" si="23"/>
        <v>0</v>
      </c>
      <c r="O65" s="1335">
        <f t="shared" si="23"/>
        <v>0</v>
      </c>
      <c r="P65" s="1335">
        <f t="shared" si="14"/>
        <v>0</v>
      </c>
      <c r="Q65" s="1335">
        <f t="shared" si="14"/>
        <v>0</v>
      </c>
      <c r="R65" s="1335">
        <f t="shared" si="15"/>
        <v>0</v>
      </c>
      <c r="S65" s="1335">
        <f t="shared" si="15"/>
        <v>0</v>
      </c>
      <c r="T65" s="1335">
        <f t="shared" ref="T65:U65" si="24">+T27-T51</f>
        <v>0</v>
      </c>
      <c r="U65" s="1335">
        <f t="shared" si="24"/>
        <v>0</v>
      </c>
    </row>
    <row r="66" spans="1:21" s="1375" customFormat="1">
      <c r="A66" s="1336" t="s">
        <v>678</v>
      </c>
      <c r="B66" s="1335" t="s">
        <v>257</v>
      </c>
      <c r="C66" s="1335"/>
      <c r="D66" s="1335">
        <f t="shared" ref="D66:O66" si="25">+D28-D52</f>
        <v>133.57300000000004</v>
      </c>
      <c r="E66" s="1335">
        <f t="shared" si="25"/>
        <v>111.41000000000003</v>
      </c>
      <c r="F66" s="1335">
        <f t="shared" si="25"/>
        <v>116.09</v>
      </c>
      <c r="G66" s="1335">
        <f t="shared" si="25"/>
        <v>150.70000000000002</v>
      </c>
      <c r="H66" s="1335">
        <f t="shared" si="25"/>
        <v>182.5</v>
      </c>
      <c r="I66" s="1335">
        <f t="shared" si="25"/>
        <v>247.3</v>
      </c>
      <c r="J66" s="1358">
        <f t="shared" si="25"/>
        <v>0</v>
      </c>
      <c r="K66" s="1335">
        <f t="shared" si="25"/>
        <v>0</v>
      </c>
      <c r="L66" s="1335">
        <f t="shared" si="25"/>
        <v>0</v>
      </c>
      <c r="M66" s="1335">
        <f t="shared" si="25"/>
        <v>0</v>
      </c>
      <c r="N66" s="1335">
        <f t="shared" si="25"/>
        <v>0</v>
      </c>
      <c r="O66" s="1335">
        <f t="shared" si="25"/>
        <v>0</v>
      </c>
      <c r="P66" s="1335">
        <f t="shared" si="14"/>
        <v>0</v>
      </c>
      <c r="Q66" s="1335">
        <f t="shared" si="14"/>
        <v>0</v>
      </c>
      <c r="R66" s="1335">
        <f t="shared" si="15"/>
        <v>0</v>
      </c>
      <c r="S66" s="1335">
        <f t="shared" si="15"/>
        <v>0</v>
      </c>
      <c r="T66" s="1335">
        <f t="shared" ref="T66:U66" si="26">+T28-T52</f>
        <v>0</v>
      </c>
      <c r="U66" s="1335">
        <f t="shared" si="26"/>
        <v>0</v>
      </c>
    </row>
    <row r="67" spans="1:21" s="1375" customFormat="1">
      <c r="A67" s="1336" t="s">
        <v>678</v>
      </c>
      <c r="B67" s="1335" t="s">
        <v>551</v>
      </c>
      <c r="C67" s="1335"/>
      <c r="D67" s="1335">
        <f t="shared" ref="D67:I69" si="27">+D29-D53</f>
        <v>2203.6219999999998</v>
      </c>
      <c r="E67" s="1335">
        <f t="shared" si="27"/>
        <v>1909.3469999999998</v>
      </c>
      <c r="F67" s="1335">
        <f t="shared" si="27"/>
        <v>1616.4699999999998</v>
      </c>
      <c r="G67" s="1335">
        <f t="shared" si="27"/>
        <v>1320.9999999999998</v>
      </c>
      <c r="H67" s="1335">
        <f t="shared" si="27"/>
        <v>1028.5</v>
      </c>
      <c r="I67" s="1335">
        <f t="shared" si="27"/>
        <v>0</v>
      </c>
      <c r="J67" s="1358"/>
      <c r="K67" s="1335"/>
      <c r="L67" s="1335"/>
      <c r="M67" s="1335"/>
      <c r="N67" s="1335"/>
      <c r="O67" s="1335"/>
      <c r="P67" s="1335"/>
      <c r="Q67" s="1335"/>
      <c r="R67" s="1335"/>
      <c r="S67" s="1335"/>
      <c r="T67" s="1335"/>
      <c r="U67" s="1335"/>
    </row>
    <row r="68" spans="1:21" s="1375" customFormat="1">
      <c r="A68" s="1336" t="s">
        <v>678</v>
      </c>
      <c r="B68" s="1335" t="s">
        <v>258</v>
      </c>
      <c r="C68" s="1335"/>
      <c r="D68" s="1335">
        <f t="shared" si="27"/>
        <v>195.14099999999999</v>
      </c>
      <c r="E68" s="1335">
        <f t="shared" si="27"/>
        <v>191.18200000000002</v>
      </c>
      <c r="F68" s="1335">
        <f t="shared" si="27"/>
        <v>193.33</v>
      </c>
      <c r="G68" s="1335">
        <f t="shared" si="27"/>
        <v>448.5</v>
      </c>
      <c r="H68" s="1335">
        <f t="shared" si="27"/>
        <v>375.20000000000005</v>
      </c>
      <c r="I68" s="1335">
        <f t="shared" si="27"/>
        <v>604.70000000000005</v>
      </c>
      <c r="J68" s="1358">
        <f t="shared" ref="J68:O69" si="28">+J30-J54</f>
        <v>0</v>
      </c>
      <c r="K68" s="1335">
        <f t="shared" si="28"/>
        <v>0</v>
      </c>
      <c r="L68" s="1335">
        <f t="shared" si="28"/>
        <v>0</v>
      </c>
      <c r="M68" s="1335">
        <f t="shared" si="28"/>
        <v>0</v>
      </c>
      <c r="N68" s="1335">
        <f t="shared" si="28"/>
        <v>0</v>
      </c>
      <c r="O68" s="1335">
        <f t="shared" si="28"/>
        <v>0</v>
      </c>
      <c r="P68" s="1335">
        <f t="shared" ref="P68:R69" si="29">+P30-P54</f>
        <v>0</v>
      </c>
      <c r="Q68" s="1335">
        <f t="shared" si="29"/>
        <v>0</v>
      </c>
      <c r="R68" s="1335">
        <f t="shared" si="29"/>
        <v>0</v>
      </c>
      <c r="S68" s="1335">
        <f>+S30-S54</f>
        <v>0</v>
      </c>
      <c r="T68" s="1335">
        <f t="shared" ref="T68:U68" si="30">+T30-T54</f>
        <v>0</v>
      </c>
      <c r="U68" s="1335">
        <f t="shared" si="30"/>
        <v>0</v>
      </c>
    </row>
    <row r="69" spans="1:21" s="1375" customFormat="1">
      <c r="A69" s="1336" t="s">
        <v>678</v>
      </c>
      <c r="B69" s="1335" t="s">
        <v>731</v>
      </c>
      <c r="C69" s="1335"/>
      <c r="D69" s="1335">
        <f t="shared" si="27"/>
        <v>232.73399999999992</v>
      </c>
      <c r="E69" s="1335">
        <f t="shared" si="27"/>
        <v>253.76000000000022</v>
      </c>
      <c r="F69" s="1335">
        <f t="shared" si="27"/>
        <v>249.77099999999973</v>
      </c>
      <c r="G69" s="1335">
        <f t="shared" si="27"/>
        <v>270.50000000000023</v>
      </c>
      <c r="H69" s="1335">
        <f t="shared" si="27"/>
        <v>434.09999999999991</v>
      </c>
      <c r="I69" s="1335">
        <f t="shared" si="27"/>
        <v>574.30000000000018</v>
      </c>
      <c r="J69" s="1358">
        <f t="shared" si="28"/>
        <v>15301.199999999997</v>
      </c>
      <c r="K69" s="1335">
        <f t="shared" si="28"/>
        <v>14795.900000000001</v>
      </c>
      <c r="L69" s="1335">
        <f t="shared" si="28"/>
        <v>14784.300000000003</v>
      </c>
      <c r="M69" s="1335">
        <f t="shared" si="28"/>
        <v>14795.899999999998</v>
      </c>
      <c r="N69" s="1335">
        <f t="shared" si="28"/>
        <v>18044.3</v>
      </c>
      <c r="O69" s="1335">
        <f t="shared" si="28"/>
        <v>20060.400000000001</v>
      </c>
      <c r="P69" s="1335">
        <f t="shared" si="29"/>
        <v>19172.399999999998</v>
      </c>
      <c r="Q69" s="1335">
        <f t="shared" si="29"/>
        <v>20256.7</v>
      </c>
      <c r="R69" s="1335">
        <f t="shared" si="29"/>
        <v>20183.8</v>
      </c>
      <c r="S69" s="1335">
        <f>+S31-S55</f>
        <v>20809.5275</v>
      </c>
      <c r="T69" s="1335">
        <f t="shared" ref="T69:U69" si="31">+T31-T55</f>
        <v>21159.254999999997</v>
      </c>
      <c r="U69" s="1335">
        <f t="shared" si="31"/>
        <v>21176.079999999994</v>
      </c>
    </row>
    <row r="70" spans="1:21" s="1384" customFormat="1" ht="12.75">
      <c r="A70" s="1368" t="s">
        <v>678</v>
      </c>
      <c r="B70" s="1369" t="s">
        <v>301</v>
      </c>
      <c r="C70" s="1369"/>
      <c r="D70" s="1369">
        <f t="shared" ref="D70:I70" si="32">+SUM(D61:D69)</f>
        <v>12767.2436</v>
      </c>
      <c r="E70" s="1369">
        <f t="shared" si="32"/>
        <v>12063.055</v>
      </c>
      <c r="F70" s="1369">
        <f t="shared" si="32"/>
        <v>11149.706999999999</v>
      </c>
      <c r="G70" s="1369">
        <f t="shared" si="32"/>
        <v>11141.599999999999</v>
      </c>
      <c r="H70" s="1369">
        <f t="shared" si="32"/>
        <v>12519.800000000001</v>
      </c>
      <c r="I70" s="1369">
        <f t="shared" si="32"/>
        <v>12627.599999999999</v>
      </c>
      <c r="J70" s="1370">
        <f t="shared" ref="J70:O70" si="33">+SUM(J61:J69)</f>
        <v>15301.199999999997</v>
      </c>
      <c r="K70" s="1369">
        <f t="shared" si="33"/>
        <v>14795.900000000001</v>
      </c>
      <c r="L70" s="1369">
        <f t="shared" si="33"/>
        <v>14784.300000000003</v>
      </c>
      <c r="M70" s="1369">
        <f t="shared" si="33"/>
        <v>14795.899999999998</v>
      </c>
      <c r="N70" s="1369">
        <f t="shared" si="33"/>
        <v>18044.3</v>
      </c>
      <c r="O70" s="1369">
        <f t="shared" si="33"/>
        <v>20060.400000000001</v>
      </c>
      <c r="P70" s="1369">
        <f>+SUM(P61:P69)</f>
        <v>19172.399999999998</v>
      </c>
      <c r="Q70" s="1369">
        <f>+SUM(Q61:Q69)</f>
        <v>20256.7</v>
      </c>
      <c r="R70" s="1369">
        <f>+SUM(R61:R69)</f>
        <v>20183.8</v>
      </c>
      <c r="S70" s="1369">
        <f>+SUM(S61:S69)</f>
        <v>20809.5275</v>
      </c>
      <c r="T70" s="1369">
        <f t="shared" ref="T70:U70" si="34">+SUM(T61:T69)</f>
        <v>21159.254999999997</v>
      </c>
      <c r="U70" s="1369">
        <f t="shared" si="34"/>
        <v>21176.079999999994</v>
      </c>
    </row>
    <row r="71" spans="1:21" s="1384" customFormat="1" ht="12.75">
      <c r="A71" s="1368" t="s">
        <v>678</v>
      </c>
      <c r="B71" s="1369" t="s">
        <v>726</v>
      </c>
      <c r="C71" s="1369"/>
      <c r="D71" s="1369">
        <v>40.061</v>
      </c>
      <c r="E71" s="1369">
        <v>82.715000000000003</v>
      </c>
      <c r="F71" s="1369">
        <v>83.566000000000003</v>
      </c>
      <c r="G71" s="1369">
        <v>241.8</v>
      </c>
      <c r="H71" s="1369">
        <v>269.2</v>
      </c>
      <c r="I71" s="1369">
        <v>347.4</v>
      </c>
      <c r="J71" s="1370">
        <v>220.6</v>
      </c>
      <c r="K71" s="1369">
        <v>415.2</v>
      </c>
      <c r="L71" s="1369">
        <v>698.6</v>
      </c>
      <c r="M71" s="1369">
        <v>416.5</v>
      </c>
      <c r="N71" s="1369">
        <f>2232.9+702.6</f>
        <v>2935.5</v>
      </c>
      <c r="O71" s="1369">
        <f>1115.1+325.5</f>
        <v>1440.6</v>
      </c>
      <c r="P71" s="1369">
        <f>1017.2+1532.2</f>
        <v>2549.4</v>
      </c>
      <c r="Q71" s="1369">
        <f>253.5+268.9</f>
        <v>522.4</v>
      </c>
      <c r="R71" s="1369">
        <f>Q71</f>
        <v>522.4</v>
      </c>
      <c r="S71" s="1369">
        <f>R71</f>
        <v>522.4</v>
      </c>
      <c r="T71" s="1369">
        <f t="shared" ref="T71:U71" si="35">S71</f>
        <v>522.4</v>
      </c>
      <c r="U71" s="1369">
        <f t="shared" si="35"/>
        <v>522.4</v>
      </c>
    </row>
    <row r="72" spans="1:21" s="1375" customFormat="1">
      <c r="A72" s="1336"/>
      <c r="B72" s="1335"/>
      <c r="C72" s="1335"/>
      <c r="D72" s="1335"/>
      <c r="E72" s="1335"/>
      <c r="F72" s="1335"/>
      <c r="G72" s="1335"/>
      <c r="H72" s="1335"/>
      <c r="I72" s="1335"/>
      <c r="J72" s="1358"/>
      <c r="K72" s="1335"/>
      <c r="L72" s="1335"/>
      <c r="M72" s="1335"/>
      <c r="N72" s="1335"/>
      <c r="O72" s="1335"/>
      <c r="P72" s="1335"/>
      <c r="Q72" s="1335"/>
      <c r="R72" s="1335"/>
      <c r="S72" s="1335"/>
      <c r="T72" s="1335"/>
      <c r="U72" s="1335"/>
    </row>
    <row r="73" spans="1:21" s="1375" customFormat="1">
      <c r="A73" s="1336"/>
      <c r="B73" s="1335"/>
      <c r="C73" s="1335"/>
      <c r="D73" s="1335"/>
      <c r="E73" s="1335"/>
      <c r="F73" s="1335"/>
      <c r="G73" s="1335"/>
      <c r="H73" s="1335"/>
      <c r="I73" s="1335"/>
      <c r="J73" s="1358"/>
      <c r="K73" s="1335"/>
      <c r="L73" s="1335"/>
      <c r="M73" s="1335"/>
      <c r="N73" s="1335"/>
      <c r="O73" s="1335"/>
      <c r="P73" s="1335"/>
      <c r="Q73" s="1335"/>
      <c r="R73" s="1335"/>
      <c r="S73" s="1335"/>
      <c r="T73" s="1335"/>
      <c r="U73" s="1335"/>
    </row>
    <row r="74" spans="1:21" s="1379" customFormat="1" ht="12.75">
      <c r="A74" s="1355"/>
      <c r="B74" s="1356" t="s">
        <v>260</v>
      </c>
      <c r="C74" s="1356"/>
      <c r="D74" s="1356"/>
      <c r="E74" s="1356"/>
      <c r="F74" s="1356"/>
      <c r="G74" s="1356"/>
      <c r="H74" s="1356"/>
      <c r="I74" s="1356"/>
      <c r="J74" s="1357"/>
      <c r="K74" s="1356"/>
      <c r="L74" s="1356"/>
      <c r="M74" s="1356"/>
      <c r="N74" s="1356"/>
      <c r="O74" s="1356"/>
      <c r="P74" s="1356"/>
      <c r="Q74" s="1356"/>
      <c r="R74" s="1356"/>
      <c r="S74" s="1356"/>
      <c r="T74" s="1356"/>
      <c r="U74" s="1356"/>
    </row>
    <row r="75" spans="1:21" s="1375" customFormat="1">
      <c r="A75" s="1336"/>
      <c r="B75" s="1335"/>
      <c r="C75" s="1335"/>
      <c r="D75" s="1335"/>
      <c r="E75" s="1335"/>
      <c r="F75" s="1335"/>
      <c r="G75" s="1335"/>
      <c r="H75" s="1335"/>
      <c r="I75" s="1335"/>
      <c r="J75" s="1358"/>
      <c r="K75" s="1335"/>
      <c r="L75" s="1335"/>
      <c r="M75" s="1335"/>
      <c r="N75" s="1335"/>
      <c r="O75" s="1335"/>
      <c r="P75" s="1335"/>
      <c r="Q75" s="1335"/>
      <c r="R75" s="1335"/>
      <c r="S75" s="1335"/>
      <c r="T75" s="1335"/>
      <c r="U75" s="1335"/>
    </row>
    <row r="76" spans="1:21" s="1375" customFormat="1">
      <c r="A76" s="1336" t="s">
        <v>678</v>
      </c>
      <c r="B76" s="1335" t="s">
        <v>251</v>
      </c>
      <c r="C76" s="1335"/>
      <c r="D76" s="1335"/>
      <c r="E76" s="1335">
        <f t="shared" ref="E76:J76" si="36">+E23-D23</f>
        <v>-4.2160000000000082</v>
      </c>
      <c r="F76" s="1335">
        <f t="shared" si="36"/>
        <v>-4.2099999999999227</v>
      </c>
      <c r="G76" s="1335">
        <f t="shared" si="36"/>
        <v>5.92999999999995</v>
      </c>
      <c r="H76" s="1335">
        <f t="shared" si="36"/>
        <v>305.10000000000002</v>
      </c>
      <c r="I76" s="1335">
        <f t="shared" si="36"/>
        <v>113.49999999999989</v>
      </c>
      <c r="J76" s="1358">
        <f t="shared" si="36"/>
        <v>-869.59999999999991</v>
      </c>
      <c r="K76" s="1335">
        <f t="shared" ref="K76:O81" si="37">+K23-J23</f>
        <v>0</v>
      </c>
      <c r="L76" s="1335">
        <f t="shared" si="37"/>
        <v>0</v>
      </c>
      <c r="M76" s="1335">
        <f t="shared" si="37"/>
        <v>0</v>
      </c>
      <c r="N76" s="1335">
        <f t="shared" si="37"/>
        <v>0</v>
      </c>
      <c r="O76" s="1335">
        <f t="shared" si="37"/>
        <v>0</v>
      </c>
      <c r="P76" s="1335">
        <f t="shared" ref="P76:P81" si="38">+P23-O23</f>
        <v>0</v>
      </c>
      <c r="Q76" s="1335">
        <f t="shared" ref="Q76:Q81" si="39">+Q23-P23</f>
        <v>0</v>
      </c>
      <c r="R76" s="1335">
        <f t="shared" ref="R76:R81" si="40">+R23-Q23</f>
        <v>0</v>
      </c>
      <c r="S76" s="1335">
        <f t="shared" ref="S76:S81" si="41">+S23-R23</f>
        <v>0</v>
      </c>
      <c r="T76" s="1335">
        <f t="shared" ref="T76:T81" si="42">+T23-S23</f>
        <v>0</v>
      </c>
      <c r="U76" s="1335">
        <f t="shared" ref="U76:U81" si="43">+U23-T23</f>
        <v>0</v>
      </c>
    </row>
    <row r="77" spans="1:21" s="1375" customFormat="1">
      <c r="A77" s="1336" t="s">
        <v>678</v>
      </c>
      <c r="B77" s="1335" t="s">
        <v>252</v>
      </c>
      <c r="C77" s="1335"/>
      <c r="D77" s="1335"/>
      <c r="E77" s="1335">
        <f t="shared" ref="E77:J81" si="44">+E24-D24</f>
        <v>97.532999999999902</v>
      </c>
      <c r="F77" s="1335">
        <f t="shared" si="44"/>
        <v>133.7800000000002</v>
      </c>
      <c r="G77" s="1335">
        <f t="shared" si="44"/>
        <v>226.34999999999991</v>
      </c>
      <c r="H77" s="1335">
        <f t="shared" si="44"/>
        <v>1115.1999999999998</v>
      </c>
      <c r="I77" s="1335">
        <f t="shared" si="44"/>
        <v>1055.7999999999997</v>
      </c>
      <c r="J77" s="1358">
        <f t="shared" si="44"/>
        <v>-4709.3999999999996</v>
      </c>
      <c r="K77" s="1335">
        <f t="shared" si="37"/>
        <v>0</v>
      </c>
      <c r="L77" s="1335">
        <f t="shared" si="37"/>
        <v>0</v>
      </c>
      <c r="M77" s="1335">
        <f t="shared" si="37"/>
        <v>0</v>
      </c>
      <c r="N77" s="1335">
        <f t="shared" si="37"/>
        <v>0</v>
      </c>
      <c r="O77" s="1335">
        <f t="shared" si="37"/>
        <v>0</v>
      </c>
      <c r="P77" s="1335">
        <f t="shared" si="38"/>
        <v>0</v>
      </c>
      <c r="Q77" s="1335">
        <f t="shared" si="39"/>
        <v>0</v>
      </c>
      <c r="R77" s="1335">
        <f t="shared" si="40"/>
        <v>0</v>
      </c>
      <c r="S77" s="1335">
        <f t="shared" si="41"/>
        <v>0</v>
      </c>
      <c r="T77" s="1335">
        <f t="shared" si="42"/>
        <v>0</v>
      </c>
      <c r="U77" s="1335">
        <f t="shared" si="43"/>
        <v>0</v>
      </c>
    </row>
    <row r="78" spans="1:21" s="1375" customFormat="1">
      <c r="A78" s="1336" t="s">
        <v>678</v>
      </c>
      <c r="B78" s="1335" t="s">
        <v>253</v>
      </c>
      <c r="C78" s="1335"/>
      <c r="D78" s="1335"/>
      <c r="E78" s="1335">
        <f t="shared" si="44"/>
        <v>319.58300000000054</v>
      </c>
      <c r="F78" s="1335">
        <f t="shared" si="44"/>
        <v>87.289999999999054</v>
      </c>
      <c r="G78" s="1335">
        <f t="shared" si="44"/>
        <v>824.34000000000015</v>
      </c>
      <c r="H78" s="1335">
        <f t="shared" si="44"/>
        <v>750.90000000000146</v>
      </c>
      <c r="I78" s="1335">
        <f t="shared" si="44"/>
        <v>-15.900000000001455</v>
      </c>
      <c r="J78" s="1358">
        <f t="shared" si="44"/>
        <v>-16761.3</v>
      </c>
      <c r="K78" s="1335">
        <f t="shared" si="37"/>
        <v>0</v>
      </c>
      <c r="L78" s="1335">
        <f t="shared" si="37"/>
        <v>0</v>
      </c>
      <c r="M78" s="1335">
        <f t="shared" si="37"/>
        <v>0</v>
      </c>
      <c r="N78" s="1335">
        <f t="shared" si="37"/>
        <v>0</v>
      </c>
      <c r="O78" s="1335">
        <f t="shared" si="37"/>
        <v>0</v>
      </c>
      <c r="P78" s="1335">
        <f t="shared" si="38"/>
        <v>0</v>
      </c>
      <c r="Q78" s="1335">
        <f t="shared" si="39"/>
        <v>0</v>
      </c>
      <c r="R78" s="1335">
        <f t="shared" si="40"/>
        <v>0</v>
      </c>
      <c r="S78" s="1335">
        <f t="shared" si="41"/>
        <v>0</v>
      </c>
      <c r="T78" s="1335">
        <f t="shared" si="42"/>
        <v>0</v>
      </c>
      <c r="U78" s="1335">
        <f t="shared" si="43"/>
        <v>0</v>
      </c>
    </row>
    <row r="79" spans="1:21" s="1375" customFormat="1">
      <c r="A79" s="1336" t="s">
        <v>678</v>
      </c>
      <c r="B79" s="1335" t="s">
        <v>254</v>
      </c>
      <c r="C79" s="1335"/>
      <c r="D79" s="1335"/>
      <c r="E79" s="1335">
        <f t="shared" si="44"/>
        <v>269.74599999999987</v>
      </c>
      <c r="F79" s="1335">
        <f t="shared" si="44"/>
        <v>131.33000000000015</v>
      </c>
      <c r="G79" s="1335">
        <f t="shared" si="44"/>
        <v>52.319999999999936</v>
      </c>
      <c r="H79" s="1335">
        <f t="shared" si="44"/>
        <v>362</v>
      </c>
      <c r="I79" s="1335">
        <f t="shared" si="44"/>
        <v>205.59999999999991</v>
      </c>
      <c r="J79" s="1358">
        <f t="shared" si="44"/>
        <v>-1844.1</v>
      </c>
      <c r="K79" s="1335">
        <f t="shared" si="37"/>
        <v>0</v>
      </c>
      <c r="L79" s="1335">
        <f t="shared" si="37"/>
        <v>0</v>
      </c>
      <c r="M79" s="1335">
        <f t="shared" si="37"/>
        <v>0</v>
      </c>
      <c r="N79" s="1335">
        <f t="shared" si="37"/>
        <v>0</v>
      </c>
      <c r="O79" s="1335">
        <f t="shared" si="37"/>
        <v>0</v>
      </c>
      <c r="P79" s="1335">
        <f t="shared" si="38"/>
        <v>0</v>
      </c>
      <c r="Q79" s="1335">
        <f t="shared" si="39"/>
        <v>0</v>
      </c>
      <c r="R79" s="1335">
        <f t="shared" si="40"/>
        <v>0</v>
      </c>
      <c r="S79" s="1335">
        <f t="shared" si="41"/>
        <v>0</v>
      </c>
      <c r="T79" s="1335">
        <f t="shared" si="42"/>
        <v>0</v>
      </c>
      <c r="U79" s="1335">
        <f t="shared" si="43"/>
        <v>0</v>
      </c>
    </row>
    <row r="80" spans="1:21" s="1375" customFormat="1">
      <c r="A80" s="1336" t="s">
        <v>678</v>
      </c>
      <c r="B80" s="1335" t="s">
        <v>256</v>
      </c>
      <c r="C80" s="1335"/>
      <c r="D80" s="1335"/>
      <c r="E80" s="1335">
        <f t="shared" si="44"/>
        <v>90.010000000000218</v>
      </c>
      <c r="F80" s="1335">
        <f t="shared" si="44"/>
        <v>75.859999999999673</v>
      </c>
      <c r="G80" s="1335">
        <f t="shared" si="44"/>
        <v>28.079999999999927</v>
      </c>
      <c r="H80" s="1335">
        <f t="shared" si="44"/>
        <v>313</v>
      </c>
      <c r="I80" s="1335">
        <f t="shared" si="44"/>
        <v>116</v>
      </c>
      <c r="J80" s="1358">
        <f t="shared" si="44"/>
        <v>-3573.2</v>
      </c>
      <c r="K80" s="1335">
        <f t="shared" si="37"/>
        <v>0</v>
      </c>
      <c r="L80" s="1335">
        <f t="shared" si="37"/>
        <v>0</v>
      </c>
      <c r="M80" s="1335">
        <f t="shared" si="37"/>
        <v>0</v>
      </c>
      <c r="N80" s="1335">
        <f t="shared" si="37"/>
        <v>0</v>
      </c>
      <c r="O80" s="1335">
        <f t="shared" si="37"/>
        <v>0</v>
      </c>
      <c r="P80" s="1335">
        <f t="shared" si="38"/>
        <v>0</v>
      </c>
      <c r="Q80" s="1335">
        <f t="shared" si="39"/>
        <v>0</v>
      </c>
      <c r="R80" s="1335">
        <f t="shared" si="40"/>
        <v>0</v>
      </c>
      <c r="S80" s="1335">
        <f t="shared" si="41"/>
        <v>0</v>
      </c>
      <c r="T80" s="1335">
        <f t="shared" si="42"/>
        <v>0</v>
      </c>
      <c r="U80" s="1335">
        <f t="shared" si="43"/>
        <v>0</v>
      </c>
    </row>
    <row r="81" spans="1:21" s="1375" customFormat="1">
      <c r="A81" s="1336" t="s">
        <v>678</v>
      </c>
      <c r="B81" s="1335" t="s">
        <v>257</v>
      </c>
      <c r="C81" s="1335"/>
      <c r="D81" s="1335"/>
      <c r="E81" s="1335">
        <f t="shared" si="44"/>
        <v>-14.762</v>
      </c>
      <c r="F81" s="1335">
        <f t="shared" si="44"/>
        <v>18.620999999999981</v>
      </c>
      <c r="G81" s="1335">
        <f t="shared" si="44"/>
        <v>36.730000000000018</v>
      </c>
      <c r="H81" s="1335">
        <f t="shared" si="44"/>
        <v>-37.400000000000034</v>
      </c>
      <c r="I81" s="1335">
        <f t="shared" si="44"/>
        <v>56.900000000000034</v>
      </c>
      <c r="J81" s="1358">
        <f t="shared" si="44"/>
        <v>-414.1</v>
      </c>
      <c r="K81" s="1335">
        <f t="shared" si="37"/>
        <v>0</v>
      </c>
      <c r="L81" s="1335">
        <f t="shared" si="37"/>
        <v>0</v>
      </c>
      <c r="M81" s="1335">
        <f t="shared" si="37"/>
        <v>0</v>
      </c>
      <c r="N81" s="1335">
        <f t="shared" si="37"/>
        <v>0</v>
      </c>
      <c r="O81" s="1335">
        <f t="shared" si="37"/>
        <v>0</v>
      </c>
      <c r="P81" s="1335">
        <f t="shared" si="38"/>
        <v>0</v>
      </c>
      <c r="Q81" s="1335">
        <f t="shared" si="39"/>
        <v>0</v>
      </c>
      <c r="R81" s="1335">
        <f t="shared" si="40"/>
        <v>0</v>
      </c>
      <c r="S81" s="1335">
        <f t="shared" si="41"/>
        <v>0</v>
      </c>
      <c r="T81" s="1335">
        <f t="shared" si="42"/>
        <v>0</v>
      </c>
      <c r="U81" s="1335">
        <f t="shared" si="43"/>
        <v>0</v>
      </c>
    </row>
    <row r="82" spans="1:21" s="1375" customFormat="1">
      <c r="A82" s="1336" t="s">
        <v>678</v>
      </c>
      <c r="B82" s="1335" t="s">
        <v>258</v>
      </c>
      <c r="C82" s="1335"/>
      <c r="D82" s="1335"/>
      <c r="E82" s="1335">
        <f t="shared" ref="E82:I83" si="45">+E30-D30</f>
        <v>10.460000000000036</v>
      </c>
      <c r="F82" s="1335">
        <f t="shared" si="45"/>
        <v>15.839999999999975</v>
      </c>
      <c r="G82" s="1335">
        <f t="shared" si="45"/>
        <v>279</v>
      </c>
      <c r="H82" s="1335">
        <f t="shared" si="45"/>
        <v>-111.39999999999998</v>
      </c>
      <c r="I82" s="1335">
        <f t="shared" si="45"/>
        <v>238.29999999999995</v>
      </c>
      <c r="J82" s="1358">
        <f>+J30-I30</f>
        <v>-748.9</v>
      </c>
      <c r="K82" s="1335">
        <f t="shared" ref="K82:O83" si="46">+K30-J30</f>
        <v>0</v>
      </c>
      <c r="L82" s="1335">
        <f t="shared" si="46"/>
        <v>0</v>
      </c>
      <c r="M82" s="1335">
        <f t="shared" si="46"/>
        <v>0</v>
      </c>
      <c r="N82" s="1335">
        <f t="shared" si="46"/>
        <v>0</v>
      </c>
      <c r="O82" s="1335">
        <f t="shared" si="46"/>
        <v>0</v>
      </c>
      <c r="P82" s="1335">
        <f t="shared" ref="P82:R83" si="47">+P30-O30</f>
        <v>0</v>
      </c>
      <c r="Q82" s="1335">
        <f t="shared" si="47"/>
        <v>0</v>
      </c>
      <c r="R82" s="1335">
        <f t="shared" si="47"/>
        <v>0</v>
      </c>
      <c r="S82" s="1335">
        <f>+S30-R30</f>
        <v>0</v>
      </c>
      <c r="T82" s="1335">
        <f t="shared" ref="T82:U82" si="48">+T30-S30</f>
        <v>0</v>
      </c>
      <c r="U82" s="1335">
        <f t="shared" si="48"/>
        <v>0</v>
      </c>
    </row>
    <row r="83" spans="1:21" s="1375" customFormat="1">
      <c r="A83" s="1336" t="s">
        <v>678</v>
      </c>
      <c r="B83" s="1335" t="s">
        <v>731</v>
      </c>
      <c r="C83" s="1335"/>
      <c r="D83" s="1335"/>
      <c r="E83" s="1335">
        <f t="shared" si="45"/>
        <v>39.635000000000218</v>
      </c>
      <c r="F83" s="1335">
        <f t="shared" si="45"/>
        <v>-52.260000000000218</v>
      </c>
      <c r="G83" s="1335">
        <f t="shared" si="45"/>
        <v>41.950000000000273</v>
      </c>
      <c r="H83" s="1335">
        <f t="shared" si="45"/>
        <v>116.99999999999977</v>
      </c>
      <c r="I83" s="1335">
        <f t="shared" si="45"/>
        <v>-780.69999999999982</v>
      </c>
      <c r="J83" s="1358">
        <f>+J31-I31</f>
        <v>32420.199999999997</v>
      </c>
      <c r="K83" s="1335">
        <f t="shared" si="46"/>
        <v>397.40000000000146</v>
      </c>
      <c r="L83" s="1335">
        <f t="shared" si="46"/>
        <v>116.30000000000291</v>
      </c>
      <c r="M83" s="1335">
        <f t="shared" si="46"/>
        <v>30.399999999994179</v>
      </c>
      <c r="N83" s="1335">
        <f t="shared" si="46"/>
        <v>4349.3000000000029</v>
      </c>
      <c r="O83" s="1335">
        <f t="shared" si="46"/>
        <v>2481.9000000000015</v>
      </c>
      <c r="P83" s="1335">
        <f t="shared" si="47"/>
        <v>238.69999999999709</v>
      </c>
      <c r="Q83" s="1335">
        <f t="shared" si="47"/>
        <v>2893.4000000000015</v>
      </c>
      <c r="R83" s="1335">
        <f t="shared" si="47"/>
        <v>3000</v>
      </c>
      <c r="S83" s="1335">
        <f>+S31-R31</f>
        <v>4000</v>
      </c>
      <c r="T83" s="1335">
        <f t="shared" ref="T83:U83" si="49">+T31-S31</f>
        <v>4000</v>
      </c>
      <c r="U83" s="1335">
        <f t="shared" si="49"/>
        <v>4000</v>
      </c>
    </row>
    <row r="84" spans="1:21" s="1384" customFormat="1" ht="12.75">
      <c r="A84" s="1368"/>
      <c r="B84" s="1369" t="s">
        <v>261</v>
      </c>
      <c r="C84" s="1369"/>
      <c r="D84" s="1369"/>
      <c r="E84" s="1369">
        <f>+SUM(E76:E83)</f>
        <v>807.98900000000071</v>
      </c>
      <c r="F84" s="1369">
        <f>+SUM(F76:F83)</f>
        <v>406.2509999999989</v>
      </c>
      <c r="G84" s="1369">
        <f>+SUM(G76:G83)</f>
        <v>1494.7</v>
      </c>
      <c r="H84" s="1369">
        <f>+SUM(H76:H83)</f>
        <v>2814.4000000000005</v>
      </c>
      <c r="I84" s="1369">
        <f>+SUM(I76:I83)</f>
        <v>989.49999999999841</v>
      </c>
      <c r="J84" s="1370">
        <f t="shared" ref="J84:O84" si="50">+SUM(J76:J83)</f>
        <v>3499.5999999999985</v>
      </c>
      <c r="K84" s="1369">
        <f t="shared" si="50"/>
        <v>397.40000000000146</v>
      </c>
      <c r="L84" s="1369">
        <f t="shared" si="50"/>
        <v>116.30000000000291</v>
      </c>
      <c r="M84" s="1369">
        <f t="shared" si="50"/>
        <v>30.399999999994179</v>
      </c>
      <c r="N84" s="1369">
        <f t="shared" si="50"/>
        <v>4349.3000000000029</v>
      </c>
      <c r="O84" s="1369">
        <f t="shared" si="50"/>
        <v>2481.9000000000015</v>
      </c>
      <c r="P84" s="1369">
        <f>+SUM(P76:P83)</f>
        <v>238.69999999999709</v>
      </c>
      <c r="Q84" s="1369">
        <f>+SUM(Q76:Q83)</f>
        <v>2893.4000000000015</v>
      </c>
      <c r="R84" s="1369">
        <f>+SUM(R76:R83)</f>
        <v>3000</v>
      </c>
      <c r="S84" s="1369">
        <f>+SUM(S76:S83)</f>
        <v>4000</v>
      </c>
      <c r="T84" s="1369">
        <f t="shared" ref="T84:U84" si="51">+SUM(T76:T83)</f>
        <v>4000</v>
      </c>
      <c r="U84" s="1369">
        <f t="shared" si="51"/>
        <v>4000</v>
      </c>
    </row>
    <row r="85" spans="1:21" s="1375" customFormat="1">
      <c r="A85" s="1336"/>
      <c r="B85" s="1335"/>
      <c r="C85" s="1335"/>
      <c r="D85" s="1335"/>
      <c r="E85" s="1335"/>
      <c r="F85" s="1335"/>
      <c r="G85" s="1335"/>
      <c r="H85" s="1335"/>
      <c r="I85" s="1335"/>
      <c r="J85" s="1358"/>
      <c r="K85" s="1335"/>
      <c r="L85" s="1335"/>
      <c r="M85" s="1335"/>
      <c r="N85" s="1335"/>
      <c r="O85" s="1335"/>
      <c r="P85" s="1335"/>
      <c r="Q85" s="1335"/>
      <c r="R85" s="1335"/>
      <c r="S85" s="1335"/>
      <c r="T85" s="1335"/>
      <c r="U85" s="1335"/>
    </row>
    <row r="86" spans="1:21" s="1375" customFormat="1">
      <c r="A86" s="1336"/>
      <c r="B86" s="1335"/>
      <c r="C86" s="1335"/>
      <c r="D86" s="1335"/>
      <c r="E86" s="1335"/>
      <c r="F86" s="1335"/>
      <c r="G86" s="1335"/>
      <c r="H86" s="1335"/>
      <c r="I86" s="1335"/>
      <c r="J86" s="1335"/>
      <c r="K86" s="1335"/>
      <c r="L86" s="1335"/>
      <c r="M86" s="1335"/>
      <c r="N86" s="1335"/>
      <c r="O86" s="1335"/>
      <c r="P86" s="1335"/>
      <c r="Q86" s="1335"/>
      <c r="R86" s="1335"/>
      <c r="S86" s="1335"/>
      <c r="T86" s="1335"/>
      <c r="U86" s="1335"/>
    </row>
    <row r="87" spans="1:21" s="1375" customFormat="1">
      <c r="A87" s="1336"/>
      <c r="B87" s="1335"/>
      <c r="C87" s="1335"/>
      <c r="D87" s="1335"/>
      <c r="E87" s="1335"/>
      <c r="F87" s="1335"/>
      <c r="G87" s="1335"/>
      <c r="H87" s="1335"/>
      <c r="I87" s="1335"/>
      <c r="J87" s="1335"/>
      <c r="K87" s="1335"/>
      <c r="L87" s="1335"/>
      <c r="M87" s="1335"/>
      <c r="N87" s="1335"/>
      <c r="O87" s="1335"/>
      <c r="P87" s="1335"/>
      <c r="Q87" s="1335"/>
      <c r="R87" s="1335"/>
      <c r="S87" s="1335"/>
      <c r="T87" s="1335"/>
      <c r="U87" s="1335"/>
    </row>
  </sheetData>
  <sheetProtection password="CF34" sheet="1" objects="1" scenarios="1" sort="0" autoFilter="0" pivotTables="0"/>
  <mergeCells count="3">
    <mergeCell ref="A2:L2"/>
    <mergeCell ref="A4:L4"/>
    <mergeCell ref="A1:B1"/>
  </mergeCells>
  <phoneticPr fontId="6" type="noConversion"/>
  <hyperlinks>
    <hyperlink ref="A1" location="Dashboard!A1" display="To Dashboard"/>
  </hyperlinks>
  <pageMargins left="0.75" right="0.75" top="1" bottom="1" header="0.5" footer="0.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T101"/>
  <sheetViews>
    <sheetView showGridLines="0" zoomScale="85" workbookViewId="0">
      <pane xSplit="2" ySplit="7" topLeftCell="C8" activePane="bottomRight" state="frozen"/>
      <selection activeCell="G30" sqref="G30"/>
      <selection pane="topRight" activeCell="G30" sqref="G30"/>
      <selection pane="bottomLeft" activeCell="G30" sqref="G30"/>
      <selection pane="bottomRight" activeCell="Q10" sqref="Q10"/>
    </sheetView>
  </sheetViews>
  <sheetFormatPr defaultColWidth="10.625" defaultRowHeight="13.5" outlineLevelRow="1"/>
  <cols>
    <col min="1" max="1" width="6.25" style="1373" customWidth="1"/>
    <col min="2" max="2" width="33.375" style="1374" bestFit="1" customWidth="1"/>
    <col min="3" max="5" width="10.625" style="1374" hidden="1" customWidth="1"/>
    <col min="6" max="6" width="11.375" style="1374" hidden="1" customWidth="1"/>
    <col min="7" max="14" width="0" style="1374" hidden="1" customWidth="1"/>
    <col min="15" max="18" width="10.625" style="1374"/>
    <col min="19" max="16384" width="10.625" style="1385"/>
  </cols>
  <sheetData>
    <row r="1" spans="1:20">
      <c r="A1" s="1688"/>
      <c r="B1" s="1689"/>
      <c r="C1" s="1335"/>
      <c r="D1" s="1335"/>
      <c r="E1" s="1335"/>
      <c r="F1" s="1335"/>
      <c r="G1" s="1335"/>
      <c r="H1" s="1335"/>
      <c r="I1" s="1335"/>
      <c r="J1" s="1335"/>
      <c r="K1" s="1335"/>
      <c r="L1" s="1335"/>
      <c r="M1" s="1335"/>
      <c r="N1" s="1335"/>
      <c r="O1" s="1335"/>
      <c r="P1" s="1335"/>
      <c r="Q1" s="1335"/>
      <c r="R1" s="1335"/>
    </row>
    <row r="2" spans="1:20" ht="18">
      <c r="A2" s="1707" t="s">
        <v>559</v>
      </c>
      <c r="B2" s="1708"/>
      <c r="C2" s="1708"/>
      <c r="D2" s="1708"/>
      <c r="E2" s="1708"/>
      <c r="F2" s="1708"/>
      <c r="G2" s="1708"/>
      <c r="H2" s="1708"/>
      <c r="I2" s="1708"/>
      <c r="J2" s="1708"/>
      <c r="K2" s="1708"/>
      <c r="L2" s="1708"/>
      <c r="M2" s="1335"/>
      <c r="N2" s="1335"/>
      <c r="O2" s="1335"/>
      <c r="P2" s="1335"/>
      <c r="Q2" s="1335"/>
      <c r="R2" s="1335"/>
    </row>
    <row r="3" spans="1:20" ht="7.5" customHeight="1">
      <c r="A3" s="1336"/>
      <c r="B3" s="1335"/>
      <c r="C3" s="1335"/>
      <c r="D3" s="1335"/>
      <c r="E3" s="1335"/>
      <c r="F3" s="1335"/>
      <c r="G3" s="1335"/>
      <c r="H3" s="1335"/>
      <c r="I3" s="1335"/>
      <c r="J3" s="1335"/>
      <c r="K3" s="1335"/>
      <c r="L3" s="1335"/>
      <c r="M3" s="1335"/>
      <c r="N3" s="1335"/>
      <c r="O3" s="1335"/>
      <c r="P3" s="1335"/>
      <c r="Q3" s="1335"/>
      <c r="R3" s="1335"/>
    </row>
    <row r="4" spans="1:20" s="1417" customFormat="1" ht="33.75" customHeight="1">
      <c r="A4" s="1716" t="s">
        <v>108</v>
      </c>
      <c r="B4" s="1717"/>
      <c r="C4" s="1717"/>
      <c r="D4" s="1717"/>
      <c r="E4" s="1717"/>
      <c r="F4" s="1717"/>
      <c r="G4" s="1717"/>
      <c r="H4" s="1717"/>
      <c r="I4" s="1717"/>
      <c r="J4" s="1717"/>
      <c r="K4" s="1717"/>
      <c r="L4" s="1337"/>
      <c r="M4" s="1337"/>
      <c r="N4" s="1337"/>
      <c r="O4" s="1337"/>
      <c r="P4" s="1337"/>
      <c r="Q4" s="1337"/>
      <c r="R4" s="1337"/>
    </row>
    <row r="5" spans="1:20" s="1424" customFormat="1" ht="12.75">
      <c r="A5" s="1338"/>
      <c r="B5" s="1339" t="s">
        <v>674</v>
      </c>
      <c r="C5" s="1340"/>
      <c r="D5" s="1340"/>
      <c r="E5" s="1340"/>
      <c r="F5" s="1340"/>
      <c r="G5" s="1340"/>
      <c r="H5" s="1340"/>
      <c r="I5" s="1339"/>
      <c r="J5" s="1339"/>
      <c r="K5" s="1339"/>
      <c r="L5" s="1339"/>
      <c r="M5" s="1339"/>
      <c r="N5" s="1339"/>
      <c r="O5" s="1339"/>
      <c r="P5" s="1339"/>
      <c r="Q5" s="1339"/>
      <c r="R5" s="1339"/>
    </row>
    <row r="6" spans="1:20" ht="14.25" thickBot="1">
      <c r="A6" s="1336"/>
      <c r="B6" s="1335"/>
      <c r="C6" s="1341"/>
      <c r="D6" s="1341"/>
      <c r="E6" s="1341"/>
      <c r="F6" s="1341"/>
      <c r="G6" s="1341"/>
      <c r="H6" s="1341"/>
      <c r="I6" s="1341"/>
      <c r="J6" s="1341">
        <f>'Bal Sheet'!J32</f>
        <v>6.4900000012130477E-2</v>
      </c>
      <c r="K6" s="1341">
        <f>'Bal Sheet'!K32</f>
        <v>2.9799999989336357E-2</v>
      </c>
      <c r="L6" s="1341">
        <f>'Bal Sheet'!L32</f>
        <v>0.32980000000679865</v>
      </c>
      <c r="M6" s="1341">
        <f>'Bal Sheet'!M32</f>
        <v>0.42979999998351559</v>
      </c>
      <c r="N6" s="1341">
        <f>'Bal Sheet'!N32</f>
        <v>2.9800000018440187E-2</v>
      </c>
      <c r="O6" s="1341">
        <f>'Bal Sheet'!O32</f>
        <v>0</v>
      </c>
      <c r="P6" s="1341">
        <f>'Bal Sheet'!P32</f>
        <v>-0.17019999996409751</v>
      </c>
      <c r="Q6" s="1341">
        <f>'Bal Sheet'!Q32</f>
        <v>-0.17019999996409751</v>
      </c>
      <c r="R6" s="1341">
        <f>'Bal Sheet'!R32</f>
        <v>6894.9561705972301</v>
      </c>
      <c r="S6" s="1341">
        <f>'Bal Sheet'!S32</f>
        <v>6658.3587538352003</v>
      </c>
      <c r="T6" s="1341">
        <f>'Bal Sheet'!T32</f>
        <v>-18992.660514489107</v>
      </c>
    </row>
    <row r="7" spans="1:20" s="1436" customFormat="1" thickBot="1">
      <c r="A7" s="1338"/>
      <c r="B7" s="1342"/>
      <c r="C7" s="1428" t="s">
        <v>672</v>
      </c>
      <c r="D7" s="1429" t="s">
        <v>673</v>
      </c>
      <c r="E7" s="1429" t="s">
        <v>671</v>
      </c>
      <c r="F7" s="1429" t="s">
        <v>670</v>
      </c>
      <c r="G7" s="1429" t="s">
        <v>669</v>
      </c>
      <c r="H7" s="1345" t="s">
        <v>668</v>
      </c>
      <c r="I7" s="1346" t="s">
        <v>314</v>
      </c>
      <c r="J7" s="1347" t="s">
        <v>612</v>
      </c>
      <c r="K7" s="1583" t="s">
        <v>195</v>
      </c>
      <c r="L7" s="1583" t="s">
        <v>395</v>
      </c>
      <c r="M7" s="1583" t="s">
        <v>279</v>
      </c>
      <c r="N7" s="1583" t="s">
        <v>1419</v>
      </c>
      <c r="O7" s="1583" t="s">
        <v>1857</v>
      </c>
      <c r="P7" s="1350" t="s">
        <v>1858</v>
      </c>
      <c r="Q7" s="1350" t="s">
        <v>1633</v>
      </c>
      <c r="R7" s="1350" t="s">
        <v>1634</v>
      </c>
      <c r="S7" s="1350" t="s">
        <v>1635</v>
      </c>
      <c r="T7" s="1350" t="s">
        <v>1636</v>
      </c>
    </row>
    <row r="8" spans="1:20">
      <c r="A8" s="1336"/>
      <c r="B8" s="1335"/>
      <c r="C8" s="1437"/>
      <c r="D8" s="1437"/>
      <c r="E8" s="1437"/>
      <c r="F8" s="1437"/>
      <c r="G8" s="1437"/>
      <c r="H8" s="1353"/>
      <c r="I8" s="1354"/>
      <c r="J8" s="1352"/>
      <c r="K8" s="1352"/>
      <c r="L8" s="1352"/>
      <c r="M8" s="1352"/>
      <c r="N8" s="1352"/>
      <c r="O8" s="1352"/>
      <c r="P8" s="1352"/>
      <c r="Q8" s="1352"/>
      <c r="R8" s="1352"/>
      <c r="S8" s="1352"/>
      <c r="T8" s="1352"/>
    </row>
    <row r="9" spans="1:20">
      <c r="A9" s="1336" t="s">
        <v>145</v>
      </c>
      <c r="B9" s="1335" t="s">
        <v>130</v>
      </c>
      <c r="C9" s="1437">
        <v>7886.1949999999997</v>
      </c>
      <c r="D9" s="1437">
        <v>9604.2009999999991</v>
      </c>
      <c r="E9" s="1437">
        <v>10864.402</v>
      </c>
      <c r="F9" s="1437">
        <v>15807.4</v>
      </c>
      <c r="G9" s="1437">
        <v>17280.5</v>
      </c>
      <c r="H9" s="1352"/>
      <c r="I9" s="1354">
        <v>8263.7999999999993</v>
      </c>
      <c r="J9" s="1354">
        <v>24111.3</v>
      </c>
      <c r="K9" s="1354">
        <v>43507.5</v>
      </c>
      <c r="L9" s="1354">
        <v>40261.699999999997</v>
      </c>
      <c r="M9" s="1354">
        <v>42662.3</v>
      </c>
      <c r="N9" s="1354">
        <v>46320.5</v>
      </c>
      <c r="O9" s="1354">
        <v>40847.9</v>
      </c>
      <c r="P9" s="1354">
        <v>53851.8</v>
      </c>
      <c r="Q9" s="1354">
        <f>+'Inc Stmt'!Q30</f>
        <v>53356.299999999988</v>
      </c>
      <c r="R9" s="1354">
        <f>+'Inc Stmt'!R30</f>
        <v>61952.647872065216</v>
      </c>
      <c r="S9" s="1354">
        <f>+'Inc Stmt'!S30</f>
        <v>71756.290441464953</v>
      </c>
      <c r="T9" s="1354">
        <f>+'Inc Stmt'!T30</f>
        <v>76937.686020863272</v>
      </c>
    </row>
    <row r="10" spans="1:20">
      <c r="A10" s="1336" t="s">
        <v>145</v>
      </c>
      <c r="B10" s="1335" t="s">
        <v>660</v>
      </c>
      <c r="C10" s="1437">
        <v>1711.5650000000001</v>
      </c>
      <c r="D10" s="1437">
        <v>1798.9459999999999</v>
      </c>
      <c r="E10" s="1437">
        <v>1853.663</v>
      </c>
      <c r="F10" s="1437">
        <v>1910</v>
      </c>
      <c r="G10" s="1437">
        <v>1902.6</v>
      </c>
      <c r="H10" s="1352"/>
      <c r="I10" s="1354">
        <v>1306.2</v>
      </c>
      <c r="J10" s="1354">
        <v>1364.5</v>
      </c>
      <c r="K10" s="1354">
        <v>1228.4000000000001</v>
      </c>
      <c r="L10" s="1354">
        <v>1456.2</v>
      </c>
      <c r="M10" s="1354">
        <v>1639.7</v>
      </c>
      <c r="N10" s="1354">
        <v>1796.1</v>
      </c>
      <c r="O10" s="1354">
        <v>2674</v>
      </c>
      <c r="P10" s="1354">
        <v>3071.6</v>
      </c>
      <c r="Q10" s="1354">
        <f>+'Inc Stmt'!Q23</f>
        <v>3072.9</v>
      </c>
      <c r="R10" s="1354">
        <f>+'Inc Stmt'!R23</f>
        <v>3374.2725000000005</v>
      </c>
      <c r="S10" s="1354">
        <f>+'Inc Stmt'!S23</f>
        <v>3650.2725000000005</v>
      </c>
      <c r="T10" s="1354">
        <f>+'Inc Stmt'!T23</f>
        <v>3983.1750000000002</v>
      </c>
    </row>
    <row r="11" spans="1:20">
      <c r="A11" s="1336" t="s">
        <v>145</v>
      </c>
      <c r="B11" s="1335" t="s">
        <v>131</v>
      </c>
      <c r="C11" s="1437"/>
      <c r="D11" s="1437"/>
      <c r="E11" s="1437"/>
      <c r="F11" s="1437"/>
      <c r="G11" s="1437"/>
      <c r="H11" s="1352"/>
      <c r="I11" s="1354"/>
      <c r="J11" s="1354">
        <f>-161.4-161.4</f>
        <v>-322.8</v>
      </c>
      <c r="K11" s="1354">
        <v>0</v>
      </c>
      <c r="L11" s="1354">
        <v>1729</v>
      </c>
      <c r="M11" s="1354">
        <f>-1319.2-235.9</f>
        <v>-1555.1000000000001</v>
      </c>
      <c r="N11" s="1354"/>
      <c r="O11" s="1354">
        <f>+'Inc Stmt'!O24</f>
        <v>0</v>
      </c>
      <c r="P11" s="1354">
        <f>+'Inc Stmt'!P24</f>
        <v>0</v>
      </c>
      <c r="Q11" s="1354">
        <f>+'Inc Stmt'!Q24</f>
        <v>0</v>
      </c>
      <c r="R11" s="1354">
        <f>+'Inc Stmt'!R24</f>
        <v>0</v>
      </c>
      <c r="S11" s="1354">
        <f>+'Inc Stmt'!S24</f>
        <v>0</v>
      </c>
      <c r="T11" s="1354">
        <f>+'Inc Stmt'!T24</f>
        <v>0</v>
      </c>
    </row>
    <row r="12" spans="1:20">
      <c r="A12" s="1336" t="s">
        <v>145</v>
      </c>
      <c r="B12" s="1335" t="s">
        <v>132</v>
      </c>
      <c r="C12" s="1437">
        <v>1.2929999999999999</v>
      </c>
      <c r="D12" s="1437">
        <f>1.762+3.04</f>
        <v>4.8019999999999996</v>
      </c>
      <c r="E12" s="1437">
        <f>1.468+1.695</f>
        <v>3.1630000000000003</v>
      </c>
      <c r="F12" s="1437">
        <v>1.5</v>
      </c>
      <c r="G12" s="1437">
        <v>45.1</v>
      </c>
      <c r="H12" s="1352"/>
      <c r="I12" s="1354">
        <f>20.8+198.1</f>
        <v>218.9</v>
      </c>
      <c r="J12" s="1354">
        <f>21.6+38.2</f>
        <v>59.800000000000004</v>
      </c>
      <c r="K12" s="1354">
        <f>(1.38+0.31)*10</f>
        <v>16.899999999999999</v>
      </c>
      <c r="L12" s="1354">
        <v>222.4</v>
      </c>
      <c r="M12" s="1354">
        <v>5.4</v>
      </c>
      <c r="N12" s="1354">
        <v>4.9000000000000004</v>
      </c>
      <c r="O12" s="1354">
        <v>64.900000000000006</v>
      </c>
      <c r="P12" s="1354">
        <v>4.8</v>
      </c>
      <c r="Q12" s="1354">
        <f>+'Inc Stmt'!Q27</f>
        <v>14</v>
      </c>
      <c r="R12" s="1354">
        <f>+'Inc Stmt'!R27</f>
        <v>10</v>
      </c>
      <c r="S12" s="1354">
        <f>+'Inc Stmt'!S27</f>
        <v>10</v>
      </c>
      <c r="T12" s="1354">
        <f>+'Inc Stmt'!T27</f>
        <v>10</v>
      </c>
    </row>
    <row r="13" spans="1:20">
      <c r="A13" s="1336" t="s">
        <v>145</v>
      </c>
      <c r="B13" s="1335" t="s">
        <v>133</v>
      </c>
      <c r="C13" s="1437">
        <f>-407.715-405.081-248.275-1.944</f>
        <v>-1063.0150000000001</v>
      </c>
      <c r="D13" s="1437">
        <f>-(690.447+491.977+130.696)</f>
        <v>-1313.12</v>
      </c>
      <c r="E13" s="1437">
        <f>-(605.595+1280.729+104.955)</f>
        <v>-1991.279</v>
      </c>
      <c r="F13" s="1437">
        <f>-(712.7+1944+141.8)</f>
        <v>-2798.5</v>
      </c>
      <c r="G13" s="1437">
        <f>-(830.7+1740.9+31+0.3)</f>
        <v>-2602.9000000000005</v>
      </c>
      <c r="H13" s="1352"/>
      <c r="I13" s="1354">
        <f>-(438.9+304+25.9)</f>
        <v>-768.8</v>
      </c>
      <c r="J13" s="1354">
        <f>-182.6-409-3</f>
        <v>-594.6</v>
      </c>
      <c r="K13" s="1354">
        <v>-3658.1</v>
      </c>
      <c r="L13" s="1354">
        <v>-3245.9</v>
      </c>
      <c r="M13" s="1354">
        <f>-2590.7-417.2</f>
        <v>-3007.8999999999996</v>
      </c>
      <c r="N13" s="1354">
        <v>-4231.2</v>
      </c>
      <c r="O13" s="1354">
        <v>-3769.6</v>
      </c>
      <c r="P13" s="1354">
        <v>-597.29999999999995</v>
      </c>
      <c r="Q13" s="1354">
        <f>-'Inc Stmt'!Q137</f>
        <v>-9466.7447999999986</v>
      </c>
      <c r="R13" s="1354">
        <f>-'Inc Stmt'!R137-'Inc Stmt'!R138</f>
        <v>-10631.951999999997</v>
      </c>
      <c r="S13" s="1354">
        <f>-'Inc Stmt'!S137-'Inc Stmt'!S138</f>
        <v>-12031.951999999997</v>
      </c>
      <c r="T13" s="1354">
        <f>-'Inc Stmt'!T137-'Inc Stmt'!T138</f>
        <v>-11052.957999999999</v>
      </c>
    </row>
    <row r="14" spans="1:20">
      <c r="A14" s="1336" t="s">
        <v>145</v>
      </c>
      <c r="B14" s="1335" t="s">
        <v>144</v>
      </c>
      <c r="C14" s="1437"/>
      <c r="D14" s="1437">
        <v>-261.12799999999999</v>
      </c>
      <c r="E14" s="1437">
        <v>-330.142</v>
      </c>
      <c r="F14" s="1437">
        <v>-321.3</v>
      </c>
      <c r="G14" s="1437">
        <v>-373</v>
      </c>
      <c r="H14" s="1352"/>
      <c r="I14" s="1354"/>
      <c r="J14" s="1354">
        <v>-2.5</v>
      </c>
      <c r="K14" s="1354">
        <v>0</v>
      </c>
      <c r="L14" s="1354"/>
      <c r="M14" s="1354">
        <v>-1.5</v>
      </c>
      <c r="N14" s="1354"/>
      <c r="O14" s="1354">
        <v>0</v>
      </c>
      <c r="P14" s="1354">
        <f>-891.9+118.8</f>
        <v>-773.1</v>
      </c>
      <c r="Q14" s="1354">
        <f>-'Inc Stmt'!Q139-'Inc Stmt'!Q140</f>
        <v>-760</v>
      </c>
      <c r="R14" s="1354">
        <f>-'Inc Stmt'!R139-'Inc Stmt'!R140</f>
        <v>-760</v>
      </c>
      <c r="S14" s="1354">
        <f>-'Inc Stmt'!S139-'Inc Stmt'!S140</f>
        <v>-760</v>
      </c>
      <c r="T14" s="1354">
        <f>-'Inc Stmt'!T139-'Inc Stmt'!T140</f>
        <v>-760</v>
      </c>
    </row>
    <row r="15" spans="1:20">
      <c r="A15" s="1336" t="s">
        <v>145</v>
      </c>
      <c r="B15" s="1335" t="s">
        <v>685</v>
      </c>
      <c r="C15" s="1437">
        <f>-39.339+68.44</f>
        <v>29.100999999999999</v>
      </c>
      <c r="D15" s="1437">
        <f>-45.833+82.134</f>
        <v>36.301000000000002</v>
      </c>
      <c r="E15" s="1437">
        <f>-65.36+83.176</f>
        <v>17.816000000000003</v>
      </c>
      <c r="F15" s="1437">
        <v>-70.5</v>
      </c>
      <c r="G15" s="1437">
        <v>-117.8</v>
      </c>
      <c r="H15" s="1352"/>
      <c r="I15" s="1354">
        <v>38.700000000000003</v>
      </c>
      <c r="J15" s="1354">
        <f>34.2-57.3</f>
        <v>-23.099999999999994</v>
      </c>
      <c r="K15" s="1354">
        <f>(-9.37+20.12)*10</f>
        <v>107.50000000000001</v>
      </c>
      <c r="L15" s="1354">
        <f>-'Inc Stmt'!L148</f>
        <v>0</v>
      </c>
      <c r="M15" s="1354">
        <v>-482.3</v>
      </c>
      <c r="N15" s="1354">
        <v>-22.5</v>
      </c>
      <c r="O15" s="1354">
        <f>-35.4+151.6</f>
        <v>116.19999999999999</v>
      </c>
      <c r="P15" s="1354">
        <v>-12.6</v>
      </c>
      <c r="Q15" s="1354">
        <f>-'Inc Stmt'!Q148</f>
        <v>0</v>
      </c>
      <c r="R15" s="1354">
        <f>-'Inc Stmt'!R148</f>
        <v>0</v>
      </c>
      <c r="S15" s="1354">
        <f>-'Inc Stmt'!S148</f>
        <v>0</v>
      </c>
      <c r="T15" s="1354">
        <f>-'Inc Stmt'!T148</f>
        <v>0</v>
      </c>
    </row>
    <row r="16" spans="1:20">
      <c r="A16" s="1336" t="s">
        <v>145</v>
      </c>
      <c r="B16" s="1335" t="s">
        <v>134</v>
      </c>
      <c r="C16" s="1437">
        <f>-127.159-43.928-214.28+6.91</f>
        <v>-378.45699999999994</v>
      </c>
      <c r="D16" s="1437">
        <f>-1113.248-579.507+23.346</f>
        <v>-1669.4090000000001</v>
      </c>
      <c r="E16" s="1437">
        <f>-1456.852-24.259+36.643</f>
        <v>-1444.4680000000001</v>
      </c>
      <c r="F16" s="1437">
        <f>-8.7-225.1-1080.4+66.5</f>
        <v>-1247.7</v>
      </c>
      <c r="G16" s="1437">
        <f>-8.6-37-2371.9-91.3</f>
        <v>-2508.8000000000002</v>
      </c>
      <c r="H16" s="1352"/>
      <c r="I16" s="1354">
        <v>-454.2</v>
      </c>
      <c r="J16" s="1354">
        <v>-429.4</v>
      </c>
      <c r="K16" s="1354">
        <v>0</v>
      </c>
      <c r="L16" s="1354">
        <v>-330.9</v>
      </c>
      <c r="M16" s="1354"/>
      <c r="N16" s="1354"/>
      <c r="O16" s="1354">
        <f>-'Inc Stmt'!O149</f>
        <v>0</v>
      </c>
      <c r="P16" s="1354">
        <f>-1054.9-3597.7-1254.8</f>
        <v>-5907.4000000000005</v>
      </c>
      <c r="Q16" s="1354">
        <f>-'Inc Stmt'!Q149</f>
        <v>0</v>
      </c>
      <c r="R16" s="1354">
        <f>-'Inc Stmt'!R149</f>
        <v>0</v>
      </c>
      <c r="S16" s="1354">
        <f>-'Inc Stmt'!S149</f>
        <v>0</v>
      </c>
      <c r="T16" s="1354">
        <f>-'Inc Stmt'!T149</f>
        <v>0</v>
      </c>
    </row>
    <row r="17" spans="1:20">
      <c r="A17" s="1336" t="s">
        <v>145</v>
      </c>
      <c r="B17" s="1335" t="s">
        <v>160</v>
      </c>
      <c r="C17" s="1437">
        <f>224.325+42.578</f>
        <v>266.90300000000002</v>
      </c>
      <c r="D17" s="1437">
        <f>274.632</f>
        <v>274.63200000000001</v>
      </c>
      <c r="E17" s="1437">
        <f>9.383</f>
        <v>9.3829999999999991</v>
      </c>
      <c r="F17" s="1437">
        <v>-66.5</v>
      </c>
      <c r="G17" s="1437">
        <v>-2.9</v>
      </c>
      <c r="H17" s="1352"/>
      <c r="I17" s="1354">
        <f>40.1+25</f>
        <v>65.099999999999994</v>
      </c>
      <c r="J17" s="1354">
        <f>11.9-8</f>
        <v>3.9000000000000004</v>
      </c>
      <c r="K17" s="1354">
        <f>(0.34+102.27)*10</f>
        <v>1026.0999999999999</v>
      </c>
      <c r="L17" s="1354">
        <v>-96.5</v>
      </c>
      <c r="M17" s="1354">
        <f>355.2-51.5-71.7</f>
        <v>232</v>
      </c>
      <c r="N17" s="1354">
        <v>11.8</v>
      </c>
      <c r="O17" s="1354">
        <v>38.200000000000003</v>
      </c>
      <c r="P17" s="1354">
        <v>7.8</v>
      </c>
      <c r="Q17" s="1354">
        <f>+'Inc Stmt'!Q106</f>
        <v>0</v>
      </c>
      <c r="R17" s="1354">
        <f>+'Inc Stmt'!R106</f>
        <v>0</v>
      </c>
      <c r="S17" s="1354">
        <f>+'Inc Stmt'!S106</f>
        <v>0</v>
      </c>
      <c r="T17" s="1354">
        <f>+'Inc Stmt'!T106</f>
        <v>0</v>
      </c>
    </row>
    <row r="18" spans="1:20">
      <c r="A18" s="1336" t="s">
        <v>145</v>
      </c>
      <c r="B18" s="1335" t="s">
        <v>684</v>
      </c>
      <c r="C18" s="1454">
        <v>17.393999999999998</v>
      </c>
      <c r="D18" s="1454">
        <v>-1.014</v>
      </c>
      <c r="E18" s="1454">
        <v>-2.82</v>
      </c>
      <c r="F18" s="1437">
        <v>5.4</v>
      </c>
      <c r="G18" s="1437">
        <f>43+76.3</f>
        <v>119.3</v>
      </c>
      <c r="H18" s="1335"/>
      <c r="I18" s="1358"/>
      <c r="J18" s="1335">
        <v>-15.7</v>
      </c>
      <c r="K18" s="1335">
        <v>-22.200000000000003</v>
      </c>
      <c r="L18" s="1335">
        <v>-18.600000000000001</v>
      </c>
      <c r="M18" s="1335">
        <v>49.2</v>
      </c>
      <c r="N18" s="1335">
        <v>-6</v>
      </c>
      <c r="O18" s="1335">
        <v>-8.8000000000000007</v>
      </c>
      <c r="P18" s="1335">
        <v>-0.8</v>
      </c>
      <c r="Q18" s="1335">
        <f>-'Inc Stmt'!Q107</f>
        <v>0</v>
      </c>
      <c r="R18" s="1335">
        <f>-'Inc Stmt'!R107</f>
        <v>0</v>
      </c>
      <c r="S18" s="1335">
        <f>-'Inc Stmt'!S107</f>
        <v>0</v>
      </c>
      <c r="T18" s="1335">
        <f>-'Inc Stmt'!T107</f>
        <v>0</v>
      </c>
    </row>
    <row r="19" spans="1:20">
      <c r="A19" s="1336" t="s">
        <v>145</v>
      </c>
      <c r="B19" s="1335" t="s">
        <v>148</v>
      </c>
      <c r="C19" s="1454"/>
      <c r="D19" s="1454">
        <f>67.85+36.641+4.21</f>
        <v>108.70099999999998</v>
      </c>
      <c r="E19" s="1454">
        <f>42.94+36.181+4.21</f>
        <v>83.330999999999989</v>
      </c>
      <c r="F19" s="1454"/>
      <c r="G19" s="1454"/>
      <c r="H19" s="1335"/>
      <c r="I19" s="1358">
        <f>10.2+6.6</f>
        <v>16.799999999999997</v>
      </c>
      <c r="J19" s="1335">
        <f>1833-218+162.6+6.6-25-4.1-25-9</f>
        <v>1721.1</v>
      </c>
      <c r="K19" s="1335">
        <f>(0.65+2.14+15.91-826.82)*10</f>
        <v>-8081.2</v>
      </c>
      <c r="L19" s="1335">
        <v>308</v>
      </c>
      <c r="M19" s="1335">
        <f>21.4+6.6+70.4-689.5</f>
        <v>-591.1</v>
      </c>
      <c r="N19" s="1335">
        <v>418</v>
      </c>
      <c r="O19" s="1335">
        <v>-0.7</v>
      </c>
      <c r="P19" s="1335"/>
      <c r="Q19" s="1335"/>
      <c r="R19" s="1335"/>
      <c r="S19" s="1335"/>
      <c r="T19" s="1335"/>
    </row>
    <row r="20" spans="1:20" outlineLevel="1">
      <c r="A20" s="1336" t="s">
        <v>147</v>
      </c>
      <c r="B20" s="1371" t="s">
        <v>135</v>
      </c>
      <c r="C20" s="1454">
        <v>306.733</v>
      </c>
      <c r="D20" s="1454">
        <v>317.923</v>
      </c>
      <c r="E20" s="1454">
        <v>-425.68700000000001</v>
      </c>
      <c r="F20" s="1454">
        <v>-1253.3</v>
      </c>
      <c r="G20" s="1454">
        <v>-2284.4</v>
      </c>
      <c r="H20" s="1335"/>
      <c r="I20" s="1358">
        <v>-311.89999999999998</v>
      </c>
      <c r="J20" s="1335">
        <v>1187.8</v>
      </c>
      <c r="K20" s="1335">
        <v>-1214.3000000000002</v>
      </c>
      <c r="L20" s="1335">
        <v>-621</v>
      </c>
      <c r="M20" s="1335">
        <v>-3433.3</v>
      </c>
      <c r="N20" s="1335">
        <v>-283.10000000000002</v>
      </c>
      <c r="O20" s="1335">
        <v>763.7</v>
      </c>
      <c r="P20" s="1335">
        <v>-15.4</v>
      </c>
      <c r="Q20" s="1335">
        <f>-('Bal Sheet'!Q51-'Bal Sheet'!P51)</f>
        <v>619.47863013698588</v>
      </c>
      <c r="R20" s="1335">
        <f>-('Bal Sheet'!R51-'Bal Sheet'!Q51)</f>
        <v>-628.22325788072976</v>
      </c>
      <c r="S20" s="1335">
        <f>-('Bal Sheet'!S51-'Bal Sheet'!R51)</f>
        <v>-1135.7155096419265</v>
      </c>
      <c r="T20" s="1335">
        <f>-('Bal Sheet'!T51-'Bal Sheet'!S51)</f>
        <v>-1326.9977620331338</v>
      </c>
    </row>
    <row r="21" spans="1:20" outlineLevel="1">
      <c r="A21" s="1336" t="s">
        <v>147</v>
      </c>
      <c r="B21" s="1371" t="s">
        <v>136</v>
      </c>
      <c r="C21" s="1454">
        <v>-288.83300000000003</v>
      </c>
      <c r="D21" s="1454">
        <v>54.195</v>
      </c>
      <c r="E21" s="1454">
        <v>-216.13</v>
      </c>
      <c r="F21" s="1454">
        <v>-487.6</v>
      </c>
      <c r="G21" s="1454">
        <v>-367.7</v>
      </c>
      <c r="H21" s="1335"/>
      <c r="I21" s="1358">
        <v>-56.3</v>
      </c>
      <c r="J21" s="1335">
        <v>-1073.7</v>
      </c>
      <c r="K21" s="1335">
        <v>-1010.6999999999999</v>
      </c>
      <c r="L21" s="1335">
        <v>-1312.5</v>
      </c>
      <c r="M21" s="1335">
        <v>422.5</v>
      </c>
      <c r="N21" s="1335">
        <v>-34.4</v>
      </c>
      <c r="O21" s="1335">
        <v>-1744.3</v>
      </c>
      <c r="P21" s="1335">
        <v>950.8</v>
      </c>
      <c r="Q21" s="1335">
        <f>-('Bal Sheet'!Q43-'Bal Sheet'!P43)</f>
        <v>379.45205479451943</v>
      </c>
      <c r="R21" s="1335">
        <f>-('Bal Sheet'!R43-'Bal Sheet'!Q43)</f>
        <v>-1020.845481184102</v>
      </c>
      <c r="S21" s="1335">
        <f>-('Bal Sheet'!S43-'Bal Sheet'!R43)</f>
        <v>-1264.1116517454784</v>
      </c>
      <c r="T21" s="1335">
        <f>-('Bal Sheet'!T43-'Bal Sheet'!S43)</f>
        <v>-1573.6728554623696</v>
      </c>
    </row>
    <row r="22" spans="1:20" outlineLevel="1">
      <c r="A22" s="1336" t="s">
        <v>147</v>
      </c>
      <c r="B22" s="1371" t="s">
        <v>137</v>
      </c>
      <c r="C22" s="1454"/>
      <c r="D22" s="1454"/>
      <c r="E22" s="1454"/>
      <c r="F22" s="1454"/>
      <c r="G22" s="1454"/>
      <c r="H22" s="1335"/>
      <c r="I22" s="1358"/>
      <c r="J22" s="1335"/>
      <c r="K22" s="1335">
        <v>0</v>
      </c>
      <c r="L22" s="1335"/>
      <c r="M22" s="1335">
        <v>-1995.9</v>
      </c>
      <c r="N22" s="1335">
        <v>1057.3</v>
      </c>
      <c r="O22" s="1335">
        <v>-1508.8</v>
      </c>
      <c r="P22" s="1335">
        <v>4256.3</v>
      </c>
      <c r="Q22" s="1335">
        <f>-(SUM('Bal Sheet'!Q56:Q59)-SUM('Bal Sheet'!P56:P59))</f>
        <v>1388.5579999999973</v>
      </c>
      <c r="R22" s="1335">
        <f>-(SUM('Bal Sheet'!R56:R59)-SUM('Bal Sheet'!Q56:Q59))</f>
        <v>-1068.7484769335042</v>
      </c>
      <c r="S22" s="1335">
        <f>-(SUM('Bal Sheet'!S56:S59)-SUM('Bal Sheet'!R56:R59))</f>
        <v>-2404.3097339119595</v>
      </c>
      <c r="T22" s="1335">
        <f>-(SUM('Bal Sheet'!T56:T59)-SUM('Bal Sheet'!S56:S59))</f>
        <v>-2809.2542622241454</v>
      </c>
    </row>
    <row r="23" spans="1:20" outlineLevel="1">
      <c r="A23" s="1336" t="s">
        <v>147</v>
      </c>
      <c r="B23" s="1371" t="s">
        <v>138</v>
      </c>
      <c r="C23" s="1454">
        <v>-226.88900000000001</v>
      </c>
      <c r="D23" s="1454">
        <v>-251.12899999999999</v>
      </c>
      <c r="E23" s="1454">
        <v>-472.05</v>
      </c>
      <c r="F23" s="1454">
        <v>-786.2</v>
      </c>
      <c r="G23" s="1454">
        <v>-1427.5</v>
      </c>
      <c r="H23" s="1335"/>
      <c r="I23" s="1358">
        <v>-1732.9</v>
      </c>
      <c r="J23" s="1335">
        <v>-200.8</v>
      </c>
      <c r="K23" s="1335">
        <v>-6365.1</v>
      </c>
      <c r="L23" s="1335">
        <v>-55.9</v>
      </c>
      <c r="M23" s="1335"/>
      <c r="N23" s="1335">
        <v>0</v>
      </c>
      <c r="O23" s="1335">
        <v>0</v>
      </c>
      <c r="P23" s="1335"/>
      <c r="Q23" s="1335">
        <f>-('Bal Sheet'!Q70-'Bal Sheet'!P70)</f>
        <v>-231.96000000000004</v>
      </c>
      <c r="R23" s="1335">
        <f>-('Bal Sheet'!R70-'Bal Sheet'!Q70)</f>
        <v>-255.1560000000004</v>
      </c>
      <c r="S23" s="1335">
        <f>-('Bal Sheet'!S70-'Bal Sheet'!R70)</f>
        <v>-280.67160000000013</v>
      </c>
      <c r="T23" s="1335">
        <f>-('Bal Sheet'!T70-'Bal Sheet'!S70)</f>
        <v>-308.73876000000018</v>
      </c>
    </row>
    <row r="24" spans="1:20" outlineLevel="1">
      <c r="A24" s="1336" t="s">
        <v>147</v>
      </c>
      <c r="B24" s="1371" t="s">
        <v>139</v>
      </c>
      <c r="C24" s="1454">
        <v>-10.09</v>
      </c>
      <c r="D24" s="1454">
        <v>2178.2550000000001</v>
      </c>
      <c r="E24" s="1454">
        <v>1260.106</v>
      </c>
      <c r="F24" s="1454">
        <v>4555.1000000000004</v>
      </c>
      <c r="G24" s="1454">
        <v>2718.7</v>
      </c>
      <c r="H24" s="1335"/>
      <c r="I24" s="1358">
        <v>-60.8</v>
      </c>
      <c r="J24" s="1335">
        <v>8765.7999999999993</v>
      </c>
      <c r="K24" s="1335">
        <v>4560.7</v>
      </c>
      <c r="L24" s="1335">
        <v>2978.1</v>
      </c>
      <c r="M24" s="1335">
        <v>-4.5999999999999996</v>
      </c>
      <c r="N24" s="1335">
        <v>3578.7</v>
      </c>
      <c r="O24" s="1335">
        <v>-3335.8</v>
      </c>
      <c r="P24" s="1335">
        <v>110.6</v>
      </c>
      <c r="Q24" s="1335">
        <f>+('Bal Sheet'!Q140-'Bal Sheet'!P140)</f>
        <v>-1790.4301627098575</v>
      </c>
      <c r="R24" s="1335">
        <f>+('Bal Sheet'!R140-'Bal Sheet'!Q140)</f>
        <v>-5481.9422949868276</v>
      </c>
      <c r="S24" s="1335">
        <f>+('Bal Sheet'!S140-'Bal Sheet'!R140)</f>
        <v>364.12320362127502</v>
      </c>
      <c r="T24" s="1335">
        <f>+('Bal Sheet'!T140-'Bal Sheet'!S140)</f>
        <v>284.75083323099534</v>
      </c>
    </row>
    <row r="25" spans="1:20" outlineLevel="1">
      <c r="A25" s="1336" t="s">
        <v>149</v>
      </c>
      <c r="B25" s="1371" t="s">
        <v>140</v>
      </c>
      <c r="C25" s="1454"/>
      <c r="D25" s="1454"/>
      <c r="E25" s="1454"/>
      <c r="F25" s="1454"/>
      <c r="G25" s="1454"/>
      <c r="H25" s="1335"/>
      <c r="I25" s="1358"/>
      <c r="J25" s="1335"/>
      <c r="K25" s="1335"/>
      <c r="L25" s="1335"/>
      <c r="M25" s="1335"/>
      <c r="N25" s="1335"/>
      <c r="O25" s="1335"/>
      <c r="P25" s="1335"/>
      <c r="Q25" s="1335">
        <f>+('Bal Sheet'!Q149-'Bal Sheet'!Q145-'Bal Sheet'!Q146)-('Bal Sheet'!P149-'Bal Sheet'!P145-'Bal Sheet'!P146)</f>
        <v>0</v>
      </c>
      <c r="R25" s="1335">
        <f>+('Bal Sheet'!R149-'Bal Sheet'!R145-'Bal Sheet'!R146)-('Bal Sheet'!Q149-'Bal Sheet'!Q145-'Bal Sheet'!Q146)</f>
        <v>0</v>
      </c>
      <c r="S25" s="1335">
        <f>+('Bal Sheet'!S149-'Bal Sheet'!S145-'Bal Sheet'!S146)-('Bal Sheet'!R149-'Bal Sheet'!R145-'Bal Sheet'!R146)</f>
        <v>0</v>
      </c>
      <c r="T25" s="1335">
        <f>+('Bal Sheet'!T149-'Bal Sheet'!T145-'Bal Sheet'!T146)-('Bal Sheet'!S149-'Bal Sheet'!S145-'Bal Sheet'!S146)</f>
        <v>0</v>
      </c>
    </row>
    <row r="26" spans="1:20" s="1617" customFormat="1" ht="12.75">
      <c r="A26" s="1613"/>
      <c r="B26" s="1614" t="s">
        <v>142</v>
      </c>
      <c r="C26" s="1615">
        <f t="shared" ref="C26:H26" si="0">+SUM(C20:C25)</f>
        <v>-219.07900000000004</v>
      </c>
      <c r="D26" s="1615">
        <f t="shared" si="0"/>
        <v>2299.2440000000001</v>
      </c>
      <c r="E26" s="1615">
        <f t="shared" si="0"/>
        <v>146.23900000000003</v>
      </c>
      <c r="F26" s="1615">
        <f t="shared" si="0"/>
        <v>2028</v>
      </c>
      <c r="G26" s="1615">
        <f t="shared" si="0"/>
        <v>-1360.9</v>
      </c>
      <c r="H26" s="1614">
        <f t="shared" si="0"/>
        <v>0</v>
      </c>
      <c r="I26" s="1616">
        <f t="shared" ref="I26:O26" si="1">+SUM(I20:I25)</f>
        <v>-2161.9</v>
      </c>
      <c r="J26" s="1614">
        <f t="shared" si="1"/>
        <v>8679.0999999999985</v>
      </c>
      <c r="K26" s="1614">
        <f t="shared" si="1"/>
        <v>-4029.4000000000005</v>
      </c>
      <c r="L26" s="1614">
        <f t="shared" si="1"/>
        <v>988.69999999999982</v>
      </c>
      <c r="M26" s="1614">
        <f t="shared" si="1"/>
        <v>-5011.3000000000011</v>
      </c>
      <c r="N26" s="1614">
        <f t="shared" si="1"/>
        <v>4318.5</v>
      </c>
      <c r="O26" s="1614">
        <f t="shared" si="1"/>
        <v>-5825.2</v>
      </c>
      <c r="P26" s="1614">
        <f>+SUM(P20:P25)</f>
        <v>5302.3</v>
      </c>
      <c r="Q26" s="1614">
        <f>+SUM(Q20:Q25)</f>
        <v>365.098522221645</v>
      </c>
      <c r="R26" s="1614">
        <f>+SUM(R20:R25)</f>
        <v>-8454.9155109851636</v>
      </c>
      <c r="S26" s="1614">
        <f t="shared" ref="S26:T26" si="2">+SUM(S20:S25)</f>
        <v>-4720.6852916780899</v>
      </c>
      <c r="T26" s="1614">
        <f t="shared" si="2"/>
        <v>-5733.9128064886536</v>
      </c>
    </row>
    <row r="27" spans="1:20">
      <c r="A27" s="1336" t="s">
        <v>146</v>
      </c>
      <c r="B27" s="1335" t="s">
        <v>141</v>
      </c>
      <c r="C27" s="1454">
        <v>-2504.9540000000002</v>
      </c>
      <c r="D27" s="1454">
        <v>-2600.6149999999998</v>
      </c>
      <c r="E27" s="1454">
        <v>-4606.5249999999996</v>
      </c>
      <c r="F27" s="1454">
        <f>-5168.4+225.1</f>
        <v>-4943.2999999999993</v>
      </c>
      <c r="G27" s="1454">
        <v>-5678.9</v>
      </c>
      <c r="H27" s="1335"/>
      <c r="I27" s="1358">
        <v>-3237.9</v>
      </c>
      <c r="J27" s="1358">
        <v>-6998.9</v>
      </c>
      <c r="K27" s="1358">
        <v>-9772.5</v>
      </c>
      <c r="L27" s="1358">
        <v>-11482.7</v>
      </c>
      <c r="M27" s="1358">
        <v>-12394</v>
      </c>
      <c r="N27" s="1358">
        <v>-13152.8</v>
      </c>
      <c r="O27" s="1358">
        <f>-12854</f>
        <v>-12854</v>
      </c>
      <c r="P27" s="1358">
        <f>-17824.7</f>
        <v>-17824.7</v>
      </c>
      <c r="Q27" s="1358">
        <f>-'Inc Stmt'!Q32</f>
        <v>-15080.7</v>
      </c>
      <c r="R27" s="1358">
        <f>-'Inc Stmt'!R32</f>
        <v>-17966.267882898912</v>
      </c>
      <c r="S27" s="1358">
        <f>-'Inc Stmt'!S32</f>
        <v>-20809.324228024834</v>
      </c>
      <c r="T27" s="1358">
        <f>-'Inc Stmt'!T32</f>
        <v>-22311.928946050346</v>
      </c>
    </row>
    <row r="28" spans="1:20">
      <c r="A28" s="1336" t="s">
        <v>146</v>
      </c>
      <c r="B28" s="1335" t="s">
        <v>150</v>
      </c>
      <c r="C28" s="1454">
        <f>34.456+4.21-1.5-37.872-1.7</f>
        <v>-2.4059999999999961</v>
      </c>
      <c r="D28" s="1454">
        <f>98.519-29.7-0.001+25.325-3.588</f>
        <v>90.555000000000007</v>
      </c>
      <c r="E28" s="1454">
        <f>-18.472-22.504-6.922</f>
        <v>-47.897999999999996</v>
      </c>
      <c r="F28" s="1454">
        <f>-10.5-4+355.2+36.2+4.3+66.8-26.3</f>
        <v>421.7</v>
      </c>
      <c r="G28" s="1454">
        <f>-2.2-76.3-42.3+288+3.9+4.7+22.5-83.3</f>
        <v>114.99999999999999</v>
      </c>
      <c r="H28" s="1335"/>
      <c r="I28" s="1358">
        <f>218+1833+69.3+25-8.1-35.1-21.4+2.8-2094</f>
        <v>-10.499999999999545</v>
      </c>
      <c r="J28" s="1335">
        <v>-181.6</v>
      </c>
      <c r="K28" s="1335">
        <v>-185.8</v>
      </c>
      <c r="L28" s="1335">
        <v>-192</v>
      </c>
      <c r="M28" s="1335">
        <v>-201.7</v>
      </c>
      <c r="N28" s="1335"/>
      <c r="O28" s="1335">
        <f>502.2-312.6</f>
        <v>189.59999999999997</v>
      </c>
      <c r="P28" s="1335">
        <f>-370-298.3</f>
        <v>-668.3</v>
      </c>
      <c r="Q28" s="1335"/>
      <c r="R28" s="1335"/>
      <c r="S28" s="1335"/>
      <c r="T28" s="1335"/>
    </row>
    <row r="29" spans="1:20" s="1457" customFormat="1" ht="12.75">
      <c r="A29" s="1368"/>
      <c r="B29" s="1369" t="s">
        <v>143</v>
      </c>
      <c r="C29" s="1455">
        <f t="shared" ref="C29:H29" si="3">+SUM(C9:C19)+C26+C27+C28</f>
        <v>5744.5400000000018</v>
      </c>
      <c r="D29" s="1455">
        <f t="shared" si="3"/>
        <v>8372.0959999999977</v>
      </c>
      <c r="E29" s="1455">
        <f t="shared" si="3"/>
        <v>4554.8650000000007</v>
      </c>
      <c r="F29" s="1455">
        <f>+SUM(F9:F19)+F26+F27+F28</f>
        <v>10726.200000000003</v>
      </c>
      <c r="G29" s="1455">
        <f t="shared" si="3"/>
        <v>6817.2999999999975</v>
      </c>
      <c r="H29" s="1369">
        <f t="shared" si="3"/>
        <v>0</v>
      </c>
      <c r="I29" s="1370">
        <f t="shared" ref="I29:O29" si="4">+SUM(I9:I19)+I26+I27+I28</f>
        <v>3276.2000000000007</v>
      </c>
      <c r="J29" s="1369">
        <f t="shared" si="4"/>
        <v>27371.1</v>
      </c>
      <c r="K29" s="1369">
        <f>+SUM(K9:K19)+K26+K27+K28</f>
        <v>20137.200000000008</v>
      </c>
      <c r="L29" s="1369">
        <f t="shared" si="4"/>
        <v>29599.399999999991</v>
      </c>
      <c r="M29" s="1369">
        <f t="shared" si="4"/>
        <v>21343.699999999993</v>
      </c>
      <c r="N29" s="1369">
        <f t="shared" si="4"/>
        <v>35457.300000000003</v>
      </c>
      <c r="O29" s="1369">
        <f t="shared" si="4"/>
        <v>21472.5</v>
      </c>
      <c r="P29" s="1369">
        <f>+SUM(P9:P19)+P26+P27+P28</f>
        <v>36454.100000000006</v>
      </c>
      <c r="Q29" s="1369">
        <f>+SUM(Q9:Q19)+Q26+Q27+Q28</f>
        <v>31500.853722221636</v>
      </c>
      <c r="R29" s="1369">
        <f>+SUM(R9:R19)+R26+R27+R28</f>
        <v>27523.784978181142</v>
      </c>
      <c r="S29" s="1369">
        <f t="shared" ref="S29:T29" si="5">+SUM(S9:S19)+S26+S27+S28</f>
        <v>37094.60142176204</v>
      </c>
      <c r="T29" s="1369">
        <f t="shared" si="5"/>
        <v>41072.06126832428</v>
      </c>
    </row>
    <row r="30" spans="1:20">
      <c r="A30" s="1336"/>
      <c r="B30" s="1335"/>
      <c r="C30" s="1454"/>
      <c r="D30" s="1454"/>
      <c r="E30" s="1454"/>
      <c r="F30" s="1454"/>
      <c r="G30" s="1454"/>
      <c r="H30" s="1335"/>
      <c r="I30" s="1358"/>
      <c r="J30" s="1335"/>
      <c r="K30" s="1335"/>
      <c r="L30" s="1335"/>
      <c r="M30" s="1335"/>
      <c r="N30" s="1335"/>
      <c r="O30" s="1335"/>
      <c r="P30" s="1335"/>
      <c r="Q30" s="1335"/>
      <c r="R30" s="1335"/>
      <c r="S30" s="1335"/>
      <c r="T30" s="1335"/>
    </row>
    <row r="31" spans="1:20">
      <c r="A31" s="1336" t="s">
        <v>147</v>
      </c>
      <c r="B31" s="1335" t="s">
        <v>109</v>
      </c>
      <c r="C31" s="1454">
        <v>-1113.402</v>
      </c>
      <c r="D31" s="1454">
        <v>-1265.732</v>
      </c>
      <c r="E31" s="1454">
        <v>-1059.0530000000001</v>
      </c>
      <c r="F31" s="1454">
        <v>-2210.1</v>
      </c>
      <c r="G31" s="1454">
        <v>-3480.9</v>
      </c>
      <c r="H31" s="1335"/>
      <c r="I31" s="1358">
        <v>-3928.6</v>
      </c>
      <c r="J31" s="1335">
        <v>-1166.7</v>
      </c>
      <c r="K31" s="1335">
        <v>-2006.3</v>
      </c>
      <c r="L31" s="1335">
        <v>-1089.8</v>
      </c>
      <c r="M31" s="1335">
        <f>-5081.8-403.8</f>
        <v>-5485.6</v>
      </c>
      <c r="N31" s="1335">
        <f>-2200.5-412.5</f>
        <v>-2613</v>
      </c>
      <c r="O31" s="1335">
        <f>-2696.5-417.1</f>
        <v>-3113.6</v>
      </c>
      <c r="P31" s="1335">
        <f>-60.6-2651.4</f>
        <v>-2712</v>
      </c>
      <c r="Q31" s="1335">
        <f>-('Bal Sheet'!Q86-'Bal Sheet'!P86)-('Bal Sheet'!Q89-'Bal Sheet'!P89)</f>
        <v>-3000</v>
      </c>
      <c r="R31" s="1335">
        <f>-('Bal Sheet'!R86-'Bal Sheet'!Q86)-('Bal Sheet'!R89-'Bal Sheet'!Q89)</f>
        <v>-4000</v>
      </c>
      <c r="S31" s="1335">
        <f>-('Bal Sheet'!S86-'Bal Sheet'!R86)-('Bal Sheet'!S89-'Bal Sheet'!R89)</f>
        <v>-4000</v>
      </c>
      <c r="T31" s="1335">
        <f>-('Bal Sheet'!T86-'Bal Sheet'!S86)-('Bal Sheet'!T89-'Bal Sheet'!S89)</f>
        <v>-4000</v>
      </c>
    </row>
    <row r="32" spans="1:20">
      <c r="A32" s="1336" t="s">
        <v>147</v>
      </c>
      <c r="B32" s="1335" t="s">
        <v>111</v>
      </c>
      <c r="C32" s="1454">
        <v>69.263000000000005</v>
      </c>
      <c r="D32" s="1454">
        <v>87.751000000000005</v>
      </c>
      <c r="E32" s="1454">
        <v>95.823999999999998</v>
      </c>
      <c r="F32" s="1454">
        <v>149.4</v>
      </c>
      <c r="G32" s="1454">
        <v>263.39999999999998</v>
      </c>
      <c r="H32" s="1335"/>
      <c r="I32" s="1358">
        <v>65.7</v>
      </c>
      <c r="J32" s="1335">
        <v>88.5</v>
      </c>
      <c r="K32" s="1335">
        <v>392.1</v>
      </c>
      <c r="L32" s="1335">
        <v>229.7</v>
      </c>
      <c r="M32" s="1335">
        <v>200.7</v>
      </c>
      <c r="N32" s="1335">
        <v>66.3</v>
      </c>
      <c r="O32" s="1335">
        <v>161.6</v>
      </c>
      <c r="P32" s="1335">
        <f>57.4</f>
        <v>57.4</v>
      </c>
      <c r="Q32" s="1335"/>
      <c r="R32" s="1335"/>
      <c r="S32" s="1335"/>
      <c r="T32" s="1335"/>
    </row>
    <row r="33" spans="1:20">
      <c r="A33" s="1336" t="s">
        <v>147</v>
      </c>
      <c r="B33" s="1335" t="s">
        <v>112</v>
      </c>
      <c r="C33" s="1454">
        <v>-7862.607</v>
      </c>
      <c r="D33" s="1454">
        <v>-11323.314</v>
      </c>
      <c r="E33" s="1454">
        <v>-7094.2910000000002</v>
      </c>
      <c r="F33" s="1454">
        <v>-12594.4</v>
      </c>
      <c r="G33" s="1454">
        <v>-1352.8</v>
      </c>
      <c r="H33" s="1335"/>
      <c r="I33" s="1358"/>
      <c r="J33" s="1335">
        <f>-827.4-21116.2</f>
        <v>-21943.600000000002</v>
      </c>
      <c r="K33" s="1335">
        <f>(-210.08-681.78)*10</f>
        <v>-8918.6</v>
      </c>
      <c r="L33" s="1335">
        <f>-681.4-1125.7-4749.6</f>
        <v>-6556.7000000000007</v>
      </c>
      <c r="M33" s="1335">
        <v>-13526.7</v>
      </c>
      <c r="N33" s="1335">
        <f>-21165.6</f>
        <v>-21165.599999999999</v>
      </c>
      <c r="O33" s="1335">
        <f>45005.8-49191.1</f>
        <v>-4185.2999999999956</v>
      </c>
      <c r="P33" s="1335">
        <f>63864.3-62703.3+72.4</f>
        <v>1233.4000000000001</v>
      </c>
      <c r="Q33" s="1335">
        <f>-('Bal Sheet'!Q114-'Bal Sheet'!P114)-Q36</f>
        <v>-39999.999999999971</v>
      </c>
      <c r="R33" s="1335">
        <f>-('Bal Sheet'!R114-'Bal Sheet'!Q114)-R36</f>
        <v>-20000</v>
      </c>
      <c r="S33" s="1335">
        <f>-('Bal Sheet'!S114-'Bal Sheet'!R114)-S36</f>
        <v>-15000</v>
      </c>
      <c r="T33" s="1335">
        <f>-('Bal Sheet'!T114-'Bal Sheet'!S114)-T36</f>
        <v>0</v>
      </c>
    </row>
    <row r="34" spans="1:20">
      <c r="A34" s="1336" t="s">
        <v>147</v>
      </c>
      <c r="B34" s="1335" t="s">
        <v>113</v>
      </c>
      <c r="C34" s="1454">
        <f>214.28-6.91</f>
        <v>207.37</v>
      </c>
      <c r="D34" s="1454">
        <f>579.507+1113.248-23.346</f>
        <v>1669.4090000000001</v>
      </c>
      <c r="E34" s="1454">
        <f>24.259+1456.852-36.643</f>
        <v>1444.4680000000001</v>
      </c>
      <c r="F34" s="1454">
        <f>225.1+1080.4</f>
        <v>1305.5</v>
      </c>
      <c r="G34" s="1454">
        <f>37+2371.9</f>
        <v>2408.9</v>
      </c>
      <c r="H34" s="1335"/>
      <c r="I34" s="1358">
        <f>454.2+817.8</f>
        <v>1272</v>
      </c>
      <c r="J34" s="1335">
        <f>429.4+4.1</f>
        <v>433.5</v>
      </c>
      <c r="K34" s="1335"/>
      <c r="L34" s="1335"/>
      <c r="M34" s="1335"/>
      <c r="N34" s="1335"/>
      <c r="O34" s="1335"/>
      <c r="P34" s="1335"/>
      <c r="Q34" s="1335"/>
      <c r="R34" s="1335"/>
      <c r="S34" s="1335"/>
      <c r="T34" s="1335"/>
    </row>
    <row r="35" spans="1:20">
      <c r="A35" s="1336" t="s">
        <v>147</v>
      </c>
      <c r="B35" s="1335" t="s">
        <v>114</v>
      </c>
      <c r="C35" s="1454"/>
      <c r="D35" s="1454"/>
      <c r="E35" s="1454"/>
      <c r="F35" s="1454"/>
      <c r="G35" s="1454"/>
      <c r="H35" s="1335"/>
      <c r="I35" s="1358">
        <v>259</v>
      </c>
      <c r="J35" s="1335"/>
      <c r="K35" s="1335"/>
      <c r="L35" s="1335"/>
      <c r="M35" s="1335"/>
      <c r="N35" s="1335"/>
      <c r="O35" s="1335"/>
      <c r="P35" s="1335"/>
      <c r="Q35" s="1335"/>
      <c r="R35" s="1335"/>
      <c r="S35" s="1335"/>
      <c r="T35" s="1335"/>
    </row>
    <row r="36" spans="1:20">
      <c r="A36" s="1336" t="s">
        <v>147</v>
      </c>
      <c r="B36" s="1335" t="s">
        <v>116</v>
      </c>
      <c r="C36" s="1454">
        <f>978.4</f>
        <v>978.4</v>
      </c>
      <c r="D36" s="1454">
        <v>1145.5999999999999</v>
      </c>
      <c r="E36" s="1454">
        <v>241</v>
      </c>
      <c r="F36" s="1454">
        <v>-785.9</v>
      </c>
      <c r="G36" s="1454">
        <v>-4764.5</v>
      </c>
      <c r="H36" s="1335"/>
      <c r="I36" s="1358"/>
      <c r="J36" s="1335"/>
      <c r="K36" s="1335"/>
      <c r="L36" s="1335"/>
      <c r="M36" s="1335">
        <v>-2318.6</v>
      </c>
      <c r="N36" s="1335">
        <v>-677.5</v>
      </c>
      <c r="O36" s="1335">
        <v>0</v>
      </c>
      <c r="P36" s="1335">
        <f>-('Bal Sheet'!P107-'Bal Sheet'!O107)</f>
        <v>0</v>
      </c>
      <c r="Q36" s="1335">
        <f>-('Bal Sheet'!Q107-'Bal Sheet'!P107)</f>
        <v>0</v>
      </c>
      <c r="R36" s="1335">
        <f>-('Bal Sheet'!R107-'Bal Sheet'!Q107)</f>
        <v>0</v>
      </c>
      <c r="S36" s="1335">
        <f>-('Bal Sheet'!S107-'Bal Sheet'!R107)</f>
        <v>0</v>
      </c>
      <c r="T36" s="1335">
        <f>-('Bal Sheet'!T107-'Bal Sheet'!S107)</f>
        <v>0</v>
      </c>
    </row>
    <row r="37" spans="1:20">
      <c r="A37" s="1336" t="s">
        <v>147</v>
      </c>
      <c r="B37" s="1335" t="s">
        <v>115</v>
      </c>
      <c r="C37" s="1454"/>
      <c r="D37" s="1454"/>
      <c r="E37" s="1454"/>
      <c r="F37" s="1454"/>
      <c r="G37" s="1454"/>
      <c r="H37" s="1335"/>
      <c r="I37" s="1358"/>
      <c r="J37" s="1335"/>
      <c r="K37" s="1335"/>
      <c r="L37" s="1335"/>
      <c r="M37" s="1335">
        <v>482.3</v>
      </c>
      <c r="N37" s="1335"/>
      <c r="O37" s="1335"/>
      <c r="P37" s="1335"/>
      <c r="Q37" s="1335"/>
      <c r="R37" s="1335"/>
      <c r="S37" s="1335"/>
      <c r="T37" s="1335"/>
    </row>
    <row r="38" spans="1:20">
      <c r="A38" s="1336" t="s">
        <v>145</v>
      </c>
      <c r="B38" s="1335" t="s">
        <v>133</v>
      </c>
      <c r="C38" s="1454">
        <f>407.715+405.081+248.275+1.944</f>
        <v>1063.0150000000001</v>
      </c>
      <c r="D38" s="1454">
        <f>690.447+491.977+130.696</f>
        <v>1313.12</v>
      </c>
      <c r="E38" s="1454">
        <f>605.595+1280.729+104.955</f>
        <v>1991.279</v>
      </c>
      <c r="F38" s="1454">
        <f>712.7+1944+141.8</f>
        <v>2798.5</v>
      </c>
      <c r="G38" s="1454">
        <f>830.7+1740.9+31+0.3</f>
        <v>2602.9000000000005</v>
      </c>
      <c r="H38" s="1335"/>
      <c r="I38" s="1358">
        <f>438.9+304+25.9</f>
        <v>768.8</v>
      </c>
      <c r="J38" s="1335">
        <f>182.6+409+3</f>
        <v>594.6</v>
      </c>
      <c r="K38" s="1335">
        <v>3658.1</v>
      </c>
      <c r="L38" s="1335">
        <v>3246</v>
      </c>
      <c r="M38" s="1335">
        <f>2590.7+417.2-100.4</f>
        <v>2907.4999999999995</v>
      </c>
      <c r="N38" s="1335">
        <f>-N13</f>
        <v>4231.2</v>
      </c>
      <c r="O38" s="1335">
        <f>-O13</f>
        <v>3769.6</v>
      </c>
      <c r="P38" s="1335">
        <v>597.29999999999995</v>
      </c>
      <c r="Q38" s="1335">
        <f>-Q13</f>
        <v>9466.7447999999986</v>
      </c>
      <c r="R38" s="1335">
        <f>-R13</f>
        <v>10631.951999999997</v>
      </c>
      <c r="S38" s="1335">
        <f t="shared" ref="S38:T38" si="6">-S13</f>
        <v>12031.951999999997</v>
      </c>
      <c r="T38" s="1335">
        <f t="shared" si="6"/>
        <v>11052.957999999999</v>
      </c>
    </row>
    <row r="39" spans="1:20">
      <c r="A39" s="1336" t="s">
        <v>145</v>
      </c>
      <c r="B39" s="1335" t="s">
        <v>515</v>
      </c>
      <c r="C39" s="1454">
        <f>127.159+43.928</f>
        <v>171.08699999999999</v>
      </c>
      <c r="D39" s="1454">
        <v>261.12799999999999</v>
      </c>
      <c r="E39" s="1454">
        <v>330.142</v>
      </c>
      <c r="F39" s="1454">
        <v>321.3</v>
      </c>
      <c r="G39" s="1454">
        <v>373</v>
      </c>
      <c r="H39" s="1335"/>
      <c r="I39" s="1358"/>
      <c r="J39" s="1335">
        <v>2.5</v>
      </c>
      <c r="K39" s="1335"/>
      <c r="L39" s="1335"/>
      <c r="M39" s="1335">
        <v>1.5</v>
      </c>
      <c r="N39" s="1335"/>
      <c r="O39" s="1335">
        <f>-O14</f>
        <v>0</v>
      </c>
      <c r="P39" s="1335">
        <v>891.8</v>
      </c>
      <c r="Q39" s="1335">
        <f>-Q14</f>
        <v>760</v>
      </c>
      <c r="R39" s="1335">
        <f>-R14</f>
        <v>760</v>
      </c>
      <c r="S39" s="1335">
        <f t="shared" ref="S39:T39" si="7">-S14</f>
        <v>760</v>
      </c>
      <c r="T39" s="1335">
        <f t="shared" si="7"/>
        <v>760</v>
      </c>
    </row>
    <row r="40" spans="1:20">
      <c r="A40" s="1336" t="s">
        <v>152</v>
      </c>
      <c r="B40" s="1335" t="s">
        <v>151</v>
      </c>
      <c r="C40" s="1454">
        <f>-8.721-17.394+1.5+86.541</f>
        <v>61.926000000000002</v>
      </c>
      <c r="D40" s="1454">
        <f>-6.555+0.001+29.404+3.588-25.325</f>
        <v>1.1130000000000031</v>
      </c>
      <c r="E40" s="1454">
        <f>-6.922+22.504+6.922+74.873</f>
        <v>97.37700000000001</v>
      </c>
      <c r="F40" s="1454">
        <f>-9+143.5+91.3+2.2+4-91.7</f>
        <v>140.30000000000001</v>
      </c>
      <c r="G40" s="1454">
        <f>-31.8+131-66.5+10.5+76.3+42.3-511.7</f>
        <v>-349.9</v>
      </c>
      <c r="H40" s="1335"/>
      <c r="I40" s="1358">
        <f>-69.3+-67.5-25+5.6</f>
        <v>-156.20000000000002</v>
      </c>
      <c r="J40" s="1335">
        <f>146+25+161.4+8+14.6</f>
        <v>355</v>
      </c>
      <c r="K40" s="1335">
        <f>(-6.42-400-2.75)*10</f>
        <v>-4091.7000000000003</v>
      </c>
      <c r="L40" s="1335">
        <v>-284</v>
      </c>
      <c r="M40" s="1335">
        <f>235.9</f>
        <v>235.9</v>
      </c>
      <c r="N40" s="1335">
        <v>-1256</v>
      </c>
      <c r="O40" s="1335">
        <v>-775.5</v>
      </c>
      <c r="P40" s="1335">
        <f>52.5+-308.9</f>
        <v>-256.39999999999998</v>
      </c>
      <c r="Q40" s="1618"/>
      <c r="R40" s="1618"/>
      <c r="S40" s="1618"/>
      <c r="T40" s="1618"/>
    </row>
    <row r="41" spans="1:20" s="1457" customFormat="1" ht="12.75">
      <c r="A41" s="1368"/>
      <c r="B41" s="1369" t="s">
        <v>117</v>
      </c>
      <c r="C41" s="1455">
        <f t="shared" ref="C41:H41" si="8">+SUM(C31:C40)</f>
        <v>-6424.9479999999976</v>
      </c>
      <c r="D41" s="1455">
        <f t="shared" si="8"/>
        <v>-8110.9250000000011</v>
      </c>
      <c r="E41" s="1455">
        <f t="shared" si="8"/>
        <v>-3953.2540000000013</v>
      </c>
      <c r="F41" s="1455">
        <f t="shared" si="8"/>
        <v>-10875.4</v>
      </c>
      <c r="G41" s="1455">
        <f t="shared" si="8"/>
        <v>-4299.8999999999987</v>
      </c>
      <c r="H41" s="1369">
        <f t="shared" si="8"/>
        <v>0</v>
      </c>
      <c r="I41" s="1370">
        <f t="shared" ref="I41:O41" si="9">+SUM(I31:I40)</f>
        <v>-1719.3000000000002</v>
      </c>
      <c r="J41" s="1369">
        <f t="shared" si="9"/>
        <v>-21636.200000000004</v>
      </c>
      <c r="K41" s="1369">
        <f t="shared" si="9"/>
        <v>-10966.4</v>
      </c>
      <c r="L41" s="1369">
        <f t="shared" si="9"/>
        <v>-4454.8000000000011</v>
      </c>
      <c r="M41" s="1369">
        <f t="shared" si="9"/>
        <v>-17503</v>
      </c>
      <c r="N41" s="1369">
        <f t="shared" si="9"/>
        <v>-21414.6</v>
      </c>
      <c r="O41" s="1369">
        <f t="shared" si="9"/>
        <v>-4143.1999999999953</v>
      </c>
      <c r="P41" s="1369">
        <f>+SUM(P31:P40)</f>
        <v>-188.49999999999989</v>
      </c>
      <c r="Q41" s="1369">
        <f>+SUM(Q31:Q40)</f>
        <v>-32773.255199999971</v>
      </c>
      <c r="R41" s="1369">
        <f>+SUM(R31:R40)</f>
        <v>-12608.048000000003</v>
      </c>
      <c r="S41" s="1369">
        <f t="shared" ref="S41:T41" si="10">+SUM(S31:S40)</f>
        <v>-6208.0480000000025</v>
      </c>
      <c r="T41" s="1369">
        <f t="shared" si="10"/>
        <v>7812.9579999999987</v>
      </c>
    </row>
    <row r="42" spans="1:20">
      <c r="A42" s="1336"/>
      <c r="B42" s="1335"/>
      <c r="C42" s="1454"/>
      <c r="D42" s="1454"/>
      <c r="E42" s="1454"/>
      <c r="F42" s="1454"/>
      <c r="G42" s="1454"/>
      <c r="H42" s="1335"/>
      <c r="I42" s="1358"/>
      <c r="J42" s="1335"/>
      <c r="K42" s="1335"/>
      <c r="L42" s="1335"/>
      <c r="M42" s="1335"/>
      <c r="N42" s="1335"/>
      <c r="O42" s="1335"/>
      <c r="P42" s="1335"/>
      <c r="Q42" s="1335"/>
      <c r="R42" s="1335"/>
      <c r="S42" s="1335"/>
      <c r="T42" s="1335"/>
    </row>
    <row r="43" spans="1:20">
      <c r="A43" s="1336" t="s">
        <v>147</v>
      </c>
      <c r="B43" s="1335" t="s">
        <v>121</v>
      </c>
      <c r="C43" s="1454"/>
      <c r="D43" s="1454"/>
      <c r="E43" s="1454"/>
      <c r="F43" s="1454"/>
      <c r="G43" s="1454"/>
      <c r="H43" s="1335"/>
      <c r="I43" s="1358"/>
      <c r="J43" s="1335"/>
      <c r="K43" s="1335"/>
      <c r="L43" s="1335"/>
      <c r="M43" s="1335"/>
      <c r="N43" s="1335"/>
      <c r="O43" s="1335"/>
      <c r="P43" s="1335"/>
      <c r="Q43" s="1335"/>
      <c r="R43" s="1335"/>
      <c r="S43" s="1335"/>
      <c r="T43" s="1335"/>
    </row>
    <row r="44" spans="1:20">
      <c r="A44" s="1336" t="s">
        <v>147</v>
      </c>
      <c r="B44" s="1335" t="s">
        <v>122</v>
      </c>
      <c r="C44" s="1454"/>
      <c r="D44" s="1454"/>
      <c r="E44" s="1454"/>
      <c r="F44" s="1454"/>
      <c r="G44" s="1454"/>
      <c r="H44" s="1335"/>
      <c r="I44" s="1358"/>
      <c r="J44" s="1335"/>
      <c r="K44" s="1335"/>
      <c r="L44" s="1335"/>
      <c r="M44" s="1335"/>
      <c r="N44" s="1335"/>
      <c r="O44" s="1335"/>
      <c r="P44" s="1335"/>
      <c r="Q44" s="1335"/>
      <c r="R44" s="1335"/>
      <c r="S44" s="1335"/>
      <c r="T44" s="1335"/>
    </row>
    <row r="45" spans="1:20">
      <c r="A45" s="1336" t="s">
        <v>147</v>
      </c>
      <c r="B45" s="1335" t="s">
        <v>119</v>
      </c>
      <c r="C45" s="1454">
        <f>220.782-1.293+1929.337</f>
        <v>2148.826</v>
      </c>
      <c r="D45" s="1454">
        <v>2211.395</v>
      </c>
      <c r="E45" s="1454">
        <v>2222.0279999999998</v>
      </c>
      <c r="F45" s="1454">
        <v>2410.8000000000002</v>
      </c>
      <c r="G45" s="1454">
        <v>1365.2</v>
      </c>
      <c r="H45" s="1335"/>
      <c r="I45" s="1358">
        <f>2618.2-69.5</f>
        <v>2548.6999999999998</v>
      </c>
      <c r="J45" s="1335">
        <f>-2485+129.8</f>
        <v>-2355.1999999999998</v>
      </c>
      <c r="K45" s="1335">
        <f>(10.55+134.31)*10</f>
        <v>1448.6000000000001</v>
      </c>
      <c r="L45" s="1335"/>
      <c r="M45" s="1335"/>
      <c r="N45" s="1335"/>
      <c r="O45" s="1335"/>
      <c r="P45" s="1335"/>
      <c r="Q45" s="1335"/>
      <c r="R45" s="1335"/>
      <c r="S45" s="1335"/>
      <c r="T45" s="1335"/>
    </row>
    <row r="46" spans="1:20">
      <c r="A46" s="1336" t="s">
        <v>147</v>
      </c>
      <c r="B46" s="1335" t="s">
        <v>120</v>
      </c>
      <c r="C46" s="1454">
        <v>-8.8450000000000006</v>
      </c>
      <c r="D46" s="1454">
        <f>-17.307-539.117</f>
        <v>-556.42399999999998</v>
      </c>
      <c r="E46" s="1454">
        <v>-9.3379999999999992</v>
      </c>
      <c r="F46" s="1454">
        <v>-9.5</v>
      </c>
      <c r="G46" s="1454">
        <v>-6.8</v>
      </c>
      <c r="H46" s="1335"/>
      <c r="I46" s="1358">
        <f>-58.7+-0.2</f>
        <v>-58.900000000000006</v>
      </c>
      <c r="J46" s="1335">
        <v>-0.1</v>
      </c>
      <c r="K46" s="1335">
        <v>-3681.3999999999996</v>
      </c>
      <c r="L46" s="1335">
        <f>-1343.1-235.3</f>
        <v>-1578.3999999999999</v>
      </c>
      <c r="M46" s="1335">
        <f>417-93.4</f>
        <v>323.60000000000002</v>
      </c>
      <c r="N46" s="1335">
        <v>586</v>
      </c>
      <c r="O46" s="1335">
        <v>531.6</v>
      </c>
      <c r="P46" s="1335">
        <v>501.3</v>
      </c>
      <c r="Q46" s="1335"/>
      <c r="R46" s="1335"/>
      <c r="S46" s="1335"/>
      <c r="T46" s="1335"/>
    </row>
    <row r="47" spans="1:20">
      <c r="A47" s="1336" t="s">
        <v>145</v>
      </c>
      <c r="B47" s="1335" t="s">
        <v>118</v>
      </c>
      <c r="C47" s="1454"/>
      <c r="D47" s="1454">
        <f>-3.04-1.762</f>
        <v>-4.8019999999999996</v>
      </c>
      <c r="E47" s="1454">
        <f>-1.695-1.468</f>
        <v>-3.1630000000000003</v>
      </c>
      <c r="F47" s="1454">
        <f>-0.7-0.8</f>
        <v>-1.5</v>
      </c>
      <c r="G47" s="1454">
        <f>-0.2-44.9</f>
        <v>-45.1</v>
      </c>
      <c r="H47" s="1335"/>
      <c r="I47" s="1358">
        <f>-198.1-20.8</f>
        <v>-218.9</v>
      </c>
      <c r="J47" s="1335">
        <f>-21.6-38.2</f>
        <v>-59.800000000000004</v>
      </c>
      <c r="K47" s="1335">
        <f>(-1.38-0.31)*10</f>
        <v>-16.899999999999999</v>
      </c>
      <c r="L47" s="1335">
        <f>-L12</f>
        <v>-222.4</v>
      </c>
      <c r="M47" s="1335">
        <v>-5.4</v>
      </c>
      <c r="N47" s="1335">
        <f>+N12</f>
        <v>4.9000000000000004</v>
      </c>
      <c r="O47" s="1335">
        <f>-O12</f>
        <v>-64.900000000000006</v>
      </c>
      <c r="P47" s="1335">
        <v>-4.8</v>
      </c>
      <c r="Q47" s="1335">
        <f>-Q12</f>
        <v>-14</v>
      </c>
      <c r="R47" s="1335">
        <f>-R12</f>
        <v>-10</v>
      </c>
      <c r="S47" s="1335">
        <f t="shared" ref="S47:T47" si="11">-S12</f>
        <v>-10</v>
      </c>
      <c r="T47" s="1335">
        <f t="shared" si="11"/>
        <v>-10</v>
      </c>
    </row>
    <row r="48" spans="1:20">
      <c r="A48" s="1336" t="s">
        <v>145</v>
      </c>
      <c r="B48" s="1335" t="s">
        <v>123</v>
      </c>
      <c r="C48" s="1454">
        <f>-1411.331</f>
        <v>-1411.3309999999999</v>
      </c>
      <c r="D48" s="1454">
        <v>-1417.89</v>
      </c>
      <c r="E48" s="1454">
        <v>-2518.0369999999998</v>
      </c>
      <c r="F48" s="1454">
        <v>-2516.8000000000002</v>
      </c>
      <c r="G48" s="1454">
        <v>-4041.2</v>
      </c>
      <c r="H48" s="1335"/>
      <c r="I48" s="1358">
        <f>-491.8-2885</f>
        <v>-3376.8</v>
      </c>
      <c r="J48" s="1358">
        <f>-3174.5-541</f>
        <v>-3715.5</v>
      </c>
      <c r="K48" s="1358">
        <f>(-577.58-96.12)*10</f>
        <v>-6737</v>
      </c>
      <c r="L48" s="1358">
        <f>-11542.6-1877.7</f>
        <v>-13420.300000000001</v>
      </c>
      <c r="M48" s="1358">
        <f>-12996.6-2112.4</f>
        <v>-15109</v>
      </c>
      <c r="N48" s="1358">
        <f>-13015.2-2167</f>
        <v>-15182.2</v>
      </c>
      <c r="O48" s="1358">
        <f>-14449.6-2458.9</f>
        <v>-16908.5</v>
      </c>
      <c r="P48" s="1358">
        <f>-28628.1-5709.2</f>
        <v>-34337.299999999996</v>
      </c>
      <c r="Q48" s="1358">
        <f>-'Inc Stmt'!Q61-'Inc Stmt'!Q63+('Bal Sheet'!Q146-'Bal Sheet'!P146)</f>
        <v>-1741.2999999999993</v>
      </c>
      <c r="R48" s="1358">
        <f>-'Inc Stmt'!R61-'Inc Stmt'!R63+('Bal Sheet'!R146-'Bal Sheet'!Q146)</f>
        <v>-22006.361871000005</v>
      </c>
      <c r="S48" s="1358">
        <f>-'Inc Stmt'!S61-'Inc Stmt'!S63+('Bal Sheet'!S146-'Bal Sheet'!R146)</f>
        <v>-25391.956005000004</v>
      </c>
      <c r="T48" s="1358">
        <f>-'Inc Stmt'!T61-'Inc Stmt'!T63+('Bal Sheet'!T146-'Bal Sheet'!S146)</f>
        <v>-25391.956005000004</v>
      </c>
    </row>
    <row r="49" spans="1:20">
      <c r="A49" s="1336" t="s">
        <v>146</v>
      </c>
      <c r="B49" s="1335" t="s">
        <v>128</v>
      </c>
      <c r="C49" s="1454"/>
      <c r="D49" s="1454"/>
      <c r="E49" s="1454"/>
      <c r="F49" s="1454">
        <v>0.2</v>
      </c>
      <c r="G49" s="1454">
        <v>224.4</v>
      </c>
      <c r="H49" s="1335"/>
      <c r="I49" s="1358">
        <f>436.5-0.1+7.7-180.9</f>
        <v>263.19999999999993</v>
      </c>
      <c r="J49" s="1335">
        <v>41.1</v>
      </c>
      <c r="K49" s="1335">
        <v>366.8</v>
      </c>
      <c r="L49" s="1335">
        <f>-318.8-103.9</f>
        <v>-422.70000000000005</v>
      </c>
      <c r="M49" s="1335">
        <v>-0.4</v>
      </c>
      <c r="N49" s="1335">
        <v>-91</v>
      </c>
      <c r="O49" s="1335"/>
      <c r="P49" s="1335"/>
      <c r="Q49" s="1335"/>
      <c r="R49" s="1335"/>
      <c r="S49" s="1335"/>
      <c r="T49" s="1335"/>
    </row>
    <row r="50" spans="1:20" s="1457" customFormat="1" ht="12.75">
      <c r="A50" s="1368"/>
      <c r="B50" s="1369" t="s">
        <v>129</v>
      </c>
      <c r="C50" s="1455">
        <f t="shared" ref="C50:H50" si="12">+SUM(C43:C49)</f>
        <v>728.65000000000032</v>
      </c>
      <c r="D50" s="1455">
        <f t="shared" si="12"/>
        <v>232.279</v>
      </c>
      <c r="E50" s="1455">
        <f t="shared" si="12"/>
        <v>-308.51000000000022</v>
      </c>
      <c r="F50" s="1455">
        <f t="shared" si="12"/>
        <v>-116.8</v>
      </c>
      <c r="G50" s="1455">
        <f t="shared" si="12"/>
        <v>-2503.4999999999995</v>
      </c>
      <c r="H50" s="1369">
        <f t="shared" si="12"/>
        <v>0</v>
      </c>
      <c r="I50" s="1370">
        <f t="shared" ref="I50:O50" si="13">+SUM(I43:I49)</f>
        <v>-842.70000000000061</v>
      </c>
      <c r="J50" s="1369">
        <f t="shared" si="13"/>
        <v>-6089.5</v>
      </c>
      <c r="K50" s="1369">
        <f t="shared" si="13"/>
        <v>-8619.9</v>
      </c>
      <c r="L50" s="1369">
        <f t="shared" si="13"/>
        <v>-15643.800000000001</v>
      </c>
      <c r="M50" s="1369">
        <f t="shared" si="13"/>
        <v>-14791.199999999999</v>
      </c>
      <c r="N50" s="1369">
        <f t="shared" si="13"/>
        <v>-14682.300000000001</v>
      </c>
      <c r="O50" s="1369">
        <f t="shared" si="13"/>
        <v>-16441.8</v>
      </c>
      <c r="P50" s="1369">
        <f>+SUM(P43:P49)</f>
        <v>-33840.799999999996</v>
      </c>
      <c r="Q50" s="1369">
        <f>+SUM(Q43:Q49)</f>
        <v>-1755.2999999999993</v>
      </c>
      <c r="R50" s="1369">
        <f>+SUM(R43:R49)</f>
        <v>-22016.361871000005</v>
      </c>
      <c r="S50" s="1369">
        <f t="shared" ref="S50:T50" si="14">+SUM(S43:S49)</f>
        <v>-25401.956005000004</v>
      </c>
      <c r="T50" s="1369">
        <f t="shared" si="14"/>
        <v>-25401.956005000004</v>
      </c>
    </row>
    <row r="51" spans="1:20">
      <c r="A51" s="1336"/>
      <c r="B51" s="1335"/>
      <c r="C51" s="1454"/>
      <c r="D51" s="1454"/>
      <c r="E51" s="1454"/>
      <c r="F51" s="1454"/>
      <c r="G51" s="1454"/>
      <c r="H51" s="1335"/>
      <c r="I51" s="1358"/>
      <c r="J51" s="1335"/>
      <c r="K51" s="1335"/>
      <c r="L51" s="1335"/>
      <c r="M51" s="1335"/>
      <c r="N51" s="1335"/>
      <c r="O51" s="1335"/>
      <c r="P51" s="1335"/>
      <c r="Q51" s="1335"/>
      <c r="R51" s="1335"/>
      <c r="S51" s="1335"/>
      <c r="T51" s="1335"/>
    </row>
    <row r="52" spans="1:20">
      <c r="A52" s="1336"/>
      <c r="B52" s="1335"/>
      <c r="C52" s="1454"/>
      <c r="D52" s="1454"/>
      <c r="E52" s="1454"/>
      <c r="F52" s="1454"/>
      <c r="G52" s="1454"/>
      <c r="H52" s="1335"/>
      <c r="I52" s="1358"/>
      <c r="J52" s="1335"/>
      <c r="K52" s="1335"/>
      <c r="L52" s="1335"/>
      <c r="M52" s="1335"/>
      <c r="N52" s="1335"/>
      <c r="O52" s="1335"/>
      <c r="P52" s="1335"/>
      <c r="Q52" s="1335"/>
      <c r="R52" s="1335"/>
      <c r="S52" s="1335"/>
      <c r="T52" s="1335"/>
    </row>
    <row r="53" spans="1:20" s="1424" customFormat="1" ht="12.75">
      <c r="A53" s="1338"/>
      <c r="B53" s="1339" t="s">
        <v>176</v>
      </c>
      <c r="C53" s="1543">
        <f>+C29+C41+C50</f>
        <v>48.242000000004509</v>
      </c>
      <c r="D53" s="1543">
        <f t="shared" ref="D53:J53" si="15">+D29+D41+D50</f>
        <v>493.44999999999663</v>
      </c>
      <c r="E53" s="1543">
        <f t="shared" si="15"/>
        <v>293.1009999999992</v>
      </c>
      <c r="F53" s="1543">
        <f t="shared" si="15"/>
        <v>-265.9999999999971</v>
      </c>
      <c r="G53" s="1543">
        <f t="shared" si="15"/>
        <v>13.899999999999181</v>
      </c>
      <c r="H53" s="1339">
        <f t="shared" si="15"/>
        <v>0</v>
      </c>
      <c r="I53" s="1372">
        <f t="shared" si="15"/>
        <v>714.19999999999993</v>
      </c>
      <c r="J53" s="1339">
        <f t="shared" si="15"/>
        <v>-354.60000000000582</v>
      </c>
      <c r="K53" s="1339">
        <f t="shared" ref="K53:P53" si="16">+K29+K41+K50</f>
        <v>550.90000000000873</v>
      </c>
      <c r="L53" s="1339">
        <f t="shared" si="16"/>
        <v>9500.7999999999902</v>
      </c>
      <c r="M53" s="1339">
        <f t="shared" si="16"/>
        <v>-10950.500000000005</v>
      </c>
      <c r="N53" s="1339">
        <f>+N29+N41+N50</f>
        <v>-639.59999999999673</v>
      </c>
      <c r="O53" s="1339">
        <f t="shared" si="16"/>
        <v>887.50000000000364</v>
      </c>
      <c r="P53" s="1339">
        <f t="shared" si="16"/>
        <v>2424.8000000000102</v>
      </c>
      <c r="Q53" s="1339">
        <f>+Q29+Q41+Q50</f>
        <v>-3027.7014777783334</v>
      </c>
      <c r="R53" s="1339">
        <f>+R29+R41+R50</f>
        <v>-7100.6248928188652</v>
      </c>
      <c r="S53" s="1339">
        <f t="shared" ref="S53:T53" si="17">+S29+S41+S50</f>
        <v>5484.5974167620334</v>
      </c>
      <c r="T53" s="1339">
        <f t="shared" si="17"/>
        <v>23483.063263324275</v>
      </c>
    </row>
    <row r="54" spans="1:20">
      <c r="A54" s="1336"/>
      <c r="B54" s="1335" t="s">
        <v>177</v>
      </c>
      <c r="C54" s="1454"/>
      <c r="D54" s="1454"/>
      <c r="E54" s="1454"/>
      <c r="F54" s="1454"/>
      <c r="G54" s="1454"/>
      <c r="H54" s="1335"/>
      <c r="I54" s="1358"/>
      <c r="J54" s="1335"/>
      <c r="K54" s="1335">
        <v>4000</v>
      </c>
      <c r="L54" s="1335">
        <v>4750</v>
      </c>
      <c r="M54" s="1335">
        <v>0.8</v>
      </c>
      <c r="N54" s="1335">
        <f>5.9-92</f>
        <v>-86.1</v>
      </c>
      <c r="O54" s="1335"/>
      <c r="P54" s="1335">
        <v>420.1</v>
      </c>
      <c r="Q54" s="1335"/>
      <c r="R54" s="1335"/>
      <c r="S54" s="1335"/>
      <c r="T54" s="1335"/>
    </row>
    <row r="55" spans="1:20" s="1457" customFormat="1" ht="12.75">
      <c r="A55" s="1368"/>
      <c r="B55" s="1369" t="s">
        <v>174</v>
      </c>
      <c r="C55" s="1455">
        <v>252.00899999999999</v>
      </c>
      <c r="D55" s="1455">
        <v>300.255</v>
      </c>
      <c r="E55" s="1455">
        <f>+D56</f>
        <v>793.70499999999663</v>
      </c>
      <c r="F55" s="1455">
        <f>+E56</f>
        <v>1086.8059999999959</v>
      </c>
      <c r="G55" s="1455">
        <f>+F56</f>
        <v>820.8059999999989</v>
      </c>
      <c r="H55" s="1369">
        <v>0</v>
      </c>
      <c r="I55" s="1370">
        <v>712.4</v>
      </c>
      <c r="J55" s="1369">
        <f>+I56-58.3</f>
        <v>1368.3</v>
      </c>
      <c r="K55" s="1369">
        <f>+J56</f>
        <v>1013.6999999999941</v>
      </c>
      <c r="L55" s="1619">
        <v>2287.4</v>
      </c>
      <c r="M55" s="1369">
        <f t="shared" ref="M55:R55" si="18">+L56</f>
        <v>16538.19999999999</v>
      </c>
      <c r="N55" s="1369">
        <f t="shared" si="18"/>
        <v>5588.4999999999836</v>
      </c>
      <c r="O55" s="1369">
        <f t="shared" si="18"/>
        <v>4862.7999999999865</v>
      </c>
      <c r="P55" s="1369">
        <f t="shared" si="18"/>
        <v>5750.2999999999902</v>
      </c>
      <c r="Q55" s="1369">
        <f t="shared" si="18"/>
        <v>8595.2000000000007</v>
      </c>
      <c r="R55" s="1369">
        <f t="shared" si="18"/>
        <v>5567.4985222216674</v>
      </c>
      <c r="S55" s="1369">
        <f t="shared" ref="S55" si="19">+R56</f>
        <v>-1533.1263705971978</v>
      </c>
      <c r="T55" s="1369">
        <f t="shared" ref="T55" si="20">+S56</f>
        <v>3951.4710461648356</v>
      </c>
    </row>
    <row r="56" spans="1:20" s="1457" customFormat="1" ht="12.75">
      <c r="A56" s="1368"/>
      <c r="B56" s="1369" t="s">
        <v>175</v>
      </c>
      <c r="C56" s="1455">
        <f t="shared" ref="C56:H56" si="21">+C53+C54+C55</f>
        <v>300.25100000000452</v>
      </c>
      <c r="D56" s="1455">
        <f t="shared" si="21"/>
        <v>793.70499999999663</v>
      </c>
      <c r="E56" s="1455">
        <f t="shared" si="21"/>
        <v>1086.8059999999959</v>
      </c>
      <c r="F56" s="1455">
        <f t="shared" si="21"/>
        <v>820.8059999999989</v>
      </c>
      <c r="G56" s="1455">
        <f t="shared" si="21"/>
        <v>834.70599999999808</v>
      </c>
      <c r="H56" s="1369">
        <f t="shared" si="21"/>
        <v>0</v>
      </c>
      <c r="I56" s="1370">
        <f t="shared" ref="I56:O56" si="22">+I53+I54+I55</f>
        <v>1426.6</v>
      </c>
      <c r="J56" s="1369">
        <f t="shared" si="22"/>
        <v>1013.6999999999941</v>
      </c>
      <c r="K56" s="1369">
        <f t="shared" si="22"/>
        <v>5564.6000000000031</v>
      </c>
      <c r="L56" s="1369">
        <f t="shared" si="22"/>
        <v>16538.19999999999</v>
      </c>
      <c r="M56" s="1369">
        <f t="shared" si="22"/>
        <v>5588.4999999999836</v>
      </c>
      <c r="N56" s="1369">
        <f t="shared" si="22"/>
        <v>4862.7999999999865</v>
      </c>
      <c r="O56" s="1369">
        <f t="shared" si="22"/>
        <v>5750.2999999999902</v>
      </c>
      <c r="P56" s="1369">
        <f>+P53+P54+P55</f>
        <v>8595.2000000000007</v>
      </c>
      <c r="Q56" s="1369">
        <f>+Q53+Q54+Q55</f>
        <v>5567.4985222216674</v>
      </c>
      <c r="R56" s="1369">
        <f>+R53+R54+R55</f>
        <v>-1533.1263705971978</v>
      </c>
      <c r="S56" s="1369">
        <f t="shared" ref="S56:T56" si="23">+S53+S54+S55</f>
        <v>3951.4710461648356</v>
      </c>
      <c r="T56" s="1369">
        <f t="shared" si="23"/>
        <v>27434.53430948911</v>
      </c>
    </row>
    <row r="57" spans="1:20">
      <c r="A57" s="1336"/>
      <c r="B57" s="1335"/>
      <c r="C57" s="1454"/>
      <c r="D57" s="1454"/>
      <c r="E57" s="1454"/>
      <c r="F57" s="1454"/>
      <c r="G57" s="1454"/>
      <c r="H57" s="1335"/>
      <c r="I57" s="1358"/>
      <c r="J57" s="1335"/>
      <c r="K57" s="1335"/>
      <c r="L57" s="1335"/>
      <c r="M57" s="1335"/>
      <c r="N57" s="1335"/>
      <c r="O57" s="1335"/>
      <c r="P57" s="1335"/>
      <c r="Q57" s="1335"/>
      <c r="R57" s="1335"/>
      <c r="S57" s="1335"/>
      <c r="T57" s="1335"/>
    </row>
    <row r="58" spans="1:20">
      <c r="A58" s="1336"/>
      <c r="B58" s="1335" t="s">
        <v>107</v>
      </c>
      <c r="C58" s="1454">
        <f>+'Bal Sheet'!C13-C56</f>
        <v>9.9999999548572305E-4</v>
      </c>
      <c r="D58" s="1454">
        <f>+'Bal Sheet'!D13-D56</f>
        <v>-9.9999999667943484E-4</v>
      </c>
      <c r="E58" s="1454">
        <f>+'Bal Sheet'!E13-E56</f>
        <v>4.3200998334214091E-12</v>
      </c>
      <c r="F58" s="1454">
        <f>+'Bal Sheet'!F13-F56</f>
        <v>-0.90599999999892589</v>
      </c>
      <c r="G58" s="1454">
        <f>+'Bal Sheet'!G13-G56</f>
        <v>-5.9999999980391294E-3</v>
      </c>
      <c r="H58" s="1335">
        <v>0</v>
      </c>
      <c r="I58" s="1358">
        <f>+'Bal Sheet'!I13-I56</f>
        <v>-0.1999999999998181</v>
      </c>
      <c r="J58" s="1335">
        <f>+'Bal Sheet'!J13-J56</f>
        <v>0.40000000000588898</v>
      </c>
      <c r="K58" s="1335">
        <f>+'Bal Sheet'!K13-K56</f>
        <v>0.29999999999654392</v>
      </c>
      <c r="L58" s="1335">
        <f>+'Bal Sheet'!L13-L56</f>
        <v>0.10000000000945874</v>
      </c>
      <c r="M58" s="1335">
        <f>+'Bal Sheet'!M13-M56</f>
        <v>1.6370904631912708E-11</v>
      </c>
      <c r="N58" s="1335">
        <f>+'Bal Sheet'!N13-N56</f>
        <v>1.3642420526593924E-11</v>
      </c>
      <c r="O58" s="1335">
        <f>+'Bal Sheet'!O13-O56</f>
        <v>0.40000000000964064</v>
      </c>
      <c r="P58" s="1335">
        <f>+'Bal Sheet'!P13-P56</f>
        <v>0</v>
      </c>
      <c r="Q58" s="1335">
        <f>+'Bal Sheet'!Q13-Q56</f>
        <v>0</v>
      </c>
      <c r="R58" s="1335">
        <f>+'Bal Sheet'!R13-R56</f>
        <v>6895.1263705971978</v>
      </c>
      <c r="S58" s="1335">
        <f>+'Bal Sheet'!S13-S56</f>
        <v>6658.5289538351644</v>
      </c>
      <c r="T58" s="1335">
        <f>+'Bal Sheet'!T13-T56</f>
        <v>6399.4656905108895</v>
      </c>
    </row>
    <row r="59" spans="1:20">
      <c r="A59" s="1336"/>
      <c r="B59" s="1335"/>
      <c r="C59" s="1454"/>
      <c r="D59" s="1454"/>
      <c r="E59" s="1454"/>
      <c r="F59" s="1454"/>
      <c r="G59" s="1454"/>
      <c r="H59" s="1335"/>
      <c r="I59" s="1358"/>
      <c r="J59" s="1335"/>
      <c r="K59" s="1335"/>
      <c r="L59" s="1335"/>
      <c r="M59" s="1335"/>
      <c r="N59" s="1335"/>
      <c r="O59" s="1335"/>
      <c r="P59" s="1335"/>
      <c r="Q59" s="1335"/>
      <c r="R59" s="1335"/>
      <c r="S59" s="1335"/>
      <c r="T59" s="1335"/>
    </row>
    <row r="60" spans="1:20">
      <c r="A60" s="1336"/>
      <c r="B60" s="1335"/>
      <c r="C60" s="1454"/>
      <c r="D60" s="1454"/>
      <c r="E60" s="1454"/>
      <c r="F60" s="1454"/>
      <c r="G60" s="1454"/>
      <c r="H60" s="1335"/>
      <c r="I60" s="1358"/>
      <c r="J60" s="1335"/>
      <c r="K60" s="1335"/>
      <c r="L60" s="1335"/>
      <c r="M60" s="1335"/>
      <c r="N60" s="1335"/>
      <c r="O60" s="1335"/>
      <c r="P60" s="1335"/>
      <c r="Q60" s="1335"/>
      <c r="R60" s="1335"/>
      <c r="S60" s="1335"/>
      <c r="T60" s="1335"/>
    </row>
    <row r="61" spans="1:20" s="1493" customFormat="1" ht="12.75">
      <c r="A61" s="1355"/>
      <c r="B61" s="1356" t="s">
        <v>246</v>
      </c>
      <c r="C61" s="1494"/>
      <c r="D61" s="1494"/>
      <c r="E61" s="1494"/>
      <c r="F61" s="1494"/>
      <c r="G61" s="1494"/>
      <c r="H61" s="1356"/>
      <c r="I61" s="1357"/>
      <c r="J61" s="1356"/>
      <c r="K61" s="1356"/>
      <c r="L61" s="1356"/>
      <c r="M61" s="1356"/>
      <c r="N61" s="1356"/>
      <c r="O61" s="1356"/>
      <c r="P61" s="1356"/>
      <c r="Q61" s="1356"/>
      <c r="R61" s="1356"/>
      <c r="S61" s="1356"/>
      <c r="T61" s="1356"/>
    </row>
    <row r="62" spans="1:20">
      <c r="A62" s="1336"/>
      <c r="B62" s="1335"/>
      <c r="C62" s="1454"/>
      <c r="D62" s="1454"/>
      <c r="E62" s="1454"/>
      <c r="F62" s="1454"/>
      <c r="G62" s="1454"/>
      <c r="H62" s="1335"/>
      <c r="I62" s="1358"/>
      <c r="J62" s="1335"/>
      <c r="K62" s="1335"/>
      <c r="L62" s="1335"/>
      <c r="M62" s="1335"/>
      <c r="N62" s="1335"/>
      <c r="O62" s="1335"/>
      <c r="P62" s="1335"/>
      <c r="Q62" s="1335"/>
      <c r="R62" s="1335"/>
      <c r="S62" s="1335"/>
      <c r="T62" s="1335"/>
    </row>
    <row r="63" spans="1:20">
      <c r="A63" s="1336" t="s">
        <v>678</v>
      </c>
      <c r="B63" s="1335" t="s">
        <v>1612</v>
      </c>
      <c r="C63" s="1454">
        <f>+'Inc Stmt'!C36</f>
        <v>5384.2259999999987</v>
      </c>
      <c r="D63" s="1454">
        <f>+'Inc Stmt'!D36</f>
        <v>7383.9800000000014</v>
      </c>
      <c r="E63" s="1454">
        <f>+'Inc Stmt'!E36</f>
        <v>7649.619999999999</v>
      </c>
      <c r="F63" s="1454">
        <f>+'Inc Stmt'!F36</f>
        <v>11016.2</v>
      </c>
      <c r="G63" s="1454">
        <f>+'Inc Stmt'!G36</f>
        <v>12379.200000000006</v>
      </c>
      <c r="H63" s="1335">
        <f>+'Inc Stmt'!H36</f>
        <v>7495.6000000000049</v>
      </c>
      <c r="I63" s="1358">
        <f>+'Inc Stmt'!I36</f>
        <v>5379.3000000000093</v>
      </c>
      <c r="J63" s="1335">
        <f>+'Inc Stmt'!J36</f>
        <v>17036.299999999988</v>
      </c>
      <c r="K63" s="1335">
        <f>+'Inc Stmt'!K36</f>
        <v>33397.299999999974</v>
      </c>
      <c r="L63" s="1335">
        <f>+'Inc Stmt'!L36</f>
        <v>30040.5</v>
      </c>
      <c r="M63" s="1335">
        <f>+Uploader!W180+Uploader!W192</f>
        <v>22480.800000000032</v>
      </c>
      <c r="N63" s="1335">
        <f>+Uploader!X180+Uploader!X192</f>
        <v>26760.799999999988</v>
      </c>
      <c r="O63" s="1335">
        <f>+Uploader!Y180+Uploader!Y192</f>
        <v>26218.300000000017</v>
      </c>
      <c r="P63" s="1335">
        <f>+Uploader!Z180+Uploader!Z192</f>
        <v>28560.799999999996</v>
      </c>
      <c r="Q63" s="1335">
        <f>+Uploader!AA180+Uploader!AA192</f>
        <v>26055.900000000005</v>
      </c>
      <c r="R63" s="1335">
        <f>+Uploader!AB180+Uploader!AB192</f>
        <v>30626.810689166301</v>
      </c>
      <c r="S63" s="1335">
        <f>+Uploader!AC180+Uploader!AC192</f>
        <v>35990.635183440099</v>
      </c>
      <c r="T63" s="1335">
        <f>+Uploader!AD180+Uploader!AD192</f>
        <v>40431.982141812958</v>
      </c>
    </row>
    <row r="64" spans="1:20">
      <c r="A64" s="1336" t="s">
        <v>678</v>
      </c>
      <c r="B64" s="1335" t="s">
        <v>210</v>
      </c>
      <c r="C64" s="1454">
        <f t="shared" ref="C64:H65" si="24">+C10</f>
        <v>1711.5650000000001</v>
      </c>
      <c r="D64" s="1454">
        <f t="shared" si="24"/>
        <v>1798.9459999999999</v>
      </c>
      <c r="E64" s="1454">
        <f t="shared" si="24"/>
        <v>1853.663</v>
      </c>
      <c r="F64" s="1454">
        <f t="shared" si="24"/>
        <v>1910</v>
      </c>
      <c r="G64" s="1454">
        <f t="shared" si="24"/>
        <v>1902.6</v>
      </c>
      <c r="H64" s="1335">
        <f t="shared" si="24"/>
        <v>0</v>
      </c>
      <c r="I64" s="1358">
        <f t="shared" ref="I64:O65" si="25">+I10</f>
        <v>1306.2</v>
      </c>
      <c r="J64" s="1335">
        <f t="shared" si="25"/>
        <v>1364.5</v>
      </c>
      <c r="K64" s="1335">
        <f t="shared" si="25"/>
        <v>1228.4000000000001</v>
      </c>
      <c r="L64" s="1335">
        <f t="shared" si="25"/>
        <v>1456.2</v>
      </c>
      <c r="M64" s="1335">
        <f>+Uploader!W181</f>
        <v>1667.7</v>
      </c>
      <c r="N64" s="1335">
        <f>+Uploader!X181</f>
        <v>1796.1</v>
      </c>
      <c r="O64" s="1335">
        <f>+Uploader!Y181</f>
        <v>2674</v>
      </c>
      <c r="P64" s="1335">
        <f>+Uploader!Z181</f>
        <v>3071.6</v>
      </c>
      <c r="Q64" s="1335">
        <f>+Uploader!AA181</f>
        <v>3072.9</v>
      </c>
      <c r="R64" s="1335">
        <f>+Uploader!AB181</f>
        <v>3374.2725000000005</v>
      </c>
      <c r="S64" s="1335">
        <f>+Uploader!AC181</f>
        <v>3650.2725000000005</v>
      </c>
      <c r="T64" s="1335">
        <f>+Uploader!AD181</f>
        <v>3983.1750000000002</v>
      </c>
    </row>
    <row r="65" spans="1:20">
      <c r="A65" s="1336" t="s">
        <v>678</v>
      </c>
      <c r="B65" s="1335" t="s">
        <v>661</v>
      </c>
      <c r="C65" s="1454">
        <f t="shared" si="24"/>
        <v>0</v>
      </c>
      <c r="D65" s="1454">
        <f t="shared" si="24"/>
        <v>0</v>
      </c>
      <c r="E65" s="1454">
        <f t="shared" si="24"/>
        <v>0</v>
      </c>
      <c r="F65" s="1454">
        <f t="shared" si="24"/>
        <v>0</v>
      </c>
      <c r="G65" s="1454">
        <f t="shared" si="24"/>
        <v>0</v>
      </c>
      <c r="H65" s="1335">
        <f t="shared" si="24"/>
        <v>0</v>
      </c>
      <c r="I65" s="1358">
        <f t="shared" si="25"/>
        <v>0</v>
      </c>
      <c r="J65" s="1335">
        <f t="shared" si="25"/>
        <v>-322.8</v>
      </c>
      <c r="K65" s="1335">
        <f t="shared" si="25"/>
        <v>0</v>
      </c>
      <c r="L65" s="1335">
        <f t="shared" si="25"/>
        <v>1729</v>
      </c>
      <c r="M65" s="1335">
        <f t="shared" si="25"/>
        <v>-1555.1000000000001</v>
      </c>
      <c r="N65" s="1335">
        <f t="shared" si="25"/>
        <v>0</v>
      </c>
      <c r="O65" s="1335">
        <f t="shared" si="25"/>
        <v>0</v>
      </c>
      <c r="P65" s="1335">
        <f>+P11</f>
        <v>0</v>
      </c>
      <c r="Q65" s="1335">
        <f>+Q11</f>
        <v>0</v>
      </c>
      <c r="R65" s="1335">
        <f>+R11</f>
        <v>0</v>
      </c>
      <c r="S65" s="1335">
        <f t="shared" ref="S65:T65" si="26">+S11</f>
        <v>0</v>
      </c>
      <c r="T65" s="1335">
        <f t="shared" si="26"/>
        <v>0</v>
      </c>
    </row>
    <row r="66" spans="1:20">
      <c r="A66" s="1336" t="s">
        <v>678</v>
      </c>
      <c r="B66" s="1335" t="s">
        <v>142</v>
      </c>
      <c r="C66" s="1454">
        <f t="shared" ref="C66:H66" si="27">+SUM(C26)</f>
        <v>-219.07900000000004</v>
      </c>
      <c r="D66" s="1454">
        <f t="shared" si="27"/>
        <v>2299.2440000000001</v>
      </c>
      <c r="E66" s="1454">
        <f t="shared" si="27"/>
        <v>146.23900000000003</v>
      </c>
      <c r="F66" s="1454">
        <f t="shared" si="27"/>
        <v>2028</v>
      </c>
      <c r="G66" s="1454">
        <f t="shared" si="27"/>
        <v>-1360.9</v>
      </c>
      <c r="H66" s="1335">
        <f t="shared" si="27"/>
        <v>0</v>
      </c>
      <c r="I66" s="1358">
        <f>+SUM(I26)</f>
        <v>-2161.9</v>
      </c>
      <c r="J66" s="1335">
        <f>+SUM(J26)</f>
        <v>8679.0999999999985</v>
      </c>
      <c r="K66" s="1335">
        <f>+SUM(K26)</f>
        <v>-4029.4000000000005</v>
      </c>
      <c r="L66" s="1335">
        <f>+SUM(L26)</f>
        <v>988.69999999999982</v>
      </c>
      <c r="M66" s="1335">
        <f>+Uploader!W184</f>
        <v>-8074.1000000000058</v>
      </c>
      <c r="N66" s="1335">
        <f>+Uploader!X184</f>
        <v>4153.9000000000042</v>
      </c>
      <c r="O66" s="1335">
        <f>+Uploader!Y184</f>
        <v>-4217.3799999999956</v>
      </c>
      <c r="P66" s="1335">
        <f>+Uploader!Z184</f>
        <v>-11117.420000000006</v>
      </c>
      <c r="Q66" s="1335">
        <f>+Uploader!AA184</f>
        <v>20630.160393221649</v>
      </c>
      <c r="R66" s="1335">
        <f>+Uploader!AB184</f>
        <v>-5069.3213769851645</v>
      </c>
      <c r="S66" s="1335">
        <f>+Uploader!AC184</f>
        <v>-4720.6852916780899</v>
      </c>
      <c r="T66" s="1335">
        <f>+Uploader!AD184</f>
        <v>-5733.9128064886536</v>
      </c>
    </row>
    <row r="67" spans="1:20">
      <c r="A67" s="1336" t="s">
        <v>678</v>
      </c>
      <c r="B67" s="1335" t="s">
        <v>148</v>
      </c>
      <c r="C67" s="1454">
        <f t="shared" ref="C67:H67" si="28">+C83-C81-C73-SUM(C63:C66)</f>
        <v>101.93000000000484</v>
      </c>
      <c r="D67" s="1454">
        <f t="shared" si="28"/>
        <v>-1540.6280000000042</v>
      </c>
      <c r="E67" s="1454">
        <f t="shared" si="28"/>
        <v>-2776.3989999999994</v>
      </c>
      <c r="F67" s="1454">
        <f t="shared" si="28"/>
        <v>-1109.6999999999971</v>
      </c>
      <c r="G67" s="1454">
        <f t="shared" si="28"/>
        <v>-3172.8000000000084</v>
      </c>
      <c r="H67" s="1335">
        <f t="shared" si="28"/>
        <v>-7495.6000000000049</v>
      </c>
      <c r="I67" s="1358">
        <f>+I83-I81-I73-SUM(I63:I66)</f>
        <v>-697.50000000000909</v>
      </c>
      <c r="J67" s="1335">
        <f>+J83-J81-J73-SUM(J63:J66)</f>
        <v>1151.3000000000065</v>
      </c>
      <c r="K67" s="1335">
        <f>+K83-K81-K73-SUM(K63:K66)</f>
        <v>-6817.8999999999651</v>
      </c>
      <c r="L67" s="1335">
        <f>+L83-L81-L73-SUM(L63:L66)</f>
        <v>-1591.4000000000015</v>
      </c>
      <c r="M67" s="1335">
        <f>+Uploader!W182</f>
        <v>5.4</v>
      </c>
      <c r="N67" s="1335">
        <f>+Uploader!X182</f>
        <v>5.4</v>
      </c>
      <c r="O67" s="1335">
        <f>+Uploader!Y182</f>
        <v>64.900000000000006</v>
      </c>
      <c r="P67" s="1335">
        <f>+Uploader!Z182</f>
        <v>10.5</v>
      </c>
      <c r="Q67" s="1335">
        <f>+Uploader!AA182</f>
        <v>14</v>
      </c>
      <c r="R67" s="1335">
        <f>+Uploader!AB182</f>
        <v>10</v>
      </c>
      <c r="S67" s="1335">
        <f>+Uploader!AC182</f>
        <v>10</v>
      </c>
      <c r="T67" s="1335">
        <f>+Uploader!AD182</f>
        <v>10</v>
      </c>
    </row>
    <row r="68" spans="1:20" s="1457" customFormat="1" ht="12.75">
      <c r="A68" s="1368" t="s">
        <v>678</v>
      </c>
      <c r="B68" s="1369" t="s">
        <v>216</v>
      </c>
      <c r="C68" s="1455">
        <f t="shared" ref="C68:H68" si="29">+SUM(C63:C67)</f>
        <v>6978.6420000000044</v>
      </c>
      <c r="D68" s="1455">
        <f t="shared" si="29"/>
        <v>9941.5419999999976</v>
      </c>
      <c r="E68" s="1455">
        <f t="shared" si="29"/>
        <v>6873.1229999999996</v>
      </c>
      <c r="F68" s="1455">
        <f t="shared" si="29"/>
        <v>13844.500000000004</v>
      </c>
      <c r="G68" s="1455">
        <f t="shared" si="29"/>
        <v>9748.0999999999985</v>
      </c>
      <c r="H68" s="1369">
        <f t="shared" si="29"/>
        <v>0</v>
      </c>
      <c r="I68" s="1370">
        <f t="shared" ref="I68:O68" si="30">+SUM(I63:I67)</f>
        <v>3826.1000000000004</v>
      </c>
      <c r="J68" s="1369">
        <f t="shared" si="30"/>
        <v>27908.399999999994</v>
      </c>
      <c r="K68" s="1369">
        <f t="shared" si="30"/>
        <v>23778.400000000009</v>
      </c>
      <c r="L68" s="1369">
        <f t="shared" si="30"/>
        <v>32622.999999999993</v>
      </c>
      <c r="M68" s="1369">
        <f t="shared" si="30"/>
        <v>14524.700000000028</v>
      </c>
      <c r="N68" s="1369">
        <f t="shared" si="30"/>
        <v>32716.199999999993</v>
      </c>
      <c r="O68" s="1369">
        <f t="shared" si="30"/>
        <v>24739.820000000022</v>
      </c>
      <c r="P68" s="1369">
        <f>+SUM(P63:P67)</f>
        <v>20525.479999999989</v>
      </c>
      <c r="Q68" s="1369">
        <f>+SUM(Q63:Q67)</f>
        <v>49772.960393221656</v>
      </c>
      <c r="R68" s="1369">
        <f>+SUM(R63:R67)</f>
        <v>28941.761812181139</v>
      </c>
      <c r="S68" s="1369">
        <f t="shared" ref="S68:T68" si="31">+SUM(S63:S67)</f>
        <v>34930.222391762007</v>
      </c>
      <c r="T68" s="1369">
        <f t="shared" si="31"/>
        <v>38691.244335324307</v>
      </c>
    </row>
    <row r="69" spans="1:20">
      <c r="A69" s="1336"/>
      <c r="B69" s="1335"/>
      <c r="C69" s="1454"/>
      <c r="D69" s="1454"/>
      <c r="E69" s="1454"/>
      <c r="F69" s="1454"/>
      <c r="G69" s="1454"/>
      <c r="H69" s="1335"/>
      <c r="I69" s="1358"/>
      <c r="J69" s="1335"/>
      <c r="K69" s="1335"/>
      <c r="L69" s="1335"/>
      <c r="M69" s="1335"/>
      <c r="N69" s="1335"/>
      <c r="O69" s="1335"/>
      <c r="P69" s="1335"/>
      <c r="Q69" s="1335"/>
      <c r="R69" s="1335"/>
      <c r="S69" s="1335"/>
      <c r="T69" s="1335"/>
    </row>
    <row r="70" spans="1:20">
      <c r="A70" s="1336" t="s">
        <v>678</v>
      </c>
      <c r="B70" s="1335" t="s">
        <v>211</v>
      </c>
      <c r="C70" s="1454">
        <f t="shared" ref="C70:H70" si="32">+C31+C32</f>
        <v>-1044.1390000000001</v>
      </c>
      <c r="D70" s="1454">
        <f t="shared" si="32"/>
        <v>-1177.981</v>
      </c>
      <c r="E70" s="1454">
        <f t="shared" si="32"/>
        <v>-963.22900000000016</v>
      </c>
      <c r="F70" s="1454">
        <f t="shared" si="32"/>
        <v>-2060.6999999999998</v>
      </c>
      <c r="G70" s="1454">
        <f t="shared" si="32"/>
        <v>-3217.5</v>
      </c>
      <c r="H70" s="1335">
        <f t="shared" si="32"/>
        <v>0</v>
      </c>
      <c r="I70" s="1358">
        <f>+I31+I32</f>
        <v>-3862.9</v>
      </c>
      <c r="J70" s="1335">
        <f>+J31+J32</f>
        <v>-1078.2</v>
      </c>
      <c r="K70" s="1335">
        <f>+K31+K32</f>
        <v>-1614.1999999999998</v>
      </c>
      <c r="L70" s="1335">
        <f>+L31+L32</f>
        <v>-860.09999999999991</v>
      </c>
      <c r="M70" s="1335">
        <f>+Uploader!W195</f>
        <v>-7413.7</v>
      </c>
      <c r="N70" s="1335">
        <f>+Uploader!X195</f>
        <v>-2317.300000000002</v>
      </c>
      <c r="O70" s="1335">
        <f>+Uploader!Y195</f>
        <v>-2894.7999999999979</v>
      </c>
      <c r="P70" s="1335">
        <f>+Uploader!Z195</f>
        <v>-2128.9000000000015</v>
      </c>
      <c r="Q70" s="1335">
        <f>+Uploader!AA195</f>
        <v>-2999.9999999999973</v>
      </c>
      <c r="R70" s="1335">
        <f>+Uploader!AB195</f>
        <v>-4000</v>
      </c>
      <c r="S70" s="1335">
        <f>+Uploader!AC195</f>
        <v>-3999.9999999999964</v>
      </c>
      <c r="T70" s="1335">
        <f>+Uploader!AD195</f>
        <v>-3999.9999999999959</v>
      </c>
    </row>
    <row r="71" spans="1:20">
      <c r="A71" s="1336" t="s">
        <v>678</v>
      </c>
      <c r="B71" s="1335" t="s">
        <v>212</v>
      </c>
      <c r="C71" s="1454">
        <f t="shared" ref="C71:H71" si="33">+C33+C34+C36+C37</f>
        <v>-6676.8370000000004</v>
      </c>
      <c r="D71" s="1454">
        <f t="shared" si="33"/>
        <v>-8508.3050000000003</v>
      </c>
      <c r="E71" s="1454">
        <f t="shared" si="33"/>
        <v>-5408.8230000000003</v>
      </c>
      <c r="F71" s="1454">
        <f t="shared" si="33"/>
        <v>-12074.8</v>
      </c>
      <c r="G71" s="1454">
        <f t="shared" si="33"/>
        <v>-3708.3999999999996</v>
      </c>
      <c r="H71" s="1335">
        <f t="shared" si="33"/>
        <v>0</v>
      </c>
      <c r="I71" s="1358">
        <f>+I33+I34+I36+I37</f>
        <v>1272</v>
      </c>
      <c r="J71" s="1335">
        <f>+J33+J34+J36+J37</f>
        <v>-21510.100000000002</v>
      </c>
      <c r="K71" s="1335">
        <f>+K33+K34+K36+K37</f>
        <v>-8918.6</v>
      </c>
      <c r="L71" s="1335">
        <f>+L33+L34+L36+L37</f>
        <v>-6556.7000000000007</v>
      </c>
      <c r="M71" s="1335">
        <f>+Uploader!W198</f>
        <v>-15476.5</v>
      </c>
      <c r="N71" s="1335">
        <f>+Uploader!X198</f>
        <v>-21283.400000000009</v>
      </c>
      <c r="O71" s="1335">
        <f>+Uploader!Y198</f>
        <v>-6055.6999999999971</v>
      </c>
      <c r="P71" s="1335">
        <f>+Uploader!Z198</f>
        <v>-3482.6000000000058</v>
      </c>
      <c r="Q71" s="1335">
        <f>+Uploader!AA198</f>
        <v>-39999.999999999971</v>
      </c>
      <c r="R71" s="1335">
        <f>+Uploader!AB198</f>
        <v>-20000</v>
      </c>
      <c r="S71" s="1335">
        <f>+Uploader!AC198</f>
        <v>-15000</v>
      </c>
      <c r="T71" s="1335">
        <f>+Uploader!AD198</f>
        <v>0</v>
      </c>
    </row>
    <row r="72" spans="1:20">
      <c r="A72" s="1336" t="s">
        <v>678</v>
      </c>
      <c r="B72" s="1335" t="s">
        <v>151</v>
      </c>
      <c r="C72" s="1454">
        <f t="shared" ref="C72:H72" si="34">+C35+C40</f>
        <v>61.926000000000002</v>
      </c>
      <c r="D72" s="1454">
        <f t="shared" si="34"/>
        <v>1.1130000000000031</v>
      </c>
      <c r="E72" s="1454">
        <f t="shared" si="34"/>
        <v>97.37700000000001</v>
      </c>
      <c r="F72" s="1454">
        <f t="shared" si="34"/>
        <v>140.30000000000001</v>
      </c>
      <c r="G72" s="1454">
        <f t="shared" si="34"/>
        <v>-349.9</v>
      </c>
      <c r="H72" s="1335">
        <f t="shared" si="34"/>
        <v>0</v>
      </c>
      <c r="I72" s="1358">
        <f>+I35+I40</f>
        <v>102.79999999999998</v>
      </c>
      <c r="J72" s="1335">
        <f>+J35+J40</f>
        <v>355</v>
      </c>
      <c r="K72" s="1335">
        <f>+K35+K40</f>
        <v>-4091.7000000000003</v>
      </c>
      <c r="L72" s="1335">
        <f>+L35+L40</f>
        <v>-284</v>
      </c>
      <c r="M72" s="1335">
        <f>+Uploader!W197</f>
        <v>5472</v>
      </c>
      <c r="N72" s="1335">
        <f>+Uploader!X197</f>
        <v>6118.2000000000007</v>
      </c>
      <c r="O72" s="1335">
        <f>+Uploader!Y197</f>
        <v>5727.7999999999993</v>
      </c>
      <c r="P72" s="1335">
        <f>+Uploader!Z197</f>
        <v>10735.9</v>
      </c>
      <c r="Q72" s="1335">
        <f>+Uploader!AA197</f>
        <v>12219.7</v>
      </c>
      <c r="R72" s="1335">
        <f>+Uploader!AB197</f>
        <v>13359.569299999997</v>
      </c>
      <c r="S72" s="1335">
        <f>+Uploader!AC197</f>
        <v>14956.331029999998</v>
      </c>
      <c r="T72" s="1335">
        <f>+Uploader!AD197</f>
        <v>14193.774933000001</v>
      </c>
    </row>
    <row r="73" spans="1:20" s="1457" customFormat="1" ht="12.75">
      <c r="A73" s="1368" t="s">
        <v>678</v>
      </c>
      <c r="B73" s="1369" t="s">
        <v>217</v>
      </c>
      <c r="C73" s="1455">
        <f t="shared" ref="C73:H73" si="35">+SUM(C70:C72)</f>
        <v>-7659.05</v>
      </c>
      <c r="D73" s="1455">
        <f t="shared" si="35"/>
        <v>-9685.1730000000007</v>
      </c>
      <c r="E73" s="1455">
        <f t="shared" si="35"/>
        <v>-6274.6750000000002</v>
      </c>
      <c r="F73" s="1455">
        <f t="shared" si="35"/>
        <v>-13995.2</v>
      </c>
      <c r="G73" s="1455">
        <f t="shared" si="35"/>
        <v>-7275.7999999999993</v>
      </c>
      <c r="H73" s="1369">
        <f t="shared" si="35"/>
        <v>0</v>
      </c>
      <c r="I73" s="1370">
        <f t="shared" ref="I73:O73" si="36">+SUM(I70:I72)</f>
        <v>-2488.1</v>
      </c>
      <c r="J73" s="1369">
        <f t="shared" si="36"/>
        <v>-22233.300000000003</v>
      </c>
      <c r="K73" s="1369">
        <f t="shared" si="36"/>
        <v>-14624.5</v>
      </c>
      <c r="L73" s="1369">
        <f t="shared" si="36"/>
        <v>-7700.8000000000011</v>
      </c>
      <c r="M73" s="1369">
        <f t="shared" si="36"/>
        <v>-17418.2</v>
      </c>
      <c r="N73" s="1369">
        <f t="shared" si="36"/>
        <v>-17482.500000000011</v>
      </c>
      <c r="O73" s="1369">
        <f t="shared" si="36"/>
        <v>-3222.6999999999953</v>
      </c>
      <c r="P73" s="1369">
        <f>+SUM(P70:P72)</f>
        <v>5124.3999999999924</v>
      </c>
      <c r="Q73" s="1369">
        <f>+SUM(Q70:Q72)</f>
        <v>-30780.29999999997</v>
      </c>
      <c r="R73" s="1369">
        <f>+SUM(R70:R72)</f>
        <v>-10640.430700000003</v>
      </c>
      <c r="S73" s="1369">
        <f t="shared" ref="S73:T73" si="37">+SUM(S70:S72)</f>
        <v>-4043.6689699999988</v>
      </c>
      <c r="T73" s="1369">
        <f t="shared" si="37"/>
        <v>10193.774933000004</v>
      </c>
    </row>
    <row r="74" spans="1:20">
      <c r="A74" s="1336"/>
      <c r="B74" s="1335"/>
      <c r="C74" s="1454"/>
      <c r="D74" s="1454"/>
      <c r="E74" s="1454"/>
      <c r="F74" s="1454"/>
      <c r="G74" s="1454"/>
      <c r="H74" s="1335"/>
      <c r="I74" s="1358"/>
      <c r="J74" s="1335"/>
      <c r="K74" s="1335"/>
      <c r="L74" s="1335"/>
      <c r="M74" s="1335"/>
      <c r="N74" s="1335"/>
      <c r="O74" s="1335"/>
      <c r="P74" s="1335"/>
      <c r="Q74" s="1335"/>
      <c r="R74" s="1335"/>
      <c r="S74" s="1335"/>
      <c r="T74" s="1335"/>
    </row>
    <row r="75" spans="1:20" s="1457" customFormat="1" ht="12.75">
      <c r="A75" s="1368"/>
      <c r="B75" s="1369" t="s">
        <v>221</v>
      </c>
      <c r="C75" s="1455">
        <f t="shared" ref="C75:H75" si="38">+C68+C70</f>
        <v>5934.5030000000042</v>
      </c>
      <c r="D75" s="1455">
        <f t="shared" si="38"/>
        <v>8763.5609999999979</v>
      </c>
      <c r="E75" s="1455">
        <f t="shared" si="38"/>
        <v>5909.8939999999993</v>
      </c>
      <c r="F75" s="1455">
        <f t="shared" si="38"/>
        <v>11783.800000000003</v>
      </c>
      <c r="G75" s="1455">
        <f t="shared" si="38"/>
        <v>6530.5999999999985</v>
      </c>
      <c r="H75" s="1369">
        <f t="shared" si="38"/>
        <v>0</v>
      </c>
      <c r="I75" s="1370">
        <f>+I68+I70</f>
        <v>-36.799999999999727</v>
      </c>
      <c r="J75" s="1369">
        <f>+J68+J70</f>
        <v>26830.199999999993</v>
      </c>
      <c r="K75" s="1369">
        <f>+K68+K70</f>
        <v>22164.200000000008</v>
      </c>
      <c r="L75" s="1369">
        <f>+L68+L70</f>
        <v>31762.899999999994</v>
      </c>
      <c r="M75" s="1369">
        <f t="shared" ref="M75:R75" si="39">+M68+M70+M72</f>
        <v>12583.000000000029</v>
      </c>
      <c r="N75" s="1369">
        <f t="shared" si="39"/>
        <v>36517.099999999991</v>
      </c>
      <c r="O75" s="1369">
        <f t="shared" si="39"/>
        <v>27572.820000000022</v>
      </c>
      <c r="P75" s="1369">
        <f t="shared" si="39"/>
        <v>29132.479999999989</v>
      </c>
      <c r="Q75" s="1369">
        <f t="shared" si="39"/>
        <v>58992.660393221653</v>
      </c>
      <c r="R75" s="1369">
        <f t="shared" si="39"/>
        <v>38301.331112181135</v>
      </c>
      <c r="S75" s="1369">
        <f t="shared" ref="S75:T75" si="40">+S68+S70+S72</f>
        <v>45886.553421762008</v>
      </c>
      <c r="T75" s="1369">
        <f t="shared" si="40"/>
        <v>48885.019268324315</v>
      </c>
    </row>
    <row r="76" spans="1:20">
      <c r="A76" s="1336"/>
      <c r="B76" s="1335"/>
      <c r="C76" s="1454"/>
      <c r="D76" s="1454"/>
      <c r="E76" s="1454"/>
      <c r="F76" s="1454"/>
      <c r="G76" s="1454"/>
      <c r="H76" s="1335"/>
      <c r="I76" s="1358"/>
      <c r="J76" s="1335"/>
      <c r="K76" s="1335"/>
      <c r="L76" s="1335"/>
      <c r="M76" s="1335"/>
      <c r="N76" s="1335"/>
      <c r="O76" s="1335"/>
      <c r="P76" s="1335"/>
      <c r="Q76" s="1335"/>
      <c r="R76" s="1335"/>
      <c r="S76" s="1335"/>
      <c r="T76" s="1335"/>
    </row>
    <row r="77" spans="1:20">
      <c r="A77" s="1336" t="s">
        <v>678</v>
      </c>
      <c r="B77" s="1335" t="s">
        <v>121</v>
      </c>
      <c r="C77" s="1454">
        <f t="shared" ref="C77:H77" si="41">+C43</f>
        <v>0</v>
      </c>
      <c r="D77" s="1454">
        <f t="shared" si="41"/>
        <v>0</v>
      </c>
      <c r="E77" s="1454">
        <f t="shared" si="41"/>
        <v>0</v>
      </c>
      <c r="F77" s="1454">
        <f t="shared" si="41"/>
        <v>0</v>
      </c>
      <c r="G77" s="1454">
        <f t="shared" si="41"/>
        <v>0</v>
      </c>
      <c r="H77" s="1335">
        <f t="shared" si="41"/>
        <v>0</v>
      </c>
      <c r="I77" s="1358">
        <f>+I43</f>
        <v>0</v>
      </c>
      <c r="J77" s="1335">
        <f>+J43</f>
        <v>0</v>
      </c>
      <c r="K77" s="1335">
        <f>+K43</f>
        <v>0</v>
      </c>
      <c r="L77" s="1335">
        <f>+L43</f>
        <v>0</v>
      </c>
      <c r="M77" s="1335">
        <f>+Uploader!W203</f>
        <v>0</v>
      </c>
      <c r="N77" s="1335">
        <f>+Uploader!X203</f>
        <v>0</v>
      </c>
      <c r="O77" s="1335">
        <f>+Uploader!Y203</f>
        <v>2.9799999999340798E-2</v>
      </c>
      <c r="P77" s="1335">
        <f>+Uploader!Z203</f>
        <v>-2.9799999999340798E-2</v>
      </c>
      <c r="Q77" s="1335">
        <f>+Uploader!AA203</f>
        <v>0</v>
      </c>
      <c r="R77" s="1335">
        <f>+Uploader!AB203</f>
        <v>0</v>
      </c>
      <c r="S77" s="1335">
        <f>+Uploader!AC203</f>
        <v>0</v>
      </c>
      <c r="T77" s="1335">
        <f>+Uploader!AD203</f>
        <v>0</v>
      </c>
    </row>
    <row r="78" spans="1:20">
      <c r="A78" s="1336" t="s">
        <v>678</v>
      </c>
      <c r="B78" s="1335" t="s">
        <v>213</v>
      </c>
      <c r="C78" s="1454">
        <f t="shared" ref="C78:H78" si="42">+C45+C46</f>
        <v>2139.9810000000002</v>
      </c>
      <c r="D78" s="1454">
        <f t="shared" si="42"/>
        <v>1654.971</v>
      </c>
      <c r="E78" s="1454">
        <f t="shared" si="42"/>
        <v>2212.6899999999996</v>
      </c>
      <c r="F78" s="1454">
        <f t="shared" si="42"/>
        <v>2401.3000000000002</v>
      </c>
      <c r="G78" s="1454">
        <f t="shared" si="42"/>
        <v>1358.4</v>
      </c>
      <c r="H78" s="1335">
        <f t="shared" si="42"/>
        <v>0</v>
      </c>
      <c r="I78" s="1358">
        <f>+I45+I46</f>
        <v>2489.7999999999997</v>
      </c>
      <c r="J78" s="1335">
        <f>+J45+J46</f>
        <v>-2355.2999999999997</v>
      </c>
      <c r="K78" s="1335">
        <f>+K45+K46</f>
        <v>-2232.7999999999993</v>
      </c>
      <c r="L78" s="1335">
        <f>+L45+L46</f>
        <v>-1578.3999999999999</v>
      </c>
      <c r="M78" s="1335">
        <f>+Uploader!W204</f>
        <v>-262.09999999999991</v>
      </c>
      <c r="N78" s="1335">
        <f>+Uploader!X204</f>
        <v>-135.30000000000007</v>
      </c>
      <c r="O78" s="1335">
        <f>+Uploader!Y204</f>
        <v>540.88</v>
      </c>
      <c r="P78" s="1335">
        <f>+Uploader!Z204</f>
        <v>506.52</v>
      </c>
      <c r="Q78" s="1335">
        <f>+Uploader!AA204</f>
        <v>0</v>
      </c>
      <c r="R78" s="1335">
        <f>+Uploader!AB204</f>
        <v>0</v>
      </c>
      <c r="S78" s="1335">
        <f>+Uploader!AC204</f>
        <v>0</v>
      </c>
      <c r="T78" s="1335">
        <f>+Uploader!AD204</f>
        <v>0</v>
      </c>
    </row>
    <row r="79" spans="1:20">
      <c r="A79" s="1336" t="s">
        <v>678</v>
      </c>
      <c r="B79" s="1335" t="s">
        <v>214</v>
      </c>
      <c r="C79" s="1454">
        <f t="shared" ref="C79:H79" si="43">+C48</f>
        <v>-1411.3309999999999</v>
      </c>
      <c r="D79" s="1454">
        <f t="shared" si="43"/>
        <v>-1417.89</v>
      </c>
      <c r="E79" s="1454">
        <f t="shared" si="43"/>
        <v>-2518.0369999999998</v>
      </c>
      <c r="F79" s="1454">
        <f t="shared" si="43"/>
        <v>-2516.8000000000002</v>
      </c>
      <c r="G79" s="1454">
        <f t="shared" si="43"/>
        <v>-4041.2</v>
      </c>
      <c r="H79" s="1335">
        <f t="shared" si="43"/>
        <v>0</v>
      </c>
      <c r="I79" s="1358">
        <f>+I48</f>
        <v>-3376.8</v>
      </c>
      <c r="J79" s="1335">
        <f>+J48</f>
        <v>-3715.5</v>
      </c>
      <c r="K79" s="1335">
        <f>+K48</f>
        <v>-6737</v>
      </c>
      <c r="L79" s="1335">
        <f>+L48</f>
        <v>-13420.300000000001</v>
      </c>
      <c r="M79" s="1335">
        <f>+Uploader!W206</f>
        <v>-15235.173603000001</v>
      </c>
      <c r="N79" s="1335">
        <f>+Uploader!X206</f>
        <v>-16927.970670000002</v>
      </c>
      <c r="O79" s="1335">
        <f>+Uploader!Y206</f>
        <v>-16927.970670000002</v>
      </c>
      <c r="P79" s="1335">
        <f>+Uploader!Z206</f>
        <v>-18620.767737000002</v>
      </c>
      <c r="Q79" s="1335">
        <f>+Uploader!AA206</f>
        <v>-22006.361871000005</v>
      </c>
      <c r="R79" s="1335">
        <f>+Uploader!AB206</f>
        <v>-25391.956005000004</v>
      </c>
      <c r="S79" s="1335">
        <f>+Uploader!AC206</f>
        <v>-25391.956005000004</v>
      </c>
      <c r="T79" s="1335">
        <f>+Uploader!AD206</f>
        <v>-25391.956005000004</v>
      </c>
    </row>
    <row r="80" spans="1:20">
      <c r="A80" s="1336" t="s">
        <v>678</v>
      </c>
      <c r="B80" s="1335" t="s">
        <v>215</v>
      </c>
      <c r="C80" s="1454">
        <f t="shared" ref="C80:H80" si="44">+C49+C44</f>
        <v>0</v>
      </c>
      <c r="D80" s="1454">
        <f t="shared" si="44"/>
        <v>0</v>
      </c>
      <c r="E80" s="1454">
        <f t="shared" si="44"/>
        <v>0</v>
      </c>
      <c r="F80" s="1454">
        <f t="shared" si="44"/>
        <v>0.2</v>
      </c>
      <c r="G80" s="1454">
        <f t="shared" si="44"/>
        <v>224.4</v>
      </c>
      <c r="H80" s="1335">
        <f t="shared" si="44"/>
        <v>0</v>
      </c>
      <c r="I80" s="1358">
        <f>+I49+I44</f>
        <v>263.19999999999993</v>
      </c>
      <c r="J80" s="1335">
        <f>+J49+J44</f>
        <v>41.1</v>
      </c>
      <c r="K80" s="1335">
        <f>+K49+K44</f>
        <v>366.8</v>
      </c>
      <c r="L80" s="1335">
        <f>+L49+L44</f>
        <v>-422.70000000000005</v>
      </c>
      <c r="M80" s="1335">
        <f>+Uploader!W205</f>
        <v>-5.4</v>
      </c>
      <c r="N80" s="1335">
        <f>+Uploader!X205</f>
        <v>-5.4</v>
      </c>
      <c r="O80" s="1335">
        <f>+Uploader!Y205</f>
        <v>-64.900000000000006</v>
      </c>
      <c r="P80" s="1335">
        <f>+Uploader!Z205</f>
        <v>-10.5</v>
      </c>
      <c r="Q80" s="1335">
        <f>+Uploader!AA205</f>
        <v>-14</v>
      </c>
      <c r="R80" s="1335">
        <f>+Uploader!AB205</f>
        <v>-10</v>
      </c>
      <c r="S80" s="1335">
        <f>+Uploader!AC205</f>
        <v>-10</v>
      </c>
      <c r="T80" s="1335">
        <f>+Uploader!AD205</f>
        <v>-10</v>
      </c>
    </row>
    <row r="81" spans="1:20" s="1457" customFormat="1" ht="12.75">
      <c r="A81" s="1368" t="s">
        <v>678</v>
      </c>
      <c r="B81" s="1369" t="s">
        <v>218</v>
      </c>
      <c r="C81" s="1455">
        <f t="shared" ref="C81:H81" si="45">+SUM(C77:C80)</f>
        <v>728.65000000000032</v>
      </c>
      <c r="D81" s="1455">
        <f t="shared" si="45"/>
        <v>237.0809999999999</v>
      </c>
      <c r="E81" s="1455">
        <f t="shared" si="45"/>
        <v>-305.34700000000021</v>
      </c>
      <c r="F81" s="1455">
        <f t="shared" si="45"/>
        <v>-115.3</v>
      </c>
      <c r="G81" s="1455">
        <f t="shared" si="45"/>
        <v>-2458.3999999999996</v>
      </c>
      <c r="H81" s="1369">
        <f t="shared" si="45"/>
        <v>0</v>
      </c>
      <c r="I81" s="1370">
        <f t="shared" ref="I81:O81" si="46">+SUM(I77:I80)</f>
        <v>-623.80000000000052</v>
      </c>
      <c r="J81" s="1369">
        <f t="shared" si="46"/>
        <v>-6029.6999999999989</v>
      </c>
      <c r="K81" s="1369">
        <f t="shared" si="46"/>
        <v>-8603</v>
      </c>
      <c r="L81" s="1369">
        <f t="shared" si="46"/>
        <v>-15421.400000000001</v>
      </c>
      <c r="M81" s="1369">
        <f t="shared" si="46"/>
        <v>-15502.673603000001</v>
      </c>
      <c r="N81" s="1369">
        <f t="shared" si="46"/>
        <v>-17068.670670000003</v>
      </c>
      <c r="O81" s="1369">
        <f t="shared" si="46"/>
        <v>-16451.960870000006</v>
      </c>
      <c r="P81" s="1369">
        <f>+SUM(P77:P80)</f>
        <v>-18124.777537000002</v>
      </c>
      <c r="Q81" s="1369">
        <f>+SUM(Q77:Q80)</f>
        <v>-22020.361871000005</v>
      </c>
      <c r="R81" s="1369">
        <f>+SUM(R77:R80)</f>
        <v>-25401.956005000004</v>
      </c>
      <c r="S81" s="1369">
        <f t="shared" ref="S81:T81" si="47">+SUM(S77:S80)</f>
        <v>-25401.956005000004</v>
      </c>
      <c r="T81" s="1369">
        <f t="shared" si="47"/>
        <v>-25401.956005000004</v>
      </c>
    </row>
    <row r="82" spans="1:20">
      <c r="A82" s="1336"/>
      <c r="B82" s="1335"/>
      <c r="C82" s="1454"/>
      <c r="D82" s="1454"/>
      <c r="E82" s="1454"/>
      <c r="F82" s="1454"/>
      <c r="G82" s="1454"/>
      <c r="H82" s="1335"/>
      <c r="I82" s="1358"/>
      <c r="J82" s="1335"/>
      <c r="K82" s="1335"/>
      <c r="L82" s="1335"/>
      <c r="M82" s="1335"/>
      <c r="N82" s="1335"/>
      <c r="O82" s="1335"/>
      <c r="P82" s="1335"/>
      <c r="Q82" s="1335"/>
      <c r="R82" s="1335"/>
      <c r="S82" s="1335"/>
      <c r="T82" s="1335"/>
    </row>
    <row r="83" spans="1:20" s="1424" customFormat="1" ht="12.75">
      <c r="A83" s="1338"/>
      <c r="B83" s="1339" t="s">
        <v>176</v>
      </c>
      <c r="C83" s="1543">
        <f t="shared" ref="C83:H83" si="48">+C53</f>
        <v>48.242000000004509</v>
      </c>
      <c r="D83" s="1543">
        <f t="shared" si="48"/>
        <v>493.44999999999663</v>
      </c>
      <c r="E83" s="1543">
        <f t="shared" si="48"/>
        <v>293.1009999999992</v>
      </c>
      <c r="F83" s="1543">
        <f t="shared" si="48"/>
        <v>-265.9999999999971</v>
      </c>
      <c r="G83" s="1543">
        <f t="shared" si="48"/>
        <v>13.899999999999181</v>
      </c>
      <c r="H83" s="1339">
        <f t="shared" si="48"/>
        <v>0</v>
      </c>
      <c r="I83" s="1372">
        <f t="shared" ref="I83:O83" si="49">+I53</f>
        <v>714.19999999999993</v>
      </c>
      <c r="J83" s="1339">
        <f t="shared" si="49"/>
        <v>-354.60000000000582</v>
      </c>
      <c r="K83" s="1339">
        <f t="shared" si="49"/>
        <v>550.90000000000873</v>
      </c>
      <c r="L83" s="1339">
        <f t="shared" si="49"/>
        <v>9500.7999999999902</v>
      </c>
      <c r="M83" s="1339">
        <f t="shared" si="49"/>
        <v>-10950.500000000005</v>
      </c>
      <c r="N83" s="1339">
        <f t="shared" si="49"/>
        <v>-639.59999999999673</v>
      </c>
      <c r="O83" s="1339">
        <f t="shared" si="49"/>
        <v>887.50000000000364</v>
      </c>
      <c r="P83" s="1339">
        <f>+P53</f>
        <v>2424.8000000000102</v>
      </c>
      <c r="Q83" s="1339">
        <f>+Q53</f>
        <v>-3027.7014777783334</v>
      </c>
      <c r="R83" s="1339">
        <f>+R53</f>
        <v>-7100.6248928188652</v>
      </c>
      <c r="S83" s="1339">
        <f t="shared" ref="S83:T83" si="50">+S53</f>
        <v>5484.5974167620334</v>
      </c>
      <c r="T83" s="1339">
        <f t="shared" si="50"/>
        <v>23483.063263324275</v>
      </c>
    </row>
    <row r="84" spans="1:20">
      <c r="A84" s="1336"/>
      <c r="B84" s="1335" t="s">
        <v>174</v>
      </c>
      <c r="C84" s="1454">
        <f t="shared" ref="C84:H85" si="51">+C55</f>
        <v>252.00899999999999</v>
      </c>
      <c r="D84" s="1454">
        <f t="shared" si="51"/>
        <v>300.255</v>
      </c>
      <c r="E84" s="1454">
        <f t="shared" si="51"/>
        <v>793.70499999999663</v>
      </c>
      <c r="F84" s="1454">
        <f t="shared" si="51"/>
        <v>1086.8059999999959</v>
      </c>
      <c r="G84" s="1454">
        <f t="shared" si="51"/>
        <v>820.8059999999989</v>
      </c>
      <c r="H84" s="1335">
        <f t="shared" si="51"/>
        <v>0</v>
      </c>
      <c r="I84" s="1358">
        <f t="shared" ref="I84:O85" si="52">+I55</f>
        <v>712.4</v>
      </c>
      <c r="J84" s="1335">
        <f t="shared" si="52"/>
        <v>1368.3</v>
      </c>
      <c r="K84" s="1335">
        <f t="shared" si="52"/>
        <v>1013.6999999999941</v>
      </c>
      <c r="L84" s="1335">
        <f t="shared" si="52"/>
        <v>2287.4</v>
      </c>
      <c r="M84" s="1335">
        <f t="shared" si="52"/>
        <v>16538.19999999999</v>
      </c>
      <c r="N84" s="1335">
        <f t="shared" si="52"/>
        <v>5588.4999999999836</v>
      </c>
      <c r="O84" s="1335">
        <f t="shared" si="52"/>
        <v>4862.7999999999865</v>
      </c>
      <c r="P84" s="1335">
        <f t="shared" ref="P84:R85" si="53">+P55</f>
        <v>5750.2999999999902</v>
      </c>
      <c r="Q84" s="1335">
        <f t="shared" si="53"/>
        <v>8595.2000000000007</v>
      </c>
      <c r="R84" s="1335">
        <f t="shared" si="53"/>
        <v>5567.4985222216674</v>
      </c>
      <c r="S84" s="1335">
        <f t="shared" ref="S84:T84" si="54">+S55</f>
        <v>-1533.1263705971978</v>
      </c>
      <c r="T84" s="1335">
        <f t="shared" si="54"/>
        <v>3951.4710461648356</v>
      </c>
    </row>
    <row r="85" spans="1:20">
      <c r="A85" s="1336"/>
      <c r="B85" s="1335" t="s">
        <v>175</v>
      </c>
      <c r="C85" s="1454">
        <f t="shared" si="51"/>
        <v>300.25100000000452</v>
      </c>
      <c r="D85" s="1454">
        <f t="shared" si="51"/>
        <v>793.70499999999663</v>
      </c>
      <c r="E85" s="1454">
        <f t="shared" si="51"/>
        <v>1086.8059999999959</v>
      </c>
      <c r="F85" s="1454">
        <f t="shared" si="51"/>
        <v>820.8059999999989</v>
      </c>
      <c r="G85" s="1454">
        <f t="shared" si="51"/>
        <v>834.70599999999808</v>
      </c>
      <c r="H85" s="1335">
        <f t="shared" si="51"/>
        <v>0</v>
      </c>
      <c r="I85" s="1358">
        <f t="shared" si="52"/>
        <v>1426.6</v>
      </c>
      <c r="J85" s="1335">
        <f t="shared" si="52"/>
        <v>1013.6999999999941</v>
      </c>
      <c r="K85" s="1335">
        <f t="shared" si="52"/>
        <v>5564.6000000000031</v>
      </c>
      <c r="L85" s="1335">
        <f t="shared" si="52"/>
        <v>16538.19999999999</v>
      </c>
      <c r="M85" s="1335">
        <f t="shared" si="52"/>
        <v>5588.4999999999836</v>
      </c>
      <c r="N85" s="1335">
        <f t="shared" si="52"/>
        <v>4862.7999999999865</v>
      </c>
      <c r="O85" s="1335">
        <f t="shared" si="52"/>
        <v>5750.2999999999902</v>
      </c>
      <c r="P85" s="1335">
        <f t="shared" si="53"/>
        <v>8595.2000000000007</v>
      </c>
      <c r="Q85" s="1335">
        <f t="shared" si="53"/>
        <v>5567.4985222216674</v>
      </c>
      <c r="R85" s="1335">
        <f t="shared" si="53"/>
        <v>-1533.1263705971978</v>
      </c>
      <c r="S85" s="1335">
        <f t="shared" ref="S85:T85" si="55">+S56</f>
        <v>3951.4710461648356</v>
      </c>
      <c r="T85" s="1335">
        <f t="shared" si="55"/>
        <v>27434.53430948911</v>
      </c>
    </row>
    <row r="86" spans="1:20">
      <c r="A86" s="1336"/>
      <c r="B86" s="1335"/>
      <c r="C86" s="1454"/>
      <c r="D86" s="1454"/>
      <c r="E86" s="1454"/>
      <c r="F86" s="1454"/>
      <c r="G86" s="1454"/>
      <c r="H86" s="1335"/>
      <c r="I86" s="1358"/>
      <c r="J86" s="1335"/>
      <c r="K86" s="1335"/>
      <c r="L86" s="1335"/>
      <c r="M86" s="1335"/>
      <c r="N86" s="1335"/>
      <c r="O86" s="1335"/>
      <c r="P86" s="1335"/>
      <c r="Q86" s="1335"/>
      <c r="R86" s="1335"/>
      <c r="S86" s="1335"/>
      <c r="T86" s="1335"/>
    </row>
    <row r="87" spans="1:20">
      <c r="A87" s="1336"/>
      <c r="B87" s="1335" t="s">
        <v>107</v>
      </c>
      <c r="C87" s="1454">
        <f>+'Bal Sheet'!C13-C85</f>
        <v>9.9999999548572305E-4</v>
      </c>
      <c r="D87" s="1454">
        <f>+'Bal Sheet'!D13-D85</f>
        <v>-9.9999999667943484E-4</v>
      </c>
      <c r="E87" s="1454">
        <f>+'Bal Sheet'!E13-E85</f>
        <v>4.3200998334214091E-12</v>
      </c>
      <c r="F87" s="1454">
        <f>+'Bal Sheet'!F13-F85</f>
        <v>-0.90599999999892589</v>
      </c>
      <c r="G87" s="1454">
        <f>+'Bal Sheet'!G13-G85</f>
        <v>-5.9999999980391294E-3</v>
      </c>
      <c r="H87" s="1335">
        <f>+'Bal Sheet'!H13-H85</f>
        <v>712.4000000000002</v>
      </c>
      <c r="I87" s="1358">
        <f>+'Bal Sheet'!I13-I85</f>
        <v>-0.1999999999998181</v>
      </c>
      <c r="J87" s="1335">
        <f>+'Bal Sheet'!J13-J85</f>
        <v>0.40000000000588898</v>
      </c>
      <c r="K87" s="1335">
        <f>+'Bal Sheet'!K13-K85</f>
        <v>0.29999999999654392</v>
      </c>
      <c r="L87" s="1335">
        <f>+'Bal Sheet'!L13-L85</f>
        <v>0.10000000000945874</v>
      </c>
      <c r="M87" s="1335">
        <f>+'Bal Sheet'!M13-M85</f>
        <v>1.6370904631912708E-11</v>
      </c>
      <c r="N87" s="1335">
        <f>+'Bal Sheet'!N13-N85</f>
        <v>1.3642420526593924E-11</v>
      </c>
      <c r="O87" s="1335">
        <f>+'Bal Sheet'!O13-O85</f>
        <v>0.40000000000964064</v>
      </c>
      <c r="P87" s="1335">
        <f>+'Bal Sheet'!P13-P85</f>
        <v>0</v>
      </c>
      <c r="Q87" s="1335">
        <f>+'Bal Sheet'!Q13-Q85</f>
        <v>0</v>
      </c>
      <c r="R87" s="1335">
        <f>+'Bal Sheet'!R13-R85</f>
        <v>6895.1263705971978</v>
      </c>
      <c r="S87" s="1335">
        <f>+'Bal Sheet'!S13-S85</f>
        <v>6658.5289538351644</v>
      </c>
      <c r="T87" s="1335">
        <f>+'Bal Sheet'!T13-T85</f>
        <v>6399.4656905108895</v>
      </c>
    </row>
    <row r="88" spans="1:20">
      <c r="A88" s="1336"/>
      <c r="B88" s="1335"/>
      <c r="C88" s="1335"/>
      <c r="D88" s="1335"/>
      <c r="E88" s="1335"/>
      <c r="F88" s="1335"/>
      <c r="G88" s="1335"/>
      <c r="H88" s="1335"/>
      <c r="I88" s="1335"/>
      <c r="J88" s="1335"/>
      <c r="K88" s="1335"/>
      <c r="L88" s="1335"/>
      <c r="M88" s="1335"/>
      <c r="N88" s="1335"/>
      <c r="O88" s="1335"/>
      <c r="P88" s="1335"/>
      <c r="Q88" s="1335"/>
      <c r="R88" s="1335"/>
      <c r="S88" s="1335"/>
      <c r="T88" s="1335"/>
    </row>
    <row r="89" spans="1:20">
      <c r="A89" s="1336"/>
      <c r="B89" s="1335"/>
      <c r="C89" s="1335"/>
      <c r="D89" s="1335">
        <f>-Uploader!N194+Cashflow!D29</f>
        <v>0</v>
      </c>
      <c r="E89" s="1335">
        <f>-Uploader!O194+Cashflow!E29</f>
        <v>0</v>
      </c>
      <c r="F89" s="1335">
        <f>-Uploader!P194+Cashflow!F29</f>
        <v>0</v>
      </c>
      <c r="G89" s="1335">
        <f>-Uploader!Q194+Cashflow!G29</f>
        <v>0</v>
      </c>
      <c r="H89" s="1335">
        <f>-Uploader!R194+Cashflow!H29</f>
        <v>-4872.6000000000013</v>
      </c>
      <c r="I89" s="1335">
        <f>-Uploader!S194+Cashflow!I29</f>
        <v>0</v>
      </c>
      <c r="J89" s="1335">
        <f>-Uploader!T194+Cashflow!J29</f>
        <v>0</v>
      </c>
      <c r="K89" s="1335">
        <f>-Uploader!U194+Cashflow!K29</f>
        <v>0</v>
      </c>
      <c r="L89" s="1335">
        <f>-Uploader!V194+Cashflow!L29</f>
        <v>0</v>
      </c>
      <c r="M89" s="1335">
        <f>-Uploader!W194+Cashflow!M29</f>
        <v>0</v>
      </c>
      <c r="N89" s="1335">
        <f>-Uploader!X194+Cashflow!N29</f>
        <v>86.100000000005821</v>
      </c>
      <c r="O89" s="1335">
        <f>-Uploader!Y194+Cashflow!O29</f>
        <v>0</v>
      </c>
      <c r="P89" s="1335">
        <f>-Uploader!Z194+Cashflow!P29</f>
        <v>-142.24463700000342</v>
      </c>
      <c r="Q89" s="1335">
        <f>-Uploader!AA194+Cashflow!Q29</f>
        <v>498.6770999999826</v>
      </c>
      <c r="R89" s="1335">
        <f>-Uploader!AB194+Cashflow!R29</f>
        <v>-2.9103830456733704E-11</v>
      </c>
      <c r="S89" s="1335">
        <f>-Uploader!AC194+Cashflow!S29</f>
        <v>3582.3558639999901</v>
      </c>
      <c r="T89" s="1335">
        <f>-Uploader!AD194+Cashflow!T29</f>
        <v>3798.7937669999446</v>
      </c>
    </row>
    <row r="90" spans="1:20">
      <c r="A90" s="1336"/>
      <c r="B90" s="1335"/>
      <c r="C90" s="1335"/>
      <c r="D90" s="1335">
        <f>-Uploader!N202+Cashflow!D41</f>
        <v>0</v>
      </c>
      <c r="E90" s="1335">
        <f>-Uploader!O202+Cashflow!E41</f>
        <v>0</v>
      </c>
      <c r="F90" s="1335">
        <f>-Uploader!P202+Cashflow!F41</f>
        <v>0</v>
      </c>
      <c r="G90" s="1335">
        <f>-Uploader!Q202+Cashflow!G41</f>
        <v>0</v>
      </c>
      <c r="H90" s="1335">
        <f>-Uploader!R202+Cashflow!H41</f>
        <v>-48316.7</v>
      </c>
      <c r="I90" s="1335">
        <f>-Uploader!S202+Cashflow!I41</f>
        <v>0</v>
      </c>
      <c r="J90" s="1335">
        <f>-Uploader!T202+Cashflow!J41</f>
        <v>0</v>
      </c>
      <c r="K90" s="1335">
        <f>-Uploader!U202+Cashflow!K41</f>
        <v>0</v>
      </c>
      <c r="L90" s="1335">
        <f>-Uploader!V202+Cashflow!L41</f>
        <v>0.49999999998544808</v>
      </c>
      <c r="M90" s="1335">
        <f>-Uploader!W202+Cashflow!M41</f>
        <v>0</v>
      </c>
      <c r="N90" s="1335">
        <f>-Uploader!X202+Cashflow!N41</f>
        <v>0</v>
      </c>
      <c r="O90" s="1335">
        <f>-Uploader!Y202+Cashflow!O41</f>
        <v>0</v>
      </c>
      <c r="P90" s="1335">
        <f>-Uploader!Z202+Cashflow!P41</f>
        <v>-966.78799999999217</v>
      </c>
      <c r="Q90" s="1335">
        <f>-Uploader!AA202+Cashflow!Q41</f>
        <v>-498.67710000000079</v>
      </c>
      <c r="R90" s="1335">
        <f>-Uploader!AB202+Cashflow!R41</f>
        <v>3.4560798667371273E-11</v>
      </c>
      <c r="S90" s="1335">
        <f>-Uploader!AC202+Cashflow!S41</f>
        <v>-3582.3558639999683</v>
      </c>
      <c r="T90" s="1335">
        <f>-Uploader!AD202+Cashflow!T41</f>
        <v>-3798.7937669999701</v>
      </c>
    </row>
    <row r="91" spans="1:20">
      <c r="A91" s="1336"/>
      <c r="B91" s="1335"/>
      <c r="C91" s="1335"/>
      <c r="D91" s="1335">
        <f>-Uploader!N208+Cashflow!D50</f>
        <v>-648.20718000000033</v>
      </c>
      <c r="E91" s="1335">
        <f>-Uploader!O208+Cashflow!E50</f>
        <v>-709.5494319999998</v>
      </c>
      <c r="F91" s="1335">
        <f>-Uploader!P208+Cashflow!F50</f>
        <v>-7.2475359047530219E-13</v>
      </c>
      <c r="G91" s="1335">
        <f>-Uploader!Q208+Cashflow!G50</f>
        <v>0</v>
      </c>
      <c r="H91" s="1335">
        <f>-Uploader!R208+Cashflow!H50</f>
        <v>4345.7648999999992</v>
      </c>
      <c r="I91" s="1335">
        <f>-Uploader!S208+Cashflow!I50</f>
        <v>3.7220000000161235E-2</v>
      </c>
      <c r="J91" s="1335">
        <f>-Uploader!T208+Cashflow!J50</f>
        <v>0</v>
      </c>
      <c r="K91" s="1335">
        <f>-Uploader!U208+Cashflow!K50</f>
        <v>0</v>
      </c>
      <c r="L91" s="1335">
        <f>-Uploader!V208+Cashflow!L50</f>
        <v>0</v>
      </c>
      <c r="M91" s="1335">
        <f>-Uploader!W208+Cashflow!M50</f>
        <v>0</v>
      </c>
      <c r="N91" s="1335">
        <f>-Uploader!X208+Cashflow!N50</f>
        <v>0</v>
      </c>
      <c r="O91" s="1335">
        <f>-Uploader!Y208+Cashflow!O50</f>
        <v>0</v>
      </c>
      <c r="P91" s="1335">
        <f>-Uploader!Z208+Cashflow!P50</f>
        <v>689.3326370000068</v>
      </c>
      <c r="Q91" s="1335">
        <f>-Uploader!AA208+Cashflow!Q50</f>
        <v>0</v>
      </c>
      <c r="R91" s="1335">
        <f>-Uploader!AB208+Cashflow!R50</f>
        <v>0</v>
      </c>
      <c r="S91" s="1335">
        <f>-Uploader!AC208+Cashflow!S50</f>
        <v>0</v>
      </c>
      <c r="T91" s="1335">
        <f>-Uploader!AD208+Cashflow!T50</f>
        <v>0</v>
      </c>
    </row>
    <row r="92" spans="1:20">
      <c r="A92" s="1336"/>
      <c r="B92" s="1335"/>
      <c r="C92" s="1335"/>
      <c r="D92" s="1335"/>
      <c r="E92" s="1335"/>
      <c r="F92" s="1335"/>
      <c r="G92" s="1335"/>
      <c r="H92" s="1335"/>
      <c r="I92" s="1335"/>
      <c r="J92" s="1335"/>
      <c r="K92" s="1335"/>
      <c r="L92" s="1335"/>
      <c r="M92" s="1335"/>
      <c r="N92" s="1335"/>
      <c r="O92" s="1335"/>
      <c r="P92" s="1335"/>
      <c r="Q92" s="1335"/>
      <c r="R92" s="1335"/>
    </row>
    <row r="93" spans="1:20">
      <c r="A93" s="1336"/>
      <c r="B93" s="1335"/>
      <c r="C93" s="1335"/>
      <c r="D93" s="1335"/>
      <c r="E93" s="1335"/>
      <c r="F93" s="1335"/>
      <c r="G93" s="1335"/>
      <c r="H93" s="1335"/>
      <c r="I93" s="1335"/>
      <c r="J93" s="1335"/>
      <c r="K93" s="1335"/>
      <c r="L93" s="1335"/>
      <c r="M93" s="1335"/>
      <c r="N93" s="1335"/>
      <c r="O93" s="1335"/>
      <c r="P93" s="1335"/>
      <c r="Q93" s="1335"/>
      <c r="R93" s="1335"/>
    </row>
    <row r="94" spans="1:20">
      <c r="A94" s="1336"/>
      <c r="B94" s="1335"/>
      <c r="C94" s="1335"/>
      <c r="D94" s="1335"/>
      <c r="E94" s="1335"/>
      <c r="F94" s="1335"/>
      <c r="G94" s="1335"/>
      <c r="H94" s="1335"/>
      <c r="I94" s="1335"/>
      <c r="J94" s="1335"/>
      <c r="K94" s="1335"/>
      <c r="L94" s="1335"/>
      <c r="M94" s="1335"/>
      <c r="N94" s="1335"/>
      <c r="O94" s="1335"/>
      <c r="P94" s="1335"/>
      <c r="Q94" s="1335"/>
      <c r="R94" s="1335"/>
    </row>
    <row r="95" spans="1:20">
      <c r="A95" s="1336"/>
      <c r="B95" s="1335"/>
      <c r="C95" s="1335"/>
      <c r="D95" s="1335"/>
      <c r="E95" s="1335"/>
      <c r="F95" s="1335"/>
      <c r="G95" s="1335"/>
      <c r="H95" s="1335"/>
      <c r="I95" s="1335"/>
      <c r="J95" s="1335"/>
      <c r="K95" s="1335"/>
      <c r="L95" s="1335"/>
      <c r="M95" s="1335"/>
      <c r="N95" s="1335"/>
      <c r="O95" s="1335"/>
      <c r="P95" s="1335"/>
      <c r="Q95" s="1335"/>
      <c r="R95" s="1335"/>
    </row>
    <row r="96" spans="1:20">
      <c r="A96" s="1336"/>
      <c r="B96" s="1335"/>
      <c r="C96" s="1335"/>
      <c r="D96" s="1335"/>
      <c r="E96" s="1335"/>
      <c r="F96" s="1335"/>
      <c r="G96" s="1335"/>
      <c r="H96" s="1335"/>
      <c r="I96" s="1335"/>
      <c r="J96" s="1335"/>
      <c r="K96" s="1335"/>
      <c r="L96" s="1335"/>
      <c r="M96" s="1335"/>
      <c r="N96" s="1335"/>
      <c r="O96" s="1335"/>
      <c r="P96" s="1335"/>
      <c r="Q96" s="1335"/>
      <c r="R96" s="1335"/>
    </row>
    <row r="97" spans="1:18">
      <c r="A97" s="1336"/>
      <c r="B97" s="1335"/>
      <c r="C97" s="1335"/>
      <c r="D97" s="1335"/>
      <c r="E97" s="1335"/>
      <c r="F97" s="1335"/>
      <c r="G97" s="1335"/>
      <c r="H97" s="1335"/>
      <c r="I97" s="1335"/>
      <c r="J97" s="1335"/>
      <c r="K97" s="1335"/>
      <c r="L97" s="1335"/>
      <c r="M97" s="1335"/>
      <c r="N97" s="1335"/>
      <c r="O97" s="1335"/>
      <c r="P97" s="1335"/>
      <c r="Q97" s="1335"/>
      <c r="R97" s="1335"/>
    </row>
    <row r="98" spans="1:18">
      <c r="A98" s="1336"/>
      <c r="B98" s="1335"/>
      <c r="C98" s="1335"/>
      <c r="D98" s="1335"/>
      <c r="E98" s="1335"/>
      <c r="F98" s="1335"/>
      <c r="G98" s="1335"/>
      <c r="H98" s="1335"/>
      <c r="I98" s="1335"/>
      <c r="J98" s="1335"/>
      <c r="K98" s="1335"/>
      <c r="L98" s="1335"/>
      <c r="M98" s="1335"/>
      <c r="N98" s="1335"/>
      <c r="O98" s="1335"/>
      <c r="P98" s="1335"/>
      <c r="Q98" s="1335"/>
      <c r="R98" s="1335"/>
    </row>
    <row r="99" spans="1:18">
      <c r="A99" s="1336"/>
      <c r="B99" s="1335"/>
      <c r="C99" s="1335"/>
      <c r="D99" s="1335"/>
      <c r="E99" s="1335"/>
      <c r="F99" s="1335"/>
      <c r="G99" s="1335"/>
      <c r="H99" s="1335"/>
      <c r="I99" s="1335"/>
      <c r="J99" s="1335"/>
      <c r="K99" s="1335"/>
      <c r="L99" s="1335"/>
      <c r="M99" s="1335"/>
      <c r="N99" s="1335"/>
      <c r="O99" s="1335"/>
      <c r="P99" s="1335"/>
      <c r="Q99" s="1335"/>
      <c r="R99" s="1335"/>
    </row>
    <row r="100" spans="1:18">
      <c r="A100" s="1336"/>
      <c r="B100" s="1335"/>
      <c r="C100" s="1335"/>
      <c r="D100" s="1335"/>
      <c r="E100" s="1335"/>
      <c r="F100" s="1335"/>
      <c r="G100" s="1335"/>
      <c r="H100" s="1335"/>
      <c r="I100" s="1335"/>
      <c r="J100" s="1335"/>
      <c r="K100" s="1335"/>
      <c r="L100" s="1335"/>
      <c r="M100" s="1335"/>
      <c r="N100" s="1335"/>
      <c r="O100" s="1335"/>
      <c r="P100" s="1335"/>
      <c r="Q100" s="1335"/>
      <c r="R100" s="1335"/>
    </row>
    <row r="101" spans="1:18">
      <c r="A101" s="1336"/>
      <c r="B101" s="1335"/>
      <c r="C101" s="1335"/>
      <c r="D101" s="1335"/>
      <c r="E101" s="1335"/>
      <c r="F101" s="1335"/>
      <c r="G101" s="1335"/>
      <c r="H101" s="1335"/>
      <c r="I101" s="1335"/>
      <c r="J101" s="1335"/>
      <c r="K101" s="1335"/>
      <c r="L101" s="1335"/>
      <c r="M101" s="1335"/>
      <c r="N101" s="1335"/>
      <c r="O101" s="1335"/>
      <c r="P101" s="1335"/>
      <c r="Q101" s="1335"/>
      <c r="R101" s="1335"/>
    </row>
  </sheetData>
  <sheetProtection password="CF34" sheet="1" objects="1" scenarios="1" sort="0" autoFilter="0" pivotTables="0"/>
  <mergeCells count="3">
    <mergeCell ref="A4:K4"/>
    <mergeCell ref="A1:B1"/>
    <mergeCell ref="A2:L2"/>
  </mergeCells>
  <phoneticPr fontId="6" type="noConversion"/>
  <conditionalFormatting sqref="A58:N58 A87:N87 P87:T87 P58:T58">
    <cfRule type="cellIs" dxfId="1" priority="2" stopIfTrue="1" operator="notEqual">
      <formula>0</formula>
    </cfRule>
  </conditionalFormatting>
  <conditionalFormatting sqref="O58 O87">
    <cfRule type="cellIs" dxfId="0" priority="1" stopIfTrue="1" operator="notEqual">
      <formula>0</formula>
    </cfRule>
  </conditionalFormatting>
  <pageMargins left="0.75" right="0.75" top="1" bottom="1" header="0.5" footer="0.5"/>
  <pageSetup orientation="portrait" r:id="rId1"/>
  <headerFooter alignWithMargins="0"/>
  <ignoredErrors>
    <ignoredError sqref="I12 I16:I18 I19 I20:I47 I50:I58 I13:I14 I63:R88 M26 M41 M52:M53 M55:M58 M50 M34:M35 N57:N58 M29 K55:K58 L41 L56:L58 L47 K50:K53 K41 L26 J50:J53 J29:J30 J26 L15 J41 K42 K26 K30 J42 L50:L53 J56:J58 J6:R14 J54:R54 M51:R51 J43:R46 L42:R42 J31:R33 L30:R30 J27:R28 N26:R26 N41:R41 J16:R25 J15:K15 M15:R15 K29:L29 J48:R49 J47:K47 M47:R47 N56:R56 J55 L55 N29:R29 O57:R58 J36:R40 J34:L35 N34:R35 N50:R50 N55:R55 N52:R53 I89:O91 Q89:R91" unlockedFormula="1"/>
  </ignoredErrors>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0"/>
  <dimension ref="A1:J129"/>
  <sheetViews>
    <sheetView workbookViewId="0">
      <selection activeCell="C3" sqref="C3"/>
    </sheetView>
  </sheetViews>
  <sheetFormatPr defaultRowHeight="12.75"/>
  <cols>
    <col min="1" max="1" width="17.125" customWidth="1"/>
  </cols>
  <sheetData>
    <row r="1" spans="1:8">
      <c r="A1" s="150" t="s">
        <v>559</v>
      </c>
      <c r="B1" s="151"/>
      <c r="C1" s="151" t="s">
        <v>2255</v>
      </c>
      <c r="D1" s="152"/>
      <c r="E1" s="153"/>
      <c r="F1" s="153"/>
      <c r="G1" s="154"/>
      <c r="H1" s="154"/>
    </row>
    <row r="2" spans="1:8">
      <c r="A2" s="150" t="s">
        <v>2256</v>
      </c>
      <c r="B2" s="151" t="s">
        <v>400</v>
      </c>
      <c r="C2" s="151" t="s">
        <v>2257</v>
      </c>
      <c r="D2" s="151" t="s">
        <v>2258</v>
      </c>
      <c r="E2" s="155" t="s">
        <v>2259</v>
      </c>
      <c r="F2" s="156" t="s">
        <v>2260</v>
      </c>
      <c r="G2" s="154"/>
      <c r="H2" s="154"/>
    </row>
    <row r="3" spans="1:8">
      <c r="A3" s="157" t="s">
        <v>2261</v>
      </c>
      <c r="B3" s="158">
        <v>1971</v>
      </c>
      <c r="C3" s="151"/>
      <c r="D3" s="151"/>
      <c r="E3" s="155"/>
      <c r="F3" s="156"/>
      <c r="G3" s="154"/>
      <c r="H3" s="154"/>
    </row>
    <row r="4" spans="1:8">
      <c r="A4" s="157" t="s">
        <v>2262</v>
      </c>
      <c r="B4" s="158">
        <v>1972</v>
      </c>
      <c r="C4" s="151"/>
      <c r="D4" s="151"/>
      <c r="E4" s="155"/>
      <c r="F4" s="156"/>
      <c r="G4" s="154"/>
      <c r="H4" s="154"/>
    </row>
    <row r="5" spans="1:8">
      <c r="A5" s="157" t="s">
        <v>2263</v>
      </c>
      <c r="B5" s="158">
        <v>1976</v>
      </c>
      <c r="C5" s="151"/>
      <c r="D5" s="151"/>
      <c r="E5" s="155"/>
      <c r="F5" s="156"/>
      <c r="G5" s="154"/>
      <c r="H5" s="154"/>
    </row>
    <row r="6" spans="1:8">
      <c r="A6" s="157" t="s">
        <v>2264</v>
      </c>
      <c r="B6" s="158">
        <v>1977</v>
      </c>
      <c r="C6" s="151"/>
      <c r="D6" s="151"/>
      <c r="E6" s="155"/>
      <c r="F6" s="156"/>
      <c r="G6" s="154"/>
      <c r="H6" s="154"/>
    </row>
    <row r="7" spans="1:8">
      <c r="A7" s="157" t="s">
        <v>2265</v>
      </c>
      <c r="B7" s="158">
        <v>1981</v>
      </c>
      <c r="C7" s="151"/>
      <c r="D7" s="151"/>
      <c r="E7" s="155"/>
      <c r="F7" s="156"/>
      <c r="G7" s="154"/>
      <c r="H7" s="154"/>
    </row>
    <row r="8" spans="1:8">
      <c r="A8" s="157" t="s">
        <v>2266</v>
      </c>
      <c r="B8" s="158">
        <v>1986</v>
      </c>
      <c r="C8" s="151"/>
      <c r="D8" s="151"/>
      <c r="E8" s="155"/>
      <c r="F8" s="156"/>
      <c r="G8" s="154"/>
      <c r="H8" s="154"/>
    </row>
    <row r="9" spans="1:8">
      <c r="A9" s="157" t="s">
        <v>2267</v>
      </c>
      <c r="B9" s="158">
        <v>1986</v>
      </c>
      <c r="C9" s="151"/>
      <c r="D9" s="151"/>
      <c r="E9" s="155"/>
      <c r="F9" s="156"/>
      <c r="G9" s="154"/>
      <c r="H9" s="154"/>
    </row>
    <row r="10" spans="1:8">
      <c r="A10" s="157" t="s">
        <v>2268</v>
      </c>
      <c r="B10" s="158">
        <v>1990</v>
      </c>
      <c r="C10" s="151"/>
      <c r="D10" s="151"/>
      <c r="E10" s="155"/>
      <c r="F10" s="156"/>
      <c r="G10" s="154"/>
      <c r="H10" s="154"/>
    </row>
    <row r="11" spans="1:8">
      <c r="A11" s="157" t="s">
        <v>2269</v>
      </c>
      <c r="B11" s="158">
        <v>1991</v>
      </c>
      <c r="C11" s="151"/>
      <c r="D11" s="151"/>
      <c r="E11" s="155"/>
      <c r="F11" s="156"/>
      <c r="G11" s="154"/>
      <c r="H11" s="154"/>
    </row>
    <row r="12" spans="1:8">
      <c r="A12" s="157" t="s">
        <v>2270</v>
      </c>
      <c r="B12" s="158">
        <v>1994</v>
      </c>
      <c r="C12" s="151"/>
      <c r="D12" s="151"/>
      <c r="E12" s="155"/>
      <c r="F12" s="156"/>
      <c r="G12" s="154"/>
      <c r="H12" s="154"/>
    </row>
    <row r="13" spans="1:8">
      <c r="A13" s="157" t="s">
        <v>2271</v>
      </c>
      <c r="B13" s="158">
        <v>1995</v>
      </c>
      <c r="C13" s="151"/>
      <c r="D13" s="151"/>
      <c r="E13" s="155"/>
      <c r="F13" s="156"/>
      <c r="G13" s="154"/>
      <c r="H13" s="154"/>
    </row>
    <row r="14" spans="1:8">
      <c r="A14" s="157" t="s">
        <v>2272</v>
      </c>
      <c r="B14" s="159">
        <v>1997</v>
      </c>
      <c r="C14" s="153"/>
      <c r="D14" s="1718">
        <v>257584</v>
      </c>
      <c r="E14" s="1718">
        <v>497137</v>
      </c>
      <c r="F14" s="1718">
        <v>502144</v>
      </c>
      <c r="G14" s="154"/>
      <c r="H14" s="154"/>
    </row>
    <row r="15" spans="1:8">
      <c r="A15" s="157" t="s">
        <v>2273</v>
      </c>
      <c r="B15" s="159">
        <v>1997</v>
      </c>
      <c r="C15" s="153"/>
      <c r="D15" s="1718"/>
      <c r="E15" s="1718"/>
      <c r="F15" s="1718"/>
      <c r="G15" s="154"/>
      <c r="H15" s="154"/>
    </row>
    <row r="16" spans="1:8">
      <c r="A16" s="157" t="s">
        <v>2274</v>
      </c>
      <c r="B16" s="160">
        <v>36373</v>
      </c>
      <c r="C16" s="153">
        <v>71180</v>
      </c>
      <c r="D16" s="1718"/>
      <c r="E16" s="1718"/>
      <c r="F16" s="1718"/>
      <c r="G16" s="154"/>
      <c r="H16" s="154"/>
    </row>
    <row r="17" spans="1:8">
      <c r="A17" s="157" t="s">
        <v>2275</v>
      </c>
      <c r="B17" s="160">
        <v>35947</v>
      </c>
      <c r="C17" s="151"/>
      <c r="D17" s="153">
        <v>149986</v>
      </c>
      <c r="E17" s="153">
        <v>151471</v>
      </c>
      <c r="F17" s="153">
        <v>131000</v>
      </c>
      <c r="G17" s="154"/>
      <c r="H17" s="154"/>
    </row>
    <row r="18" spans="1:8">
      <c r="A18" s="157" t="s">
        <v>2276</v>
      </c>
      <c r="B18" s="160">
        <v>35977</v>
      </c>
      <c r="C18" s="151"/>
      <c r="D18" s="151"/>
      <c r="E18" s="155"/>
      <c r="F18" s="156"/>
      <c r="G18" s="154"/>
      <c r="H18" s="154"/>
    </row>
    <row r="19" spans="1:8">
      <c r="A19" s="157" t="s">
        <v>2277</v>
      </c>
      <c r="B19" s="160">
        <v>36069</v>
      </c>
      <c r="C19" s="151"/>
      <c r="D19" s="151"/>
      <c r="E19" s="155"/>
      <c r="F19" s="156"/>
      <c r="G19" s="154"/>
      <c r="H19" s="154"/>
    </row>
    <row r="20" spans="1:8">
      <c r="A20" s="157" t="s">
        <v>2278</v>
      </c>
      <c r="B20" s="160">
        <v>36617</v>
      </c>
      <c r="C20" s="151"/>
      <c r="D20" s="151"/>
      <c r="E20" s="155"/>
      <c r="F20" s="156"/>
      <c r="G20" s="154"/>
      <c r="H20" s="154"/>
    </row>
    <row r="21" spans="1:8">
      <c r="A21" s="157" t="s">
        <v>2279</v>
      </c>
      <c r="B21" s="160">
        <v>36892</v>
      </c>
      <c r="C21" s="151"/>
      <c r="D21" s="151"/>
      <c r="E21" s="155"/>
      <c r="F21" s="156"/>
      <c r="G21" s="154"/>
      <c r="H21" s="154"/>
    </row>
    <row r="22" spans="1:8">
      <c r="A22" s="161" t="s">
        <v>619</v>
      </c>
      <c r="B22" s="160">
        <v>37196</v>
      </c>
      <c r="C22" s="153">
        <v>12000</v>
      </c>
      <c r="D22" s="153">
        <v>183743</v>
      </c>
      <c r="E22" s="162" t="s">
        <v>2280</v>
      </c>
      <c r="F22" s="156"/>
      <c r="G22" s="154"/>
      <c r="H22" s="154"/>
    </row>
    <row r="23" spans="1:8">
      <c r="A23" s="157" t="s">
        <v>2281</v>
      </c>
      <c r="B23" s="160">
        <v>37591</v>
      </c>
      <c r="C23" s="153">
        <v>32815</v>
      </c>
      <c r="D23" s="151"/>
      <c r="E23" s="155"/>
      <c r="F23" s="156"/>
      <c r="G23" s="154"/>
      <c r="H23" s="154"/>
    </row>
    <row r="24" spans="1:8">
      <c r="A24" s="157" t="s">
        <v>2282</v>
      </c>
      <c r="B24" s="160">
        <v>37653</v>
      </c>
      <c r="C24" s="153">
        <v>25000</v>
      </c>
      <c r="D24" s="151"/>
      <c r="E24" s="155"/>
      <c r="F24" s="156"/>
      <c r="G24" s="154"/>
      <c r="H24" s="154"/>
    </row>
    <row r="25" spans="1:8">
      <c r="A25" s="157" t="s">
        <v>2283</v>
      </c>
      <c r="B25" s="160">
        <v>37681</v>
      </c>
      <c r="C25" s="151"/>
      <c r="D25" s="151"/>
      <c r="E25" s="155"/>
      <c r="F25" s="156"/>
      <c r="G25" s="154"/>
      <c r="H25" s="154"/>
    </row>
    <row r="26" spans="1:8">
      <c r="A26" s="154" t="s">
        <v>2284</v>
      </c>
      <c r="B26" s="160">
        <v>37803</v>
      </c>
      <c r="C26" s="151"/>
      <c r="D26" s="151"/>
      <c r="E26" s="155"/>
      <c r="F26" s="156"/>
      <c r="G26" s="154"/>
      <c r="H26" s="154"/>
    </row>
    <row r="27" spans="1:8">
      <c r="A27" s="161" t="s">
        <v>2285</v>
      </c>
      <c r="B27" s="160">
        <v>37895</v>
      </c>
      <c r="C27" s="151"/>
      <c r="D27" s="151"/>
      <c r="E27" s="155"/>
      <c r="F27" s="156"/>
      <c r="G27" s="154"/>
      <c r="H27" s="154"/>
    </row>
    <row r="28" spans="1:8">
      <c r="A28" s="157" t="s">
        <v>2286</v>
      </c>
      <c r="B28" s="160">
        <v>38108</v>
      </c>
      <c r="C28" s="151"/>
      <c r="D28" s="151"/>
      <c r="E28" s="155"/>
      <c r="F28" s="156"/>
      <c r="G28" s="154"/>
      <c r="H28" s="154"/>
    </row>
    <row r="29" spans="1:8">
      <c r="A29" s="157" t="s">
        <v>2287</v>
      </c>
      <c r="B29" s="160">
        <v>38200</v>
      </c>
      <c r="C29" s="151"/>
      <c r="D29" s="151"/>
      <c r="E29" s="155"/>
      <c r="F29" s="156"/>
      <c r="G29" s="154"/>
      <c r="H29" s="154"/>
    </row>
    <row r="30" spans="1:8">
      <c r="A30" s="163" t="s">
        <v>2288</v>
      </c>
      <c r="B30" s="160">
        <v>38231</v>
      </c>
      <c r="C30" s="153">
        <v>150000</v>
      </c>
      <c r="D30" s="153">
        <v>337000</v>
      </c>
      <c r="E30" s="155"/>
      <c r="F30" s="156"/>
      <c r="G30" s="154"/>
      <c r="H30" s="154"/>
    </row>
    <row r="31" spans="1:8">
      <c r="A31" s="161" t="s">
        <v>2289</v>
      </c>
      <c r="B31" s="160">
        <v>38261</v>
      </c>
      <c r="C31" s="153"/>
      <c r="D31" s="153"/>
      <c r="E31" s="155"/>
      <c r="F31" s="156"/>
      <c r="G31" s="154"/>
      <c r="H31" s="154"/>
    </row>
    <row r="32" spans="1:8">
      <c r="A32" s="157" t="s">
        <v>2290</v>
      </c>
      <c r="B32" s="160">
        <v>38384</v>
      </c>
      <c r="C32" s="151"/>
      <c r="D32" s="151"/>
      <c r="E32" s="155"/>
      <c r="F32" s="156"/>
      <c r="G32" s="154"/>
      <c r="H32" s="154"/>
    </row>
    <row r="33" spans="1:8">
      <c r="A33" s="157" t="s">
        <v>2291</v>
      </c>
      <c r="B33" s="160">
        <v>38504</v>
      </c>
      <c r="C33" s="151"/>
      <c r="D33" s="151"/>
      <c r="E33" s="155"/>
      <c r="F33" s="156"/>
      <c r="G33" s="154"/>
      <c r="H33" s="154"/>
    </row>
    <row r="34" spans="1:8">
      <c r="A34" s="163" t="s">
        <v>2292</v>
      </c>
      <c r="B34" s="160">
        <v>38534</v>
      </c>
      <c r="C34" s="151"/>
      <c r="D34" s="151"/>
      <c r="E34" s="155"/>
      <c r="F34" s="156"/>
      <c r="G34" s="154"/>
      <c r="H34" s="154"/>
    </row>
    <row r="35" spans="1:8">
      <c r="A35" s="163" t="s">
        <v>2293</v>
      </c>
      <c r="B35" s="160">
        <v>38691</v>
      </c>
      <c r="C35" s="153">
        <v>113000</v>
      </c>
      <c r="D35" s="151"/>
      <c r="E35" s="155"/>
      <c r="F35" s="156"/>
      <c r="G35" s="154"/>
      <c r="H35" s="154"/>
    </row>
    <row r="36" spans="1:8" s="165" customFormat="1">
      <c r="A36" s="157" t="s">
        <v>2294</v>
      </c>
      <c r="B36" s="160">
        <v>38808</v>
      </c>
      <c r="C36" s="153"/>
      <c r="D36" s="151"/>
      <c r="E36" s="155"/>
      <c r="F36" s="156"/>
      <c r="G36" s="164"/>
      <c r="H36" s="164"/>
    </row>
    <row r="37" spans="1:8">
      <c r="A37" s="157" t="s">
        <v>2295</v>
      </c>
      <c r="B37" s="160">
        <v>38930</v>
      </c>
      <c r="C37" s="153"/>
      <c r="D37" s="151"/>
      <c r="E37" s="155"/>
      <c r="F37" s="156"/>
      <c r="G37" s="154"/>
      <c r="H37" s="154"/>
    </row>
    <row r="38" spans="1:8">
      <c r="A38" s="157" t="s">
        <v>2296</v>
      </c>
      <c r="B38" s="160">
        <v>39022</v>
      </c>
      <c r="C38" s="153"/>
      <c r="D38" s="151"/>
      <c r="E38" s="155"/>
      <c r="F38" s="156"/>
      <c r="G38" s="154"/>
      <c r="H38" s="154"/>
    </row>
    <row r="39" spans="1:8">
      <c r="A39" s="157" t="s">
        <v>2297</v>
      </c>
      <c r="B39" s="160">
        <v>39083</v>
      </c>
      <c r="C39" s="153"/>
      <c r="D39" s="151"/>
      <c r="E39" s="155"/>
      <c r="F39" s="156"/>
      <c r="G39" s="154"/>
      <c r="H39" s="154"/>
    </row>
    <row r="40" spans="1:8">
      <c r="A40" s="157" t="s">
        <v>2298</v>
      </c>
      <c r="B40" s="160">
        <v>39115</v>
      </c>
      <c r="C40" s="153"/>
      <c r="D40" s="151"/>
      <c r="E40" s="155"/>
      <c r="F40" s="156"/>
      <c r="G40" s="154"/>
      <c r="H40" s="154"/>
    </row>
    <row r="41" spans="1:8">
      <c r="A41" s="157" t="s">
        <v>2299</v>
      </c>
      <c r="B41" s="160">
        <v>39234</v>
      </c>
      <c r="C41" s="151"/>
      <c r="D41" s="151"/>
      <c r="E41" s="155"/>
      <c r="F41" s="156"/>
      <c r="G41" s="154"/>
      <c r="H41" s="154"/>
    </row>
    <row r="42" spans="1:8">
      <c r="A42" s="157" t="s">
        <v>2300</v>
      </c>
      <c r="B42" s="160">
        <v>39173</v>
      </c>
      <c r="C42" s="151"/>
      <c r="D42" s="151"/>
      <c r="E42" s="155"/>
      <c r="F42" s="156"/>
      <c r="G42" s="154"/>
      <c r="H42" s="154"/>
    </row>
    <row r="43" spans="1:8">
      <c r="A43" s="157" t="s">
        <v>2301</v>
      </c>
      <c r="B43" s="160">
        <v>39326</v>
      </c>
      <c r="C43" s="151"/>
      <c r="D43" s="151"/>
      <c r="E43" s="155"/>
      <c r="F43" s="156"/>
      <c r="G43" s="154"/>
      <c r="H43" s="154"/>
    </row>
    <row r="44" spans="1:8">
      <c r="A44" s="157" t="s">
        <v>2302</v>
      </c>
      <c r="B44" s="160">
        <v>39654</v>
      </c>
      <c r="C44" s="151"/>
      <c r="D44" s="151"/>
      <c r="E44" s="155"/>
      <c r="F44" s="156"/>
      <c r="G44" s="154"/>
      <c r="H44" s="154"/>
    </row>
    <row r="45" spans="1:8">
      <c r="A45" s="157" t="s">
        <v>2303</v>
      </c>
      <c r="B45" s="160">
        <v>39716</v>
      </c>
      <c r="C45" s="151"/>
      <c r="D45" s="151"/>
      <c r="E45" s="155"/>
      <c r="F45" s="156"/>
      <c r="G45" s="154"/>
      <c r="H45" s="154"/>
    </row>
    <row r="46" spans="1:8">
      <c r="A46" s="157" t="s">
        <v>622</v>
      </c>
      <c r="B46" s="160">
        <v>39834</v>
      </c>
      <c r="C46" s="151"/>
      <c r="D46" s="151"/>
      <c r="E46" s="155"/>
      <c r="F46" s="156"/>
      <c r="G46" s="154"/>
      <c r="H46" s="154"/>
    </row>
    <row r="47" spans="1:8">
      <c r="A47" s="157" t="s">
        <v>2304</v>
      </c>
      <c r="B47" s="160">
        <v>39907</v>
      </c>
      <c r="C47" s="166" t="s">
        <v>2305</v>
      </c>
      <c r="D47" s="152"/>
      <c r="E47" s="153"/>
      <c r="F47" s="153"/>
      <c r="G47" s="154"/>
      <c r="H47" s="154"/>
    </row>
    <row r="48" spans="1:8">
      <c r="A48" s="157" t="s">
        <v>2306</v>
      </c>
      <c r="B48" s="160">
        <v>39907</v>
      </c>
      <c r="C48" s="166" t="s">
        <v>2307</v>
      </c>
      <c r="D48" s="152"/>
      <c r="E48" s="153"/>
      <c r="F48" s="153"/>
      <c r="G48" s="154"/>
      <c r="H48" s="154"/>
    </row>
    <row r="49" spans="1:8">
      <c r="A49" s="157" t="s">
        <v>2308</v>
      </c>
      <c r="B49" s="160">
        <v>40003</v>
      </c>
      <c r="C49" s="166" t="s">
        <v>2309</v>
      </c>
      <c r="D49" s="152"/>
      <c r="E49" s="153"/>
      <c r="F49" s="153"/>
      <c r="G49" s="154"/>
      <c r="H49" s="154"/>
    </row>
    <row r="50" spans="1:8">
      <c r="A50" s="157" t="s">
        <v>2310</v>
      </c>
      <c r="B50" s="160">
        <v>40095</v>
      </c>
      <c r="C50" s="166" t="s">
        <v>2311</v>
      </c>
      <c r="D50" s="152"/>
      <c r="E50" s="153"/>
      <c r="F50" s="153"/>
      <c r="G50" s="154"/>
      <c r="H50" s="154"/>
    </row>
    <row r="51" spans="1:8">
      <c r="A51" s="157" t="s">
        <v>617</v>
      </c>
      <c r="B51" s="160">
        <v>40148</v>
      </c>
      <c r="C51" s="166" t="s">
        <v>2312</v>
      </c>
      <c r="D51" s="152"/>
      <c r="E51" s="153"/>
      <c r="F51" s="153"/>
      <c r="G51" s="154"/>
      <c r="H51" s="154"/>
    </row>
    <row r="52" spans="1:8">
      <c r="A52" s="157" t="s">
        <v>2313</v>
      </c>
      <c r="B52" s="160">
        <v>40238</v>
      </c>
      <c r="C52" s="166" t="s">
        <v>2314</v>
      </c>
      <c r="D52" s="152"/>
      <c r="E52" s="153"/>
      <c r="F52" s="153"/>
      <c r="G52" s="154"/>
      <c r="H52" s="154"/>
    </row>
    <row r="53" spans="1:8">
      <c r="A53" s="157" t="s">
        <v>2304</v>
      </c>
      <c r="B53" s="160">
        <v>40210</v>
      </c>
      <c r="C53" s="166" t="s">
        <v>2315</v>
      </c>
      <c r="D53" s="152" t="s">
        <v>2316</v>
      </c>
      <c r="E53" s="153"/>
      <c r="F53" s="153"/>
      <c r="G53" s="154"/>
      <c r="H53" s="154"/>
    </row>
    <row r="54" spans="1:8">
      <c r="A54" s="157" t="s">
        <v>2317</v>
      </c>
      <c r="B54" s="160">
        <v>40269</v>
      </c>
      <c r="C54" s="1719" t="s">
        <v>609</v>
      </c>
      <c r="D54" s="152"/>
      <c r="E54" s="153"/>
      <c r="F54" s="153"/>
      <c r="G54" s="154"/>
      <c r="H54" s="154"/>
    </row>
    <row r="55" spans="1:8">
      <c r="A55" s="157" t="s">
        <v>2318</v>
      </c>
      <c r="B55" s="160">
        <v>40269</v>
      </c>
      <c r="C55" s="1719"/>
      <c r="D55" s="152"/>
      <c r="E55" s="153"/>
      <c r="F55" s="153"/>
      <c r="G55" s="154"/>
      <c r="H55" s="154"/>
    </row>
    <row r="56" spans="1:8">
      <c r="A56" s="157" t="s">
        <v>2319</v>
      </c>
      <c r="B56" s="160">
        <v>40299</v>
      </c>
      <c r="C56" s="167" t="s">
        <v>2320</v>
      </c>
      <c r="D56" s="152"/>
      <c r="E56" s="153"/>
      <c r="F56" s="153"/>
      <c r="G56" s="154"/>
      <c r="H56" s="154"/>
    </row>
    <row r="57" spans="1:8">
      <c r="A57" s="157" t="s">
        <v>2321</v>
      </c>
      <c r="B57" s="160">
        <v>40360</v>
      </c>
      <c r="C57" s="166" t="s">
        <v>2322</v>
      </c>
      <c r="D57" s="152"/>
      <c r="E57" s="153"/>
      <c r="F57" s="153"/>
      <c r="G57" s="154"/>
      <c r="H57" s="154"/>
    </row>
    <row r="58" spans="1:8">
      <c r="A58" s="157" t="s">
        <v>2323</v>
      </c>
      <c r="B58" s="160">
        <v>40634</v>
      </c>
      <c r="C58" s="166"/>
      <c r="D58" s="152"/>
      <c r="E58" s="153"/>
      <c r="F58" s="153"/>
      <c r="G58" s="154"/>
      <c r="H58" s="154"/>
    </row>
    <row r="59" spans="1:8">
      <c r="A59" s="157" t="s">
        <v>2324</v>
      </c>
      <c r="B59" s="160">
        <v>41000</v>
      </c>
      <c r="C59" s="166"/>
      <c r="D59" s="152"/>
      <c r="E59" s="153"/>
      <c r="F59" s="153"/>
      <c r="G59" s="154"/>
      <c r="H59" s="154"/>
    </row>
    <row r="60" spans="1:8">
      <c r="A60" s="157" t="s">
        <v>2325</v>
      </c>
      <c r="B60" s="160">
        <v>41030</v>
      </c>
      <c r="C60" s="166" t="s">
        <v>2326</v>
      </c>
      <c r="D60" s="152"/>
      <c r="E60" s="153"/>
      <c r="F60" s="153"/>
      <c r="G60" s="154"/>
      <c r="H60" s="154"/>
    </row>
    <row r="61" spans="1:8">
      <c r="A61" s="157"/>
      <c r="B61" s="160"/>
      <c r="C61" s="152"/>
      <c r="D61" s="152"/>
      <c r="E61" s="153"/>
      <c r="F61" s="153"/>
      <c r="G61" s="154"/>
      <c r="H61" s="154"/>
    </row>
    <row r="62" spans="1:8">
      <c r="A62" s="168" t="s">
        <v>2327</v>
      </c>
      <c r="B62" s="152"/>
      <c r="C62" s="152" t="s">
        <v>2328</v>
      </c>
      <c r="D62" s="153"/>
      <c r="E62" s="152" t="s">
        <v>2329</v>
      </c>
      <c r="F62" s="153"/>
      <c r="G62" s="154"/>
      <c r="H62" s="154"/>
    </row>
    <row r="63" spans="1:8">
      <c r="A63" s="168" t="s">
        <v>2330</v>
      </c>
      <c r="B63" s="153"/>
      <c r="C63" s="152" t="s">
        <v>2331</v>
      </c>
      <c r="D63" s="152"/>
      <c r="E63" s="153"/>
      <c r="F63" s="153"/>
      <c r="G63" s="154"/>
      <c r="H63" s="154"/>
    </row>
    <row r="64" spans="1:8">
      <c r="A64" s="169" t="s">
        <v>2332</v>
      </c>
      <c r="B64" s="154">
        <f>40000*12</f>
        <v>480000</v>
      </c>
      <c r="C64" s="154" t="s">
        <v>2333</v>
      </c>
      <c r="E64" s="154"/>
      <c r="F64" s="154"/>
      <c r="G64" s="154"/>
      <c r="H64" s="154"/>
    </row>
    <row r="65" spans="1:8">
      <c r="B65" s="154"/>
      <c r="C65" s="154"/>
      <c r="D65" s="154"/>
      <c r="E65" s="154"/>
      <c r="F65" s="154"/>
      <c r="G65" s="154"/>
      <c r="H65" s="154"/>
    </row>
    <row r="66" spans="1:8">
      <c r="B66" s="154"/>
      <c r="C66" s="154"/>
      <c r="D66" s="154"/>
      <c r="E66" s="154"/>
      <c r="F66" s="154"/>
      <c r="G66" s="154"/>
      <c r="H66" s="154"/>
    </row>
    <row r="67" spans="1:8">
      <c r="A67" s="169"/>
      <c r="B67" s="154"/>
      <c r="C67" s="154"/>
      <c r="D67" s="154"/>
      <c r="E67" s="154"/>
      <c r="F67" s="154"/>
      <c r="G67" s="154"/>
      <c r="H67" s="154"/>
    </row>
    <row r="68" spans="1:8">
      <c r="A68" s="150" t="s">
        <v>2334</v>
      </c>
      <c r="B68" s="151"/>
      <c r="C68" s="151" t="s">
        <v>2255</v>
      </c>
      <c r="D68" s="152"/>
      <c r="E68" s="153"/>
      <c r="F68" s="153"/>
      <c r="G68" s="154"/>
      <c r="H68" s="154"/>
    </row>
    <row r="69" spans="1:8">
      <c r="A69" s="150" t="s">
        <v>2256</v>
      </c>
      <c r="B69" s="151" t="s">
        <v>400</v>
      </c>
      <c r="C69" s="151" t="s">
        <v>2257</v>
      </c>
      <c r="D69" s="151" t="s">
        <v>2258</v>
      </c>
      <c r="E69" s="155" t="s">
        <v>2259</v>
      </c>
      <c r="F69" s="156" t="s">
        <v>2260</v>
      </c>
      <c r="G69" s="154"/>
      <c r="H69" s="154"/>
    </row>
    <row r="70" spans="1:8">
      <c r="A70" s="169" t="s">
        <v>2335</v>
      </c>
      <c r="B70" s="170">
        <v>31194</v>
      </c>
      <c r="C70" s="154"/>
      <c r="D70" s="154"/>
      <c r="E70" s="154"/>
      <c r="F70" s="154"/>
      <c r="G70" s="154"/>
      <c r="H70" s="154"/>
    </row>
    <row r="71" spans="1:8">
      <c r="A71" s="169" t="s">
        <v>2336</v>
      </c>
      <c r="B71" s="170" t="s">
        <v>2337</v>
      </c>
      <c r="C71" s="154"/>
      <c r="D71" s="154"/>
      <c r="E71" s="154"/>
      <c r="F71" s="154"/>
      <c r="G71" s="154"/>
      <c r="H71" s="154"/>
    </row>
    <row r="72" spans="1:8">
      <c r="A72" s="171" t="s">
        <v>2338</v>
      </c>
      <c r="B72" s="170" t="s">
        <v>2339</v>
      </c>
      <c r="C72" s="154"/>
      <c r="D72" s="154"/>
      <c r="E72" s="154"/>
      <c r="F72" s="154"/>
      <c r="G72" s="154"/>
      <c r="H72" s="154"/>
    </row>
    <row r="73" spans="1:8">
      <c r="A73" s="169" t="s">
        <v>2340</v>
      </c>
      <c r="B73" s="170" t="s">
        <v>2341</v>
      </c>
      <c r="C73" s="154"/>
      <c r="D73" s="154"/>
      <c r="E73" s="154"/>
      <c r="F73" s="154"/>
      <c r="G73" s="154"/>
      <c r="H73" s="154"/>
    </row>
    <row r="74" spans="1:8">
      <c r="A74" s="169" t="s">
        <v>2342</v>
      </c>
      <c r="B74" s="154" t="s">
        <v>2343</v>
      </c>
      <c r="C74" s="154"/>
      <c r="D74" s="154"/>
      <c r="E74" s="154"/>
      <c r="F74" s="154"/>
      <c r="G74" s="154"/>
      <c r="H74" s="154"/>
    </row>
    <row r="75" spans="1:8">
      <c r="A75" s="171" t="s">
        <v>2344</v>
      </c>
      <c r="B75" s="170">
        <v>36892</v>
      </c>
      <c r="C75" s="154">
        <v>19000</v>
      </c>
      <c r="D75" s="154">
        <v>400000</v>
      </c>
      <c r="E75" s="154"/>
      <c r="F75" s="154"/>
      <c r="G75" s="154" t="s">
        <v>2345</v>
      </c>
      <c r="H75" s="154"/>
    </row>
    <row r="76" spans="1:8">
      <c r="A76" s="169" t="s">
        <v>2346</v>
      </c>
      <c r="B76" s="170">
        <v>36982</v>
      </c>
      <c r="C76" s="154"/>
      <c r="D76" s="154"/>
      <c r="E76" s="154"/>
      <c r="F76" s="154"/>
      <c r="G76" s="154" t="s">
        <v>2347</v>
      </c>
      <c r="H76" s="154" t="s">
        <v>2348</v>
      </c>
    </row>
    <row r="77" spans="1:8">
      <c r="A77" s="172" t="s">
        <v>2349</v>
      </c>
      <c r="B77" s="170">
        <v>37351</v>
      </c>
      <c r="C77" s="154"/>
      <c r="D77" s="154"/>
      <c r="E77" s="154"/>
      <c r="F77" s="154"/>
      <c r="G77" s="154"/>
      <c r="H77" s="154"/>
    </row>
    <row r="78" spans="1:8">
      <c r="A78" s="169" t="s">
        <v>2350</v>
      </c>
      <c r="B78" s="170">
        <v>37504</v>
      </c>
      <c r="C78" s="154"/>
      <c r="D78" s="154"/>
      <c r="E78" s="154"/>
      <c r="F78" s="154"/>
      <c r="G78" s="154"/>
      <c r="H78" s="154"/>
    </row>
    <row r="79" spans="1:8">
      <c r="A79" s="172" t="s">
        <v>2351</v>
      </c>
      <c r="B79" s="170">
        <v>37716</v>
      </c>
      <c r="C79" s="154"/>
      <c r="D79" s="154"/>
      <c r="E79" s="154"/>
      <c r="F79" s="154"/>
      <c r="G79" s="154"/>
      <c r="H79" s="154"/>
    </row>
    <row r="80" spans="1:8">
      <c r="A80" s="169" t="s">
        <v>2352</v>
      </c>
      <c r="B80" s="170">
        <v>37746</v>
      </c>
      <c r="C80" s="154"/>
      <c r="D80" s="154"/>
      <c r="E80" s="154"/>
      <c r="F80" s="154"/>
      <c r="G80" s="154" t="s">
        <v>2353</v>
      </c>
      <c r="H80" s="173">
        <v>7.56</v>
      </c>
    </row>
    <row r="81" spans="1:8">
      <c r="A81" s="171" t="s">
        <v>2357</v>
      </c>
      <c r="B81" s="170">
        <v>37869</v>
      </c>
      <c r="C81" s="154"/>
      <c r="D81" s="154"/>
      <c r="E81" s="154"/>
      <c r="F81" s="154"/>
      <c r="G81" s="154" t="s">
        <v>2358</v>
      </c>
      <c r="H81" s="154" t="s">
        <v>2359</v>
      </c>
    </row>
    <row r="82" spans="1:8">
      <c r="A82" s="171" t="s">
        <v>2360</v>
      </c>
      <c r="B82" s="170">
        <v>37899</v>
      </c>
      <c r="C82" s="154"/>
      <c r="D82" s="154"/>
      <c r="E82" s="154"/>
      <c r="F82" s="154"/>
      <c r="G82" s="154"/>
      <c r="H82" s="154"/>
    </row>
    <row r="83" spans="1:8">
      <c r="A83" s="169" t="s">
        <v>2361</v>
      </c>
      <c r="B83" s="170">
        <v>37991</v>
      </c>
      <c r="C83" s="154"/>
      <c r="D83" s="154"/>
      <c r="E83" s="154"/>
      <c r="F83" s="154"/>
      <c r="G83" s="154"/>
      <c r="H83" s="154"/>
    </row>
    <row r="84" spans="1:8">
      <c r="A84" s="169" t="s">
        <v>2362</v>
      </c>
      <c r="B84" s="170">
        <v>38082</v>
      </c>
      <c r="C84" s="154"/>
      <c r="D84" s="154"/>
      <c r="E84" s="154"/>
      <c r="F84" s="154"/>
      <c r="G84" s="154"/>
      <c r="H84" s="154"/>
    </row>
    <row r="85" spans="1:8">
      <c r="A85" s="169" t="s">
        <v>2363</v>
      </c>
      <c r="B85" s="170">
        <v>38416</v>
      </c>
      <c r="C85" s="154"/>
      <c r="D85" s="154"/>
      <c r="E85" s="154"/>
      <c r="F85" s="154"/>
      <c r="G85" s="154"/>
      <c r="H85" s="154"/>
    </row>
    <row r="86" spans="1:8">
      <c r="A86" s="172" t="s">
        <v>2364</v>
      </c>
      <c r="B86" s="174">
        <v>38477</v>
      </c>
      <c r="C86" s="154"/>
      <c r="D86" s="154"/>
      <c r="E86" s="154"/>
      <c r="F86" s="154"/>
      <c r="G86" s="154"/>
      <c r="H86" s="154"/>
    </row>
    <row r="87" spans="1:8">
      <c r="A87" s="169" t="s">
        <v>2365</v>
      </c>
      <c r="B87" s="170">
        <v>38508</v>
      </c>
      <c r="C87" s="154"/>
      <c r="D87" s="154"/>
      <c r="E87" s="154"/>
      <c r="F87" s="154"/>
      <c r="G87" s="154"/>
      <c r="H87" s="154"/>
    </row>
    <row r="88" spans="1:8">
      <c r="A88" s="169" t="s">
        <v>2366</v>
      </c>
      <c r="B88" s="170">
        <v>38661</v>
      </c>
      <c r="C88" s="154"/>
      <c r="D88" s="154"/>
      <c r="E88" s="154"/>
      <c r="F88" s="154"/>
      <c r="G88" s="154"/>
      <c r="H88" s="154"/>
    </row>
    <row r="89" spans="1:8">
      <c r="A89" s="169" t="s">
        <v>2367</v>
      </c>
      <c r="B89" s="170">
        <v>38630</v>
      </c>
      <c r="C89" s="154"/>
      <c r="D89" s="154"/>
      <c r="E89" s="154"/>
      <c r="F89" s="154"/>
      <c r="G89" s="154"/>
      <c r="H89" s="154"/>
    </row>
    <row r="90" spans="1:8">
      <c r="A90" s="154" t="s">
        <v>2368</v>
      </c>
      <c r="B90" s="170">
        <v>38995</v>
      </c>
      <c r="C90" s="154"/>
      <c r="D90" s="154"/>
      <c r="E90" s="154"/>
      <c r="F90" s="154"/>
      <c r="G90" s="154"/>
      <c r="H90" s="154"/>
    </row>
    <row r="91" spans="1:8">
      <c r="A91" s="169"/>
      <c r="B91" s="154"/>
      <c r="C91" s="154"/>
      <c r="D91" s="154"/>
      <c r="E91" s="154"/>
      <c r="F91" s="154"/>
      <c r="G91" s="154"/>
      <c r="H91" s="154"/>
    </row>
    <row r="92" spans="1:8">
      <c r="A92" s="175" t="s">
        <v>10</v>
      </c>
      <c r="B92" s="154"/>
      <c r="C92" s="154"/>
      <c r="D92" s="154"/>
      <c r="E92" s="154"/>
      <c r="F92" s="154"/>
      <c r="G92" s="154"/>
      <c r="H92" s="154"/>
    </row>
    <row r="93" spans="1:8">
      <c r="A93" s="169" t="s">
        <v>11</v>
      </c>
      <c r="B93" s="170">
        <v>29438</v>
      </c>
      <c r="C93" s="154"/>
      <c r="D93" s="154"/>
      <c r="E93" s="154"/>
      <c r="F93" s="154"/>
      <c r="G93" s="154"/>
      <c r="H93" s="154"/>
    </row>
    <row r="94" spans="1:8">
      <c r="A94" s="169" t="s">
        <v>12</v>
      </c>
      <c r="B94" s="170">
        <v>30930</v>
      </c>
      <c r="C94" s="154"/>
      <c r="D94" s="154"/>
      <c r="E94" s="154"/>
      <c r="F94" s="154"/>
      <c r="G94" s="154"/>
      <c r="H94" s="154"/>
    </row>
    <row r="95" spans="1:8">
      <c r="A95" s="169" t="s">
        <v>13</v>
      </c>
      <c r="B95" s="170">
        <v>34490</v>
      </c>
      <c r="C95" s="154"/>
      <c r="D95" s="154"/>
      <c r="E95" s="154"/>
      <c r="F95" s="154"/>
      <c r="G95" s="154"/>
      <c r="H95" s="154"/>
    </row>
    <row r="96" spans="1:8">
      <c r="A96" s="169" t="s">
        <v>14</v>
      </c>
      <c r="B96" s="170">
        <v>35404</v>
      </c>
      <c r="C96" s="154"/>
      <c r="D96" s="154"/>
      <c r="E96" s="154"/>
      <c r="F96" s="154"/>
      <c r="G96" s="154"/>
      <c r="H96" s="154"/>
    </row>
    <row r="97" spans="1:8">
      <c r="A97" s="169" t="s">
        <v>15</v>
      </c>
      <c r="B97" s="170">
        <v>35708</v>
      </c>
      <c r="C97" s="154"/>
      <c r="D97" s="154"/>
      <c r="E97" s="154"/>
      <c r="F97" s="154"/>
      <c r="G97" s="154"/>
      <c r="H97" s="154"/>
    </row>
    <row r="98" spans="1:8">
      <c r="A98" s="169" t="s">
        <v>16</v>
      </c>
      <c r="B98" s="170">
        <v>36621</v>
      </c>
      <c r="C98" s="154"/>
      <c r="D98" s="154"/>
      <c r="E98" s="154"/>
      <c r="F98" s="154"/>
      <c r="G98" s="154"/>
      <c r="H98" s="154"/>
    </row>
    <row r="99" spans="1:8">
      <c r="A99" s="169" t="s">
        <v>17</v>
      </c>
      <c r="B99" s="170">
        <v>37108</v>
      </c>
      <c r="C99" s="154"/>
      <c r="D99" s="154"/>
      <c r="E99" s="154"/>
      <c r="F99" s="154"/>
      <c r="G99" s="154"/>
      <c r="H99" s="154"/>
    </row>
    <row r="100" spans="1:8">
      <c r="A100" s="169" t="s">
        <v>18</v>
      </c>
      <c r="B100" s="170">
        <v>37991</v>
      </c>
      <c r="C100" s="154"/>
      <c r="D100" s="154"/>
      <c r="E100" s="154"/>
      <c r="F100" s="154"/>
      <c r="G100" s="154"/>
      <c r="H100" s="154"/>
    </row>
    <row r="101" spans="1:8">
      <c r="A101" s="169" t="s">
        <v>19</v>
      </c>
      <c r="B101" s="170">
        <v>38112</v>
      </c>
      <c r="C101" s="154"/>
      <c r="D101" s="154"/>
      <c r="E101" s="154"/>
      <c r="F101" s="154"/>
      <c r="G101" s="154"/>
      <c r="H101" s="154"/>
    </row>
    <row r="102" spans="1:8">
      <c r="A102" s="169" t="s">
        <v>20</v>
      </c>
      <c r="B102" s="170">
        <v>38235</v>
      </c>
      <c r="C102" s="154"/>
      <c r="D102" s="154"/>
      <c r="E102" s="154"/>
      <c r="F102" s="154"/>
      <c r="G102" s="154"/>
      <c r="H102" s="154"/>
    </row>
    <row r="103" spans="1:8">
      <c r="A103" s="169" t="s">
        <v>21</v>
      </c>
      <c r="B103" s="170">
        <v>38265</v>
      </c>
      <c r="C103" s="154"/>
      <c r="D103" s="154"/>
      <c r="E103" s="154"/>
      <c r="F103" s="154"/>
      <c r="G103" s="154"/>
      <c r="H103" s="154"/>
    </row>
    <row r="104" spans="1:8">
      <c r="A104" s="169" t="s">
        <v>22</v>
      </c>
      <c r="B104" s="170">
        <v>38600</v>
      </c>
      <c r="C104" s="154"/>
      <c r="D104" s="154"/>
      <c r="E104" s="154"/>
      <c r="F104" s="154"/>
      <c r="G104" s="154"/>
      <c r="H104" s="154"/>
    </row>
    <row r="105" spans="1:8">
      <c r="A105" s="169" t="s">
        <v>23</v>
      </c>
      <c r="B105" s="170">
        <v>38691</v>
      </c>
      <c r="C105" s="154"/>
      <c r="D105" s="154"/>
      <c r="E105" s="154"/>
      <c r="F105" s="154"/>
      <c r="G105" s="154"/>
      <c r="H105" s="154"/>
    </row>
    <row r="106" spans="1:8">
      <c r="A106" s="169" t="s">
        <v>24</v>
      </c>
      <c r="B106" s="170">
        <v>38508</v>
      </c>
      <c r="C106" s="154"/>
      <c r="D106" s="154"/>
      <c r="E106" s="154"/>
      <c r="F106" s="154"/>
      <c r="G106" s="154"/>
      <c r="H106" s="154"/>
    </row>
    <row r="107" spans="1:8">
      <c r="A107" s="169" t="s">
        <v>25</v>
      </c>
      <c r="B107" s="170">
        <v>38600</v>
      </c>
      <c r="C107" s="154"/>
      <c r="D107" s="154"/>
      <c r="E107" s="154"/>
      <c r="F107" s="154"/>
      <c r="G107" s="154"/>
      <c r="H107" s="154"/>
    </row>
    <row r="108" spans="1:8">
      <c r="A108" s="169" t="s">
        <v>26</v>
      </c>
      <c r="B108" s="170">
        <v>38995</v>
      </c>
      <c r="C108" s="154"/>
      <c r="D108" s="154"/>
      <c r="E108" s="154"/>
      <c r="F108" s="154"/>
      <c r="G108" s="154"/>
      <c r="H108" s="154"/>
    </row>
    <row r="109" spans="1:8">
      <c r="A109" s="169" t="s">
        <v>27</v>
      </c>
      <c r="B109" s="170">
        <v>38600</v>
      </c>
      <c r="C109" s="154"/>
      <c r="D109" s="154"/>
      <c r="E109" s="154"/>
      <c r="F109" s="154"/>
      <c r="G109" s="154"/>
      <c r="H109" s="154"/>
    </row>
    <row r="110" spans="1:8">
      <c r="A110" s="169" t="s">
        <v>28</v>
      </c>
      <c r="B110" s="154"/>
      <c r="C110" s="154"/>
      <c r="D110" s="154"/>
      <c r="E110" s="154"/>
      <c r="F110" s="154"/>
      <c r="G110" s="154"/>
      <c r="H110" s="154"/>
    </row>
    <row r="111" spans="1:8">
      <c r="A111" s="169" t="s">
        <v>29</v>
      </c>
      <c r="B111" s="154"/>
      <c r="C111" s="154"/>
      <c r="D111" s="154"/>
      <c r="E111" s="154"/>
      <c r="F111" s="154"/>
      <c r="G111" s="154"/>
      <c r="H111" s="154"/>
    </row>
    <row r="112" spans="1:8">
      <c r="A112" s="169" t="s">
        <v>30</v>
      </c>
      <c r="B112" s="154"/>
      <c r="C112" s="154"/>
      <c r="D112" s="154"/>
      <c r="E112" s="154"/>
      <c r="F112" s="154"/>
      <c r="G112" s="154"/>
      <c r="H112" s="154"/>
    </row>
    <row r="115" spans="1:10">
      <c r="A115" s="175" t="s">
        <v>31</v>
      </c>
      <c r="B115" s="176" t="s">
        <v>32</v>
      </c>
      <c r="C115" s="177">
        <v>38996</v>
      </c>
      <c r="D115" s="154"/>
      <c r="E115" s="154"/>
      <c r="F115" s="154"/>
      <c r="G115" s="154"/>
      <c r="H115" s="154"/>
      <c r="I115" s="154"/>
      <c r="J115" s="154"/>
    </row>
    <row r="116" spans="1:10">
      <c r="A116" s="175" t="s">
        <v>33</v>
      </c>
      <c r="B116" s="178" t="s">
        <v>307</v>
      </c>
      <c r="C116" s="178" t="s">
        <v>34</v>
      </c>
      <c r="D116" s="154"/>
      <c r="E116" s="178" t="s">
        <v>559</v>
      </c>
      <c r="F116" s="178" t="s">
        <v>307</v>
      </c>
      <c r="G116" s="178" t="s">
        <v>34</v>
      </c>
      <c r="H116" s="178" t="s">
        <v>10</v>
      </c>
      <c r="I116" s="178" t="s">
        <v>35</v>
      </c>
      <c r="J116" s="178" t="s">
        <v>34</v>
      </c>
    </row>
    <row r="117" spans="1:10">
      <c r="A117" s="169" t="s">
        <v>36</v>
      </c>
      <c r="B117" s="154">
        <v>32000</v>
      </c>
      <c r="C117" s="154">
        <v>97.2</v>
      </c>
      <c r="D117" s="154"/>
      <c r="E117" s="154" t="s">
        <v>2286</v>
      </c>
      <c r="F117" s="154">
        <v>33000</v>
      </c>
      <c r="G117" s="154">
        <v>99</v>
      </c>
      <c r="H117" s="154" t="s">
        <v>20</v>
      </c>
      <c r="I117" s="154">
        <v>33000</v>
      </c>
      <c r="J117" s="154">
        <v>99.7</v>
      </c>
    </row>
    <row r="118" spans="1:10">
      <c r="A118" s="169" t="s">
        <v>37</v>
      </c>
      <c r="B118" s="154">
        <v>34000</v>
      </c>
      <c r="C118" s="154">
        <v>97.2</v>
      </c>
      <c r="D118" s="154"/>
      <c r="E118" s="154" t="s">
        <v>38</v>
      </c>
      <c r="F118" s="154"/>
      <c r="G118" s="154">
        <v>99</v>
      </c>
      <c r="H118" s="154" t="s">
        <v>39</v>
      </c>
      <c r="I118" s="154">
        <v>34000</v>
      </c>
      <c r="J118" s="154">
        <v>99.7</v>
      </c>
    </row>
    <row r="119" spans="1:10">
      <c r="A119" s="169" t="s">
        <v>2345</v>
      </c>
      <c r="B119" s="154">
        <v>42000</v>
      </c>
      <c r="C119" s="154">
        <v>97</v>
      </c>
      <c r="D119" s="154"/>
      <c r="E119" s="154" t="s">
        <v>621</v>
      </c>
      <c r="F119" s="154">
        <v>35000</v>
      </c>
      <c r="G119" s="154">
        <v>99</v>
      </c>
      <c r="H119" s="154" t="s">
        <v>40</v>
      </c>
      <c r="I119" s="154">
        <v>35000</v>
      </c>
      <c r="J119" s="154">
        <v>99.7</v>
      </c>
    </row>
    <row r="120" spans="1:10">
      <c r="A120" s="169" t="s">
        <v>41</v>
      </c>
      <c r="B120" s="154">
        <v>43000</v>
      </c>
      <c r="C120" s="154">
        <v>97.2</v>
      </c>
      <c r="D120" s="154"/>
      <c r="E120" s="154" t="s">
        <v>42</v>
      </c>
      <c r="F120" s="154">
        <v>36000</v>
      </c>
      <c r="G120" s="154">
        <v>99</v>
      </c>
      <c r="H120" s="154" t="s">
        <v>18</v>
      </c>
      <c r="I120" s="154">
        <v>38300</v>
      </c>
      <c r="J120" s="154">
        <v>100</v>
      </c>
    </row>
    <row r="121" spans="1:10">
      <c r="A121" s="169" t="s">
        <v>43</v>
      </c>
      <c r="B121" s="154">
        <v>43000</v>
      </c>
      <c r="C121" s="154">
        <v>97</v>
      </c>
      <c r="D121" s="154"/>
      <c r="E121" s="154" t="s">
        <v>44</v>
      </c>
      <c r="F121" s="154">
        <v>39000</v>
      </c>
      <c r="G121" s="154">
        <v>111.6</v>
      </c>
      <c r="H121" s="154" t="s">
        <v>17</v>
      </c>
      <c r="I121" s="154">
        <v>42000</v>
      </c>
      <c r="J121" s="154">
        <v>109</v>
      </c>
    </row>
    <row r="122" spans="1:10">
      <c r="A122" s="169" t="s">
        <v>45</v>
      </c>
      <c r="B122" s="154">
        <v>41000</v>
      </c>
      <c r="C122" s="154">
        <v>97</v>
      </c>
      <c r="D122" s="154"/>
      <c r="E122" s="154" t="s">
        <v>46</v>
      </c>
      <c r="F122" s="154">
        <v>50000</v>
      </c>
      <c r="G122" s="154">
        <v>125</v>
      </c>
      <c r="H122" s="154" t="s">
        <v>47</v>
      </c>
      <c r="I122" s="154">
        <v>48000</v>
      </c>
      <c r="J122" s="154">
        <v>125</v>
      </c>
    </row>
    <row r="123" spans="1:10">
      <c r="A123" s="169" t="s">
        <v>2363</v>
      </c>
      <c r="B123" s="154">
        <v>44000</v>
      </c>
      <c r="C123" s="154">
        <v>124.7</v>
      </c>
      <c r="D123" s="154"/>
      <c r="E123" s="154" t="s">
        <v>48</v>
      </c>
      <c r="F123" s="154">
        <v>42000</v>
      </c>
      <c r="G123" s="154">
        <v>125</v>
      </c>
      <c r="H123" s="154" t="s">
        <v>22</v>
      </c>
      <c r="I123" s="154"/>
      <c r="J123" s="154">
        <v>125</v>
      </c>
    </row>
    <row r="124" spans="1:10">
      <c r="A124" s="169" t="s">
        <v>49</v>
      </c>
      <c r="B124" s="154">
        <v>49000</v>
      </c>
      <c r="C124" s="154">
        <v>124.7</v>
      </c>
      <c r="D124" s="154"/>
      <c r="E124" s="154" t="s">
        <v>619</v>
      </c>
      <c r="F124" s="154">
        <v>56000</v>
      </c>
      <c r="G124" s="154">
        <v>150</v>
      </c>
      <c r="H124" s="154" t="s">
        <v>16</v>
      </c>
      <c r="I124" s="154">
        <v>47300</v>
      </c>
      <c r="J124" s="154">
        <v>147.5</v>
      </c>
    </row>
    <row r="125" spans="1:10">
      <c r="A125" s="169" t="s">
        <v>2365</v>
      </c>
      <c r="B125" s="154">
        <v>54000</v>
      </c>
      <c r="C125" s="154">
        <v>125</v>
      </c>
      <c r="D125" s="154"/>
      <c r="E125" s="154" t="s">
        <v>619</v>
      </c>
      <c r="F125" s="154">
        <v>59000</v>
      </c>
      <c r="G125" s="154">
        <v>179</v>
      </c>
      <c r="H125" s="154" t="s">
        <v>23</v>
      </c>
      <c r="I125" s="154">
        <v>56000</v>
      </c>
      <c r="J125" s="154">
        <v>147.5</v>
      </c>
    </row>
    <row r="126" spans="1:10">
      <c r="A126" s="169" t="s">
        <v>50</v>
      </c>
      <c r="B126" s="154">
        <v>52000</v>
      </c>
      <c r="C126" s="154">
        <v>157</v>
      </c>
      <c r="D126" s="154"/>
      <c r="E126" s="154" t="s">
        <v>51</v>
      </c>
      <c r="F126" s="154">
        <v>65000</v>
      </c>
      <c r="G126" s="154">
        <v>179</v>
      </c>
      <c r="H126" s="154"/>
      <c r="I126" s="154"/>
      <c r="J126" s="154"/>
    </row>
    <row r="127" spans="1:10">
      <c r="A127" s="169" t="s">
        <v>52</v>
      </c>
      <c r="B127" s="154">
        <v>63000</v>
      </c>
      <c r="C127" s="154">
        <v>157</v>
      </c>
      <c r="D127" s="154"/>
      <c r="E127" s="154"/>
      <c r="F127" s="154"/>
      <c r="G127" s="154"/>
      <c r="H127" s="154"/>
      <c r="I127" s="154"/>
      <c r="J127" s="154"/>
    </row>
    <row r="128" spans="1:10">
      <c r="A128" s="169" t="s">
        <v>53</v>
      </c>
      <c r="B128" s="154">
        <v>53400</v>
      </c>
      <c r="C128" s="154">
        <v>149.1</v>
      </c>
      <c r="D128" s="154"/>
      <c r="E128" s="154"/>
      <c r="F128" s="154"/>
      <c r="G128" s="154"/>
      <c r="H128" s="154"/>
      <c r="I128" s="154"/>
      <c r="J128" s="154"/>
    </row>
    <row r="129" spans="1:10">
      <c r="A129" s="169" t="s">
        <v>54</v>
      </c>
      <c r="B129" s="154">
        <v>72000</v>
      </c>
      <c r="C129" s="154">
        <v>223</v>
      </c>
      <c r="D129" s="154"/>
      <c r="E129" s="154"/>
      <c r="F129" s="154"/>
      <c r="G129" s="154"/>
      <c r="H129" s="154"/>
      <c r="I129" s="154"/>
      <c r="J129" s="154"/>
    </row>
  </sheetData>
  <mergeCells count="4">
    <mergeCell ref="D14:D16"/>
    <mergeCell ref="E14:E16"/>
    <mergeCell ref="F14:F16"/>
    <mergeCell ref="C54:C55"/>
  </mergeCells>
  <phoneticPr fontId="63" type="noConversion"/>
  <pageMargins left="0.75" right="0.75" top="1" bottom="1" header="0.5" footer="0.5"/>
  <headerFooter alignWithMargins="0"/>
  <legacy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E68"/>
  <sheetViews>
    <sheetView workbookViewId="0"/>
  </sheetViews>
  <sheetFormatPr defaultRowHeight="11.25"/>
  <cols>
    <col min="1" max="1" width="9" style="141"/>
    <col min="2" max="2" width="10.25" style="141" bestFit="1" customWidth="1"/>
    <col min="3" max="3" width="9" style="141"/>
    <col min="4" max="4" width="9" style="146"/>
    <col min="5" max="5" width="48.375" style="146" bestFit="1" customWidth="1"/>
    <col min="6" max="16384" width="9" style="141"/>
  </cols>
  <sheetData>
    <row r="1" spans="1:5">
      <c r="B1" s="142" t="s">
        <v>2240</v>
      </c>
      <c r="C1" s="142" t="s">
        <v>2241</v>
      </c>
      <c r="D1" s="143" t="s">
        <v>615</v>
      </c>
      <c r="E1" s="144" t="s">
        <v>2242</v>
      </c>
    </row>
    <row r="2" spans="1:5">
      <c r="A2" s="145">
        <v>39559</v>
      </c>
      <c r="B2" s="141" t="s">
        <v>2243</v>
      </c>
      <c r="D2" s="146" t="s">
        <v>2244</v>
      </c>
      <c r="E2" s="147" t="s">
        <v>2245</v>
      </c>
    </row>
    <row r="3" spans="1:5">
      <c r="A3" s="145">
        <v>39589</v>
      </c>
    </row>
    <row r="4" spans="1:5">
      <c r="A4" s="145">
        <v>39620</v>
      </c>
    </row>
    <row r="5" spans="1:5">
      <c r="A5" s="145">
        <v>39650</v>
      </c>
    </row>
    <row r="6" spans="1:5">
      <c r="A6" s="145">
        <v>39681</v>
      </c>
      <c r="B6" s="141" t="s">
        <v>2246</v>
      </c>
    </row>
    <row r="7" spans="1:5">
      <c r="A7" s="145">
        <v>39712</v>
      </c>
    </row>
    <row r="8" spans="1:5">
      <c r="A8" s="145">
        <v>39742</v>
      </c>
    </row>
    <row r="9" spans="1:5">
      <c r="A9" s="145">
        <v>39773</v>
      </c>
    </row>
    <row r="10" spans="1:5">
      <c r="A10" s="145">
        <v>39803</v>
      </c>
    </row>
    <row r="11" spans="1:5">
      <c r="A11" s="145">
        <v>39834</v>
      </c>
    </row>
    <row r="12" spans="1:5">
      <c r="A12" s="145">
        <v>39865</v>
      </c>
    </row>
    <row r="13" spans="1:5">
      <c r="A13" s="145">
        <v>39893</v>
      </c>
    </row>
    <row r="14" spans="1:5">
      <c r="A14" s="145">
        <v>39924</v>
      </c>
    </row>
    <row r="15" spans="1:5">
      <c r="A15" s="145">
        <v>39954</v>
      </c>
    </row>
    <row r="16" spans="1:5">
      <c r="A16" s="145">
        <v>39985</v>
      </c>
    </row>
    <row r="17" spans="1:2">
      <c r="A17" s="145">
        <v>40015</v>
      </c>
    </row>
    <row r="18" spans="1:2">
      <c r="A18" s="145">
        <v>40046</v>
      </c>
    </row>
    <row r="19" spans="1:2">
      <c r="A19" s="145">
        <v>40077</v>
      </c>
    </row>
    <row r="20" spans="1:2">
      <c r="A20" s="145">
        <v>40107</v>
      </c>
    </row>
    <row r="21" spans="1:2">
      <c r="A21" s="145">
        <v>40138</v>
      </c>
    </row>
    <row r="22" spans="1:2">
      <c r="A22" s="145">
        <v>40168</v>
      </c>
    </row>
    <row r="23" spans="1:2">
      <c r="A23" s="145">
        <v>40199</v>
      </c>
    </row>
    <row r="24" spans="1:2">
      <c r="A24" s="145">
        <v>40230</v>
      </c>
      <c r="B24" s="148">
        <v>0.02</v>
      </c>
    </row>
    <row r="25" spans="1:2">
      <c r="A25" s="145">
        <v>40258</v>
      </c>
    </row>
    <row r="26" spans="1:2">
      <c r="A26" s="145">
        <v>40289</v>
      </c>
    </row>
    <row r="27" spans="1:2">
      <c r="A27" s="145">
        <v>40319</v>
      </c>
    </row>
    <row r="28" spans="1:2">
      <c r="A28" s="145">
        <v>40350</v>
      </c>
      <c r="B28" s="141" t="s">
        <v>2247</v>
      </c>
    </row>
    <row r="29" spans="1:2">
      <c r="A29" s="145">
        <v>40380</v>
      </c>
    </row>
    <row r="30" spans="1:2">
      <c r="A30" s="145">
        <v>40411</v>
      </c>
    </row>
    <row r="31" spans="1:2">
      <c r="A31" s="145">
        <v>40442</v>
      </c>
    </row>
    <row r="32" spans="1:2">
      <c r="A32" s="145">
        <v>40472</v>
      </c>
      <c r="B32" s="141" t="s">
        <v>2248</v>
      </c>
    </row>
    <row r="33" spans="1:4">
      <c r="A33" s="145">
        <v>40503</v>
      </c>
    </row>
    <row r="34" spans="1:4">
      <c r="A34" s="145">
        <v>40533</v>
      </c>
    </row>
    <row r="35" spans="1:4">
      <c r="A35" s="145">
        <v>40564</v>
      </c>
      <c r="B35" s="141" t="s">
        <v>2249</v>
      </c>
      <c r="C35" s="141" t="s">
        <v>2250</v>
      </c>
      <c r="D35" s="146" t="s">
        <v>1324</v>
      </c>
    </row>
    <row r="36" spans="1:4">
      <c r="A36" s="145">
        <v>40595</v>
      </c>
    </row>
    <row r="37" spans="1:4">
      <c r="A37" s="145">
        <v>40623</v>
      </c>
    </row>
    <row r="38" spans="1:4">
      <c r="A38" s="145">
        <v>40654</v>
      </c>
      <c r="B38" s="141" t="s">
        <v>1325</v>
      </c>
      <c r="D38" s="146" t="s">
        <v>1326</v>
      </c>
    </row>
    <row r="39" spans="1:4">
      <c r="A39" s="145">
        <v>40684</v>
      </c>
      <c r="B39" s="141" t="s">
        <v>1325</v>
      </c>
      <c r="D39" s="146" t="s">
        <v>1327</v>
      </c>
    </row>
    <row r="40" spans="1:4">
      <c r="A40" s="145">
        <v>40715</v>
      </c>
    </row>
    <row r="41" spans="1:4">
      <c r="A41" s="145">
        <v>40745</v>
      </c>
      <c r="B41" s="141" t="s">
        <v>2251</v>
      </c>
    </row>
    <row r="42" spans="1:4">
      <c r="A42" s="145">
        <v>40776</v>
      </c>
      <c r="B42" s="146" t="s">
        <v>2252</v>
      </c>
    </row>
    <row r="43" spans="1:4">
      <c r="A43" s="145">
        <v>40807</v>
      </c>
    </row>
    <row r="44" spans="1:4">
      <c r="A44" s="145">
        <v>40837</v>
      </c>
      <c r="B44" s="146" t="s">
        <v>2253</v>
      </c>
    </row>
    <row r="45" spans="1:4">
      <c r="A45" s="145">
        <v>40868</v>
      </c>
    </row>
    <row r="46" spans="1:4">
      <c r="A46" s="149">
        <v>40878</v>
      </c>
    </row>
    <row r="47" spans="1:4">
      <c r="A47" s="149">
        <v>40909</v>
      </c>
    </row>
    <row r="48" spans="1:4">
      <c r="A48" s="149">
        <v>40940</v>
      </c>
      <c r="B48" s="146" t="s">
        <v>2254</v>
      </c>
    </row>
    <row r="49" spans="1:2">
      <c r="A49" s="149">
        <v>40969</v>
      </c>
    </row>
    <row r="50" spans="1:2">
      <c r="A50" s="149">
        <v>41000</v>
      </c>
    </row>
    <row r="51" spans="1:2">
      <c r="A51" s="149">
        <v>41030</v>
      </c>
      <c r="B51" s="146" t="s">
        <v>363</v>
      </c>
    </row>
    <row r="52" spans="1:2">
      <c r="A52" s="149">
        <v>41061</v>
      </c>
    </row>
    <row r="53" spans="1:2">
      <c r="A53" s="149">
        <v>41091</v>
      </c>
      <c r="B53" s="146" t="s">
        <v>2225</v>
      </c>
    </row>
    <row r="54" spans="1:2">
      <c r="A54" s="149">
        <v>41122</v>
      </c>
    </row>
    <row r="55" spans="1:2">
      <c r="A55" s="149">
        <v>41153</v>
      </c>
    </row>
    <row r="56" spans="1:2">
      <c r="A56" s="149">
        <v>41183</v>
      </c>
      <c r="B56" s="146" t="s">
        <v>2226</v>
      </c>
    </row>
    <row r="57" spans="1:2">
      <c r="A57" s="149">
        <v>41214</v>
      </c>
    </row>
    <row r="58" spans="1:2">
      <c r="A58" s="149">
        <v>41244</v>
      </c>
    </row>
    <row r="59" spans="1:2">
      <c r="A59" s="149">
        <v>41275</v>
      </c>
      <c r="B59" s="146" t="s">
        <v>1328</v>
      </c>
    </row>
    <row r="60" spans="1:2">
      <c r="A60" s="149">
        <v>41306</v>
      </c>
    </row>
    <row r="61" spans="1:2">
      <c r="A61" s="149">
        <v>41334</v>
      </c>
    </row>
    <row r="62" spans="1:2">
      <c r="A62" s="149">
        <v>41365</v>
      </c>
      <c r="B62" s="146" t="s">
        <v>1328</v>
      </c>
    </row>
    <row r="63" spans="1:2">
      <c r="A63" s="149">
        <v>41395</v>
      </c>
    </row>
    <row r="64" spans="1:2">
      <c r="A64" s="149">
        <v>41426</v>
      </c>
    </row>
    <row r="65" spans="1:2">
      <c r="A65" s="149">
        <v>41456</v>
      </c>
    </row>
    <row r="66" spans="1:2">
      <c r="A66" s="149">
        <v>41487</v>
      </c>
    </row>
    <row r="67" spans="1:2">
      <c r="A67" s="149">
        <v>41518</v>
      </c>
    </row>
    <row r="68" spans="1:2">
      <c r="A68" s="149">
        <v>41548</v>
      </c>
      <c r="B68" s="141" t="s">
        <v>646</v>
      </c>
    </row>
  </sheetData>
  <phoneticPr fontId="63" type="noConversion"/>
  <hyperlinks>
    <hyperlink ref="E2" r:id="rId1"/>
  </hyperlinks>
  <pageMargins left="0.75" right="0.75" top="1" bottom="1" header="0.5" footer="0.5"/>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K32"/>
  <sheetViews>
    <sheetView workbookViewId="0"/>
  </sheetViews>
  <sheetFormatPr defaultRowHeight="10.5"/>
  <cols>
    <col min="1" max="1" width="9" style="75"/>
    <col min="2" max="2" width="20.25" style="75" customWidth="1"/>
    <col min="3" max="3" width="11.75" style="75" customWidth="1"/>
    <col min="4" max="4" width="10.375" style="75" bestFit="1" customWidth="1"/>
    <col min="5" max="5" width="13" style="75" bestFit="1" customWidth="1"/>
    <col min="6" max="8" width="10.375" style="75" bestFit="1" customWidth="1"/>
    <col min="9" max="9" width="11.5" style="75" bestFit="1" customWidth="1"/>
    <col min="10" max="11" width="10.375" style="75" bestFit="1" customWidth="1"/>
    <col min="12" max="16384" width="9" style="75"/>
  </cols>
  <sheetData>
    <row r="1" spans="1:11">
      <c r="A1" s="77" t="s">
        <v>614</v>
      </c>
      <c r="B1" s="77" t="s">
        <v>615</v>
      </c>
    </row>
    <row r="2" spans="1:11">
      <c r="A2" s="75" t="s">
        <v>538</v>
      </c>
      <c r="B2" s="75" t="s">
        <v>945</v>
      </c>
    </row>
    <row r="3" spans="1:11">
      <c r="A3" s="75" t="s">
        <v>539</v>
      </c>
      <c r="B3" s="75" t="s">
        <v>946</v>
      </c>
    </row>
    <row r="4" spans="1:11">
      <c r="A4" s="75" t="s">
        <v>540</v>
      </c>
      <c r="B4" s="75" t="s">
        <v>947</v>
      </c>
    </row>
    <row r="8" spans="1:11">
      <c r="A8" s="77"/>
      <c r="B8" s="77"/>
    </row>
    <row r="9" spans="1:11">
      <c r="A9" s="77" t="s">
        <v>614</v>
      </c>
      <c r="B9" s="77" t="s">
        <v>194</v>
      </c>
      <c r="C9" s="890" t="s">
        <v>668</v>
      </c>
      <c r="D9" s="890" t="s">
        <v>314</v>
      </c>
      <c r="E9" s="890" t="s">
        <v>612</v>
      </c>
      <c r="F9" s="890" t="s">
        <v>195</v>
      </c>
      <c r="G9" s="890" t="s">
        <v>395</v>
      </c>
      <c r="H9" s="890" t="s">
        <v>279</v>
      </c>
      <c r="I9" s="890" t="s">
        <v>1419</v>
      </c>
      <c r="J9" s="890" t="s">
        <v>1857</v>
      </c>
      <c r="K9" s="890" t="s">
        <v>1858</v>
      </c>
    </row>
    <row r="10" spans="1:11">
      <c r="A10" s="75" t="s">
        <v>538</v>
      </c>
      <c r="B10" s="75" t="s">
        <v>948</v>
      </c>
      <c r="C10" s="76">
        <v>1860000</v>
      </c>
      <c r="D10" s="76">
        <v>1860000</v>
      </c>
      <c r="E10" s="76">
        <v>1860000</v>
      </c>
      <c r="F10" s="76">
        <f>1500000+540000</f>
        <v>2040000</v>
      </c>
      <c r="G10" s="76">
        <f>1500000+600000</f>
        <v>2100000</v>
      </c>
      <c r="H10" s="76">
        <f>1800000+600000</f>
        <v>2400000</v>
      </c>
      <c r="I10" s="76">
        <f>2100000+600000+60000</f>
        <v>2760000</v>
      </c>
      <c r="J10" s="75">
        <f>2400000+600000+60000</f>
        <v>3060000</v>
      </c>
      <c r="K10" s="75">
        <f>2400000+600000+60000</f>
        <v>3060000</v>
      </c>
    </row>
    <row r="11" spans="1:11">
      <c r="A11" s="75" t="s">
        <v>539</v>
      </c>
      <c r="B11" s="75" t="s">
        <v>946</v>
      </c>
      <c r="C11" s="76">
        <v>1200000</v>
      </c>
      <c r="D11" s="76">
        <v>1200000</v>
      </c>
      <c r="E11" s="76">
        <v>1200000</v>
      </c>
      <c r="F11" s="76">
        <v>1200000</v>
      </c>
      <c r="G11" s="76">
        <v>1200000</v>
      </c>
      <c r="H11" s="76">
        <v>1200000</v>
      </c>
      <c r="I11" s="76">
        <v>1200000</v>
      </c>
      <c r="J11" s="76">
        <v>1200000</v>
      </c>
      <c r="K11" s="891">
        <v>1200000</v>
      </c>
    </row>
    <row r="12" spans="1:11">
      <c r="A12" s="75" t="s">
        <v>540</v>
      </c>
      <c r="B12" s="75" t="s">
        <v>947</v>
      </c>
      <c r="C12" s="76">
        <v>900000</v>
      </c>
      <c r="D12" s="76">
        <v>900000</v>
      </c>
      <c r="E12" s="76">
        <v>1200000</v>
      </c>
      <c r="F12" s="76">
        <v>1800000</v>
      </c>
      <c r="G12" s="76">
        <v>1800000</v>
      </c>
      <c r="H12" s="76">
        <v>1800000</v>
      </c>
      <c r="I12" s="76">
        <v>1800000</v>
      </c>
      <c r="J12" s="76">
        <v>1800000</v>
      </c>
      <c r="K12" s="891">
        <v>1800000</v>
      </c>
    </row>
    <row r="13" spans="1:11">
      <c r="B13" s="77" t="s">
        <v>230</v>
      </c>
      <c r="C13" s="78">
        <f t="shared" ref="C13:I13" si="0">C10+C11+C12</f>
        <v>3960000</v>
      </c>
      <c r="D13" s="78">
        <f t="shared" si="0"/>
        <v>3960000</v>
      </c>
      <c r="E13" s="78">
        <f t="shared" si="0"/>
        <v>4260000</v>
      </c>
      <c r="F13" s="78">
        <f t="shared" si="0"/>
        <v>5040000</v>
      </c>
      <c r="G13" s="78">
        <f t="shared" si="0"/>
        <v>5100000</v>
      </c>
      <c r="H13" s="78">
        <f t="shared" si="0"/>
        <v>5400000</v>
      </c>
      <c r="I13" s="78">
        <f t="shared" si="0"/>
        <v>5760000</v>
      </c>
      <c r="J13" s="78">
        <f>J10+J11+J12</f>
        <v>6060000</v>
      </c>
      <c r="K13" s="78">
        <f>K10+K11+K12</f>
        <v>6060000</v>
      </c>
    </row>
    <row r="15" spans="1:11">
      <c r="I15" s="77" t="s">
        <v>620</v>
      </c>
    </row>
    <row r="16" spans="1:11">
      <c r="I16" s="132" t="s">
        <v>1419</v>
      </c>
    </row>
    <row r="17" spans="2:11">
      <c r="H17" s="75" t="s">
        <v>538</v>
      </c>
      <c r="I17" s="76">
        <f>1810000+450000</f>
        <v>2260000</v>
      </c>
    </row>
    <row r="18" spans="2:11">
      <c r="H18" s="75" t="s">
        <v>539</v>
      </c>
      <c r="I18" s="76">
        <v>690000</v>
      </c>
    </row>
    <row r="19" spans="2:11">
      <c r="H19" s="75" t="s">
        <v>540</v>
      </c>
      <c r="I19" s="76">
        <v>930000</v>
      </c>
    </row>
    <row r="20" spans="2:11">
      <c r="H20" s="77" t="s">
        <v>230</v>
      </c>
      <c r="I20" s="78">
        <f>SUM(I17:I19)</f>
        <v>3880000</v>
      </c>
    </row>
    <row r="22" spans="2:11">
      <c r="I22" s="893"/>
    </row>
    <row r="24" spans="2:11">
      <c r="B24" s="75" t="s">
        <v>2538</v>
      </c>
      <c r="K24" s="891">
        <f>2400000+1200000+1800000</f>
        <v>5400000</v>
      </c>
    </row>
    <row r="25" spans="2:11">
      <c r="B25" s="75" t="s">
        <v>2388</v>
      </c>
      <c r="K25" s="891">
        <v>600000</v>
      </c>
    </row>
    <row r="26" spans="2:11">
      <c r="B26" s="75" t="s">
        <v>2498</v>
      </c>
      <c r="K26" s="891">
        <v>60000</v>
      </c>
    </row>
    <row r="27" spans="2:11">
      <c r="B27" s="77" t="s">
        <v>230</v>
      </c>
      <c r="C27" s="892">
        <f t="shared" ref="C27:J27" si="1">+C24+C25+C26</f>
        <v>0</v>
      </c>
      <c r="D27" s="892">
        <f t="shared" si="1"/>
        <v>0</v>
      </c>
      <c r="E27" s="892">
        <f t="shared" si="1"/>
        <v>0</v>
      </c>
      <c r="F27" s="892">
        <f t="shared" si="1"/>
        <v>0</v>
      </c>
      <c r="G27" s="892">
        <f t="shared" si="1"/>
        <v>0</v>
      </c>
      <c r="H27" s="892">
        <f t="shared" si="1"/>
        <v>0</v>
      </c>
      <c r="I27" s="892">
        <f t="shared" si="1"/>
        <v>0</v>
      </c>
      <c r="J27" s="892">
        <f t="shared" si="1"/>
        <v>0</v>
      </c>
      <c r="K27" s="892">
        <f>+K24+K25+K26</f>
        <v>6060000</v>
      </c>
    </row>
    <row r="30" spans="2:11">
      <c r="K30" s="732">
        <f>+K24/$K$27*100</f>
        <v>89.10891089108911</v>
      </c>
    </row>
    <row r="31" spans="2:11">
      <c r="K31" s="732">
        <f t="shared" ref="K31:K32" si="2">+K25/$K$27*100</f>
        <v>9.9009900990099009</v>
      </c>
    </row>
    <row r="32" spans="2:11">
      <c r="K32" s="732">
        <f t="shared" si="2"/>
        <v>0.99009900990099009</v>
      </c>
    </row>
  </sheetData>
  <phoneticPr fontId="6" type="noConversion"/>
  <pageMargins left="0.75" right="0.75" top="1" bottom="1" header="0.5" footer="0.5"/>
  <pageSetup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B2:AC65"/>
  <sheetViews>
    <sheetView topLeftCell="A31" zoomScale="85" zoomScaleNormal="85" workbookViewId="0">
      <pane xSplit="3" topLeftCell="D1" activePane="topRight" state="frozen"/>
      <selection pane="topRight"/>
    </sheetView>
  </sheetViews>
  <sheetFormatPr defaultColWidth="8" defaultRowHeight="15"/>
  <cols>
    <col min="1" max="1" width="4.375" style="538" customWidth="1"/>
    <col min="2" max="2" width="24" style="538" customWidth="1"/>
    <col min="3" max="16384" width="8" style="538"/>
  </cols>
  <sheetData>
    <row r="2" spans="2:29">
      <c r="B2" s="537" t="s">
        <v>1194</v>
      </c>
    </row>
    <row r="3" spans="2:29">
      <c r="B3" s="538" t="s">
        <v>1195</v>
      </c>
      <c r="G3" s="537">
        <v>2012</v>
      </c>
      <c r="H3" s="537">
        <v>2013</v>
      </c>
      <c r="I3" s="539"/>
    </row>
    <row r="4" spans="2:29">
      <c r="B4" s="539" t="s">
        <v>1196</v>
      </c>
      <c r="G4" s="540">
        <v>0.41</v>
      </c>
      <c r="H4" s="540">
        <v>0.47</v>
      </c>
    </row>
    <row r="5" spans="2:29">
      <c r="B5" s="539" t="s">
        <v>1197</v>
      </c>
      <c r="G5" s="540">
        <v>0.18</v>
      </c>
      <c r="H5" s="540">
        <v>0.2</v>
      </c>
      <c r="I5" s="539"/>
    </row>
    <row r="6" spans="2:29">
      <c r="B6" s="539" t="s">
        <v>1198</v>
      </c>
      <c r="G6" s="540">
        <v>0.4</v>
      </c>
      <c r="H6" s="540">
        <v>0.32</v>
      </c>
      <c r="I6" s="539"/>
    </row>
    <row r="7" spans="2:29">
      <c r="B7" s="539" t="s">
        <v>1199</v>
      </c>
      <c r="G7" s="540">
        <v>0.01</v>
      </c>
      <c r="H7" s="540">
        <v>0.01</v>
      </c>
      <c r="I7" s="539"/>
    </row>
    <row r="9" spans="2:29">
      <c r="B9" s="539" t="s">
        <v>1200</v>
      </c>
    </row>
    <row r="10" spans="2:29">
      <c r="B10" s="538" t="s">
        <v>1195</v>
      </c>
      <c r="C10" s="541">
        <v>2008</v>
      </c>
      <c r="D10" s="537">
        <v>2009</v>
      </c>
      <c r="E10" s="537">
        <v>2010</v>
      </c>
      <c r="F10" s="537">
        <v>2011</v>
      </c>
    </row>
    <row r="11" spans="2:29">
      <c r="B11" s="539" t="s">
        <v>1201</v>
      </c>
      <c r="C11" s="540">
        <v>0.3</v>
      </c>
      <c r="D11" s="540">
        <v>0.43</v>
      </c>
      <c r="E11" s="540">
        <v>0.51</v>
      </c>
      <c r="F11" s="540">
        <v>0.48</v>
      </c>
    </row>
    <row r="12" spans="2:29">
      <c r="B12" s="539" t="s">
        <v>1202</v>
      </c>
      <c r="C12" s="540">
        <v>0.32</v>
      </c>
      <c r="D12" s="540">
        <v>0.27</v>
      </c>
      <c r="E12" s="540">
        <v>0.15</v>
      </c>
      <c r="F12" s="540">
        <v>0.28000000000000003</v>
      </c>
    </row>
    <row r="13" spans="2:29">
      <c r="B13" s="539" t="s">
        <v>1197</v>
      </c>
      <c r="C13" s="540">
        <v>0.25</v>
      </c>
      <c r="D13" s="540">
        <v>0.19</v>
      </c>
      <c r="E13" s="540">
        <v>0.25</v>
      </c>
      <c r="F13" s="540">
        <v>0.17</v>
      </c>
    </row>
    <row r="14" spans="2:29">
      <c r="B14" s="539" t="s">
        <v>1203</v>
      </c>
      <c r="C14" s="540">
        <v>0.13</v>
      </c>
      <c r="D14" s="540">
        <v>0.11</v>
      </c>
      <c r="E14" s="540">
        <v>0.09</v>
      </c>
      <c r="F14" s="540">
        <v>0.09</v>
      </c>
    </row>
    <row r="16" spans="2:29">
      <c r="AC16" s="538" t="s">
        <v>1204</v>
      </c>
    </row>
    <row r="17" spans="2:29">
      <c r="B17" s="541" t="s">
        <v>1205</v>
      </c>
      <c r="D17" s="542">
        <v>39263</v>
      </c>
      <c r="E17" s="542">
        <v>39355</v>
      </c>
      <c r="F17" s="542">
        <v>39447</v>
      </c>
      <c r="G17" s="542">
        <v>39538</v>
      </c>
      <c r="H17" s="542">
        <v>39629</v>
      </c>
      <c r="I17" s="542">
        <v>39721</v>
      </c>
      <c r="J17" s="542">
        <v>39813</v>
      </c>
      <c r="K17" s="542">
        <v>39903</v>
      </c>
      <c r="L17" s="542">
        <v>39994</v>
      </c>
      <c r="M17" s="542">
        <v>40086</v>
      </c>
      <c r="N17" s="542">
        <v>40178</v>
      </c>
      <c r="O17" s="542">
        <v>40268</v>
      </c>
      <c r="P17" s="542">
        <v>40359</v>
      </c>
      <c r="Q17" s="542">
        <v>40451</v>
      </c>
      <c r="R17" s="542">
        <v>40543</v>
      </c>
      <c r="S17" s="542">
        <v>40633</v>
      </c>
      <c r="T17" s="542">
        <v>40724</v>
      </c>
      <c r="U17" s="542">
        <v>40816</v>
      </c>
      <c r="V17" s="542">
        <v>40908</v>
      </c>
      <c r="W17" s="542">
        <v>40999</v>
      </c>
      <c r="X17" s="542">
        <v>41090</v>
      </c>
      <c r="Y17" s="542">
        <v>41182</v>
      </c>
      <c r="Z17" s="542">
        <v>41273</v>
      </c>
      <c r="AA17" s="542">
        <v>41364</v>
      </c>
      <c r="AB17" s="542">
        <v>41455</v>
      </c>
      <c r="AC17" s="542">
        <v>41499</v>
      </c>
    </row>
    <row r="18" spans="2:29">
      <c r="B18" s="538" t="s">
        <v>1206</v>
      </c>
      <c r="C18" s="538" t="s">
        <v>1207</v>
      </c>
      <c r="D18" s="543">
        <v>41.23</v>
      </c>
      <c r="E18" s="543">
        <v>40.533200000000001</v>
      </c>
      <c r="F18" s="543">
        <v>39.478000000000002</v>
      </c>
      <c r="G18" s="543">
        <v>39.796399999999998</v>
      </c>
      <c r="H18" s="543">
        <v>41.647599999999997</v>
      </c>
      <c r="I18" s="543">
        <v>43.778500000000001</v>
      </c>
      <c r="J18" s="543">
        <v>48.770400000000002</v>
      </c>
      <c r="K18" s="543">
        <v>49.797800000000002</v>
      </c>
      <c r="L18" s="543">
        <v>48.6768</v>
      </c>
      <c r="M18" s="543">
        <v>48.412700000000001</v>
      </c>
      <c r="N18" s="543">
        <v>46.632599999999996</v>
      </c>
      <c r="O18" s="543">
        <v>45.922499999999999</v>
      </c>
      <c r="P18" s="543">
        <v>45.676699999999997</v>
      </c>
      <c r="Q18" s="543">
        <v>46.506100000000004</v>
      </c>
      <c r="R18" s="543">
        <v>44.849400000000003</v>
      </c>
      <c r="S18" s="543">
        <v>45.263199999999998</v>
      </c>
      <c r="T18" s="543">
        <v>44.744399999999999</v>
      </c>
      <c r="U18" s="543">
        <v>45.781700000000001</v>
      </c>
      <c r="V18" s="543">
        <v>50.998699999999999</v>
      </c>
      <c r="W18" s="543">
        <v>50.300400000000003</v>
      </c>
      <c r="X18" s="543">
        <v>54.183300000000003</v>
      </c>
      <c r="Y18" s="543">
        <v>55.1877</v>
      </c>
      <c r="Z18" s="543">
        <v>54.153599999999997</v>
      </c>
      <c r="AA18" s="543">
        <v>54.170900000000003</v>
      </c>
      <c r="AB18" s="543">
        <v>55.957500000000003</v>
      </c>
      <c r="AC18" s="543">
        <v>64.13</v>
      </c>
    </row>
    <row r="19" spans="2:29">
      <c r="B19" s="538" t="s">
        <v>1208</v>
      </c>
      <c r="C19" s="538" t="s">
        <v>1209</v>
      </c>
      <c r="D19" s="544">
        <v>110.4</v>
      </c>
      <c r="E19" s="544">
        <v>112.4</v>
      </c>
      <c r="F19" s="544">
        <v>110.83</v>
      </c>
      <c r="G19" s="544">
        <v>107.93</v>
      </c>
      <c r="H19" s="544">
        <v>107.8</v>
      </c>
      <c r="I19" s="544">
        <v>107.74</v>
      </c>
      <c r="J19" s="544">
        <v>109.9</v>
      </c>
      <c r="K19" s="544">
        <v>114.11</v>
      </c>
      <c r="L19" s="544">
        <v>116.32</v>
      </c>
      <c r="M19" s="544">
        <v>114.85</v>
      </c>
      <c r="N19" s="544">
        <v>114.55</v>
      </c>
      <c r="O19" s="544">
        <v>114.36</v>
      </c>
      <c r="P19" s="544">
        <v>113.75</v>
      </c>
      <c r="Q19" s="544">
        <v>112.59</v>
      </c>
      <c r="R19" s="544">
        <v>111.44</v>
      </c>
      <c r="S19" s="544">
        <v>110.67</v>
      </c>
      <c r="T19" s="544">
        <v>109.88</v>
      </c>
      <c r="U19" s="544">
        <v>109.81</v>
      </c>
      <c r="V19" s="544">
        <v>111.81</v>
      </c>
      <c r="W19" s="544">
        <v>119.1</v>
      </c>
      <c r="X19" s="544">
        <v>130.07</v>
      </c>
      <c r="Y19" s="544">
        <v>132.22999999999999</v>
      </c>
      <c r="Z19" s="544">
        <v>129.22</v>
      </c>
      <c r="AA19" s="544">
        <v>126.81</v>
      </c>
      <c r="AB19" s="544">
        <v>126.77</v>
      </c>
      <c r="AC19" s="543">
        <v>132.47999999999999</v>
      </c>
    </row>
    <row r="20" spans="2:29">
      <c r="B20" s="538" t="s">
        <v>1210</v>
      </c>
      <c r="C20" s="538" t="s">
        <v>1211</v>
      </c>
      <c r="D20" s="545">
        <v>8967</v>
      </c>
      <c r="E20" s="545">
        <v>9249</v>
      </c>
      <c r="F20" s="545">
        <v>9239</v>
      </c>
      <c r="G20" s="545">
        <v>9253</v>
      </c>
      <c r="H20" s="545">
        <v>9262</v>
      </c>
      <c r="I20" s="545">
        <v>9223</v>
      </c>
      <c r="J20" s="545">
        <v>11048</v>
      </c>
      <c r="K20" s="545">
        <v>11623</v>
      </c>
      <c r="L20" s="545">
        <v>10542</v>
      </c>
      <c r="M20" s="545">
        <v>9985</v>
      </c>
      <c r="N20" s="545">
        <v>9467</v>
      </c>
      <c r="O20" s="545">
        <v>9262</v>
      </c>
      <c r="P20" s="545">
        <v>9116</v>
      </c>
      <c r="Q20" s="545">
        <v>8996</v>
      </c>
      <c r="R20" s="545">
        <v>8967</v>
      </c>
      <c r="S20" s="545">
        <v>8901</v>
      </c>
      <c r="T20" s="545">
        <v>8591</v>
      </c>
      <c r="U20" s="545">
        <v>8614</v>
      </c>
      <c r="V20" s="545">
        <v>8987</v>
      </c>
      <c r="W20" s="545">
        <v>9082</v>
      </c>
      <c r="X20" s="545">
        <v>9312</v>
      </c>
      <c r="Y20" s="545">
        <v>9507</v>
      </c>
      <c r="Z20" s="545">
        <v>9646</v>
      </c>
      <c r="AA20" s="545">
        <v>9707</v>
      </c>
      <c r="AB20" s="545">
        <v>9799</v>
      </c>
      <c r="AC20" s="545">
        <v>10848</v>
      </c>
    </row>
    <row r="21" spans="2:29">
      <c r="B21" s="538" t="s">
        <v>1212</v>
      </c>
      <c r="C21" s="538" t="s">
        <v>1213</v>
      </c>
      <c r="D21" s="545">
        <v>16069</v>
      </c>
      <c r="E21" s="545">
        <v>16182</v>
      </c>
      <c r="F21" s="545">
        <v>16063</v>
      </c>
      <c r="G21" s="545">
        <v>15950</v>
      </c>
      <c r="H21" s="545">
        <v>16267</v>
      </c>
      <c r="I21" s="545">
        <v>16679</v>
      </c>
      <c r="J21" s="545">
        <v>16883</v>
      </c>
      <c r="K21" s="545">
        <v>17508</v>
      </c>
      <c r="L21" s="545">
        <v>17784</v>
      </c>
      <c r="M21" s="545">
        <v>17818</v>
      </c>
      <c r="N21" s="545">
        <v>18099</v>
      </c>
      <c r="O21" s="545">
        <v>18748</v>
      </c>
      <c r="P21" s="545">
        <v>18988</v>
      </c>
      <c r="Q21" s="545">
        <v>19273</v>
      </c>
      <c r="R21" s="545">
        <v>19495</v>
      </c>
      <c r="S21" s="545">
        <v>20249</v>
      </c>
      <c r="T21" s="545">
        <v>20694</v>
      </c>
      <c r="U21" s="545">
        <v>20725</v>
      </c>
      <c r="V21" s="545">
        <v>20978</v>
      </c>
      <c r="W21" s="545">
        <v>20898</v>
      </c>
      <c r="X21" s="545">
        <v>20877</v>
      </c>
      <c r="Y21" s="545">
        <v>20865</v>
      </c>
      <c r="Z21" s="545">
        <v>20853</v>
      </c>
      <c r="AA21" s="545">
        <v>20881</v>
      </c>
      <c r="AB21" s="545">
        <v>20968</v>
      </c>
      <c r="AC21" s="545">
        <v>21135</v>
      </c>
    </row>
    <row r="22" spans="2:29">
      <c r="B22" s="538" t="s">
        <v>1214</v>
      </c>
      <c r="C22" s="538" t="s">
        <v>1215</v>
      </c>
      <c r="D22" s="545">
        <v>2019.78</v>
      </c>
      <c r="E22" s="545">
        <v>2042.03</v>
      </c>
      <c r="F22" s="545">
        <v>2020.1</v>
      </c>
      <c r="G22" s="545">
        <v>1909.33</v>
      </c>
      <c r="H22" s="545">
        <v>1767.33</v>
      </c>
      <c r="I22" s="545">
        <v>1905.28</v>
      </c>
      <c r="J22" s="545">
        <v>2293.23</v>
      </c>
      <c r="K22" s="545">
        <v>2418.38</v>
      </c>
      <c r="L22" s="545">
        <v>2228.15</v>
      </c>
      <c r="M22" s="545">
        <v>2013.6</v>
      </c>
      <c r="N22" s="545">
        <v>1964.81</v>
      </c>
      <c r="O22" s="545">
        <v>1942.59</v>
      </c>
      <c r="P22" s="545">
        <v>1949.57</v>
      </c>
      <c r="Q22" s="545">
        <v>1831.73</v>
      </c>
      <c r="R22" s="545">
        <v>1868.28</v>
      </c>
      <c r="S22" s="545">
        <v>1878.22</v>
      </c>
      <c r="T22" s="545">
        <v>1795.95</v>
      </c>
      <c r="U22" s="545">
        <v>1797.79</v>
      </c>
      <c r="V22" s="545">
        <v>1920.55</v>
      </c>
      <c r="W22" s="545">
        <v>1798.16</v>
      </c>
      <c r="X22" s="545">
        <v>1786.43</v>
      </c>
      <c r="Y22" s="545">
        <v>1797.56</v>
      </c>
      <c r="Z22" s="545">
        <v>1806.13</v>
      </c>
      <c r="AA22" s="545">
        <v>1792.15</v>
      </c>
      <c r="AB22" s="545">
        <v>1861.67</v>
      </c>
      <c r="AC22" s="545">
        <v>1917</v>
      </c>
    </row>
    <row r="23" spans="2:29">
      <c r="B23" s="538" t="s">
        <v>1216</v>
      </c>
      <c r="C23" s="538" t="s">
        <v>1217</v>
      </c>
      <c r="D23" s="543">
        <v>5.6921999999999997</v>
      </c>
      <c r="E23" s="543">
        <v>5.6574</v>
      </c>
      <c r="F23" s="543">
        <v>5.5290999999999997</v>
      </c>
      <c r="G23" s="543">
        <v>5.4962999999999997</v>
      </c>
      <c r="H23" s="543">
        <v>5.3707000000000003</v>
      </c>
      <c r="I23" s="543">
        <v>5.3554000000000004</v>
      </c>
      <c r="J23" s="543">
        <v>5.524</v>
      </c>
      <c r="K23" s="543">
        <v>5.5731000000000002</v>
      </c>
      <c r="L23" s="543">
        <v>5.6170999999999998</v>
      </c>
      <c r="M23" s="543">
        <v>5.5494000000000003</v>
      </c>
      <c r="N23" s="543">
        <v>5.4713000000000003</v>
      </c>
      <c r="O23" s="543">
        <v>5.4707999999999997</v>
      </c>
      <c r="P23" s="543">
        <v>5.6067999999999998</v>
      </c>
      <c r="Q23" s="543">
        <v>5.6951000000000001</v>
      </c>
      <c r="R23" s="543">
        <v>5.7618999999999998</v>
      </c>
      <c r="S23" s="543">
        <v>5.8757000000000001</v>
      </c>
      <c r="T23" s="543">
        <v>5.9505999999999997</v>
      </c>
      <c r="U23" s="543">
        <v>5.9603999999999999</v>
      </c>
      <c r="V23" s="543">
        <v>5.9904000000000002</v>
      </c>
      <c r="W23" s="543">
        <v>6.0354000000000001</v>
      </c>
      <c r="X23" s="543">
        <v>6.0442999999999998</v>
      </c>
      <c r="Y23" s="543">
        <v>6.0799000000000003</v>
      </c>
      <c r="Z23" s="543">
        <v>6.1234000000000002</v>
      </c>
      <c r="AA23" s="543">
        <v>6.6837</v>
      </c>
      <c r="AB23" s="543">
        <v>6.9474</v>
      </c>
      <c r="AC23" s="543">
        <v>6.9863</v>
      </c>
    </row>
    <row r="24" spans="2:29">
      <c r="B24" s="538" t="s">
        <v>1218</v>
      </c>
      <c r="C24" s="538" t="s">
        <v>1219</v>
      </c>
      <c r="D24" s="543">
        <v>127.64</v>
      </c>
      <c r="E24" s="543">
        <v>126.54</v>
      </c>
      <c r="F24" s="543">
        <v>120.62</v>
      </c>
      <c r="G24" s="543">
        <v>117.37</v>
      </c>
      <c r="H24" s="543">
        <v>117.74</v>
      </c>
      <c r="I24" s="543">
        <v>117.72</v>
      </c>
      <c r="J24" s="543">
        <v>123.2</v>
      </c>
      <c r="K24" s="543">
        <v>147.9</v>
      </c>
      <c r="L24" s="543">
        <v>148.41999999999999</v>
      </c>
      <c r="M24" s="543">
        <v>152.66999999999999</v>
      </c>
      <c r="N24" s="543">
        <v>150.26</v>
      </c>
      <c r="O24" s="543">
        <v>150.47</v>
      </c>
      <c r="P24" s="543">
        <v>150.94999999999999</v>
      </c>
      <c r="Q24" s="543">
        <v>150.99</v>
      </c>
      <c r="R24" s="543">
        <v>151.71</v>
      </c>
      <c r="S24" s="543">
        <v>153.52000000000001</v>
      </c>
      <c r="T24" s="543">
        <v>155.35</v>
      </c>
      <c r="U24" s="543">
        <v>154.34</v>
      </c>
      <c r="V24" s="543">
        <v>160.38</v>
      </c>
      <c r="W24" s="543">
        <v>159.26</v>
      </c>
      <c r="X24" s="543">
        <v>159.43</v>
      </c>
      <c r="Y24" s="543">
        <v>159.33000000000001</v>
      </c>
      <c r="Z24" s="543">
        <v>157.32</v>
      </c>
      <c r="AA24" s="543">
        <v>157.52000000000001</v>
      </c>
      <c r="AB24" s="543">
        <v>158.72</v>
      </c>
      <c r="AC24" s="543">
        <v>161.63999999999999</v>
      </c>
    </row>
    <row r="26" spans="2:29">
      <c r="B26" s="538" t="s">
        <v>1220</v>
      </c>
    </row>
    <row r="27" spans="2:29">
      <c r="B27" s="538" t="s">
        <v>1206</v>
      </c>
      <c r="C27" s="538" t="s">
        <v>1207</v>
      </c>
      <c r="H27" s="546">
        <f t="shared" ref="H27:Q33" si="0">(+H18/D18-1)*100</f>
        <v>1.0128547174387492</v>
      </c>
      <c r="I27" s="546">
        <f t="shared" si="0"/>
        <v>8.0065230477731841</v>
      </c>
      <c r="J27" s="546">
        <f t="shared" si="0"/>
        <v>23.538173159734544</v>
      </c>
      <c r="K27" s="546">
        <f t="shared" si="0"/>
        <v>25.131418922314587</v>
      </c>
      <c r="L27" s="546">
        <f t="shared" si="0"/>
        <v>16.87780328278221</v>
      </c>
      <c r="M27" s="546">
        <f t="shared" si="0"/>
        <v>10.585561405712852</v>
      </c>
      <c r="N27" s="546">
        <f t="shared" si="0"/>
        <v>-4.3833964863933979</v>
      </c>
      <c r="O27" s="546">
        <f t="shared" si="0"/>
        <v>-7.7820706938860784</v>
      </c>
      <c r="P27" s="546">
        <f t="shared" si="0"/>
        <v>-6.1633057226440631</v>
      </c>
      <c r="Q27" s="546">
        <f t="shared" si="0"/>
        <v>-3.9382228216976123</v>
      </c>
      <c r="R27" s="546">
        <f t="shared" ref="R27:AA33" si="1">(+R18/N18-1)*100</f>
        <v>-3.8239343292031602</v>
      </c>
      <c r="S27" s="546">
        <f t="shared" si="1"/>
        <v>-1.4356796777178937</v>
      </c>
      <c r="T27" s="546">
        <f t="shared" si="1"/>
        <v>-2.0410844040834819</v>
      </c>
      <c r="U27" s="546">
        <f t="shared" si="1"/>
        <v>-1.5576451261232416</v>
      </c>
      <c r="V27" s="546">
        <f t="shared" si="1"/>
        <v>13.710997248569656</v>
      </c>
      <c r="W27" s="546">
        <f t="shared" si="1"/>
        <v>11.128687322151332</v>
      </c>
      <c r="X27" s="546">
        <f t="shared" si="1"/>
        <v>21.095153806956858</v>
      </c>
      <c r="Y27" s="546">
        <f t="shared" si="1"/>
        <v>20.545327062996787</v>
      </c>
      <c r="Z27" s="546">
        <f t="shared" si="1"/>
        <v>6.1862361197442262</v>
      </c>
      <c r="AA27" s="546">
        <f t="shared" si="1"/>
        <v>7.6947698229040018</v>
      </c>
      <c r="AB27" s="546">
        <f t="shared" ref="AB27:AC33" si="2">(+AB18/X18-1)*100</f>
        <v>3.2744406486869604</v>
      </c>
      <c r="AC27" s="546">
        <f t="shared" si="2"/>
        <v>16.203429387345359</v>
      </c>
    </row>
    <row r="28" spans="2:29">
      <c r="B28" s="538" t="s">
        <v>1208</v>
      </c>
      <c r="C28" s="538" t="s">
        <v>1209</v>
      </c>
      <c r="H28" s="546">
        <f t="shared" si="0"/>
        <v>-2.3550724637681264</v>
      </c>
      <c r="I28" s="546">
        <f t="shared" si="0"/>
        <v>-4.1459074733096184</v>
      </c>
      <c r="J28" s="546">
        <f t="shared" si="0"/>
        <v>-0.83912298114228179</v>
      </c>
      <c r="K28" s="546">
        <f t="shared" si="0"/>
        <v>5.725933475400713</v>
      </c>
      <c r="L28" s="546">
        <f t="shared" si="0"/>
        <v>7.9035250463821871</v>
      </c>
      <c r="M28" s="546">
        <f t="shared" si="0"/>
        <v>6.5992203452756693</v>
      </c>
      <c r="N28" s="546">
        <f t="shared" si="0"/>
        <v>4.2311191992720598</v>
      </c>
      <c r="O28" s="546">
        <f t="shared" si="0"/>
        <v>0.21908684602576223</v>
      </c>
      <c r="P28" s="546">
        <f t="shared" si="0"/>
        <v>-2.2094222833562549</v>
      </c>
      <c r="Q28" s="546">
        <f t="shared" si="0"/>
        <v>-1.9677840661732615</v>
      </c>
      <c r="R28" s="546">
        <f t="shared" si="1"/>
        <v>-2.7149716281099967</v>
      </c>
      <c r="S28" s="546">
        <f t="shared" si="1"/>
        <v>-3.226652675760755</v>
      </c>
      <c r="T28" s="546">
        <f t="shared" si="1"/>
        <v>-3.4021978021978039</v>
      </c>
      <c r="U28" s="546">
        <f t="shared" si="1"/>
        <v>-2.4691358024691357</v>
      </c>
      <c r="V28" s="546">
        <f t="shared" si="1"/>
        <v>0.33201722900215724</v>
      </c>
      <c r="W28" s="546">
        <f t="shared" si="1"/>
        <v>7.61724044456491</v>
      </c>
      <c r="X28" s="546">
        <f t="shared" si="1"/>
        <v>18.374590462322526</v>
      </c>
      <c r="Y28" s="546">
        <f t="shared" si="1"/>
        <v>20.417084054275559</v>
      </c>
      <c r="Z28" s="546">
        <f t="shared" si="1"/>
        <v>15.571058044897601</v>
      </c>
      <c r="AA28" s="546">
        <f t="shared" si="1"/>
        <v>6.4735516372796065</v>
      </c>
      <c r="AB28" s="546">
        <f t="shared" si="2"/>
        <v>-2.5370954101637588</v>
      </c>
      <c r="AC28" s="546">
        <f t="shared" si="2"/>
        <v>0.18906450881039927</v>
      </c>
    </row>
    <row r="29" spans="2:29">
      <c r="B29" s="538" t="s">
        <v>1210</v>
      </c>
      <c r="C29" s="538" t="s">
        <v>1211</v>
      </c>
      <c r="H29" s="546">
        <f t="shared" si="0"/>
        <v>3.2898405263744879</v>
      </c>
      <c r="I29" s="546">
        <f t="shared" si="0"/>
        <v>-0.28111147151043125</v>
      </c>
      <c r="J29" s="546">
        <f t="shared" si="0"/>
        <v>19.580041129992431</v>
      </c>
      <c r="K29" s="546">
        <f t="shared" si="0"/>
        <v>25.613314600670044</v>
      </c>
      <c r="L29" s="546">
        <f t="shared" si="0"/>
        <v>13.819909306845179</v>
      </c>
      <c r="M29" s="546">
        <f t="shared" si="0"/>
        <v>8.2619538111243571</v>
      </c>
      <c r="N29" s="546">
        <f t="shared" si="0"/>
        <v>-14.31028240405503</v>
      </c>
      <c r="O29" s="546">
        <f t="shared" si="0"/>
        <v>-20.31317215865095</v>
      </c>
      <c r="P29" s="546">
        <f t="shared" si="0"/>
        <v>-13.526845000948583</v>
      </c>
      <c r="Q29" s="546">
        <f t="shared" si="0"/>
        <v>-9.904857285928891</v>
      </c>
      <c r="R29" s="546">
        <f t="shared" si="1"/>
        <v>-5.2815041723882956</v>
      </c>
      <c r="S29" s="546">
        <f t="shared" si="1"/>
        <v>-3.8976462966961778</v>
      </c>
      <c r="T29" s="546">
        <f t="shared" si="1"/>
        <v>-5.7591048705572634</v>
      </c>
      <c r="U29" s="546">
        <f t="shared" si="1"/>
        <v>-4.2463317029791003</v>
      </c>
      <c r="V29" s="546">
        <f t="shared" si="1"/>
        <v>0.22304003568640596</v>
      </c>
      <c r="W29" s="546">
        <f t="shared" si="1"/>
        <v>2.0334793843388432</v>
      </c>
      <c r="X29" s="546">
        <f t="shared" si="1"/>
        <v>8.3925037830287597</v>
      </c>
      <c r="Y29" s="546">
        <f t="shared" si="1"/>
        <v>10.366844671465048</v>
      </c>
      <c r="Z29" s="546">
        <f t="shared" si="1"/>
        <v>7.3328140647602069</v>
      </c>
      <c r="AA29" s="546">
        <f t="shared" si="1"/>
        <v>6.8817441092270393</v>
      </c>
      <c r="AB29" s="546">
        <f t="shared" si="2"/>
        <v>5.2298109965635664</v>
      </c>
      <c r="AC29" s="546">
        <f t="shared" si="2"/>
        <v>14.10539602398233</v>
      </c>
    </row>
    <row r="30" spans="2:29">
      <c r="B30" s="538" t="s">
        <v>1212</v>
      </c>
      <c r="C30" s="538" t="s">
        <v>1213</v>
      </c>
      <c r="H30" s="546">
        <f t="shared" si="0"/>
        <v>1.2321861970253201</v>
      </c>
      <c r="I30" s="546">
        <f t="shared" si="0"/>
        <v>3.0713138054628608</v>
      </c>
      <c r="J30" s="546">
        <f t="shared" si="0"/>
        <v>5.1048994583826168</v>
      </c>
      <c r="K30" s="546">
        <f t="shared" si="0"/>
        <v>9.768025078369913</v>
      </c>
      <c r="L30" s="546">
        <f t="shared" si="0"/>
        <v>9.3256285731849751</v>
      </c>
      <c r="M30" s="546">
        <f t="shared" si="0"/>
        <v>6.8289465795311477</v>
      </c>
      <c r="N30" s="546">
        <f t="shared" si="0"/>
        <v>7.2025114020020098</v>
      </c>
      <c r="O30" s="546">
        <f t="shared" si="0"/>
        <v>7.0824765821338787</v>
      </c>
      <c r="P30" s="546">
        <f t="shared" si="0"/>
        <v>6.7701304543409835</v>
      </c>
      <c r="Q30" s="546">
        <f t="shared" si="0"/>
        <v>8.1658996520372682</v>
      </c>
      <c r="R30" s="546">
        <f t="shared" si="1"/>
        <v>7.7131333222830056</v>
      </c>
      <c r="S30" s="546">
        <f t="shared" si="1"/>
        <v>8.006187326648174</v>
      </c>
      <c r="T30" s="546">
        <f t="shared" si="1"/>
        <v>8.9846218664419553</v>
      </c>
      <c r="U30" s="546">
        <f t="shared" si="1"/>
        <v>7.5338556529860323</v>
      </c>
      <c r="V30" s="546">
        <f t="shared" si="1"/>
        <v>7.6070787381379734</v>
      </c>
      <c r="W30" s="546">
        <f t="shared" si="1"/>
        <v>3.2050965479776705</v>
      </c>
      <c r="X30" s="546">
        <f t="shared" si="1"/>
        <v>0.88431429399826733</v>
      </c>
      <c r="Y30" s="546">
        <f t="shared" si="1"/>
        <v>0.6755126658624766</v>
      </c>
      <c r="Z30" s="546">
        <f t="shared" si="1"/>
        <v>-0.59586233196682326</v>
      </c>
      <c r="AA30" s="546">
        <f t="shared" si="1"/>
        <v>-8.1347497368167154E-2</v>
      </c>
      <c r="AB30" s="546">
        <f t="shared" si="2"/>
        <v>0.43588638214302478</v>
      </c>
      <c r="AC30" s="546">
        <f t="shared" si="2"/>
        <v>1.294033069734013</v>
      </c>
    </row>
    <row r="31" spans="2:29">
      <c r="B31" s="538" t="s">
        <v>1214</v>
      </c>
      <c r="C31" s="538" t="s">
        <v>1215</v>
      </c>
      <c r="H31" s="546">
        <f t="shared" si="0"/>
        <v>-12.498886017289013</v>
      </c>
      <c r="I31" s="546">
        <f t="shared" si="0"/>
        <v>-6.6967674324079463</v>
      </c>
      <c r="J31" s="546">
        <f t="shared" si="0"/>
        <v>13.520617791198465</v>
      </c>
      <c r="K31" s="546">
        <f t="shared" si="0"/>
        <v>26.661184813520975</v>
      </c>
      <c r="L31" s="546">
        <f t="shared" si="0"/>
        <v>26.074360758884872</v>
      </c>
      <c r="M31" s="546">
        <f t="shared" si="0"/>
        <v>5.6852536110177931</v>
      </c>
      <c r="N31" s="546">
        <f t="shared" si="0"/>
        <v>-14.321284825333702</v>
      </c>
      <c r="O31" s="546">
        <f t="shared" si="0"/>
        <v>-19.673913942391195</v>
      </c>
      <c r="P31" s="546">
        <f t="shared" si="0"/>
        <v>-12.502748917263206</v>
      </c>
      <c r="Q31" s="546">
        <f t="shared" si="0"/>
        <v>-9.0320818434644341</v>
      </c>
      <c r="R31" s="546">
        <f t="shared" si="1"/>
        <v>-4.9129432362416736</v>
      </c>
      <c r="S31" s="546">
        <f t="shared" si="1"/>
        <v>-3.3136173870966013</v>
      </c>
      <c r="T31" s="546">
        <f t="shared" si="1"/>
        <v>-7.8796862897972275</v>
      </c>
      <c r="U31" s="546">
        <f t="shared" si="1"/>
        <v>-1.8528931665693138</v>
      </c>
      <c r="V31" s="546">
        <f t="shared" si="1"/>
        <v>2.7977605069903877</v>
      </c>
      <c r="W31" s="546">
        <f t="shared" si="1"/>
        <v>-4.2625464535570927</v>
      </c>
      <c r="X31" s="546">
        <f t="shared" si="1"/>
        <v>-0.53008157242684373</v>
      </c>
      <c r="Y31" s="546">
        <f t="shared" si="1"/>
        <v>-1.2793485334772203E-2</v>
      </c>
      <c r="Z31" s="546">
        <f t="shared" si="1"/>
        <v>-5.9576683762463833</v>
      </c>
      <c r="AA31" s="546">
        <f t="shared" si="1"/>
        <v>-0.33423054678115571</v>
      </c>
      <c r="AB31" s="546">
        <f t="shared" si="2"/>
        <v>4.2117519298265238</v>
      </c>
      <c r="AC31" s="546">
        <f t="shared" si="2"/>
        <v>6.6445626293420101</v>
      </c>
    </row>
    <row r="32" spans="2:29">
      <c r="B32" s="538" t="s">
        <v>1216</v>
      </c>
      <c r="C32" s="538" t="s">
        <v>1217</v>
      </c>
      <c r="H32" s="546">
        <f t="shared" si="0"/>
        <v>-5.6480798285372895</v>
      </c>
      <c r="I32" s="546">
        <f t="shared" si="0"/>
        <v>-5.3381411956022085</v>
      </c>
      <c r="J32" s="546">
        <f t="shared" si="0"/>
        <v>-9.2239243276481808E-2</v>
      </c>
      <c r="K32" s="546">
        <f t="shared" si="0"/>
        <v>1.3973036406309758</v>
      </c>
      <c r="L32" s="546">
        <f t="shared" si="0"/>
        <v>4.5878563315768783</v>
      </c>
      <c r="M32" s="546">
        <f t="shared" si="0"/>
        <v>3.6225118571908688</v>
      </c>
      <c r="N32" s="546">
        <f t="shared" si="0"/>
        <v>-0.95401882693699758</v>
      </c>
      <c r="O32" s="546">
        <f t="shared" si="0"/>
        <v>-1.8356031652042915</v>
      </c>
      <c r="P32" s="546">
        <f t="shared" si="0"/>
        <v>-0.18336864218191362</v>
      </c>
      <c r="Q32" s="546">
        <f t="shared" si="0"/>
        <v>2.6255090640429524</v>
      </c>
      <c r="R32" s="546">
        <f t="shared" si="1"/>
        <v>5.3113519638842588</v>
      </c>
      <c r="S32" s="546">
        <f t="shared" si="1"/>
        <v>7.4011113548292817</v>
      </c>
      <c r="T32" s="546">
        <f t="shared" si="1"/>
        <v>6.1318399086823128</v>
      </c>
      <c r="U32" s="546">
        <f t="shared" si="1"/>
        <v>4.6583905462590725</v>
      </c>
      <c r="V32" s="546">
        <f t="shared" si="1"/>
        <v>3.9657057567816345</v>
      </c>
      <c r="W32" s="546">
        <f t="shared" si="1"/>
        <v>2.7179740286263687</v>
      </c>
      <c r="X32" s="546">
        <f t="shared" si="1"/>
        <v>1.5746311296339854</v>
      </c>
      <c r="Y32" s="546">
        <f t="shared" si="1"/>
        <v>2.0048990000671063</v>
      </c>
      <c r="Z32" s="546">
        <f t="shared" si="1"/>
        <v>2.2202190170940161</v>
      </c>
      <c r="AA32" s="546">
        <f t="shared" si="1"/>
        <v>10.741624415945928</v>
      </c>
      <c r="AB32" s="546">
        <f t="shared" si="2"/>
        <v>14.941349701371553</v>
      </c>
      <c r="AC32" s="546">
        <f t="shared" si="2"/>
        <v>14.9081399365121</v>
      </c>
    </row>
    <row r="33" spans="2:29">
      <c r="B33" s="538" t="s">
        <v>1218</v>
      </c>
      <c r="C33" s="538" t="s">
        <v>1219</v>
      </c>
      <c r="H33" s="546">
        <f t="shared" si="0"/>
        <v>-7.7561892823566296</v>
      </c>
      <c r="I33" s="546">
        <f t="shared" si="0"/>
        <v>-6.970128022759603</v>
      </c>
      <c r="J33" s="546">
        <f t="shared" si="0"/>
        <v>2.1389487647156313</v>
      </c>
      <c r="K33" s="546">
        <f t="shared" si="0"/>
        <v>26.01175768935844</v>
      </c>
      <c r="L33" s="546">
        <f t="shared" si="0"/>
        <v>26.057414642432477</v>
      </c>
      <c r="M33" s="546">
        <f t="shared" si="0"/>
        <v>29.689092762487256</v>
      </c>
      <c r="N33" s="546">
        <f t="shared" si="0"/>
        <v>21.964285714285701</v>
      </c>
      <c r="O33" s="546">
        <f t="shared" si="0"/>
        <v>1.7376605814739543</v>
      </c>
      <c r="P33" s="546">
        <f t="shared" si="0"/>
        <v>1.7046220185958694</v>
      </c>
      <c r="Q33" s="546">
        <f t="shared" si="0"/>
        <v>-1.1004126547455195</v>
      </c>
      <c r="R33" s="546">
        <f t="shared" si="1"/>
        <v>0.96499401038201427</v>
      </c>
      <c r="S33" s="546">
        <f t="shared" si="1"/>
        <v>2.0269821226822637</v>
      </c>
      <c r="T33" s="546">
        <f t="shared" si="1"/>
        <v>2.9148724743292442</v>
      </c>
      <c r="U33" s="546">
        <f t="shared" si="1"/>
        <v>2.2186899794688353</v>
      </c>
      <c r="V33" s="546">
        <f t="shared" si="1"/>
        <v>5.7148507019972206</v>
      </c>
      <c r="W33" s="546">
        <f t="shared" si="1"/>
        <v>3.7389265242313563</v>
      </c>
      <c r="X33" s="546">
        <f t="shared" si="1"/>
        <v>2.62632764724815</v>
      </c>
      <c r="Y33" s="546">
        <f t="shared" si="1"/>
        <v>3.2331216794091011</v>
      </c>
      <c r="Z33" s="546">
        <f t="shared" si="1"/>
        <v>-1.9079685746352437</v>
      </c>
      <c r="AA33" s="546">
        <f t="shared" si="1"/>
        <v>-1.0925530578927423</v>
      </c>
      <c r="AB33" s="546">
        <f t="shared" si="2"/>
        <v>-0.44533651132159235</v>
      </c>
      <c r="AC33" s="546">
        <f t="shared" si="2"/>
        <v>1.4498211259649674</v>
      </c>
    </row>
    <row r="38" spans="2:29">
      <c r="B38" s="537" t="s">
        <v>1194</v>
      </c>
      <c r="C38" s="541">
        <v>2015</v>
      </c>
    </row>
    <row r="39" spans="2:29">
      <c r="B39" s="538" t="s">
        <v>1196</v>
      </c>
      <c r="C39" s="737">
        <v>0.43</v>
      </c>
    </row>
    <row r="40" spans="2:29">
      <c r="B40" s="538" t="s">
        <v>2414</v>
      </c>
      <c r="C40" s="737">
        <v>0.32</v>
      </c>
    </row>
    <row r="41" spans="2:29">
      <c r="B41" s="538" t="s">
        <v>1197</v>
      </c>
      <c r="C41" s="738">
        <v>0.19</v>
      </c>
    </row>
    <row r="42" spans="2:29">
      <c r="B42" s="538" t="s">
        <v>2390</v>
      </c>
      <c r="C42" s="737">
        <v>0.06</v>
      </c>
    </row>
    <row r="50" spans="2:3">
      <c r="B50" s="538" t="s">
        <v>1195</v>
      </c>
      <c r="C50" s="537">
        <v>2010</v>
      </c>
    </row>
    <row r="51" spans="2:3">
      <c r="B51" s="539" t="s">
        <v>1201</v>
      </c>
      <c r="C51" s="540">
        <v>0.51</v>
      </c>
    </row>
    <row r="52" spans="2:3">
      <c r="B52" s="539" t="s">
        <v>1202</v>
      </c>
      <c r="C52" s="540">
        <v>0.15</v>
      </c>
    </row>
    <row r="53" spans="2:3">
      <c r="B53" s="539" t="s">
        <v>1197</v>
      </c>
      <c r="C53" s="540">
        <v>0.25</v>
      </c>
    </row>
    <row r="54" spans="2:3">
      <c r="B54" s="539" t="s">
        <v>1203</v>
      </c>
      <c r="C54" s="540">
        <v>0.09</v>
      </c>
    </row>
    <row r="61" spans="2:3">
      <c r="B61" s="537" t="s">
        <v>1194</v>
      </c>
      <c r="C61" s="541">
        <v>2016</v>
      </c>
    </row>
    <row r="62" spans="2:3">
      <c r="B62" s="538" t="s">
        <v>1196</v>
      </c>
      <c r="C62" s="737">
        <v>0.43</v>
      </c>
    </row>
    <row r="63" spans="2:3">
      <c r="B63" s="538" t="s">
        <v>2414</v>
      </c>
      <c r="C63" s="737">
        <v>0.31</v>
      </c>
    </row>
    <row r="64" spans="2:3">
      <c r="B64" s="538" t="s">
        <v>1197</v>
      </c>
      <c r="C64" s="738">
        <v>0.2</v>
      </c>
    </row>
    <row r="65" spans="2:3">
      <c r="B65" s="538" t="s">
        <v>2390</v>
      </c>
      <c r="C65" s="737">
        <v>0.06</v>
      </c>
    </row>
  </sheetData>
  <phoneticPr fontId="75" type="noConversion"/>
  <pageMargins left="0.7" right="0.7" top="0.75" bottom="0.75" header="0.3" footer="0.3"/>
  <pageSetup paperSize="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7"/>
  <dimension ref="B1:J51"/>
  <sheetViews>
    <sheetView zoomScale="85" workbookViewId="0"/>
  </sheetViews>
  <sheetFormatPr defaultColWidth="8" defaultRowHeight="12.75"/>
  <cols>
    <col min="1" max="1" width="3.125" style="342" customWidth="1"/>
    <col min="2" max="2" width="26" style="342" customWidth="1"/>
    <col min="3" max="3" width="13.75" style="547" bestFit="1" customWidth="1"/>
    <col min="4" max="4" width="13.25" style="547" bestFit="1" customWidth="1"/>
    <col min="5" max="5" width="9.25" style="342" customWidth="1"/>
    <col min="6" max="6" width="19.75" style="342" bestFit="1" customWidth="1"/>
    <col min="7" max="7" width="13.875" style="342" bestFit="1" customWidth="1"/>
    <col min="8" max="8" width="13.375" style="342" bestFit="1" customWidth="1"/>
    <col min="9" max="9" width="11.5" style="342" bestFit="1" customWidth="1"/>
    <col min="10" max="16384" width="8" style="342"/>
  </cols>
  <sheetData>
    <row r="1" spans="2:10">
      <c r="B1" s="342" t="s">
        <v>1221</v>
      </c>
      <c r="G1" s="342" t="s">
        <v>1222</v>
      </c>
      <c r="H1" s="342" t="s">
        <v>1223</v>
      </c>
      <c r="I1" s="342" t="s">
        <v>1224</v>
      </c>
    </row>
    <row r="2" spans="2:10">
      <c r="B2" s="342" t="s">
        <v>1225</v>
      </c>
      <c r="C2" s="342">
        <v>56</v>
      </c>
      <c r="D2" s="547" t="s">
        <v>429</v>
      </c>
    </row>
    <row r="4" spans="2:10" ht="15">
      <c r="B4" s="548" t="s">
        <v>1226</v>
      </c>
      <c r="C4" s="342" t="s">
        <v>1227</v>
      </c>
      <c r="D4" s="342" t="s">
        <v>400</v>
      </c>
      <c r="E4" s="547" t="s">
        <v>1228</v>
      </c>
      <c r="H4" s="342" t="s">
        <v>1229</v>
      </c>
      <c r="I4" s="342" t="s">
        <v>1230</v>
      </c>
      <c r="J4" s="342" t="s">
        <v>1230</v>
      </c>
    </row>
    <row r="5" spans="2:10">
      <c r="B5" s="342" t="s">
        <v>1231</v>
      </c>
      <c r="C5" s="547">
        <v>2</v>
      </c>
      <c r="E5" s="549">
        <v>0.35</v>
      </c>
      <c r="H5" s="342" t="s">
        <v>1229</v>
      </c>
      <c r="I5" s="342" t="s">
        <v>1230</v>
      </c>
      <c r="J5" s="342" t="s">
        <v>1230</v>
      </c>
    </row>
    <row r="6" spans="2:10">
      <c r="B6" s="342" t="s">
        <v>1212</v>
      </c>
      <c r="C6" s="547">
        <v>3.3</v>
      </c>
      <c r="D6" s="550">
        <v>40908</v>
      </c>
      <c r="E6" s="549">
        <v>0.3</v>
      </c>
      <c r="H6" s="342" t="s">
        <v>1229</v>
      </c>
      <c r="I6" s="342" t="s">
        <v>1230</v>
      </c>
      <c r="J6" s="342" t="s">
        <v>1230</v>
      </c>
    </row>
    <row r="7" spans="2:10">
      <c r="B7" s="342" t="s">
        <v>1210</v>
      </c>
      <c r="C7" s="547">
        <v>8</v>
      </c>
      <c r="D7" s="550">
        <v>40908</v>
      </c>
      <c r="E7" s="549">
        <v>0.21</v>
      </c>
    </row>
    <row r="8" spans="2:10">
      <c r="B8" s="342" t="s">
        <v>1232</v>
      </c>
      <c r="C8" s="547">
        <v>13</v>
      </c>
      <c r="E8" s="549"/>
    </row>
    <row r="9" spans="2:10">
      <c r="B9" s="342" t="s">
        <v>1233</v>
      </c>
      <c r="C9" s="547">
        <v>17</v>
      </c>
      <c r="E9" s="549">
        <v>0.13</v>
      </c>
    </row>
    <row r="10" spans="2:10">
      <c r="E10" s="547"/>
    </row>
    <row r="11" spans="2:10" ht="15">
      <c r="B11" s="548" t="s">
        <v>1234</v>
      </c>
      <c r="C11" s="342" t="s">
        <v>1227</v>
      </c>
      <c r="D11" s="342"/>
      <c r="E11" s="547" t="s">
        <v>1228</v>
      </c>
    </row>
    <row r="12" spans="2:10">
      <c r="B12" s="342" t="s">
        <v>1235</v>
      </c>
      <c r="C12" s="551">
        <v>2</v>
      </c>
      <c r="D12" s="551"/>
      <c r="E12" s="549">
        <v>0.08</v>
      </c>
      <c r="H12" s="342" t="s">
        <v>1229</v>
      </c>
      <c r="I12" s="342" t="s">
        <v>1230</v>
      </c>
      <c r="J12" s="342" t="s">
        <v>1230</v>
      </c>
    </row>
    <row r="13" spans="2:10">
      <c r="B13" s="342" t="s">
        <v>1236</v>
      </c>
      <c r="C13" s="551">
        <v>0.72</v>
      </c>
      <c r="D13" s="551"/>
      <c r="E13" s="549">
        <v>7.0000000000000007E-2</v>
      </c>
      <c r="H13" s="342" t="s">
        <v>1230</v>
      </c>
    </row>
    <row r="14" spans="2:10">
      <c r="B14" s="342" t="s">
        <v>1237</v>
      </c>
      <c r="C14" s="551">
        <v>0.5</v>
      </c>
      <c r="D14" s="551"/>
      <c r="E14" s="549">
        <v>0.04</v>
      </c>
      <c r="H14" s="342" t="s">
        <v>1230</v>
      </c>
    </row>
    <row r="15" spans="2:10">
      <c r="B15" s="342" t="s">
        <v>1238</v>
      </c>
      <c r="C15" s="551">
        <v>0.24</v>
      </c>
      <c r="D15" s="551"/>
      <c r="E15" s="549">
        <v>0.03</v>
      </c>
      <c r="H15" s="342" t="s">
        <v>1230</v>
      </c>
    </row>
    <row r="16" spans="2:10">
      <c r="B16" s="342" t="s">
        <v>1239</v>
      </c>
      <c r="C16" s="551">
        <v>0.28000000000000003</v>
      </c>
      <c r="D16" s="551"/>
      <c r="E16" s="549">
        <v>0.03</v>
      </c>
      <c r="H16" s="342" t="s">
        <v>1230</v>
      </c>
    </row>
    <row r="17" spans="2:9">
      <c r="B17" s="342" t="s">
        <v>1240</v>
      </c>
      <c r="C17" s="551">
        <v>0.1</v>
      </c>
      <c r="D17" s="551"/>
      <c r="E17" s="549">
        <v>0.03</v>
      </c>
    </row>
    <row r="18" spans="2:9">
      <c r="B18" s="342" t="s">
        <v>1241</v>
      </c>
      <c r="C18" s="551">
        <v>0.1</v>
      </c>
      <c r="D18" s="551"/>
      <c r="E18" s="549">
        <v>0.02</v>
      </c>
    </row>
    <row r="19" spans="2:9">
      <c r="B19" s="342" t="s">
        <v>1242</v>
      </c>
      <c r="C19" s="551">
        <v>4.4999999999999998E-2</v>
      </c>
      <c r="D19" s="551"/>
      <c r="E19" s="549">
        <v>0.03</v>
      </c>
    </row>
    <row r="20" spans="2:9">
      <c r="B20" s="342" t="s">
        <v>1243</v>
      </c>
      <c r="C20" s="551"/>
      <c r="D20" s="551"/>
      <c r="E20" s="549">
        <v>0.08</v>
      </c>
      <c r="H20" s="342" t="s">
        <v>1229</v>
      </c>
      <c r="I20" s="342" t="s">
        <v>1230</v>
      </c>
    </row>
    <row r="21" spans="2:9">
      <c r="B21" s="342" t="s">
        <v>1244</v>
      </c>
      <c r="E21" s="549">
        <v>0.05</v>
      </c>
    </row>
    <row r="24" spans="2:9" ht="15">
      <c r="B24" s="548" t="s">
        <v>1196</v>
      </c>
      <c r="C24" s="342" t="s">
        <v>1227</v>
      </c>
      <c r="D24" s="547" t="s">
        <v>1228</v>
      </c>
      <c r="E24" s="342" t="s">
        <v>1245</v>
      </c>
    </row>
    <row r="25" spans="2:9">
      <c r="B25" s="342" t="s">
        <v>1218</v>
      </c>
      <c r="C25" s="551">
        <v>1.35</v>
      </c>
      <c r="D25" s="552">
        <v>3.4000000000000002E-2</v>
      </c>
      <c r="E25" s="549">
        <v>0.13</v>
      </c>
      <c r="G25" s="342" t="s">
        <v>1230</v>
      </c>
    </row>
    <row r="26" spans="2:9">
      <c r="B26" s="342" t="s">
        <v>1246</v>
      </c>
      <c r="C26" s="551">
        <v>0.8</v>
      </c>
      <c r="D26" s="552">
        <v>8.0000000000000002E-3</v>
      </c>
      <c r="E26" s="549">
        <v>0.39</v>
      </c>
      <c r="G26" s="342" t="s">
        <v>1229</v>
      </c>
      <c r="H26" s="342" t="s">
        <v>1230</v>
      </c>
    </row>
    <row r="27" spans="2:9">
      <c r="B27" s="342" t="s">
        <v>1247</v>
      </c>
      <c r="C27" s="551">
        <v>1</v>
      </c>
      <c r="D27" s="552">
        <v>2.5000000000000001E-2</v>
      </c>
      <c r="E27" s="549">
        <v>0.35</v>
      </c>
      <c r="G27" s="342" t="s">
        <v>1229</v>
      </c>
      <c r="H27" s="342" t="s">
        <v>1230</v>
      </c>
    </row>
    <row r="28" spans="2:9">
      <c r="B28" s="342" t="s">
        <v>1248</v>
      </c>
      <c r="C28" s="551">
        <v>0.4</v>
      </c>
      <c r="D28" s="552">
        <v>8.5000000000000006E-3</v>
      </c>
      <c r="E28" s="549">
        <v>5.5E-2</v>
      </c>
      <c r="G28" s="342" t="s">
        <v>1229</v>
      </c>
      <c r="H28" s="342" t="s">
        <v>1230</v>
      </c>
    </row>
    <row r="29" spans="2:9">
      <c r="C29" s="342"/>
      <c r="D29" s="342"/>
    </row>
    <row r="30" spans="2:9">
      <c r="B30" s="342" t="s">
        <v>1249</v>
      </c>
      <c r="C30" s="342"/>
      <c r="D30" s="342"/>
    </row>
    <row r="31" spans="2:9">
      <c r="B31" s="342" t="s">
        <v>1250</v>
      </c>
      <c r="C31" s="342"/>
      <c r="D31" s="342"/>
    </row>
    <row r="32" spans="2:9">
      <c r="B32" s="342" t="s">
        <v>1251</v>
      </c>
      <c r="C32" s="342"/>
      <c r="D32" s="342"/>
    </row>
    <row r="33" spans="2:9">
      <c r="B33" s="342" t="s">
        <v>1252</v>
      </c>
      <c r="C33" s="342"/>
      <c r="D33" s="342"/>
    </row>
    <row r="34" spans="2:9">
      <c r="B34" s="342" t="s">
        <v>1253</v>
      </c>
      <c r="C34" s="342"/>
      <c r="D34" s="342"/>
    </row>
    <row r="35" spans="2:9">
      <c r="C35" s="342"/>
      <c r="D35" s="342"/>
    </row>
    <row r="36" spans="2:9">
      <c r="C36" s="551" t="s">
        <v>1254</v>
      </c>
      <c r="D36" s="552" t="s">
        <v>1221</v>
      </c>
    </row>
    <row r="37" spans="2:9">
      <c r="B37" s="342" t="s">
        <v>1255</v>
      </c>
      <c r="C37" s="342" t="s">
        <v>1256</v>
      </c>
      <c r="D37" s="342"/>
    </row>
    <row r="38" spans="2:9">
      <c r="B38" s="342" t="s">
        <v>1257</v>
      </c>
      <c r="C38" s="342">
        <v>7</v>
      </c>
      <c r="D38" s="342"/>
    </row>
    <row r="39" spans="2:9">
      <c r="B39" s="342" t="s">
        <v>1258</v>
      </c>
      <c r="C39" s="342"/>
      <c r="D39" s="342"/>
    </row>
    <row r="40" spans="2:9">
      <c r="B40" s="342" t="s">
        <v>1259</v>
      </c>
      <c r="C40" s="342"/>
      <c r="D40" s="342"/>
    </row>
    <row r="41" spans="2:9">
      <c r="B41" s="342" t="s">
        <v>1216</v>
      </c>
      <c r="C41" s="547">
        <v>7</v>
      </c>
    </row>
    <row r="42" spans="2:9" ht="15">
      <c r="B42" s="342" t="s">
        <v>1272</v>
      </c>
      <c r="C42" s="547">
        <v>6</v>
      </c>
    </row>
    <row r="43" spans="2:9">
      <c r="B43" s="342" t="s">
        <v>1260</v>
      </c>
      <c r="C43" s="547">
        <v>3</v>
      </c>
    </row>
    <row r="47" spans="2:9">
      <c r="B47" s="794" t="s">
        <v>587</v>
      </c>
      <c r="C47" s="795" t="s">
        <v>314</v>
      </c>
      <c r="D47" s="795" t="s">
        <v>612</v>
      </c>
      <c r="E47" s="795" t="s">
        <v>195</v>
      </c>
      <c r="F47" s="795" t="s">
        <v>395</v>
      </c>
      <c r="G47" s="795" t="s">
        <v>279</v>
      </c>
      <c r="H47" s="795" t="s">
        <v>1419</v>
      </c>
      <c r="I47" s="795" t="s">
        <v>1857</v>
      </c>
    </row>
    <row r="48" spans="2:9">
      <c r="B48" s="793" t="s">
        <v>576</v>
      </c>
      <c r="C48" s="796">
        <f>+'Driver Sheet'!E31</f>
        <v>631383</v>
      </c>
      <c r="D48" s="796">
        <f>+'Driver Sheet'!F31</f>
        <v>725097</v>
      </c>
      <c r="E48" s="796">
        <f>+'Driver Sheet'!G31</f>
        <v>972437</v>
      </c>
      <c r="F48" s="796">
        <f>+'Driver Sheet'!H31</f>
        <v>1267648</v>
      </c>
      <c r="G48" s="796">
        <f>+'Driver Sheet'!I31</f>
        <v>1293231</v>
      </c>
      <c r="H48" s="796">
        <f>+'Driver Sheet'!J31</f>
        <v>1323173</v>
      </c>
      <c r="I48" s="796">
        <f>+'Driver Sheet'!K31</f>
        <v>1521306</v>
      </c>
    </row>
    <row r="49" spans="2:9">
      <c r="B49" s="793" t="s">
        <v>2419</v>
      </c>
      <c r="C49" s="796">
        <f>+'Driver Sheet'!E41</f>
        <v>139056</v>
      </c>
      <c r="D49" s="796">
        <f>+'Driver Sheet'!F41</f>
        <v>164909</v>
      </c>
      <c r="E49" s="796">
        <f>+'Driver Sheet'!G41</f>
        <v>231281</v>
      </c>
      <c r="F49" s="796">
        <f>+'Driver Sheet'!H41</f>
        <v>312176</v>
      </c>
      <c r="G49" s="796">
        <f>+'Driver Sheet'!I41</f>
        <v>253926</v>
      </c>
      <c r="H49" s="796">
        <f>+'Driver Sheet'!J41</f>
        <v>260762</v>
      </c>
      <c r="I49" s="796">
        <f>+'Driver Sheet'!K41</f>
        <v>284772</v>
      </c>
    </row>
    <row r="50" spans="2:9">
      <c r="B50" s="793" t="s">
        <v>230</v>
      </c>
      <c r="C50" s="547">
        <f>+SUM(C48:C49)</f>
        <v>770439</v>
      </c>
      <c r="D50" s="547">
        <f t="shared" ref="D50:I50" si="0">+SUM(D48:D49)</f>
        <v>890006</v>
      </c>
      <c r="E50" s="547">
        <f t="shared" si="0"/>
        <v>1203718</v>
      </c>
      <c r="F50" s="547">
        <f t="shared" si="0"/>
        <v>1579824</v>
      </c>
      <c r="G50" s="547">
        <f t="shared" si="0"/>
        <v>1547157</v>
      </c>
      <c r="H50" s="547">
        <f t="shared" si="0"/>
        <v>1583935</v>
      </c>
      <c r="I50" s="547">
        <f t="shared" si="0"/>
        <v>1806078</v>
      </c>
    </row>
    <row r="51" spans="2:9">
      <c r="B51" s="793" t="s">
        <v>406</v>
      </c>
      <c r="D51" s="797">
        <f t="shared" ref="D51:I51" si="1">+D50/C50-1</f>
        <v>0.15519333782427935</v>
      </c>
      <c r="E51" s="797">
        <f t="shared" si="1"/>
        <v>0.35248301696842499</v>
      </c>
      <c r="F51" s="797">
        <f t="shared" si="1"/>
        <v>0.3124535813205418</v>
      </c>
      <c r="G51" s="797">
        <f t="shared" si="1"/>
        <v>-2.0677619785495094E-2</v>
      </c>
      <c r="H51" s="797">
        <f t="shared" si="1"/>
        <v>2.3771343179780802E-2</v>
      </c>
      <c r="I51" s="797">
        <f t="shared" si="1"/>
        <v>0.14024754803700912</v>
      </c>
    </row>
  </sheetData>
  <phoneticPr fontId="75" type="noConversion"/>
  <pageMargins left="0.7" right="0.7" top="0.75" bottom="0.75" header="0.3" footer="0.3"/>
  <headerFooter alignWithMargins="0"/>
  <legacyDrawing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176"/>
  <sheetViews>
    <sheetView topLeftCell="A52" workbookViewId="0"/>
  </sheetViews>
  <sheetFormatPr defaultRowHeight="11.25"/>
  <cols>
    <col min="1" max="1" width="31.25" style="123" bestFit="1" customWidth="1"/>
    <col min="2" max="2" width="7.875" style="624" bestFit="1" customWidth="1"/>
    <col min="3" max="3" width="11.5" style="624" bestFit="1" customWidth="1"/>
    <col min="4" max="4" width="7.125" style="624" bestFit="1" customWidth="1"/>
    <col min="5" max="5" width="9.375" style="123" bestFit="1" customWidth="1"/>
    <col min="6" max="6" width="9.375" style="123" customWidth="1"/>
    <col min="7" max="16384" width="9" style="123"/>
  </cols>
  <sheetData>
    <row r="1" spans="1:8">
      <c r="A1" s="625"/>
      <c r="B1" s="142" t="s">
        <v>395</v>
      </c>
      <c r="C1" s="142" t="s">
        <v>279</v>
      </c>
      <c r="D1" s="142" t="s">
        <v>1419</v>
      </c>
      <c r="E1" s="142" t="s">
        <v>1857</v>
      </c>
      <c r="F1" s="142" t="s">
        <v>1858</v>
      </c>
      <c r="G1" s="142" t="s">
        <v>579</v>
      </c>
    </row>
    <row r="2" spans="1:8">
      <c r="A2" s="627" t="s">
        <v>2430</v>
      </c>
      <c r="B2" s="628">
        <f>Cashflow!L9</f>
        <v>40261.699999999997</v>
      </c>
      <c r="C2" s="628">
        <f>Cashflow!M9</f>
        <v>42662.3</v>
      </c>
      <c r="D2" s="628">
        <f>Cashflow!N9</f>
        <v>46320.5</v>
      </c>
      <c r="E2" s="628">
        <f>Cashflow!O9</f>
        <v>40847.9</v>
      </c>
      <c r="F2" s="628">
        <f>Cashflow!P9</f>
        <v>53851.8</v>
      </c>
      <c r="G2" s="629"/>
      <c r="H2" s="629"/>
    </row>
    <row r="3" spans="1:8">
      <c r="A3" s="629" t="s">
        <v>660</v>
      </c>
      <c r="B3" s="628">
        <f>Cashflow!L10</f>
        <v>1456.2</v>
      </c>
      <c r="C3" s="628">
        <f>Cashflow!M10</f>
        <v>1639.7</v>
      </c>
      <c r="D3" s="628">
        <f>Cashflow!N10</f>
        <v>1796.1</v>
      </c>
      <c r="E3" s="628">
        <f>Cashflow!O10</f>
        <v>2674</v>
      </c>
      <c r="F3" s="628">
        <f>Cashflow!P10</f>
        <v>3071.6</v>
      </c>
      <c r="G3" s="629"/>
      <c r="H3" s="629"/>
    </row>
    <row r="4" spans="1:8">
      <c r="A4" s="629" t="s">
        <v>2429</v>
      </c>
      <c r="B4" s="628">
        <f>SUM(Cashflow!L11:L19)</f>
        <v>-1432.5</v>
      </c>
      <c r="C4" s="628">
        <f>SUM(Cashflow!M11:M19)</f>
        <v>-5351.3</v>
      </c>
      <c r="D4" s="628">
        <f>SUM(Cashflow!N11:N19)</f>
        <v>-3825</v>
      </c>
      <c r="E4" s="628">
        <f>SUM(Cashflow!O11:O19)</f>
        <v>-3559.8</v>
      </c>
      <c r="F4" s="628">
        <f>SUM(Cashflow!P11:P19)</f>
        <v>-7278.6</v>
      </c>
      <c r="G4" s="629"/>
      <c r="H4" s="629"/>
    </row>
    <row r="5" spans="1:8">
      <c r="A5" s="630" t="s">
        <v>1901</v>
      </c>
      <c r="B5" s="631">
        <f>B2+B3+B4</f>
        <v>40285.399999999994</v>
      </c>
      <c r="C5" s="631">
        <f>C2+C3+C4</f>
        <v>38950.699999999997</v>
      </c>
      <c r="D5" s="631">
        <f>D2+D3+D4</f>
        <v>44291.6</v>
      </c>
      <c r="E5" s="631">
        <f>E2+E3+E4</f>
        <v>39962.1</v>
      </c>
      <c r="F5" s="631">
        <f>F2+F3+F4</f>
        <v>49644.800000000003</v>
      </c>
      <c r="G5" s="632">
        <f>+(E5/D5-1)*100</f>
        <v>-9.7749911947186412</v>
      </c>
      <c r="H5" s="629"/>
    </row>
    <row r="6" spans="1:8">
      <c r="A6" s="630" t="s">
        <v>1902</v>
      </c>
      <c r="B6" s="628"/>
      <c r="C6" s="628"/>
      <c r="D6" s="628"/>
      <c r="E6" s="633"/>
      <c r="F6" s="633"/>
      <c r="G6" s="633"/>
      <c r="H6" s="629"/>
    </row>
    <row r="7" spans="1:8">
      <c r="A7" s="629" t="s">
        <v>1957</v>
      </c>
      <c r="B7" s="628">
        <f>SUM(Cashflow!L20:L23)</f>
        <v>-1989.4</v>
      </c>
      <c r="C7" s="628">
        <f>SUM(Cashflow!M20:M23)</f>
        <v>-5006.7000000000007</v>
      </c>
      <c r="D7" s="628">
        <f>SUM(Cashflow!N20:N23)</f>
        <v>739.8</v>
      </c>
      <c r="E7" s="628">
        <f>SUM(Cashflow!O20:O23)</f>
        <v>-2489.3999999999996</v>
      </c>
      <c r="F7" s="628">
        <f>SUM(Cashflow!P20:P23)</f>
        <v>5191.7</v>
      </c>
      <c r="G7" s="633"/>
      <c r="H7" s="629"/>
    </row>
    <row r="8" spans="1:8">
      <c r="A8" s="629" t="s">
        <v>73</v>
      </c>
      <c r="B8" s="628">
        <f>SUM(Cashflow!L24:L25)</f>
        <v>2978.1</v>
      </c>
      <c r="C8" s="628">
        <f>SUM(Cashflow!M24:M25)</f>
        <v>-4.5999999999999996</v>
      </c>
      <c r="D8" s="628">
        <f>SUM(Cashflow!N24:N25)</f>
        <v>3578.7</v>
      </c>
      <c r="E8" s="628">
        <f>SUM(Cashflow!O24:O25)</f>
        <v>-3335.8</v>
      </c>
      <c r="F8" s="628">
        <f>SUM(Cashflow!P24:P25)</f>
        <v>110.6</v>
      </c>
      <c r="G8" s="633"/>
      <c r="H8" s="629"/>
    </row>
    <row r="9" spans="1:8">
      <c r="A9" s="630" t="s">
        <v>1901</v>
      </c>
      <c r="B9" s="631">
        <f>B7+B8</f>
        <v>988.69999999999982</v>
      </c>
      <c r="C9" s="631">
        <f>C7+C8</f>
        <v>-5011.3000000000011</v>
      </c>
      <c r="D9" s="631">
        <f>D7+D8</f>
        <v>4318.5</v>
      </c>
      <c r="E9" s="631">
        <f>E7+E8</f>
        <v>-5825.2</v>
      </c>
      <c r="F9" s="631">
        <f>F7+F8</f>
        <v>5302.3</v>
      </c>
      <c r="G9" s="632"/>
      <c r="H9" s="629"/>
    </row>
    <row r="10" spans="1:8">
      <c r="A10" s="629" t="s">
        <v>1903</v>
      </c>
      <c r="B10" s="628">
        <f>Cashflow!L27</f>
        <v>-11482.7</v>
      </c>
      <c r="C10" s="628">
        <f>Cashflow!M27</f>
        <v>-12394</v>
      </c>
      <c r="D10" s="628">
        <f>Cashflow!N27</f>
        <v>-13152.8</v>
      </c>
      <c r="E10" s="628">
        <f>Cashflow!O27</f>
        <v>-12854</v>
      </c>
      <c r="F10" s="628">
        <f>Cashflow!P27</f>
        <v>-17824.7</v>
      </c>
      <c r="G10" s="633"/>
      <c r="H10" s="629"/>
    </row>
    <row r="11" spans="1:8">
      <c r="A11" s="630" t="s">
        <v>1904</v>
      </c>
      <c r="B11" s="631">
        <f>B5+B9+B10</f>
        <v>29791.399999999991</v>
      </c>
      <c r="C11" s="631">
        <f>C5+C9+C10</f>
        <v>21545.399999999994</v>
      </c>
      <c r="D11" s="631">
        <f>D5+D9+D10</f>
        <v>35457.300000000003</v>
      </c>
      <c r="E11" s="631">
        <f>E5+E9+E10</f>
        <v>21282.9</v>
      </c>
      <c r="F11" s="631">
        <f>F5+F9+F10</f>
        <v>37122.400000000009</v>
      </c>
      <c r="G11" s="632">
        <f>+(E11/D11-1)*100</f>
        <v>-39.975971097630101</v>
      </c>
      <c r="H11" s="629"/>
    </row>
    <row r="12" spans="1:8">
      <c r="A12" s="629" t="s">
        <v>1905</v>
      </c>
      <c r="B12" s="628">
        <f>Cashflow!L31</f>
        <v>-1089.8</v>
      </c>
      <c r="C12" s="628">
        <f>Cashflow!M31</f>
        <v>-5485.6</v>
      </c>
      <c r="D12" s="628">
        <f>Cashflow!N31</f>
        <v>-2613</v>
      </c>
      <c r="E12" s="628">
        <f>Cashflow!O31</f>
        <v>-3113.6</v>
      </c>
      <c r="F12" s="628">
        <f>Cashflow!P31</f>
        <v>-2712</v>
      </c>
      <c r="G12" s="633"/>
      <c r="H12" s="629"/>
    </row>
    <row r="13" spans="1:8">
      <c r="A13" s="630" t="s">
        <v>1906</v>
      </c>
      <c r="B13" s="631">
        <f>B11+B12</f>
        <v>28701.599999999991</v>
      </c>
      <c r="C13" s="631">
        <f>C11+C12</f>
        <v>16059.799999999994</v>
      </c>
      <c r="D13" s="631">
        <f>D11+D12</f>
        <v>32844.300000000003</v>
      </c>
      <c r="E13" s="631">
        <f>E11+E12</f>
        <v>18169.300000000003</v>
      </c>
      <c r="F13" s="631">
        <f>F11+F12</f>
        <v>34410.400000000009</v>
      </c>
      <c r="G13" s="632">
        <f>+(E13/D13-1)*100</f>
        <v>-44.680507728890554</v>
      </c>
      <c r="H13" s="629"/>
    </row>
    <row r="14" spans="1:8">
      <c r="A14" s="629"/>
      <c r="B14" s="634"/>
      <c r="C14" s="634"/>
      <c r="D14" s="634"/>
      <c r="E14" s="635"/>
      <c r="F14" s="635"/>
      <c r="G14" s="635"/>
      <c r="H14" s="629"/>
    </row>
    <row r="15" spans="1:8">
      <c r="A15" s="630" t="s">
        <v>203</v>
      </c>
      <c r="B15" s="636" t="str">
        <f>B1</f>
        <v>FY12</v>
      </c>
      <c r="C15" s="636" t="str">
        <f>C1</f>
        <v>FY13</v>
      </c>
      <c r="D15" s="636" t="str">
        <f>D1</f>
        <v>FY14</v>
      </c>
      <c r="E15" s="636" t="str">
        <f>E1</f>
        <v>FY15</v>
      </c>
      <c r="F15" s="636" t="str">
        <f>F1</f>
        <v>FY16</v>
      </c>
      <c r="G15" s="635"/>
      <c r="H15" s="629"/>
    </row>
    <row r="16" spans="1:8">
      <c r="A16" s="629" t="s">
        <v>1907</v>
      </c>
      <c r="B16" s="628">
        <f>'Summary Financials'!V55</f>
        <v>15.863122884246382</v>
      </c>
      <c r="C16" s="628">
        <f>'Summary Financials'!W55</f>
        <v>16.655791420164551</v>
      </c>
      <c r="D16" s="628">
        <f>'Summary Financials'!X55</f>
        <v>16.781403607637856</v>
      </c>
      <c r="E16" s="628">
        <f>'Summary Financials'!Y55</f>
        <v>17.867666567899903</v>
      </c>
      <c r="F16" s="628">
        <f>'Summary Financials'!Z55</f>
        <v>18.583731933484138</v>
      </c>
      <c r="G16" s="635"/>
      <c r="H16" s="629"/>
    </row>
    <row r="17" spans="1:8">
      <c r="A17" s="629" t="s">
        <v>4</v>
      </c>
      <c r="B17" s="628">
        <f>'Summary Financials'!V54</f>
        <v>7.3410324041501402</v>
      </c>
      <c r="C17" s="628">
        <f>'Summary Financials'!W54</f>
        <v>10.863619997749691</v>
      </c>
      <c r="D17" s="628">
        <f>'Summary Financials'!X54</f>
        <v>14.163702988310884</v>
      </c>
      <c r="E17" s="628">
        <f>'Summary Financials'!Y54</f>
        <v>12.777780733953019</v>
      </c>
      <c r="F17" s="628">
        <f>'Summary Financials'!Z54</f>
        <v>11.593969544666466</v>
      </c>
      <c r="G17" s="635"/>
      <c r="H17" s="629"/>
    </row>
    <row r="18" spans="1:8">
      <c r="A18" s="629" t="s">
        <v>557</v>
      </c>
      <c r="B18" s="628">
        <f>'Summary Financials'!V56</f>
        <v>47.456465289231595</v>
      </c>
      <c r="C18" s="628">
        <f>'Summary Financials'!W56</f>
        <v>46.917720526121073</v>
      </c>
      <c r="D18" s="628">
        <f>'Summary Financials'!X56</f>
        <v>53.803205307901678</v>
      </c>
      <c r="E18" s="628">
        <f>'Summary Financials'!Y56</f>
        <v>48.066968915406271</v>
      </c>
      <c r="F18" s="628">
        <f>'Summary Financials'!Z56</f>
        <v>46.383454119916102</v>
      </c>
      <c r="G18" s="635"/>
      <c r="H18" s="629"/>
    </row>
    <row r="19" spans="1:8">
      <c r="A19" s="630" t="s">
        <v>1908</v>
      </c>
      <c r="B19" s="631">
        <f>B16+B17-B18</f>
        <v>-24.252310000835074</v>
      </c>
      <c r="C19" s="631">
        <f>C16+C17-C18</f>
        <v>-19.398309108206831</v>
      </c>
      <c r="D19" s="631">
        <f>D16+D17-D18</f>
        <v>-22.858098711952938</v>
      </c>
      <c r="E19" s="631">
        <f>E16+E17-E18</f>
        <v>-17.421521613553349</v>
      </c>
      <c r="F19" s="631">
        <f>F16+F17-F18</f>
        <v>-16.2057526417655</v>
      </c>
      <c r="G19" s="635"/>
      <c r="H19" s="629"/>
    </row>
    <row r="20" spans="1:8">
      <c r="A20" s="629"/>
      <c r="B20" s="634"/>
      <c r="C20" s="634"/>
      <c r="D20" s="634"/>
      <c r="E20" s="635"/>
      <c r="F20" s="635"/>
      <c r="G20" s="635"/>
      <c r="H20" s="629"/>
    </row>
    <row r="21" spans="1:8">
      <c r="A21" s="637" t="s">
        <v>1909</v>
      </c>
      <c r="B21" s="636" t="str">
        <f>B15</f>
        <v>FY12</v>
      </c>
      <c r="C21" s="636" t="str">
        <f>C15</f>
        <v>FY13</v>
      </c>
      <c r="D21" s="636" t="str">
        <f>D15</f>
        <v>FY14</v>
      </c>
      <c r="E21" s="636" t="str">
        <f>E15</f>
        <v>FY15</v>
      </c>
      <c r="F21" s="636" t="str">
        <f>F15</f>
        <v>FY16</v>
      </c>
      <c r="G21" s="638" t="s">
        <v>579</v>
      </c>
      <c r="H21" s="629"/>
    </row>
    <row r="22" spans="1:8">
      <c r="A22" s="627" t="s">
        <v>1910</v>
      </c>
      <c r="B22" s="628">
        <f>Investments!D4</f>
        <v>11246.800000000001</v>
      </c>
      <c r="C22" s="628">
        <f>Investments!E4</f>
        <v>12187.5</v>
      </c>
      <c r="D22" s="628">
        <f>Investments!F4</f>
        <v>12227.2</v>
      </c>
      <c r="E22" s="628">
        <f>Investments!G4</f>
        <v>12227.2</v>
      </c>
      <c r="F22" s="628">
        <f>Investments!H4</f>
        <v>0</v>
      </c>
      <c r="G22" s="633">
        <f t="shared" ref="G22:G27" si="0">+(E22/D22-1)*100</f>
        <v>0</v>
      </c>
      <c r="H22" s="629"/>
    </row>
    <row r="23" spans="1:8">
      <c r="A23" s="629" t="s">
        <v>1911</v>
      </c>
      <c r="B23" s="628">
        <f>Investments!D12</f>
        <v>1390</v>
      </c>
      <c r="C23" s="628">
        <f>Investments!E12</f>
        <v>12280</v>
      </c>
      <c r="D23" s="628">
        <f>Investments!F12</f>
        <v>57550</v>
      </c>
      <c r="E23" s="628">
        <f>Investments!G12</f>
        <v>62406</v>
      </c>
      <c r="F23" s="628">
        <f>Investments!H12</f>
        <v>0</v>
      </c>
      <c r="G23" s="633">
        <f t="shared" si="0"/>
        <v>8.4378801042571681</v>
      </c>
      <c r="H23" s="629"/>
    </row>
    <row r="24" spans="1:8">
      <c r="A24" s="629" t="s">
        <v>1912</v>
      </c>
      <c r="B24" s="628">
        <f>Investments!D17</f>
        <v>23675</v>
      </c>
      <c r="C24" s="628">
        <f>Investments!E17</f>
        <v>23675</v>
      </c>
      <c r="D24" s="628">
        <f>Investments!F17</f>
        <v>12930.2</v>
      </c>
      <c r="E24" s="628">
        <f>Investments!G17</f>
        <v>7389.0999999999995</v>
      </c>
      <c r="F24" s="628">
        <f>Investments!H17</f>
        <v>0</v>
      </c>
      <c r="G24" s="633">
        <f t="shared" si="0"/>
        <v>-42.853938840853203</v>
      </c>
      <c r="H24" s="629"/>
    </row>
    <row r="25" spans="1:8">
      <c r="A25" s="629" t="s">
        <v>1913</v>
      </c>
      <c r="B25" s="628">
        <f>Investments!D18</f>
        <v>5607.8</v>
      </c>
      <c r="C25" s="628">
        <f>Investments!E18</f>
        <v>15457.5</v>
      </c>
      <c r="D25" s="628">
        <f>Investments!F18</f>
        <v>2144.4</v>
      </c>
      <c r="E25" s="628">
        <f>Investments!G18</f>
        <v>8895.6</v>
      </c>
      <c r="F25" s="628">
        <f>Investments!H18</f>
        <v>0</v>
      </c>
      <c r="G25" s="633">
        <f t="shared" si="0"/>
        <v>314.82932288752102</v>
      </c>
      <c r="H25" s="629"/>
    </row>
    <row r="26" spans="1:8">
      <c r="A26" s="629" t="s">
        <v>1914</v>
      </c>
      <c r="B26" s="628">
        <f>Investments!D20</f>
        <v>687.7</v>
      </c>
      <c r="C26" s="628">
        <f>Investments!E20</f>
        <v>704.7</v>
      </c>
      <c r="D26" s="628">
        <f>Investments!F20</f>
        <v>641</v>
      </c>
      <c r="E26" s="628">
        <f>Investments!G20</f>
        <v>615.30000000000007</v>
      </c>
      <c r="F26" s="628">
        <f>Investments!H20</f>
        <v>0</v>
      </c>
      <c r="G26" s="633">
        <f t="shared" si="0"/>
        <v>-4.0093603744149604</v>
      </c>
      <c r="H26" s="629"/>
    </row>
    <row r="27" spans="1:8">
      <c r="A27" s="630" t="s">
        <v>230</v>
      </c>
      <c r="B27" s="631">
        <f>SUM(B22:B26)</f>
        <v>42607.3</v>
      </c>
      <c r="C27" s="631">
        <f>SUM(C22:C26)</f>
        <v>64304.7</v>
      </c>
      <c r="D27" s="631">
        <f>SUM(D22:D26)</f>
        <v>85492.799999999988</v>
      </c>
      <c r="E27" s="631">
        <f>SUM(E22:E26)</f>
        <v>91533.200000000012</v>
      </c>
      <c r="F27" s="631">
        <f>SUM(F22:F26)</f>
        <v>0</v>
      </c>
      <c r="G27" s="632">
        <f t="shared" si="0"/>
        <v>7.0653903018734088</v>
      </c>
      <c r="H27" s="629"/>
    </row>
    <row r="28" spans="1:8">
      <c r="A28" s="629"/>
      <c r="B28" s="634"/>
      <c r="C28" s="634"/>
      <c r="D28" s="634"/>
      <c r="E28" s="635"/>
      <c r="F28" s="635"/>
      <c r="G28" s="635"/>
      <c r="H28" s="629"/>
    </row>
    <row r="29" spans="1:8">
      <c r="A29" s="630" t="s">
        <v>1915</v>
      </c>
      <c r="B29" s="636" t="str">
        <f>B21</f>
        <v>FY12</v>
      </c>
      <c r="C29" s="636" t="str">
        <f>C21</f>
        <v>FY13</v>
      </c>
      <c r="D29" s="636" t="str">
        <f>D21</f>
        <v>FY14</v>
      </c>
      <c r="E29" s="636" t="str">
        <f>E21</f>
        <v>FY15</v>
      </c>
      <c r="F29" s="636" t="str">
        <f>F21</f>
        <v>FY16</v>
      </c>
      <c r="G29" s="635"/>
      <c r="H29" s="629"/>
    </row>
    <row r="30" spans="1:8">
      <c r="A30" s="629" t="s">
        <v>1916</v>
      </c>
      <c r="B30" s="628">
        <v>1559</v>
      </c>
      <c r="C30" s="628">
        <v>2385.9</v>
      </c>
      <c r="D30" s="628">
        <v>2767.9</v>
      </c>
      <c r="E30" s="628">
        <v>3614.1</v>
      </c>
      <c r="F30" s="628"/>
      <c r="G30" s="633">
        <f>+(E30/D30-1)*100</f>
        <v>30.571913725206823</v>
      </c>
      <c r="H30" s="629"/>
    </row>
    <row r="31" spans="1:8">
      <c r="A31" s="629" t="s">
        <v>1917</v>
      </c>
      <c r="B31" s="639">
        <f>B30/'Inc Stmt'!M9*100</f>
        <v>0.77960719598944861</v>
      </c>
      <c r="C31" s="639">
        <f>C30/'Inc Stmt'!N9*100</f>
        <v>1.1840982733575158</v>
      </c>
      <c r="D31" s="639">
        <f>D30/'Inc Stmt'!O9*100</f>
        <v>1.2807230794359248</v>
      </c>
      <c r="E31" s="639">
        <f>E30/'Inc Stmt'!P9*100</f>
        <v>1.6001136961338001</v>
      </c>
      <c r="F31" s="639"/>
      <c r="G31" s="635"/>
      <c r="H31" s="629"/>
    </row>
    <row r="32" spans="1:8">
      <c r="A32" s="629"/>
      <c r="B32" s="634"/>
      <c r="C32" s="634"/>
      <c r="D32" s="634"/>
      <c r="E32" s="635"/>
      <c r="F32" s="635"/>
      <c r="G32" s="635"/>
      <c r="H32" s="629"/>
    </row>
    <row r="33" spans="1:8">
      <c r="A33" s="630" t="s">
        <v>1925</v>
      </c>
      <c r="B33" s="636" t="str">
        <f>B29</f>
        <v>FY12</v>
      </c>
      <c r="C33" s="636" t="str">
        <f>C29</f>
        <v>FY13</v>
      </c>
      <c r="D33" s="636" t="str">
        <f>D29</f>
        <v>FY14</v>
      </c>
      <c r="E33" s="636" t="str">
        <f>E29</f>
        <v>FY15</v>
      </c>
      <c r="F33" s="636" t="str">
        <f>F29</f>
        <v>FY16</v>
      </c>
      <c r="G33" s="635"/>
      <c r="H33" s="629"/>
    </row>
    <row r="34" spans="1:8">
      <c r="A34" s="630" t="s">
        <v>657</v>
      </c>
      <c r="B34" s="631">
        <f>'Inc Stmt'!L9</f>
        <v>195289.8</v>
      </c>
      <c r="C34" s="631">
        <f>'Inc Stmt'!M9</f>
        <v>199972.5</v>
      </c>
      <c r="D34" s="631">
        <f>'Inc Stmt'!N9</f>
        <v>201495.1</v>
      </c>
      <c r="E34" s="631">
        <f>'Inc Stmt'!O9</f>
        <v>216120.1</v>
      </c>
      <c r="F34" s="631">
        <f>'Inc Stmt'!P9</f>
        <v>225865.2</v>
      </c>
      <c r="G34" s="632">
        <f t="shared" ref="G34:G52" si="1">+(E34/D34-1)*100</f>
        <v>7.258241019260514</v>
      </c>
      <c r="H34" s="629"/>
    </row>
    <row r="35" spans="1:8">
      <c r="A35" s="629"/>
      <c r="B35" s="634"/>
      <c r="C35" s="634"/>
      <c r="D35" s="634"/>
      <c r="E35" s="635"/>
      <c r="F35" s="635"/>
      <c r="G35" s="635"/>
      <c r="H35" s="629"/>
    </row>
    <row r="36" spans="1:8">
      <c r="A36" s="629" t="s">
        <v>1918</v>
      </c>
      <c r="B36" s="628">
        <f>'Inc Stmt'!L84</f>
        <v>141025.4</v>
      </c>
      <c r="C36" s="628">
        <f>'Inc Stmt'!M84</f>
        <v>144065.69999999998</v>
      </c>
      <c r="D36" s="628">
        <f>'Inc Stmt'!N84</f>
        <v>138766.70000000001</v>
      </c>
      <c r="E36" s="628">
        <f>'Inc Stmt'!O84</f>
        <v>148498</v>
      </c>
      <c r="F36" s="628">
        <f>'Inc Stmt'!P84</f>
        <v>150568.6</v>
      </c>
      <c r="G36" s="633">
        <f t="shared" si="1"/>
        <v>7.0127054977887182</v>
      </c>
      <c r="H36" s="629"/>
    </row>
    <row r="37" spans="1:8">
      <c r="A37" s="629" t="s">
        <v>1919</v>
      </c>
      <c r="B37" s="639">
        <f>B36/B$34*100</f>
        <v>72.213397729937768</v>
      </c>
      <c r="C37" s="639">
        <f>C36/C$34*100</f>
        <v>72.042755878933335</v>
      </c>
      <c r="D37" s="639">
        <f>D36/D$34*100</f>
        <v>68.868523353669644</v>
      </c>
      <c r="E37" s="639">
        <f>E36/E$34*100</f>
        <v>68.710869558176213</v>
      </c>
      <c r="F37" s="639">
        <f>F36/F$34*100</f>
        <v>66.663036182643452</v>
      </c>
      <c r="G37" s="635"/>
      <c r="H37" s="629"/>
    </row>
    <row r="38" spans="1:8">
      <c r="A38" s="629" t="s">
        <v>1920</v>
      </c>
      <c r="B38" s="628">
        <f>'Inc Stmt'!L90</f>
        <v>5401.1</v>
      </c>
      <c r="C38" s="628">
        <f>'Inc Stmt'!M90</f>
        <v>6394.8</v>
      </c>
      <c r="D38" s="628">
        <f>'Inc Stmt'!N90</f>
        <v>7265.8</v>
      </c>
      <c r="E38" s="628">
        <f>'Inc Stmt'!O90</f>
        <v>8973</v>
      </c>
      <c r="F38" s="628">
        <f>'Inc Stmt'!P90</f>
        <v>9171.2000000000007</v>
      </c>
      <c r="G38" s="633">
        <f t="shared" si="1"/>
        <v>23.496380302237885</v>
      </c>
      <c r="H38" s="629"/>
    </row>
    <row r="39" spans="1:8">
      <c r="A39" s="629" t="s">
        <v>1919</v>
      </c>
      <c r="B39" s="639">
        <f>B38/B$34*100</f>
        <v>2.7656846389314755</v>
      </c>
      <c r="C39" s="639">
        <f>C38/C$34*100</f>
        <v>3.1978397029591572</v>
      </c>
      <c r="D39" s="639">
        <f>D38/D$34*100</f>
        <v>3.6059437673670471</v>
      </c>
      <c r="E39" s="639">
        <f>E38/E$34*100</f>
        <v>4.1518581566453099</v>
      </c>
      <c r="F39" s="639">
        <f>F38/F$34*100</f>
        <v>4.0604750089876616</v>
      </c>
      <c r="G39" s="635"/>
      <c r="H39" s="629"/>
    </row>
    <row r="40" spans="1:8">
      <c r="A40" s="629" t="s">
        <v>1921</v>
      </c>
      <c r="B40" s="628">
        <f>'Inc Stmt'!L103</f>
        <v>1018.5</v>
      </c>
      <c r="C40" s="628">
        <f>'Inc Stmt'!M103</f>
        <v>1213.3</v>
      </c>
      <c r="D40" s="628">
        <f>'Inc Stmt'!N103</f>
        <v>1061.5999999999999</v>
      </c>
      <c r="E40" s="628">
        <f>'Inc Stmt'!O103</f>
        <v>1147</v>
      </c>
      <c r="F40" s="628">
        <f>'Inc Stmt'!P103</f>
        <v>1206.5999999999999</v>
      </c>
      <c r="G40" s="633">
        <f t="shared" si="1"/>
        <v>8.0444611906556283</v>
      </c>
      <c r="H40" s="629"/>
    </row>
    <row r="41" spans="1:8">
      <c r="A41" s="629" t="s">
        <v>1919</v>
      </c>
      <c r="B41" s="639">
        <f>B40/B$34*100</f>
        <v>0.52153261460660005</v>
      </c>
      <c r="C41" s="639">
        <f>C40/C$34*100</f>
        <v>0.60673342584605383</v>
      </c>
      <c r="D41" s="639">
        <f>D40/D$34*100</f>
        <v>0.52686144725107453</v>
      </c>
      <c r="E41" s="639">
        <f>E40/E$34*100</f>
        <v>0.53072342646519233</v>
      </c>
      <c r="F41" s="639">
        <f>F40/F$34*100</f>
        <v>0.53421244175729588</v>
      </c>
      <c r="G41" s="635"/>
      <c r="H41" s="629"/>
    </row>
    <row r="42" spans="1:8">
      <c r="A42" s="629" t="s">
        <v>924</v>
      </c>
      <c r="B42" s="628">
        <f>'Inc Stmt'!L102</f>
        <v>1102.5</v>
      </c>
      <c r="C42" s="628">
        <f>'Inc Stmt'!M102</f>
        <v>1238.5</v>
      </c>
      <c r="D42" s="628">
        <f>'Inc Stmt'!N102</f>
        <v>1249.8</v>
      </c>
      <c r="E42" s="628">
        <f>'Inc Stmt'!O102</f>
        <v>1316.9</v>
      </c>
      <c r="F42" s="628">
        <f>'Inc Stmt'!P102</f>
        <v>1318</v>
      </c>
      <c r="G42" s="633">
        <f t="shared" si="1"/>
        <v>5.3688590174427953</v>
      </c>
      <c r="H42" s="629"/>
    </row>
    <row r="43" spans="1:8">
      <c r="A43" s="629" t="s">
        <v>1919</v>
      </c>
      <c r="B43" s="639">
        <f>B42/B$34*100</f>
        <v>0.56454561374941248</v>
      </c>
      <c r="C43" s="639">
        <f>C42/C$34*100</f>
        <v>0.61933515858430532</v>
      </c>
      <c r="D43" s="639">
        <f>D42/D$34*100</f>
        <v>0.62026322228183217</v>
      </c>
      <c r="E43" s="639">
        <f>E42/E$34*100</f>
        <v>0.6093371232014051</v>
      </c>
      <c r="F43" s="639">
        <f>F42/F$34*100</f>
        <v>0.58353389543851819</v>
      </c>
      <c r="G43" s="635"/>
      <c r="H43" s="629"/>
    </row>
    <row r="44" spans="1:8">
      <c r="A44" s="629" t="s">
        <v>1922</v>
      </c>
      <c r="B44" s="628">
        <f>'Inc Stmt'!L100</f>
        <v>1603.1</v>
      </c>
      <c r="C44" s="628">
        <f>'Inc Stmt'!M100</f>
        <v>2019.5</v>
      </c>
      <c r="D44" s="628">
        <f>'Inc Stmt'!N100</f>
        <v>2623.3</v>
      </c>
      <c r="E44" s="628">
        <f>'Inc Stmt'!O100</f>
        <v>3128</v>
      </c>
      <c r="F44" s="628">
        <f>'Inc Stmt'!P100</f>
        <v>4342.1000000000004</v>
      </c>
      <c r="G44" s="633">
        <f t="shared" si="1"/>
        <v>19.239126291312459</v>
      </c>
      <c r="H44" s="629"/>
    </row>
    <row r="45" spans="1:8">
      <c r="A45" s="629" t="s">
        <v>1919</v>
      </c>
      <c r="B45" s="639">
        <f>B44/B$34*100</f>
        <v>0.82088260626002985</v>
      </c>
      <c r="C45" s="639">
        <f>C44/C$34*100</f>
        <v>1.0098888597182114</v>
      </c>
      <c r="D45" s="639">
        <f>D44/D$34*100</f>
        <v>1.3019175156120424</v>
      </c>
      <c r="E45" s="639">
        <f>E44/E$34*100</f>
        <v>1.4473433984159734</v>
      </c>
      <c r="F45" s="639">
        <f>F44/F$34*100</f>
        <v>1.9224298386825416</v>
      </c>
      <c r="G45" s="635"/>
      <c r="H45" s="629"/>
    </row>
    <row r="46" spans="1:8">
      <c r="A46" s="629" t="s">
        <v>1923</v>
      </c>
      <c r="B46" s="628">
        <f>'Inc Stmt'!L101</f>
        <v>3237.4</v>
      </c>
      <c r="C46" s="628">
        <f>'Inc Stmt'!M101</f>
        <v>3058.5</v>
      </c>
      <c r="D46" s="628">
        <f>'Inc Stmt'!N101</f>
        <v>3227.5</v>
      </c>
      <c r="E46" s="628">
        <f>'Inc Stmt'!O101</f>
        <v>3931.7</v>
      </c>
      <c r="F46" s="628">
        <f>'Inc Stmt'!P101</f>
        <v>3485</v>
      </c>
      <c r="G46" s="633">
        <f t="shared" si="1"/>
        <v>21.818745158791629</v>
      </c>
      <c r="H46" s="629"/>
    </row>
    <row r="47" spans="1:8">
      <c r="A47" s="629" t="s">
        <v>1919</v>
      </c>
      <c r="B47" s="639">
        <f>B46/B$34*100</f>
        <v>1.6577414693445331</v>
      </c>
      <c r="C47" s="639">
        <f>C46/C$34*100</f>
        <v>1.5294603007913588</v>
      </c>
      <c r="D47" s="639">
        <f>D46/D$34*100</f>
        <v>1.6017759240795431</v>
      </c>
      <c r="E47" s="639">
        <f>E46/E$34*100</f>
        <v>1.8192199614936324</v>
      </c>
      <c r="F47" s="639">
        <f>F46/F$34*100</f>
        <v>1.5429557098658846</v>
      </c>
      <c r="G47" s="635"/>
      <c r="H47" s="629"/>
    </row>
    <row r="48" spans="1:8">
      <c r="A48" s="629" t="s">
        <v>926</v>
      </c>
      <c r="B48" s="628">
        <f>'Inc Stmt'!L104</f>
        <v>1026.9000000000001</v>
      </c>
      <c r="C48" s="628">
        <f>'Inc Stmt'!M104</f>
        <v>1261.3000000000002</v>
      </c>
      <c r="D48" s="628">
        <f>'Inc Stmt'!N104</f>
        <v>1446.6999999999998</v>
      </c>
      <c r="E48" s="628">
        <f>'Inc Stmt'!O104</f>
        <v>1997.3</v>
      </c>
      <c r="F48" s="628">
        <f>'Inc Stmt'!P104</f>
        <v>1964.8</v>
      </c>
      <c r="G48" s="633">
        <f t="shared" si="1"/>
        <v>38.059030897905586</v>
      </c>
      <c r="H48" s="629"/>
    </row>
    <row r="49" spans="1:13">
      <c r="A49" s="629" t="s">
        <v>1919</v>
      </c>
      <c r="B49" s="639">
        <f>B48/B$34*100</f>
        <v>0.52583391452088135</v>
      </c>
      <c r="C49" s="639">
        <f>C48/C$34*100</f>
        <v>0.63073672629986632</v>
      </c>
      <c r="D49" s="639">
        <f>D48/D$34*100</f>
        <v>0.71798272017532916</v>
      </c>
      <c r="E49" s="639">
        <f>E48/E$34*100</f>
        <v>0.92416207469828116</v>
      </c>
      <c r="F49" s="639">
        <f>F48/F$34*100</f>
        <v>0.86989939131836158</v>
      </c>
      <c r="G49" s="635"/>
      <c r="H49" s="629"/>
    </row>
    <row r="50" spans="1:13">
      <c r="A50" s="629" t="s">
        <v>2428</v>
      </c>
      <c r="B50" s="639">
        <v>0</v>
      </c>
      <c r="C50" s="639">
        <v>0</v>
      </c>
      <c r="D50" s="639">
        <v>0</v>
      </c>
      <c r="E50" s="639">
        <v>429.1</v>
      </c>
      <c r="F50" s="639">
        <v>429.1</v>
      </c>
      <c r="G50" s="633" t="e">
        <f t="shared" si="1"/>
        <v>#DIV/0!</v>
      </c>
      <c r="H50" s="629"/>
    </row>
    <row r="51" spans="1:13">
      <c r="A51" s="629" t="s">
        <v>1919</v>
      </c>
      <c r="B51" s="639">
        <f>B50/B$34*100</f>
        <v>0</v>
      </c>
      <c r="C51" s="639">
        <f>C50/C$34*100</f>
        <v>0</v>
      </c>
      <c r="D51" s="639">
        <f>D50/D$34*100</f>
        <v>0</v>
      </c>
      <c r="E51" s="639">
        <f>E50/E$34*100</f>
        <v>0.19854701159216565</v>
      </c>
      <c r="F51" s="639">
        <f>F50/F$34*100</f>
        <v>0.18998057248305625</v>
      </c>
      <c r="G51" s="635"/>
      <c r="H51" s="629"/>
    </row>
    <row r="52" spans="1:13">
      <c r="A52" s="629" t="s">
        <v>2427</v>
      </c>
      <c r="B52" s="628">
        <v>1743.6</v>
      </c>
      <c r="C52" s="628">
        <v>1568.5</v>
      </c>
      <c r="D52" s="628">
        <v>1919.4</v>
      </c>
      <c r="E52" s="628">
        <v>2484</v>
      </c>
      <c r="F52" s="628">
        <v>2484</v>
      </c>
      <c r="G52" s="633">
        <f t="shared" si="1"/>
        <v>29.415442325726794</v>
      </c>
      <c r="H52" s="629"/>
    </row>
    <row r="53" spans="1:13">
      <c r="A53" s="629" t="s">
        <v>1919</v>
      </c>
      <c r="B53" s="639">
        <f>B52/B$34*100</f>
        <v>0.89282696792151972</v>
      </c>
      <c r="C53" s="639">
        <f>C52/C$34*100</f>
        <v>0.78435784920426554</v>
      </c>
      <c r="D53" s="639">
        <f>D52/D$34*100</f>
        <v>0.9525789957175137</v>
      </c>
      <c r="E53" s="639">
        <f>E52/E$34*100</f>
        <v>1.1493609340362141</v>
      </c>
      <c r="F53" s="639">
        <f>F52/F$34*100</f>
        <v>1.099771013861365</v>
      </c>
      <c r="G53" s="635"/>
      <c r="H53" s="629"/>
    </row>
    <row r="54" spans="1:13">
      <c r="A54" s="629" t="s">
        <v>1924</v>
      </c>
      <c r="B54" s="628">
        <f>B34-B56-SUM(B36,B38,B40,B42,B44,B46,B48,B50,B52)</f>
        <v>1931.3999999999942</v>
      </c>
      <c r="C54" s="628">
        <f>C34-C56-SUM(C36,C38,C40,C42,C44,C46,C48,C50,C52)</f>
        <v>2771.9000000000524</v>
      </c>
      <c r="D54" s="628">
        <f>D34-D56-SUM(D36,D38,D40,D42,D44,D46,D48,D50,D52)</f>
        <v>1471.0000000000291</v>
      </c>
      <c r="E54" s="628">
        <f>E34-E56-SUM(E36,E38,E40,E42,E44,E46,E48,E50,E52)</f>
        <v>2547.3999999999942</v>
      </c>
      <c r="F54" s="628">
        <f>F34-F56-SUM(F36,F38,F40,F42,F44,F46,F48,F50,F52)</f>
        <v>3076.3999999999651</v>
      </c>
      <c r="G54" s="633">
        <f>+(E54/D54-1)*100</f>
        <v>73.17471108089353</v>
      </c>
      <c r="H54" s="629"/>
      <c r="I54" s="801"/>
      <c r="J54" s="123">
        <v>429</v>
      </c>
      <c r="K54" s="801"/>
      <c r="L54" s="801">
        <f>E54-D54</f>
        <v>1076.3999999999651</v>
      </c>
      <c r="M54" s="123" t="s">
        <v>2424</v>
      </c>
    </row>
    <row r="55" spans="1:13">
      <c r="A55" s="629" t="s">
        <v>1919</v>
      </c>
      <c r="B55" s="639">
        <f>B54/B$34*100</f>
        <v>0.98899174457651862</v>
      </c>
      <c r="C55" s="639">
        <f>C54/C$34*100</f>
        <v>1.3861405943317469</v>
      </c>
      <c r="D55" s="639">
        <f>D54/D$34*100</f>
        <v>0.73004256679196122</v>
      </c>
      <c r="E55" s="639">
        <f>E54/E$34*100</f>
        <v>1.1786964747841566</v>
      </c>
      <c r="F55" s="639">
        <f>F54/F$34*100</f>
        <v>1.3620513474408475</v>
      </c>
      <c r="G55" s="635"/>
      <c r="H55" s="629"/>
      <c r="M55" s="123" t="s">
        <v>2425</v>
      </c>
    </row>
    <row r="56" spans="1:13">
      <c r="A56" s="630" t="s">
        <v>659</v>
      </c>
      <c r="B56" s="631">
        <f>'Inc Stmt'!L21</f>
        <v>37199.899999999994</v>
      </c>
      <c r="C56" s="631">
        <f>'Inc Stmt'!M21</f>
        <v>36380.500000000015</v>
      </c>
      <c r="D56" s="631">
        <f>'Inc Stmt'!N21</f>
        <v>42463.299999999988</v>
      </c>
      <c r="E56" s="631">
        <f>'Inc Stmt'!O21</f>
        <v>41667.700000000012</v>
      </c>
      <c r="F56" s="631">
        <f>'Inc Stmt'!P21</f>
        <v>47819.400000000009</v>
      </c>
      <c r="G56" s="632">
        <f>+(E56/D56-1)*100</f>
        <v>-1.8736179241838902</v>
      </c>
      <c r="H56" s="629"/>
      <c r="M56" s="123" t="s">
        <v>2426</v>
      </c>
    </row>
    <row r="57" spans="1:13">
      <c r="A57" s="630" t="s">
        <v>2025</v>
      </c>
      <c r="B57" s="640">
        <f>B56/B$34*100</f>
        <v>19.048562700151262</v>
      </c>
      <c r="C57" s="640">
        <f>C56/C$34*100</f>
        <v>18.192751503331717</v>
      </c>
      <c r="D57" s="640">
        <f>D56/D$34*100</f>
        <v>21.074110487054021</v>
      </c>
      <c r="E57" s="640">
        <f>E56/E$34*100</f>
        <v>19.279881880491452</v>
      </c>
      <c r="F57" s="640">
        <f>F56/F$34*100</f>
        <v>21.171654597521002</v>
      </c>
      <c r="G57" s="629"/>
      <c r="H57" s="629"/>
    </row>
    <row r="58" spans="1:13">
      <c r="A58" s="630"/>
      <c r="B58" s="640"/>
      <c r="C58" s="640"/>
      <c r="D58" s="800">
        <f>+D54+D46+D44+D42+D40</f>
        <v>9633.2000000000298</v>
      </c>
      <c r="E58" s="800">
        <f>+E54+E46+E44+E42+E40</f>
        <v>12070.999999999995</v>
      </c>
      <c r="F58" s="800">
        <f>+F54+F46+F44+F42+F40</f>
        <v>13428.099999999966</v>
      </c>
      <c r="G58" s="629"/>
      <c r="H58" s="629"/>
    </row>
    <row r="59" spans="1:13">
      <c r="A59" s="630"/>
      <c r="B59" s="1720" t="s">
        <v>425</v>
      </c>
      <c r="C59" s="1720"/>
      <c r="D59" s="1720"/>
      <c r="E59" s="1720"/>
      <c r="F59" s="1720"/>
      <c r="G59" s="1720"/>
      <c r="H59" s="1720" t="s">
        <v>620</v>
      </c>
      <c r="I59" s="1720"/>
    </row>
    <row r="60" spans="1:13">
      <c r="A60" s="627" t="s">
        <v>2416</v>
      </c>
      <c r="B60" s="641" t="str">
        <f>B33</f>
        <v>FY12</v>
      </c>
      <c r="C60" s="641" t="str">
        <f>C33</f>
        <v>FY13</v>
      </c>
      <c r="D60" s="641" t="str">
        <f>D33</f>
        <v>FY14</v>
      </c>
      <c r="E60" s="641" t="s">
        <v>1857</v>
      </c>
      <c r="F60" s="641" t="s">
        <v>1858</v>
      </c>
      <c r="G60" s="641"/>
      <c r="H60" s="641" t="s">
        <v>279</v>
      </c>
      <c r="I60" s="641" t="s">
        <v>1419</v>
      </c>
      <c r="J60" s="641" t="s">
        <v>1857</v>
      </c>
    </row>
    <row r="61" spans="1:13">
      <c r="A61" s="627" t="s">
        <v>540</v>
      </c>
      <c r="B61" s="642">
        <v>1.8</v>
      </c>
      <c r="C61" s="642">
        <v>1.8</v>
      </c>
      <c r="D61" s="642">
        <v>1.8</v>
      </c>
      <c r="E61" s="642">
        <v>1.8</v>
      </c>
      <c r="F61" s="642"/>
      <c r="G61" s="642"/>
      <c r="H61" s="642">
        <v>1.1200000000000001</v>
      </c>
      <c r="I61" s="642">
        <v>0.93</v>
      </c>
      <c r="J61" s="123">
        <v>0.75</v>
      </c>
    </row>
    <row r="62" spans="1:13">
      <c r="A62" s="627" t="s">
        <v>539</v>
      </c>
      <c r="B62" s="642">
        <v>1.2</v>
      </c>
      <c r="C62" s="642">
        <v>1.2</v>
      </c>
      <c r="D62" s="642">
        <v>1.2</v>
      </c>
      <c r="E62" s="642">
        <v>1.2</v>
      </c>
      <c r="F62" s="642"/>
      <c r="G62" s="642"/>
      <c r="H62" s="642">
        <v>0.88</v>
      </c>
      <c r="I62" s="642">
        <v>0.69</v>
      </c>
      <c r="J62" s="123">
        <v>0.76</v>
      </c>
    </row>
    <row r="63" spans="1:13">
      <c r="A63" s="627" t="s">
        <v>426</v>
      </c>
      <c r="B63" s="642">
        <v>1.5</v>
      </c>
      <c r="C63" s="642">
        <v>1.8</v>
      </c>
      <c r="D63" s="642">
        <v>2.1</v>
      </c>
      <c r="E63" s="642">
        <v>2.4</v>
      </c>
      <c r="F63" s="642"/>
      <c r="G63" s="642"/>
      <c r="H63" s="642">
        <v>2.2200000000000002</v>
      </c>
      <c r="I63" s="642">
        <f>1.81+0.45</f>
        <v>2.2600000000000002</v>
      </c>
      <c r="J63" s="642">
        <f>1.78+0.52</f>
        <v>2.2999999999999998</v>
      </c>
    </row>
    <row r="64" spans="1:13">
      <c r="A64" s="627" t="s">
        <v>1024</v>
      </c>
      <c r="B64" s="642">
        <v>0.6</v>
      </c>
      <c r="C64" s="642">
        <v>0.6</v>
      </c>
      <c r="D64" s="642">
        <f>0.6+0.06</f>
        <v>0.65999999999999992</v>
      </c>
      <c r="E64" s="642">
        <v>0.66</v>
      </c>
      <c r="F64" s="642"/>
      <c r="G64" s="642"/>
      <c r="H64" s="642"/>
      <c r="I64" s="642"/>
    </row>
    <row r="65" spans="1:10">
      <c r="A65" s="630" t="s">
        <v>230</v>
      </c>
      <c r="B65" s="643">
        <f>SUM(B61:B64)</f>
        <v>5.0999999999999996</v>
      </c>
      <c r="C65" s="643">
        <f>SUM(C61:C64)</f>
        <v>5.3999999999999995</v>
      </c>
      <c r="D65" s="643">
        <f>SUM(D61:D64)</f>
        <v>5.76</v>
      </c>
      <c r="E65" s="643">
        <f>SUM(E61:E64)</f>
        <v>6.0600000000000005</v>
      </c>
      <c r="F65" s="643"/>
      <c r="G65" s="643"/>
      <c r="H65" s="643">
        <f>SUM(H61:H64)</f>
        <v>4.2200000000000006</v>
      </c>
      <c r="I65" s="643">
        <f>SUM(I61:I64)</f>
        <v>3.8800000000000003</v>
      </c>
      <c r="J65" s="643">
        <f>SUM(J61:J64)</f>
        <v>3.8099999999999996</v>
      </c>
    </row>
    <row r="66" spans="1:10">
      <c r="A66" s="630"/>
      <c r="B66" s="640"/>
      <c r="C66" s="640"/>
      <c r="D66" s="640"/>
      <c r="E66" s="629"/>
      <c r="F66" s="629"/>
      <c r="G66" s="629"/>
      <c r="H66" s="629"/>
    </row>
    <row r="67" spans="1:10">
      <c r="A67" s="629"/>
      <c r="B67" s="634"/>
      <c r="C67" s="634"/>
      <c r="D67" s="634"/>
      <c r="E67" s="629"/>
      <c r="F67" s="629"/>
      <c r="G67" s="629"/>
      <c r="H67" s="629"/>
    </row>
    <row r="68" spans="1:10">
      <c r="A68" s="630" t="s">
        <v>1003</v>
      </c>
      <c r="B68" s="636" t="str">
        <f>B33</f>
        <v>FY12</v>
      </c>
      <c r="C68" s="636" t="str">
        <f>C33</f>
        <v>FY13</v>
      </c>
      <c r="D68" s="636" t="str">
        <f>D33</f>
        <v>FY14</v>
      </c>
      <c r="E68" s="636" t="str">
        <f>E33</f>
        <v>FY15</v>
      </c>
      <c r="F68" s="636" t="str">
        <f>F33</f>
        <v>FY16</v>
      </c>
      <c r="G68" s="629"/>
      <c r="H68" s="629"/>
    </row>
    <row r="69" spans="1:10">
      <c r="A69" s="629" t="s">
        <v>999</v>
      </c>
      <c r="B69" s="628"/>
      <c r="C69" s="628">
        <v>841.9</v>
      </c>
      <c r="D69" s="628">
        <v>130.80000000000001</v>
      </c>
      <c r="E69" s="629">
        <v>40.299999999999997</v>
      </c>
      <c r="F69" s="629"/>
      <c r="G69" s="629"/>
      <c r="H69" s="629"/>
    </row>
    <row r="70" spans="1:10">
      <c r="A70" s="629" t="s">
        <v>667</v>
      </c>
      <c r="B70" s="628"/>
      <c r="C70" s="628">
        <v>-238.4</v>
      </c>
      <c r="D70" s="628">
        <v>-142.69999999999999</v>
      </c>
      <c r="E70" s="629">
        <v>-16.8</v>
      </c>
      <c r="F70" s="629"/>
      <c r="G70" s="629"/>
      <c r="H70" s="629"/>
    </row>
    <row r="71" spans="1:10">
      <c r="A71" s="629" t="s">
        <v>2143</v>
      </c>
      <c r="B71" s="628"/>
      <c r="C71" s="628">
        <v>-297</v>
      </c>
      <c r="D71" s="628">
        <v>-460.1</v>
      </c>
      <c r="E71" s="629">
        <v>-16.8</v>
      </c>
      <c r="F71" s="629"/>
      <c r="G71" s="629"/>
      <c r="H71" s="629"/>
    </row>
    <row r="72" spans="1:10">
      <c r="A72" s="629" t="s">
        <v>1000</v>
      </c>
      <c r="B72" s="628"/>
      <c r="C72" s="628">
        <f>1541.4-1673.9</f>
        <v>-132.5</v>
      </c>
      <c r="D72" s="628">
        <f>2039.7-1963.2</f>
        <v>76.5</v>
      </c>
      <c r="E72" s="628">
        <f>1854.5-1800.9</f>
        <v>53.599999999999909</v>
      </c>
      <c r="F72" s="628"/>
      <c r="G72" s="629"/>
      <c r="H72" s="629"/>
    </row>
    <row r="73" spans="1:10">
      <c r="A73" s="629" t="s">
        <v>1001</v>
      </c>
      <c r="B73" s="628"/>
      <c r="C73" s="628">
        <v>543.79999999999995</v>
      </c>
      <c r="D73" s="628">
        <v>85.1</v>
      </c>
      <c r="E73" s="629">
        <v>54.2</v>
      </c>
      <c r="F73" s="629"/>
      <c r="G73" s="629"/>
      <c r="H73" s="629"/>
    </row>
    <row r="74" spans="1:10">
      <c r="A74" s="629"/>
      <c r="B74" s="634"/>
      <c r="C74" s="634"/>
      <c r="D74" s="634"/>
      <c r="E74" s="629"/>
      <c r="F74" s="629"/>
      <c r="G74" s="629"/>
      <c r="H74" s="629"/>
    </row>
    <row r="75" spans="1:10">
      <c r="A75" s="630" t="s">
        <v>1002</v>
      </c>
      <c r="B75" s="636" t="str">
        <f>B68</f>
        <v>FY12</v>
      </c>
      <c r="C75" s="636" t="str">
        <f>C68</f>
        <v>FY13</v>
      </c>
      <c r="D75" s="636" t="str">
        <f>D68</f>
        <v>FY14</v>
      </c>
      <c r="E75" s="636" t="str">
        <f>E68</f>
        <v>FY15</v>
      </c>
      <c r="F75" s="636" t="str">
        <f>F68</f>
        <v>FY16</v>
      </c>
      <c r="G75" s="629"/>
      <c r="H75" s="629"/>
    </row>
    <row r="76" spans="1:10">
      <c r="A76" s="629" t="str">
        <f>A69</f>
        <v>Turnover</v>
      </c>
      <c r="B76" s="628"/>
      <c r="C76" s="628">
        <v>0</v>
      </c>
      <c r="D76" s="628" t="s">
        <v>679</v>
      </c>
      <c r="E76" s="629">
        <v>2.8</v>
      </c>
      <c r="F76" s="629"/>
      <c r="G76" s="629"/>
      <c r="H76" s="629"/>
    </row>
    <row r="77" spans="1:10">
      <c r="A77" s="629" t="str">
        <f>A70</f>
        <v>PBT</v>
      </c>
      <c r="B77" s="628"/>
      <c r="C77" s="628">
        <v>834.9</v>
      </c>
      <c r="D77" s="628">
        <v>1446.1</v>
      </c>
      <c r="E77" s="629">
        <v>2132.9</v>
      </c>
      <c r="F77" s="629"/>
      <c r="G77" s="629"/>
      <c r="H77" s="629"/>
    </row>
    <row r="78" spans="1:10">
      <c r="A78" s="629" t="str">
        <f>A71</f>
        <v>PAT</v>
      </c>
      <c r="B78" s="628"/>
      <c r="C78" s="628">
        <v>834.9</v>
      </c>
      <c r="D78" s="628">
        <v>1446.1</v>
      </c>
      <c r="E78" s="629">
        <v>2132.9</v>
      </c>
      <c r="F78" s="629"/>
      <c r="G78" s="629"/>
      <c r="H78" s="629"/>
    </row>
    <row r="79" spans="1:10">
      <c r="A79" s="629" t="str">
        <f>A72</f>
        <v>Total Equity</v>
      </c>
      <c r="B79" s="628"/>
      <c r="C79" s="628">
        <f>13760+209.2</f>
        <v>13969.2</v>
      </c>
      <c r="D79" s="628">
        <f>16371.6+1374.8</f>
        <v>17746.400000000001</v>
      </c>
      <c r="E79" s="733">
        <f>13303.6+2902.1</f>
        <v>16205.7</v>
      </c>
      <c r="F79" s="733"/>
      <c r="G79" s="629"/>
      <c r="H79" s="629"/>
    </row>
    <row r="80" spans="1:10">
      <c r="A80" s="629" t="str">
        <f>A73</f>
        <v>Total Assets</v>
      </c>
      <c r="B80" s="628"/>
      <c r="C80" s="628">
        <v>1396.4</v>
      </c>
      <c r="D80" s="628">
        <v>17746.400000000001</v>
      </c>
      <c r="E80" s="733">
        <v>16205.8</v>
      </c>
      <c r="F80" s="733"/>
      <c r="G80" s="629"/>
      <c r="H80" s="629"/>
    </row>
    <row r="81" spans="1:10">
      <c r="A81" s="627"/>
      <c r="B81" s="644"/>
      <c r="C81" s="644"/>
      <c r="D81" s="644"/>
      <c r="E81" s="627"/>
      <c r="F81" s="627"/>
      <c r="G81" s="627"/>
      <c r="H81" s="629"/>
    </row>
    <row r="82" spans="1:10">
      <c r="A82" s="629"/>
      <c r="B82" s="629"/>
      <c r="C82" s="629"/>
      <c r="D82" s="629"/>
      <c r="E82" s="629"/>
      <c r="F82" s="629"/>
      <c r="G82" s="629"/>
      <c r="H82" s="629"/>
    </row>
    <row r="83" spans="1:10">
      <c r="A83" s="630" t="s">
        <v>1013</v>
      </c>
      <c r="B83" s="1721" t="s">
        <v>395</v>
      </c>
      <c r="C83" s="1721"/>
      <c r="D83" s="1721" t="s">
        <v>279</v>
      </c>
      <c r="E83" s="1721"/>
      <c r="F83" s="889"/>
      <c r="G83" s="1721" t="s">
        <v>1419</v>
      </c>
      <c r="H83" s="1721"/>
      <c r="I83" s="1721" t="s">
        <v>1857</v>
      </c>
      <c r="J83" s="1721"/>
    </row>
    <row r="84" spans="1:10">
      <c r="A84" s="629"/>
      <c r="B84" s="636" t="s">
        <v>1004</v>
      </c>
      <c r="C84" s="636" t="s">
        <v>1005</v>
      </c>
      <c r="D84" s="636" t="s">
        <v>1004</v>
      </c>
      <c r="E84" s="636" t="s">
        <v>1005</v>
      </c>
      <c r="F84" s="636"/>
      <c r="G84" s="636" t="str">
        <f>D84</f>
        <v xml:space="preserve"> Notional </v>
      </c>
      <c r="H84" s="636" t="str">
        <f>E84</f>
        <v xml:space="preserve"> MTM </v>
      </c>
      <c r="I84" s="636" t="str">
        <f>G84</f>
        <v xml:space="preserve"> Notional </v>
      </c>
      <c r="J84" s="636" t="str">
        <f>H84</f>
        <v xml:space="preserve"> MTM </v>
      </c>
    </row>
    <row r="85" spans="1:10">
      <c r="A85" s="629"/>
      <c r="B85" s="636"/>
      <c r="C85" s="636" t="s">
        <v>1006</v>
      </c>
      <c r="D85" s="636"/>
      <c r="E85" s="636" t="s">
        <v>1006</v>
      </c>
      <c r="F85" s="636"/>
      <c r="G85" s="636"/>
      <c r="H85" s="636" t="str">
        <f>E85</f>
        <v xml:space="preserve">Gain (Loss) </v>
      </c>
      <c r="I85" s="636"/>
      <c r="J85" s="636" t="str">
        <f>H85</f>
        <v xml:space="preserve">Gain (Loss) </v>
      </c>
    </row>
    <row r="86" spans="1:10">
      <c r="A86" s="629"/>
      <c r="B86" s="636" t="s">
        <v>1007</v>
      </c>
      <c r="C86" s="636" t="s">
        <v>1008</v>
      </c>
      <c r="D86" s="636" t="s">
        <v>1007</v>
      </c>
      <c r="E86" s="636" t="s">
        <v>1008</v>
      </c>
      <c r="F86" s="636"/>
      <c r="G86" s="636" t="str">
        <f>D86</f>
        <v xml:space="preserve"> USD mn </v>
      </c>
      <c r="H86" s="636" t="str">
        <f>E86</f>
        <v xml:space="preserve"> Rs mn </v>
      </c>
      <c r="I86" s="636" t="str">
        <f>G86</f>
        <v xml:space="preserve"> USD mn </v>
      </c>
      <c r="J86" s="636" t="str">
        <f>H86</f>
        <v xml:space="preserve"> Rs mn </v>
      </c>
    </row>
    <row r="87" spans="1:10">
      <c r="A87" s="629" t="s">
        <v>1009</v>
      </c>
      <c r="B87" s="628">
        <v>330</v>
      </c>
      <c r="C87" s="628">
        <v>-838</v>
      </c>
      <c r="D87" s="628">
        <v>336</v>
      </c>
      <c r="E87" s="628">
        <v>115</v>
      </c>
      <c r="F87" s="628"/>
      <c r="G87" s="628">
        <v>289.25</v>
      </c>
      <c r="H87" s="628">
        <v>-4.2</v>
      </c>
      <c r="I87" s="628">
        <v>336.5</v>
      </c>
      <c r="J87" s="628">
        <v>316.8</v>
      </c>
    </row>
    <row r="88" spans="1:10">
      <c r="A88" s="629" t="s">
        <v>1010</v>
      </c>
      <c r="B88" s="628">
        <v>365</v>
      </c>
      <c r="C88" s="628">
        <v>-1098</v>
      </c>
      <c r="D88" s="628">
        <v>256</v>
      </c>
      <c r="E88" s="628">
        <v>51</v>
      </c>
      <c r="F88" s="628"/>
      <c r="G88" s="628">
        <v>299.25</v>
      </c>
      <c r="H88" s="628">
        <v>331.9</v>
      </c>
      <c r="I88" s="628">
        <v>388.5</v>
      </c>
      <c r="J88" s="628">
        <v>267.60000000000002</v>
      </c>
    </row>
    <row r="89" spans="1:10">
      <c r="A89" s="629" t="s">
        <v>1011</v>
      </c>
      <c r="B89" s="628">
        <v>717</v>
      </c>
      <c r="C89" s="628">
        <v>-2754</v>
      </c>
      <c r="D89" s="628">
        <v>312</v>
      </c>
      <c r="E89" s="628">
        <v>-6.4</v>
      </c>
      <c r="F89" s="628"/>
      <c r="G89" s="645">
        <v>348.5</v>
      </c>
      <c r="H89" s="628">
        <v>433.1</v>
      </c>
      <c r="I89" s="645">
        <v>593</v>
      </c>
      <c r="J89" s="628">
        <v>-23</v>
      </c>
    </row>
    <row r="90" spans="1:10">
      <c r="A90" s="629" t="s">
        <v>1012</v>
      </c>
      <c r="B90" s="628">
        <v>0</v>
      </c>
      <c r="C90" s="628">
        <v>0</v>
      </c>
      <c r="D90" s="628">
        <v>0</v>
      </c>
      <c r="E90" s="628">
        <v>0</v>
      </c>
      <c r="F90" s="628"/>
      <c r="G90" s="645">
        <v>38</v>
      </c>
      <c r="H90" s="628">
        <v>-23.7</v>
      </c>
      <c r="I90" s="645">
        <v>0</v>
      </c>
      <c r="J90" s="628">
        <v>0</v>
      </c>
    </row>
    <row r="91" spans="1:10">
      <c r="A91" s="630" t="s">
        <v>1901</v>
      </c>
      <c r="B91" s="646">
        <f t="shared" ref="B91:H91" si="2">SUM(B87:B90)</f>
        <v>1412</v>
      </c>
      <c r="C91" s="646">
        <f t="shared" si="2"/>
        <v>-4690</v>
      </c>
      <c r="D91" s="646">
        <f t="shared" si="2"/>
        <v>904</v>
      </c>
      <c r="E91" s="646">
        <f t="shared" si="2"/>
        <v>159.6</v>
      </c>
      <c r="F91" s="646"/>
      <c r="G91" s="646">
        <f t="shared" si="2"/>
        <v>975</v>
      </c>
      <c r="H91" s="646">
        <f t="shared" si="2"/>
        <v>737.09999999999991</v>
      </c>
      <c r="I91" s="646">
        <f>SUM(I87:I90)</f>
        <v>1318</v>
      </c>
      <c r="J91" s="646">
        <f>SUM(J87:J90)</f>
        <v>561.40000000000009</v>
      </c>
    </row>
    <row r="92" spans="1:10">
      <c r="A92" s="630" t="s">
        <v>587</v>
      </c>
      <c r="B92" s="123"/>
      <c r="C92" s="646"/>
      <c r="D92" s="646">
        <f>'Model wise sales'!N105</f>
        <v>1330</v>
      </c>
      <c r="E92" s="646"/>
      <c r="F92" s="646"/>
      <c r="G92" s="646">
        <f>'Model wise sales'!O105</f>
        <v>1524</v>
      </c>
      <c r="H92" s="646"/>
      <c r="I92" s="646">
        <f>'Model wise sales'!P105</f>
        <v>1487.3668188736681</v>
      </c>
      <c r="J92" s="646"/>
    </row>
    <row r="93" spans="1:10">
      <c r="A93" s="630" t="s">
        <v>759</v>
      </c>
      <c r="B93" s="123"/>
      <c r="C93" s="646"/>
      <c r="D93" s="648">
        <f>D91/D92*100</f>
        <v>67.969924812030087</v>
      </c>
      <c r="E93" s="646"/>
      <c r="F93" s="646"/>
      <c r="G93" s="648">
        <f>G91/D92*100</f>
        <v>73.308270676691734</v>
      </c>
      <c r="H93" s="646"/>
      <c r="I93" s="648">
        <f>I91/G92*100</f>
        <v>86.482939632545936</v>
      </c>
      <c r="J93" s="646"/>
    </row>
    <row r="94" spans="1:10">
      <c r="A94" s="630"/>
      <c r="B94" s="123"/>
      <c r="C94" s="646"/>
      <c r="D94" s="646"/>
      <c r="E94" s="646"/>
      <c r="F94" s="646"/>
      <c r="G94" s="646"/>
      <c r="H94" s="646"/>
    </row>
    <row r="95" spans="1:10">
      <c r="A95" s="627"/>
      <c r="B95" s="644"/>
      <c r="C95" s="644"/>
      <c r="D95" s="644"/>
      <c r="E95" s="627"/>
      <c r="F95" s="627"/>
      <c r="G95" s="627"/>
      <c r="H95" s="629"/>
    </row>
    <row r="96" spans="1:10">
      <c r="A96" s="630" t="s">
        <v>1014</v>
      </c>
      <c r="B96" s="644"/>
      <c r="C96" s="644"/>
      <c r="D96" s="644"/>
      <c r="E96" s="627"/>
      <c r="F96" s="627"/>
      <c r="G96" s="627"/>
      <c r="H96" s="629"/>
    </row>
    <row r="97" spans="1:11">
      <c r="A97" s="627" t="s">
        <v>1015</v>
      </c>
      <c r="B97" s="644"/>
      <c r="C97" s="644"/>
      <c r="D97" s="645">
        <v>0</v>
      </c>
      <c r="E97" s="628">
        <v>0</v>
      </c>
      <c r="F97" s="628"/>
      <c r="G97" s="645">
        <v>29.25</v>
      </c>
      <c r="H97" s="628">
        <v>19.5</v>
      </c>
      <c r="I97" s="645">
        <v>19.5</v>
      </c>
      <c r="J97" s="628">
        <v>29.2</v>
      </c>
    </row>
    <row r="98" spans="1:11">
      <c r="A98" s="627" t="s">
        <v>1016</v>
      </c>
      <c r="B98" s="644"/>
      <c r="C98" s="644"/>
      <c r="D98" s="645">
        <v>904</v>
      </c>
      <c r="E98" s="628">
        <v>159.6</v>
      </c>
      <c r="F98" s="628"/>
      <c r="G98" s="645">
        <v>945.75</v>
      </c>
      <c r="H98" s="628">
        <v>717.6</v>
      </c>
      <c r="I98" s="123">
        <v>1298.5</v>
      </c>
      <c r="J98" s="123">
        <v>532.20000000000005</v>
      </c>
    </row>
    <row r="99" spans="1:11">
      <c r="A99" s="630" t="s">
        <v>230</v>
      </c>
      <c r="B99" s="634"/>
      <c r="C99" s="634"/>
      <c r="D99" s="646">
        <f t="shared" ref="D99:J99" si="3">D97+D98</f>
        <v>904</v>
      </c>
      <c r="E99" s="646">
        <f t="shared" si="3"/>
        <v>159.6</v>
      </c>
      <c r="F99" s="646"/>
      <c r="G99" s="646">
        <f t="shared" si="3"/>
        <v>975</v>
      </c>
      <c r="H99" s="646">
        <f t="shared" si="3"/>
        <v>737.1</v>
      </c>
      <c r="I99" s="646">
        <f t="shared" si="3"/>
        <v>1318</v>
      </c>
      <c r="J99" s="646">
        <f t="shared" si="3"/>
        <v>561.40000000000009</v>
      </c>
      <c r="K99" s="646"/>
    </row>
    <row r="100" spans="1:11">
      <c r="A100" s="629"/>
      <c r="B100" s="634"/>
      <c r="C100" s="634"/>
      <c r="D100" s="634"/>
      <c r="E100" s="629"/>
      <c r="F100" s="629"/>
      <c r="G100" s="629"/>
      <c r="H100" s="629"/>
    </row>
    <row r="101" spans="1:11">
      <c r="A101" s="637" t="s">
        <v>1017</v>
      </c>
      <c r="B101" s="647" t="str">
        <f>B75</f>
        <v>FY12</v>
      </c>
      <c r="C101" s="647" t="str">
        <f>C75</f>
        <v>FY13</v>
      </c>
      <c r="D101" s="647" t="str">
        <f>D75</f>
        <v>FY14</v>
      </c>
      <c r="E101" s="647" t="str">
        <f>E75</f>
        <v>FY15</v>
      </c>
      <c r="F101" s="647"/>
      <c r="G101" s="629"/>
      <c r="H101" s="629"/>
    </row>
    <row r="102" spans="1:11">
      <c r="A102" s="627" t="s">
        <v>1018</v>
      </c>
      <c r="B102" s="628">
        <v>4187</v>
      </c>
      <c r="C102" s="628">
        <v>4188.8</v>
      </c>
      <c r="D102" s="628">
        <v>4464.1000000000004</v>
      </c>
      <c r="E102" s="629">
        <v>4505.1000000000004</v>
      </c>
      <c r="F102" s="629"/>
      <c r="G102" s="629"/>
      <c r="H102" s="629"/>
    </row>
    <row r="103" spans="1:11">
      <c r="A103" s="627" t="s">
        <v>1019</v>
      </c>
      <c r="B103" s="628">
        <v>254</v>
      </c>
      <c r="C103" s="628">
        <v>271.39999999999998</v>
      </c>
      <c r="D103" s="628">
        <v>0</v>
      </c>
      <c r="E103" s="629">
        <v>0</v>
      </c>
      <c r="F103" s="629"/>
      <c r="G103" s="629"/>
      <c r="H103" s="629"/>
    </row>
    <row r="104" spans="1:11">
      <c r="A104" s="627" t="s">
        <v>1020</v>
      </c>
      <c r="B104" s="628">
        <v>1</v>
      </c>
      <c r="C104" s="628">
        <v>0.4</v>
      </c>
      <c r="D104" s="628">
        <v>0.2</v>
      </c>
      <c r="E104" s="629">
        <v>0</v>
      </c>
      <c r="F104" s="629"/>
      <c r="G104" s="629"/>
      <c r="H104" s="629"/>
    </row>
    <row r="105" spans="1:11">
      <c r="A105" s="627" t="s">
        <v>1021</v>
      </c>
      <c r="B105" s="628">
        <v>1818</v>
      </c>
      <c r="C105" s="628">
        <v>2933.1</v>
      </c>
      <c r="D105" s="628">
        <v>3920.8</v>
      </c>
      <c r="E105" s="629">
        <v>4861.1000000000004</v>
      </c>
      <c r="F105" s="629"/>
      <c r="G105" s="629"/>
      <c r="H105" s="629"/>
    </row>
    <row r="106" spans="1:11">
      <c r="A106" s="627" t="s">
        <v>1022</v>
      </c>
      <c r="B106" s="628">
        <v>96</v>
      </c>
      <c r="C106" s="628">
        <v>541.29999999999995</v>
      </c>
      <c r="D106" s="628">
        <v>985.6</v>
      </c>
      <c r="E106" s="629">
        <v>4541.7</v>
      </c>
      <c r="F106" s="629"/>
      <c r="G106" s="629"/>
      <c r="H106" s="629"/>
    </row>
    <row r="107" spans="1:11">
      <c r="A107" s="627" t="s">
        <v>1023</v>
      </c>
      <c r="B107" s="628">
        <v>3579</v>
      </c>
      <c r="C107" s="628">
        <v>3774.8</v>
      </c>
      <c r="D107" s="628">
        <v>1161.0999999999999</v>
      </c>
      <c r="E107" s="629">
        <v>1263</v>
      </c>
      <c r="F107" s="629"/>
      <c r="G107" s="629"/>
      <c r="H107" s="629"/>
    </row>
    <row r="108" spans="1:11">
      <c r="A108" s="637" t="s">
        <v>230</v>
      </c>
      <c r="B108" s="646">
        <f>SUM(B102:B107)</f>
        <v>9935</v>
      </c>
      <c r="C108" s="646">
        <f>SUM(C102:C107)</f>
        <v>11709.8</v>
      </c>
      <c r="D108" s="646">
        <f>SUM(D102:D107)</f>
        <v>10531.800000000001</v>
      </c>
      <c r="E108" s="646">
        <f>SUM(E102:E107)</f>
        <v>15170.900000000001</v>
      </c>
      <c r="F108" s="646"/>
      <c r="G108" s="629"/>
      <c r="H108" s="629"/>
    </row>
    <row r="109" spans="1:11">
      <c r="A109" s="625"/>
      <c r="B109" s="626"/>
      <c r="C109" s="626"/>
      <c r="D109" s="626"/>
    </row>
    <row r="113" spans="1:8" s="734" customFormat="1" ht="21.75" customHeight="1">
      <c r="B113" s="1724" t="s">
        <v>255</v>
      </c>
      <c r="C113" s="1724"/>
      <c r="D113" s="1724"/>
      <c r="E113" s="1724" t="s">
        <v>1002</v>
      </c>
      <c r="F113" s="1724"/>
      <c r="G113" s="1724"/>
      <c r="H113" s="1724"/>
    </row>
    <row r="114" spans="1:8">
      <c r="A114" s="630"/>
      <c r="B114" s="636" t="s">
        <v>279</v>
      </c>
      <c r="C114" s="636" t="s">
        <v>1419</v>
      </c>
      <c r="D114" s="636" t="s">
        <v>1857</v>
      </c>
      <c r="E114" s="636" t="str">
        <f>B114</f>
        <v>FY13</v>
      </c>
      <c r="F114" s="636"/>
      <c r="G114" s="636" t="str">
        <f>C114</f>
        <v>FY14</v>
      </c>
      <c r="H114" s="636" t="str">
        <f>D114</f>
        <v>FY15</v>
      </c>
    </row>
    <row r="115" spans="1:8">
      <c r="A115" s="629" t="s">
        <v>999</v>
      </c>
      <c r="B115" s="628">
        <v>841.9</v>
      </c>
      <c r="C115" s="628">
        <v>130.80000000000001</v>
      </c>
      <c r="D115" s="628">
        <v>40.299999999999997</v>
      </c>
      <c r="E115" s="628">
        <v>0</v>
      </c>
      <c r="F115" s="628"/>
      <c r="G115" s="628" t="s">
        <v>679</v>
      </c>
      <c r="H115" s="628" t="s">
        <v>679</v>
      </c>
    </row>
    <row r="116" spans="1:8">
      <c r="A116" s="629" t="s">
        <v>667</v>
      </c>
      <c r="B116" s="628">
        <v>-238.4</v>
      </c>
      <c r="C116" s="628">
        <v>-142.69999999999999</v>
      </c>
      <c r="D116" s="628">
        <v>-16.8</v>
      </c>
      <c r="E116" s="628">
        <v>834.9</v>
      </c>
      <c r="F116" s="628"/>
      <c r="G116" s="628">
        <v>1446.1</v>
      </c>
      <c r="H116" s="628">
        <v>2132.9</v>
      </c>
    </row>
    <row r="117" spans="1:8">
      <c r="A117" s="629" t="s">
        <v>2143</v>
      </c>
      <c r="B117" s="628">
        <v>-297</v>
      </c>
      <c r="C117" s="628">
        <v>-460.1</v>
      </c>
      <c r="D117" s="628">
        <v>-16.8</v>
      </c>
      <c r="E117" s="628">
        <v>834.9</v>
      </c>
      <c r="F117" s="628"/>
      <c r="G117" s="628">
        <v>1446.1</v>
      </c>
      <c r="H117" s="628">
        <v>2132.9</v>
      </c>
    </row>
    <row r="118" spans="1:8">
      <c r="A118" s="629" t="s">
        <v>1000</v>
      </c>
      <c r="B118" s="628">
        <f>1541.4-1673.9</f>
        <v>-132.5</v>
      </c>
      <c r="C118" s="628">
        <f>2039.7-1963.2</f>
        <v>76.5</v>
      </c>
      <c r="D118" s="628">
        <f>1854.5-1800.9</f>
        <v>53.599999999999909</v>
      </c>
      <c r="E118" s="628">
        <f>13760+209.2</f>
        <v>13969.2</v>
      </c>
      <c r="F118" s="628"/>
      <c r="G118" s="628">
        <f>16371.6+1374.8</f>
        <v>17746.400000000001</v>
      </c>
      <c r="H118" s="628">
        <f>13303.6+2902.1</f>
        <v>16205.7</v>
      </c>
    </row>
    <row r="119" spans="1:8">
      <c r="A119" s="629" t="s">
        <v>1001</v>
      </c>
      <c r="B119" s="628">
        <v>543.79999999999995</v>
      </c>
      <c r="C119" s="628">
        <v>85.1</v>
      </c>
      <c r="D119" s="628">
        <v>54.2</v>
      </c>
      <c r="E119" s="628">
        <v>1396.4</v>
      </c>
      <c r="F119" s="628"/>
      <c r="G119" s="628">
        <v>17746.400000000001</v>
      </c>
      <c r="H119" s="628">
        <v>16205.8</v>
      </c>
    </row>
    <row r="123" spans="1:8">
      <c r="A123" s="191" t="s">
        <v>2420</v>
      </c>
      <c r="B123" s="636" t="s">
        <v>195</v>
      </c>
      <c r="C123" s="636" t="s">
        <v>395</v>
      </c>
      <c r="D123" s="636" t="s">
        <v>279</v>
      </c>
      <c r="E123" s="636" t="s">
        <v>1419</v>
      </c>
      <c r="F123" s="636"/>
      <c r="G123" s="636" t="s">
        <v>1857</v>
      </c>
    </row>
    <row r="124" spans="1:8">
      <c r="A124" s="123" t="s">
        <v>2421</v>
      </c>
      <c r="B124" s="624">
        <v>974.6</v>
      </c>
      <c r="C124" s="624">
        <v>1369</v>
      </c>
      <c r="D124" s="624">
        <v>1309</v>
      </c>
      <c r="E124" s="624">
        <v>1330</v>
      </c>
      <c r="F124" s="624"/>
      <c r="G124" s="624">
        <v>1524</v>
      </c>
    </row>
    <row r="125" spans="1:8">
      <c r="A125" s="123" t="s">
        <v>2422</v>
      </c>
      <c r="B125" s="798">
        <v>44504.5</v>
      </c>
      <c r="C125" s="798">
        <v>64491.8</v>
      </c>
      <c r="D125" s="798">
        <v>65082.7</v>
      </c>
      <c r="E125" s="798">
        <v>79314.600000000006</v>
      </c>
      <c r="F125" s="798"/>
      <c r="G125" s="798">
        <v>94104.2</v>
      </c>
      <c r="H125" s="798"/>
    </row>
    <row r="126" spans="1:8">
      <c r="A126" s="123" t="s">
        <v>2423</v>
      </c>
      <c r="B126" s="799">
        <f>+B125/'Inc Stmt'!K9*100</f>
        <v>27.139819358552725</v>
      </c>
      <c r="C126" s="799">
        <f>+C125/'Inc Stmt'!L9*100</f>
        <v>33.023639739505093</v>
      </c>
      <c r="D126" s="799">
        <f>+D125/'Inc Stmt'!M9*100</f>
        <v>32.545825050944508</v>
      </c>
      <c r="E126" s="799">
        <f>+E125/'Inc Stmt'!N9*100</f>
        <v>39.363041582648911</v>
      </c>
      <c r="F126" s="799"/>
      <c r="G126" s="799">
        <f>+G125/'Inc Stmt'!O9*100</f>
        <v>43.542548795785301</v>
      </c>
    </row>
    <row r="128" spans="1:8" ht="12.75">
      <c r="B128" s="1722" t="s">
        <v>2440</v>
      </c>
      <c r="C128" s="1723"/>
      <c r="D128" s="1722" t="s">
        <v>2441</v>
      </c>
      <c r="E128" s="1723"/>
      <c r="F128" s="888"/>
    </row>
    <row r="129" spans="1:6" ht="45">
      <c r="B129" s="803" t="s">
        <v>2438</v>
      </c>
      <c r="C129" s="803" t="s">
        <v>2439</v>
      </c>
      <c r="D129" s="803" t="s">
        <v>2442</v>
      </c>
      <c r="E129" s="803" t="s">
        <v>2439</v>
      </c>
      <c r="F129" s="887"/>
    </row>
    <row r="130" spans="1:6">
      <c r="A130" s="123" t="s">
        <v>2431</v>
      </c>
    </row>
    <row r="131" spans="1:6">
      <c r="A131" s="804" t="s">
        <v>2432</v>
      </c>
      <c r="B131" s="806">
        <v>0.9637</v>
      </c>
      <c r="C131" s="805">
        <v>106921.5</v>
      </c>
      <c r="D131" s="806">
        <v>0.93</v>
      </c>
      <c r="E131" s="805">
        <v>28137.4</v>
      </c>
      <c r="F131" s="805"/>
    </row>
    <row r="132" spans="1:6">
      <c r="A132" s="191"/>
      <c r="B132" s="806"/>
      <c r="C132" s="805"/>
      <c r="D132" s="806"/>
      <c r="E132" s="805"/>
      <c r="F132" s="805"/>
    </row>
    <row r="133" spans="1:6">
      <c r="A133" s="191" t="s">
        <v>2433</v>
      </c>
      <c r="B133" s="806"/>
      <c r="C133" s="805"/>
      <c r="D133" s="806"/>
      <c r="E133" s="805"/>
      <c r="F133" s="805"/>
    </row>
    <row r="134" spans="1:6">
      <c r="A134" s="802" t="s">
        <v>2434</v>
      </c>
      <c r="B134" s="806">
        <v>5.0000000000000001E-4</v>
      </c>
      <c r="C134" s="805">
        <v>53.6</v>
      </c>
      <c r="D134" s="806">
        <v>-5.9999999999999995E-4</v>
      </c>
      <c r="E134" s="805">
        <v>-16.8</v>
      </c>
      <c r="F134" s="805"/>
    </row>
    <row r="135" spans="1:6">
      <c r="A135" s="802" t="s">
        <v>2435</v>
      </c>
      <c r="B135" s="806">
        <v>0.14610000000000001</v>
      </c>
      <c r="C135" s="805">
        <v>16205.7</v>
      </c>
      <c r="D135" s="806">
        <v>7.0499999999999993E-2</v>
      </c>
      <c r="E135" s="805">
        <v>2132.9</v>
      </c>
      <c r="F135" s="805"/>
    </row>
    <row r="136" spans="1:6">
      <c r="A136" s="802" t="s">
        <v>2436</v>
      </c>
      <c r="B136" s="806"/>
      <c r="C136" s="805">
        <v>-0.4</v>
      </c>
      <c r="D136" s="806"/>
      <c r="E136" s="805">
        <v>0.1</v>
      </c>
      <c r="F136" s="805"/>
    </row>
    <row r="137" spans="1:6">
      <c r="A137" s="802" t="s">
        <v>2437</v>
      </c>
      <c r="B137" s="806">
        <v>-0.1103</v>
      </c>
      <c r="C137" s="805">
        <v>-12227.2</v>
      </c>
      <c r="D137" s="806">
        <v>1E-4</v>
      </c>
      <c r="E137" s="805">
        <v>2.7</v>
      </c>
      <c r="F137" s="805"/>
    </row>
    <row r="138" spans="1:6">
      <c r="B138" s="806"/>
      <c r="C138" s="805"/>
      <c r="D138" s="806"/>
      <c r="E138" s="805"/>
      <c r="F138" s="805"/>
    </row>
    <row r="139" spans="1:6">
      <c r="A139" s="191" t="s">
        <v>230</v>
      </c>
      <c r="B139" s="806">
        <f>+SUM(B131:B137)</f>
        <v>1</v>
      </c>
      <c r="C139" s="805">
        <f>+SUM(C131:C137)</f>
        <v>110953.20000000001</v>
      </c>
      <c r="D139" s="806">
        <f>+SUM(D131:D137)</f>
        <v>1</v>
      </c>
      <c r="E139" s="805">
        <f>+SUM(E131:E137)</f>
        <v>30256.300000000003</v>
      </c>
      <c r="F139" s="805"/>
    </row>
    <row r="144" spans="1:6">
      <c r="A144" s="123" t="s">
        <v>1619</v>
      </c>
      <c r="B144" s="142" t="s">
        <v>1857</v>
      </c>
    </row>
    <row r="145" spans="1:3">
      <c r="A145" s="123" t="s">
        <v>2452</v>
      </c>
      <c r="B145" s="808">
        <f>C145/$B$156</f>
        <v>0.26635248232713088</v>
      </c>
      <c r="C145" s="624">
        <v>655.6</v>
      </c>
    </row>
    <row r="146" spans="1:3">
      <c r="A146" s="123" t="s">
        <v>2446</v>
      </c>
      <c r="B146" s="808">
        <f t="shared" ref="B146:B153" si="4">C146/$B$156</f>
        <v>0.19354838709677419</v>
      </c>
      <c r="C146" s="624">
        <v>476.4</v>
      </c>
    </row>
    <row r="147" spans="1:3">
      <c r="A147" s="123" t="s">
        <v>2453</v>
      </c>
      <c r="B147" s="808">
        <f t="shared" si="4"/>
        <v>4.5990086942390512E-2</v>
      </c>
      <c r="C147" s="624">
        <v>113.2</v>
      </c>
    </row>
    <row r="148" spans="1:3">
      <c r="A148" s="123" t="s">
        <v>2447</v>
      </c>
      <c r="B148" s="808">
        <f t="shared" si="4"/>
        <v>0.27910944990655723</v>
      </c>
      <c r="C148" s="624">
        <v>687</v>
      </c>
    </row>
    <row r="149" spans="1:3">
      <c r="A149" s="123" t="s">
        <v>2449</v>
      </c>
      <c r="B149" s="808">
        <f t="shared" si="4"/>
        <v>0.11460957178841311</v>
      </c>
      <c r="C149" s="624">
        <v>282.10000000000002</v>
      </c>
    </row>
    <row r="150" spans="1:3">
      <c r="A150" s="123" t="s">
        <v>2450</v>
      </c>
      <c r="B150" s="808">
        <f t="shared" si="4"/>
        <v>1.7144714390184446E-2</v>
      </c>
      <c r="C150" s="624">
        <v>42.199999999999996</v>
      </c>
    </row>
    <row r="151" spans="1:3">
      <c r="A151" s="123" t="s">
        <v>2451</v>
      </c>
      <c r="B151" s="808">
        <f t="shared" si="4"/>
        <v>6.3134801332574944E-2</v>
      </c>
      <c r="C151" s="624">
        <v>155.39999999999998</v>
      </c>
    </row>
    <row r="152" spans="1:3">
      <c r="A152" s="123" t="s">
        <v>2448</v>
      </c>
      <c r="B152" s="808">
        <f t="shared" si="4"/>
        <v>7.9629479158202648E-3</v>
      </c>
      <c r="C152" s="624">
        <v>19.600000000000001</v>
      </c>
    </row>
    <row r="153" spans="1:3">
      <c r="A153" s="123" t="s">
        <v>741</v>
      </c>
      <c r="B153" s="808">
        <f t="shared" si="4"/>
        <v>1.214755830015442E-2</v>
      </c>
      <c r="C153" s="624">
        <f>+B156-SUM(C145:C152)</f>
        <v>29.900000000000091</v>
      </c>
    </row>
    <row r="155" spans="1:3">
      <c r="B155" s="123"/>
    </row>
    <row r="156" spans="1:3">
      <c r="A156" s="191" t="s">
        <v>2445</v>
      </c>
      <c r="B156" s="142">
        <v>2461.4</v>
      </c>
    </row>
    <row r="157" spans="1:3">
      <c r="B157" s="123"/>
    </row>
    <row r="158" spans="1:3">
      <c r="B158" s="123"/>
    </row>
    <row r="159" spans="1:3">
      <c r="B159" s="123"/>
    </row>
    <row r="161" spans="1:7">
      <c r="A161" s="191"/>
      <c r="B161" s="142" t="s">
        <v>195</v>
      </c>
      <c r="C161" s="142" t="s">
        <v>395</v>
      </c>
      <c r="D161" s="142" t="s">
        <v>279</v>
      </c>
      <c r="E161" s="142" t="s">
        <v>1419</v>
      </c>
      <c r="F161" s="142"/>
      <c r="G161" s="142" t="s">
        <v>1857</v>
      </c>
    </row>
    <row r="162" spans="1:7">
      <c r="A162" s="123" t="s">
        <v>2454</v>
      </c>
      <c r="B162" s="809">
        <f>'Ratio Sheet'!K84</f>
        <v>0.59645748317730363</v>
      </c>
      <c r="C162" s="809">
        <f>'Ratio Sheet'!L84</f>
        <v>0.5311711348170356</v>
      </c>
      <c r="D162" s="809">
        <f>'Ratio Sheet'!M84</f>
        <v>0.40677432370162225</v>
      </c>
      <c r="E162" s="809">
        <f>'Ratio Sheet'!N84</f>
        <v>0.37132437837314058</v>
      </c>
      <c r="F162" s="809"/>
      <c r="G162" s="809">
        <f>'Ratio Sheet'!O84</f>
        <v>0.30140491716294471</v>
      </c>
    </row>
    <row r="163" spans="1:7">
      <c r="A163" s="123" t="s">
        <v>2455</v>
      </c>
      <c r="B163" s="809">
        <f>'Ratio Sheet'!K85</f>
        <v>0.7227197839604047</v>
      </c>
      <c r="C163" s="809">
        <f>'Ratio Sheet'!L85</f>
        <v>0.54862059810111541</v>
      </c>
      <c r="D163" s="809">
        <f>'Ratio Sheet'!M85</f>
        <v>0.41164227358118644</v>
      </c>
      <c r="E163" s="809">
        <f>'Ratio Sheet'!N85</f>
        <v>0.37401687319513177</v>
      </c>
      <c r="F163" s="809"/>
      <c r="G163" s="809">
        <f>'Ratio Sheet'!O85</f>
        <v>0.30348016318931753</v>
      </c>
    </row>
    <row r="164" spans="1:7">
      <c r="A164" s="123" t="s">
        <v>2456</v>
      </c>
      <c r="B164" s="809">
        <f>'Ratio Sheet'!K89</f>
        <v>0.83870180193669375</v>
      </c>
      <c r="C164" s="809">
        <f>'Ratio Sheet'!L89</f>
        <v>1.0359513757833676</v>
      </c>
      <c r="D164" s="809">
        <f>'Ratio Sheet'!M89</f>
        <v>0.732411288297801</v>
      </c>
      <c r="E164" s="809">
        <f>'Ratio Sheet'!N89</f>
        <v>0.77069217587851013</v>
      </c>
      <c r="F164" s="809"/>
      <c r="G164" s="809">
        <f>'Ratio Sheet'!O89</f>
        <v>0.70174570486879895</v>
      </c>
    </row>
    <row r="165" spans="1:7">
      <c r="A165" s="123" t="s">
        <v>2457</v>
      </c>
      <c r="B165" s="809">
        <f>+'Inc Stmt'!K65/100</f>
        <v>0.40279902866399409</v>
      </c>
      <c r="C165" s="809">
        <f>+'Inc Stmt'!L65/100</f>
        <v>0.50378322597826264</v>
      </c>
      <c r="D165" s="809">
        <f>+'Inc Stmt'!M65/100</f>
        <v>0.50056918694165053</v>
      </c>
      <c r="E165" s="809">
        <f>+'Inc Stmt'!N65/100</f>
        <v>0.52194145630798572</v>
      </c>
      <c r="F165" s="809"/>
      <c r="G165" s="809">
        <f>+'Inc Stmt'!O65/100</f>
        <v>0.60161815484017711</v>
      </c>
    </row>
    <row r="166" spans="1:7">
      <c r="B166" s="809"/>
      <c r="C166" s="809"/>
      <c r="D166" s="809"/>
      <c r="E166" s="809"/>
      <c r="F166" s="809"/>
      <c r="G166" s="809"/>
    </row>
    <row r="167" spans="1:7">
      <c r="B167" s="142" t="s">
        <v>195</v>
      </c>
      <c r="C167" s="142" t="s">
        <v>395</v>
      </c>
      <c r="D167" s="142" t="s">
        <v>279</v>
      </c>
      <c r="E167" s="142" t="s">
        <v>1419</v>
      </c>
      <c r="F167" s="142"/>
      <c r="G167" s="142" t="s">
        <v>1857</v>
      </c>
    </row>
    <row r="168" spans="1:7">
      <c r="A168" s="123" t="s">
        <v>2458</v>
      </c>
      <c r="B168" s="810">
        <f>+'Bal Sheet'!K30</f>
        <v>91906.470200000011</v>
      </c>
      <c r="C168" s="810">
        <f>+'Bal Sheet'!L30</f>
        <v>110326.2702</v>
      </c>
      <c r="D168" s="810">
        <f>+'Bal Sheet'!M30</f>
        <v>123635.17020000001</v>
      </c>
      <c r="E168" s="810">
        <f>+'Bal Sheet'!N30</f>
        <v>146044.17019999999</v>
      </c>
      <c r="F168" s="810"/>
      <c r="G168" s="810">
        <f>+'Bal Sheet'!O30</f>
        <v>154207.40000000002</v>
      </c>
    </row>
    <row r="169" spans="1:7">
      <c r="A169" s="123" t="s">
        <v>2461</v>
      </c>
      <c r="B169" s="810">
        <f>+'Bal Sheet'!K116+'Bal Sheet'!K81</f>
        <v>42951.5</v>
      </c>
      <c r="C169" s="810">
        <f>+'Bal Sheet'!L116+'Bal Sheet'!L81</f>
        <v>54119.899999999994</v>
      </c>
      <c r="D169" s="810">
        <f>+'Bal Sheet'!M116+'Bal Sheet'!M81</f>
        <v>57705.899999999994</v>
      </c>
      <c r="E169" s="810">
        <f>+'Bal Sheet'!N116+'Bal Sheet'!N81</f>
        <v>78223.900000000009</v>
      </c>
      <c r="F169" s="810"/>
      <c r="G169" s="810">
        <f>+'Bal Sheet'!O116+'Bal Sheet'!O81</f>
        <v>85167.5</v>
      </c>
    </row>
    <row r="170" spans="1:7">
      <c r="A170" s="123" t="s">
        <v>2459</v>
      </c>
      <c r="B170" s="811">
        <f>'Bal Sheet'!K14-'Bal Sheet'!K23-'Bal Sheet'!K24</f>
        <v>-10826.899999999998</v>
      </c>
      <c r="C170" s="811">
        <f>'Bal Sheet'!L14-'Bal Sheet'!L23-'Bal Sheet'!L24</f>
        <v>-2192</v>
      </c>
      <c r="D170" s="811">
        <f>'Bal Sheet'!M14-'Bal Sheet'!M23-'Bal Sheet'!M24</f>
        <v>-4401.1000000000022</v>
      </c>
      <c r="E170" s="811">
        <f>'Bal Sheet'!N14-'Bal Sheet'!N23-'Bal Sheet'!N24</f>
        <v>-8999.8999999999978</v>
      </c>
      <c r="F170" s="811"/>
      <c r="G170" s="811">
        <f>'Bal Sheet'!O14-'Bal Sheet'!O23-'Bal Sheet'!O24</f>
        <v>-3910.6200000000063</v>
      </c>
    </row>
    <row r="171" spans="1:7">
      <c r="A171" s="123" t="s">
        <v>2460</v>
      </c>
      <c r="B171" s="811">
        <f>'Bal Sheet'!K15</f>
        <v>15482.900000000003</v>
      </c>
      <c r="C171" s="811">
        <f>'Bal Sheet'!L15</f>
        <v>15212.399999999998</v>
      </c>
      <c r="D171" s="811">
        <f>'Bal Sheet'!M15</f>
        <v>20979.8</v>
      </c>
      <c r="E171" s="811">
        <f>'Bal Sheet'!N15</f>
        <v>21501</v>
      </c>
      <c r="F171" s="811"/>
      <c r="G171" s="811">
        <f>'Bal Sheet'!O15</f>
        <v>21721.8</v>
      </c>
    </row>
    <row r="174" spans="1:7">
      <c r="A174" s="123" t="s">
        <v>2462</v>
      </c>
      <c r="B174" s="811">
        <f>'Bal Sheet'!K21</f>
        <v>91906.5</v>
      </c>
      <c r="C174" s="811">
        <f>'Bal Sheet'!L21</f>
        <v>110326.6</v>
      </c>
      <c r="D174" s="811">
        <f>'Bal Sheet'!M21</f>
        <v>123635.59999999999</v>
      </c>
      <c r="E174" s="811">
        <f>'Bal Sheet'!N21</f>
        <v>146044.20000000001</v>
      </c>
      <c r="F174" s="811"/>
      <c r="G174" s="811">
        <f>'Bal Sheet'!O21</f>
        <v>154207.4</v>
      </c>
    </row>
    <row r="175" spans="1:7">
      <c r="A175" s="123" t="s">
        <v>2463</v>
      </c>
      <c r="B175" s="811">
        <f>'Bal Sheet'!K23+'Bal Sheet'!K24</f>
        <v>39552.800000000003</v>
      </c>
      <c r="C175" s="811">
        <f>'Bal Sheet'!L23+'Bal Sheet'!L24</f>
        <v>48940.800000000003</v>
      </c>
      <c r="D175" s="811">
        <f>'Bal Sheet'!M23+'Bal Sheet'!M24</f>
        <v>43903</v>
      </c>
      <c r="E175" s="811">
        <f>'Bal Sheet'!N23+'Bal Sheet'!N24</f>
        <v>49386.600000000006</v>
      </c>
      <c r="F175" s="811"/>
      <c r="G175" s="811">
        <f>'Bal Sheet'!O23+'Bal Sheet'!O24</f>
        <v>46167.62000000001</v>
      </c>
    </row>
    <row r="176" spans="1:7">
      <c r="A176" s="123" t="s">
        <v>742</v>
      </c>
      <c r="B176" s="811">
        <f>+B174-B175</f>
        <v>52353.7</v>
      </c>
      <c r="C176" s="811">
        <f t="shared" ref="C176:G176" si="5">+C174-C175</f>
        <v>61385.8</v>
      </c>
      <c r="D176" s="811">
        <f t="shared" si="5"/>
        <v>79732.599999999991</v>
      </c>
      <c r="E176" s="811">
        <f t="shared" si="5"/>
        <v>96657.600000000006</v>
      </c>
      <c r="F176" s="811"/>
      <c r="G176" s="811">
        <f t="shared" si="5"/>
        <v>108039.77999999998</v>
      </c>
    </row>
  </sheetData>
  <mergeCells count="11">
    <mergeCell ref="B128:C128"/>
    <mergeCell ref="D128:E128"/>
    <mergeCell ref="B113:D113"/>
    <mergeCell ref="E113:H113"/>
    <mergeCell ref="G83:H83"/>
    <mergeCell ref="B59:D59"/>
    <mergeCell ref="E59:G59"/>
    <mergeCell ref="B83:C83"/>
    <mergeCell ref="D83:E83"/>
    <mergeCell ref="H59:I59"/>
    <mergeCell ref="I83:J83"/>
  </mergeCells>
  <phoneticPr fontId="63" type="noConversion"/>
  <pageMargins left="0.75" right="0.75" top="1" bottom="1" header="0.5" footer="0.5"/>
  <pageSetup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C2:XFD45"/>
  <sheetViews>
    <sheetView workbookViewId="0"/>
  </sheetViews>
  <sheetFormatPr defaultRowHeight="12.75"/>
  <cols>
    <col min="3" max="3" width="32.125" bestFit="1" customWidth="1"/>
    <col min="11" max="11" width="9.5" bestFit="1" customWidth="1"/>
  </cols>
  <sheetData>
    <row r="2" spans="3:9 16384:16384">
      <c r="D2" s="703" t="s">
        <v>612</v>
      </c>
      <c r="E2" s="703" t="s">
        <v>195</v>
      </c>
      <c r="F2" s="703" t="s">
        <v>395</v>
      </c>
      <c r="G2" s="703" t="s">
        <v>279</v>
      </c>
      <c r="H2" s="703" t="s">
        <v>1419</v>
      </c>
      <c r="I2" s="703" t="s">
        <v>2224</v>
      </c>
    </row>
    <row r="3" spans="3:9 16384:16384">
      <c r="C3" s="703" t="s">
        <v>2378</v>
      </c>
      <c r="D3">
        <v>726</v>
      </c>
      <c r="E3">
        <v>972</v>
      </c>
      <c r="F3">
        <v>1255</v>
      </c>
      <c r="G3">
        <v>1275</v>
      </c>
      <c r="H3">
        <v>1299</v>
      </c>
      <c r="I3">
        <v>1622</v>
      </c>
    </row>
    <row r="4" spans="3:9 16384:16384">
      <c r="C4" s="703" t="s">
        <v>406</v>
      </c>
      <c r="E4" s="66">
        <f>E3/D3-1</f>
        <v>0.33884297520661155</v>
      </c>
      <c r="F4" s="66">
        <f>F3/E3-1</f>
        <v>0.29115226337448563</v>
      </c>
      <c r="G4" s="66">
        <f>G3/F3-1</f>
        <v>1.5936254980079667E-2</v>
      </c>
      <c r="H4" s="66">
        <f>H3/G3-1</f>
        <v>1.8823529411764683E-2</v>
      </c>
      <c r="I4" s="66">
        <f>I3/H3-1</f>
        <v>0.24865280985373373</v>
      </c>
    </row>
    <row r="6" spans="3:9 16384:16384">
      <c r="C6" s="703" t="s">
        <v>2380</v>
      </c>
      <c r="D6">
        <v>165</v>
      </c>
      <c r="E6">
        <v>231</v>
      </c>
      <c r="F6">
        <v>312</v>
      </c>
      <c r="G6">
        <v>254</v>
      </c>
      <c r="H6">
        <v>261</v>
      </c>
      <c r="I6">
        <v>294</v>
      </c>
    </row>
    <row r="7" spans="3:9 16384:16384">
      <c r="C7" s="703" t="s">
        <v>406</v>
      </c>
      <c r="E7" s="704">
        <f>E6/D6-1</f>
        <v>0.39999999999999991</v>
      </c>
      <c r="F7" s="704">
        <f>F6/E6-1</f>
        <v>0.35064935064935066</v>
      </c>
      <c r="G7" s="704">
        <f>G6/F6-1</f>
        <v>-0.1858974358974359</v>
      </c>
      <c r="H7" s="704">
        <f>H6/G6-1</f>
        <v>2.7559055118110187E-2</v>
      </c>
      <c r="I7" s="704">
        <f>I6/H6-1</f>
        <v>0.12643678160919536</v>
      </c>
    </row>
    <row r="8" spans="3:9 16384:16384">
      <c r="C8" s="703"/>
    </row>
    <row r="9" spans="3:9 16384:16384">
      <c r="C9" s="703" t="s">
        <v>2381</v>
      </c>
      <c r="D9">
        <v>681.7</v>
      </c>
      <c r="E9">
        <v>974.6</v>
      </c>
      <c r="F9">
        <v>1369</v>
      </c>
      <c r="G9">
        <v>1309.0999999999999</v>
      </c>
      <c r="H9">
        <v>1330</v>
      </c>
      <c r="I9">
        <v>1524</v>
      </c>
    </row>
    <row r="10" spans="3:9 16384:16384">
      <c r="E10" s="66">
        <f>E9/D9-1</f>
        <v>0.42966114126448574</v>
      </c>
      <c r="F10" s="66">
        <f>F9/E9-1</f>
        <v>0.40467884260209308</v>
      </c>
      <c r="G10" s="66">
        <f>G9/F9-1</f>
        <v>-4.3754565376187049E-2</v>
      </c>
      <c r="H10" s="66">
        <f>H9/G9-1</f>
        <v>1.59651669085632E-2</v>
      </c>
      <c r="I10" s="66">
        <f>I9/H9-1</f>
        <v>0.14586466165413525</v>
      </c>
    </row>
    <row r="12" spans="3:9 16384:16384">
      <c r="C12" s="703" t="s">
        <v>2382</v>
      </c>
      <c r="D12">
        <f>+D6+D3</f>
        <v>891</v>
      </c>
      <c r="E12">
        <f>+E6+E3</f>
        <v>1203</v>
      </c>
      <c r="F12">
        <f>+F6+F3</f>
        <v>1567</v>
      </c>
      <c r="G12">
        <f>+G6+G3</f>
        <v>1529</v>
      </c>
      <c r="H12">
        <f>+H6+H3</f>
        <v>1560</v>
      </c>
      <c r="I12">
        <f>+I6+I3</f>
        <v>1916</v>
      </c>
    </row>
    <row r="14" spans="3:9 16384:16384">
      <c r="C14" s="703" t="s">
        <v>2379</v>
      </c>
      <c r="D14" s="129">
        <f>D9*10^6/D12/1000</f>
        <v>765.09539842873176</v>
      </c>
      <c r="E14" s="129">
        <f>E9*10^6/E12/1000</f>
        <v>810.14131338320863</v>
      </c>
      <c r="F14" s="129">
        <f>F9*10^6/F12/1000</f>
        <v>873.64390555201021</v>
      </c>
      <c r="G14" s="129">
        <f>G9*10^6/G12/1000</f>
        <v>856.18051013734475</v>
      </c>
      <c r="H14" s="129">
        <f>H9*10^6/H12/1000</f>
        <v>852.56410256410265</v>
      </c>
      <c r="I14" s="129">
        <f>I9*10^6/I12/1000</f>
        <v>795.4070981210856</v>
      </c>
      <c r="XFD14" s="129"/>
    </row>
    <row r="15" spans="3:9 16384:16384">
      <c r="C15" s="703" t="s">
        <v>406</v>
      </c>
      <c r="E15" s="704">
        <f>E14/D14-1</f>
        <v>5.8876206871701475E-2</v>
      </c>
      <c r="F15" s="704">
        <f>F14/E14-1</f>
        <v>7.8384586885972052E-2</v>
      </c>
      <c r="G15" s="704">
        <f>G14/F14-1</f>
        <v>-1.9989145810650699E-2</v>
      </c>
      <c r="H15" s="704">
        <f>H14/G14-1</f>
        <v>-4.2238844851326673E-3</v>
      </c>
      <c r="I15" s="704">
        <f>I14/H14-1</f>
        <v>-6.7041298444441066E-2</v>
      </c>
    </row>
    <row r="17" spans="3:9">
      <c r="C17" s="703" t="s">
        <v>2383</v>
      </c>
      <c r="D17">
        <v>3246</v>
      </c>
      <c r="E17">
        <v>4552</v>
      </c>
      <c r="F17">
        <v>6604</v>
      </c>
      <c r="G17">
        <v>6752</v>
      </c>
      <c r="H17">
        <v>8210</v>
      </c>
      <c r="I17">
        <v>10310</v>
      </c>
    </row>
    <row r="18" spans="3:9">
      <c r="E18" s="704">
        <f>E17/D17-1</f>
        <v>0.40234134319162052</v>
      </c>
      <c r="F18" s="704">
        <f>F17/E17-1</f>
        <v>0.45079086115992961</v>
      </c>
      <c r="G18" s="704">
        <f>G17/F17-1</f>
        <v>2.241066020593574E-2</v>
      </c>
      <c r="H18" s="704">
        <f>H17/G17-1</f>
        <v>0.21593601895734604</v>
      </c>
      <c r="I18" s="704">
        <f>I17/H17-1</f>
        <v>0.25578562728380017</v>
      </c>
    </row>
    <row r="20" spans="3:9">
      <c r="C20" s="703" t="s">
        <v>2384</v>
      </c>
      <c r="D20" s="129">
        <f t="shared" ref="D20:I20" si="0">D17/D9*10</f>
        <v>47.616253483937214</v>
      </c>
      <c r="E20" s="129">
        <f t="shared" si="0"/>
        <v>46.706341063000202</v>
      </c>
      <c r="F20" s="129">
        <f t="shared" si="0"/>
        <v>48.239590942293646</v>
      </c>
      <c r="G20" s="129">
        <f t="shared" si="0"/>
        <v>51.577419601252778</v>
      </c>
      <c r="H20" s="129">
        <f t="shared" si="0"/>
        <v>61.729323308270672</v>
      </c>
      <c r="I20" s="129">
        <f t="shared" si="0"/>
        <v>67.650918635170598</v>
      </c>
    </row>
    <row r="25" spans="3:9">
      <c r="C25" s="703" t="s">
        <v>2385</v>
      </c>
      <c r="D25" t="str">
        <f t="shared" ref="D25:I25" si="1">D2</f>
        <v>FY10</v>
      </c>
      <c r="E25" t="str">
        <f t="shared" si="1"/>
        <v>FY11</v>
      </c>
      <c r="F25" t="str">
        <f t="shared" si="1"/>
        <v>FY12</v>
      </c>
      <c r="G25" t="str">
        <f t="shared" si="1"/>
        <v>FY13</v>
      </c>
      <c r="H25" t="str">
        <f t="shared" si="1"/>
        <v>FY14</v>
      </c>
      <c r="I25" t="str">
        <f t="shared" si="1"/>
        <v>FY15E</v>
      </c>
    </row>
    <row r="26" spans="3:9">
      <c r="C26" s="703" t="s">
        <v>619</v>
      </c>
      <c r="D26">
        <v>73</v>
      </c>
      <c r="E26">
        <v>188</v>
      </c>
      <c r="F26">
        <v>255</v>
      </c>
      <c r="G26">
        <v>236</v>
      </c>
      <c r="H26">
        <v>226</v>
      </c>
      <c r="I26">
        <v>256</v>
      </c>
    </row>
    <row r="27" spans="3:9">
      <c r="C27" s="703" t="s">
        <v>2386</v>
      </c>
      <c r="D27">
        <v>180</v>
      </c>
      <c r="E27">
        <v>233</v>
      </c>
      <c r="F27">
        <v>251</v>
      </c>
      <c r="G27">
        <v>223</v>
      </c>
      <c r="H27">
        <v>235</v>
      </c>
      <c r="I27">
        <v>396</v>
      </c>
    </row>
    <row r="28" spans="3:9">
      <c r="C28" s="703" t="s">
        <v>2387</v>
      </c>
      <c r="D28">
        <v>445</v>
      </c>
      <c r="E28">
        <v>546</v>
      </c>
      <c r="F28">
        <v>748</v>
      </c>
      <c r="G28">
        <v>813</v>
      </c>
      <c r="H28">
        <v>834</v>
      </c>
      <c r="I28">
        <v>962</v>
      </c>
    </row>
    <row r="30" spans="3:9">
      <c r="C30" s="703" t="s">
        <v>2388</v>
      </c>
      <c r="D30">
        <v>165</v>
      </c>
      <c r="E30">
        <v>225</v>
      </c>
      <c r="F30">
        <v>312</v>
      </c>
      <c r="G30">
        <v>254</v>
      </c>
      <c r="H30">
        <v>261</v>
      </c>
      <c r="I30">
        <v>294</v>
      </c>
    </row>
    <row r="32" spans="3:9">
      <c r="C32" s="703" t="s">
        <v>2391</v>
      </c>
    </row>
    <row r="33" spans="3:11">
      <c r="C33" s="703" t="s">
        <v>576</v>
      </c>
      <c r="D33" s="703" t="s">
        <v>612</v>
      </c>
      <c r="E33" s="703" t="s">
        <v>195</v>
      </c>
      <c r="F33" s="703" t="s">
        <v>395</v>
      </c>
      <c r="G33" s="703" t="s">
        <v>279</v>
      </c>
      <c r="H33" s="703" t="s">
        <v>1419</v>
      </c>
      <c r="I33" s="703" t="s">
        <v>1857</v>
      </c>
    </row>
    <row r="34" spans="3:11">
      <c r="C34" s="703" t="s">
        <v>1196</v>
      </c>
      <c r="D34">
        <v>346</v>
      </c>
      <c r="E34">
        <v>421</v>
      </c>
      <c r="F34">
        <v>588</v>
      </c>
      <c r="G34">
        <v>648</v>
      </c>
      <c r="H34">
        <v>652</v>
      </c>
      <c r="I34">
        <v>743</v>
      </c>
      <c r="K34" s="66"/>
    </row>
    <row r="35" spans="3:11">
      <c r="C35" s="703" t="s">
        <v>2389</v>
      </c>
      <c r="D35">
        <v>184</v>
      </c>
      <c r="E35">
        <v>261</v>
      </c>
      <c r="F35">
        <v>286</v>
      </c>
      <c r="G35">
        <v>237</v>
      </c>
      <c r="H35">
        <v>267</v>
      </c>
      <c r="I35">
        <v>467</v>
      </c>
      <c r="K35" s="66"/>
    </row>
    <row r="36" spans="3:11">
      <c r="C36" s="703" t="s">
        <v>2390</v>
      </c>
      <c r="D36">
        <v>77</v>
      </c>
      <c r="E36">
        <v>113</v>
      </c>
      <c r="F36">
        <v>133</v>
      </c>
      <c r="G36">
        <v>116</v>
      </c>
      <c r="H36">
        <v>108</v>
      </c>
      <c r="I36">
        <v>103</v>
      </c>
      <c r="K36" s="66"/>
    </row>
    <row r="37" spans="3:11">
      <c r="C37" s="703" t="s">
        <v>1197</v>
      </c>
      <c r="D37">
        <v>119</v>
      </c>
      <c r="E37">
        <v>176</v>
      </c>
      <c r="F37">
        <v>248</v>
      </c>
      <c r="G37">
        <v>274</v>
      </c>
      <c r="H37">
        <v>272</v>
      </c>
      <c r="I37" s="703">
        <v>309</v>
      </c>
      <c r="K37" s="66"/>
    </row>
    <row r="38" spans="3:11">
      <c r="C38" s="703" t="s">
        <v>230</v>
      </c>
      <c r="D38">
        <f t="shared" ref="D38:I38" si="2">SUM(D34:D37)</f>
        <v>726</v>
      </c>
      <c r="E38">
        <f t="shared" si="2"/>
        <v>971</v>
      </c>
      <c r="F38">
        <f t="shared" si="2"/>
        <v>1255</v>
      </c>
      <c r="G38">
        <f t="shared" si="2"/>
        <v>1275</v>
      </c>
      <c r="H38">
        <f t="shared" si="2"/>
        <v>1299</v>
      </c>
      <c r="I38">
        <f t="shared" si="2"/>
        <v>1622</v>
      </c>
    </row>
    <row r="40" spans="3:11">
      <c r="C40" s="703" t="s">
        <v>2392</v>
      </c>
      <c r="D40" t="str">
        <f t="shared" ref="D40:I40" si="3">D33</f>
        <v>FY10</v>
      </c>
      <c r="E40" t="str">
        <f t="shared" si="3"/>
        <v>FY11</v>
      </c>
      <c r="F40" t="str">
        <f t="shared" si="3"/>
        <v>FY12</v>
      </c>
      <c r="G40" t="str">
        <f t="shared" si="3"/>
        <v>FY13</v>
      </c>
      <c r="H40" t="str">
        <f t="shared" si="3"/>
        <v>FY14</v>
      </c>
      <c r="I40" t="str">
        <f t="shared" si="3"/>
        <v>FY15</v>
      </c>
    </row>
    <row r="41" spans="3:11">
      <c r="C41" s="703" t="s">
        <v>1196</v>
      </c>
      <c r="D41">
        <v>35</v>
      </c>
      <c r="E41">
        <v>48</v>
      </c>
      <c r="F41">
        <v>58</v>
      </c>
      <c r="G41">
        <v>58</v>
      </c>
      <c r="H41">
        <v>70</v>
      </c>
      <c r="I41">
        <v>95</v>
      </c>
    </row>
    <row r="42" spans="3:11">
      <c r="C42" s="703" t="s">
        <v>2389</v>
      </c>
      <c r="D42">
        <v>109</v>
      </c>
      <c r="E42">
        <v>156</v>
      </c>
      <c r="F42">
        <v>221</v>
      </c>
      <c r="G42">
        <v>160</v>
      </c>
      <c r="H42">
        <v>159</v>
      </c>
      <c r="I42">
        <v>167</v>
      </c>
    </row>
    <row r="43" spans="3:11">
      <c r="C43" s="703" t="s">
        <v>2390</v>
      </c>
      <c r="D43">
        <v>990</v>
      </c>
      <c r="E43">
        <v>1010</v>
      </c>
      <c r="G43">
        <v>1259</v>
      </c>
      <c r="H43">
        <v>1212</v>
      </c>
      <c r="I43">
        <v>950</v>
      </c>
    </row>
    <row r="44" spans="3:11">
      <c r="C44" s="703" t="s">
        <v>1197</v>
      </c>
      <c r="D44">
        <v>20</v>
      </c>
      <c r="E44">
        <v>26</v>
      </c>
      <c r="F44">
        <v>33</v>
      </c>
      <c r="G44">
        <v>35</v>
      </c>
      <c r="H44">
        <v>30</v>
      </c>
      <c r="I44">
        <v>31</v>
      </c>
    </row>
    <row r="45" spans="3:11">
      <c r="C45" s="703" t="s">
        <v>230</v>
      </c>
      <c r="D45">
        <f t="shared" ref="D45:I45" si="4">SUM(D41:D44)</f>
        <v>1154</v>
      </c>
      <c r="E45">
        <f t="shared" si="4"/>
        <v>1240</v>
      </c>
      <c r="F45">
        <f t="shared" si="4"/>
        <v>312</v>
      </c>
      <c r="G45">
        <f t="shared" si="4"/>
        <v>1512</v>
      </c>
      <c r="H45">
        <f t="shared" si="4"/>
        <v>1471</v>
      </c>
      <c r="I45">
        <f t="shared" si="4"/>
        <v>1243</v>
      </c>
    </row>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2:S29"/>
  <sheetViews>
    <sheetView workbookViewId="0"/>
  </sheetViews>
  <sheetFormatPr defaultColWidth="8" defaultRowHeight="12.75"/>
  <cols>
    <col min="1" max="1" width="4.5" style="342" customWidth="1"/>
    <col min="2" max="2" width="18.75" style="342" bestFit="1" customWidth="1"/>
    <col min="3" max="5" width="8.875" style="342" customWidth="1"/>
    <col min="6" max="16384" width="8" style="342"/>
  </cols>
  <sheetData>
    <row r="2" spans="2:5">
      <c r="B2" s="342" t="s">
        <v>1261</v>
      </c>
    </row>
    <row r="3" spans="2:5" ht="15">
      <c r="C3" s="553" t="s">
        <v>1262</v>
      </c>
      <c r="D3" s="553" t="s">
        <v>1263</v>
      </c>
      <c r="E3" s="553" t="s">
        <v>1264</v>
      </c>
    </row>
    <row r="4" spans="2:5">
      <c r="B4" s="342" t="s">
        <v>1265</v>
      </c>
      <c r="C4" s="549">
        <v>0.78</v>
      </c>
      <c r="D4" s="549">
        <v>0.11</v>
      </c>
      <c r="E4" s="549">
        <v>0.11</v>
      </c>
    </row>
    <row r="5" spans="2:5">
      <c r="B5" s="342" t="s">
        <v>1266</v>
      </c>
      <c r="C5" s="549"/>
      <c r="D5" s="549"/>
      <c r="E5" s="549"/>
    </row>
    <row r="6" spans="2:5">
      <c r="B6" s="342" t="s">
        <v>1196</v>
      </c>
      <c r="C6" s="549">
        <v>0.8</v>
      </c>
      <c r="D6" s="549">
        <v>2.5000000000000001E-2</v>
      </c>
      <c r="E6" s="549">
        <v>0.17499999999999999</v>
      </c>
    </row>
    <row r="7" spans="2:5">
      <c r="B7" s="342" t="s">
        <v>1266</v>
      </c>
      <c r="C7" s="549"/>
      <c r="D7" s="549"/>
      <c r="E7" s="549"/>
    </row>
    <row r="8" spans="2:5">
      <c r="B8" s="342" t="s">
        <v>1267</v>
      </c>
      <c r="C8" s="549">
        <v>0.12</v>
      </c>
      <c r="D8" s="549">
        <v>0.87</v>
      </c>
      <c r="E8" s="549">
        <v>0.01</v>
      </c>
    </row>
    <row r="9" spans="2:5">
      <c r="B9" s="342" t="s">
        <v>1268</v>
      </c>
      <c r="C9" s="549"/>
      <c r="D9" s="549"/>
      <c r="E9" s="549"/>
    </row>
    <row r="10" spans="2:5">
      <c r="B10" s="342" t="s">
        <v>1269</v>
      </c>
      <c r="C10" s="549">
        <v>0.03</v>
      </c>
      <c r="D10" s="549">
        <v>0.21</v>
      </c>
      <c r="E10" s="549">
        <v>0.76</v>
      </c>
    </row>
    <row r="11" spans="2:5">
      <c r="B11" s="342" t="s">
        <v>1270</v>
      </c>
      <c r="C11" s="549"/>
      <c r="D11" s="549"/>
      <c r="E11" s="549"/>
    </row>
    <row r="12" spans="2:5">
      <c r="B12" s="342" t="s">
        <v>1233</v>
      </c>
      <c r="C12" s="549">
        <v>0.94</v>
      </c>
      <c r="D12" s="549">
        <v>0.06</v>
      </c>
      <c r="E12" s="549">
        <v>0</v>
      </c>
    </row>
    <row r="13" spans="2:5">
      <c r="B13" s="342" t="s">
        <v>1271</v>
      </c>
    </row>
    <row r="15" spans="2:5" ht="15">
      <c r="C15" s="553" t="s">
        <v>1262</v>
      </c>
      <c r="D15" s="553" t="s">
        <v>1263</v>
      </c>
      <c r="E15" s="553" t="s">
        <v>1264</v>
      </c>
    </row>
    <row r="16" spans="2:5">
      <c r="B16" s="342" t="s">
        <v>1235</v>
      </c>
      <c r="C16" s="549"/>
      <c r="D16" s="549"/>
      <c r="E16" s="549"/>
    </row>
    <row r="17" spans="1:19">
      <c r="B17" s="342" t="s">
        <v>1236</v>
      </c>
      <c r="C17" s="549">
        <v>0.69</v>
      </c>
      <c r="D17" s="549">
        <f t="shared" ref="D17:D24" si="0">1-C17-E17</f>
        <v>0.26000000000000006</v>
      </c>
      <c r="E17" s="549">
        <v>0.05</v>
      </c>
    </row>
    <row r="18" spans="1:19">
      <c r="B18" s="342" t="s">
        <v>1237</v>
      </c>
      <c r="C18" s="549">
        <v>0.36</v>
      </c>
      <c r="D18" s="549">
        <f t="shared" si="0"/>
        <v>7.0000000000000062E-2</v>
      </c>
      <c r="E18" s="549">
        <v>0.56999999999999995</v>
      </c>
    </row>
    <row r="19" spans="1:19">
      <c r="B19" s="342" t="s">
        <v>1238</v>
      </c>
      <c r="C19" s="549">
        <v>0.82</v>
      </c>
      <c r="D19" s="549">
        <f t="shared" si="0"/>
        <v>3.0000000000000054E-2</v>
      </c>
      <c r="E19" s="549">
        <v>0.15</v>
      </c>
    </row>
    <row r="20" spans="1:19">
      <c r="B20" s="342" t="s">
        <v>1239</v>
      </c>
      <c r="C20" s="549">
        <v>0.96</v>
      </c>
      <c r="D20" s="549">
        <f t="shared" si="0"/>
        <v>4.0000000000000036E-2</v>
      </c>
      <c r="E20" s="549">
        <v>0</v>
      </c>
    </row>
    <row r="21" spans="1:19">
      <c r="B21" s="342" t="s">
        <v>1240</v>
      </c>
      <c r="C21" s="549">
        <v>0.63</v>
      </c>
      <c r="D21" s="549">
        <f t="shared" si="0"/>
        <v>4.9999999999999989E-2</v>
      </c>
      <c r="E21" s="549">
        <v>0.32</v>
      </c>
    </row>
    <row r="22" spans="1:19">
      <c r="B22" s="342" t="s">
        <v>1241</v>
      </c>
      <c r="C22" s="549">
        <v>0.83</v>
      </c>
      <c r="D22" s="549">
        <f t="shared" si="0"/>
        <v>0.14000000000000004</v>
      </c>
      <c r="E22" s="549">
        <v>0.03</v>
      </c>
    </row>
    <row r="23" spans="1:19">
      <c r="B23" s="342" t="s">
        <v>1242</v>
      </c>
      <c r="C23" s="549">
        <v>0.79</v>
      </c>
      <c r="D23" s="549">
        <f t="shared" si="0"/>
        <v>0.17999999999999997</v>
      </c>
      <c r="E23" s="549">
        <v>0.03</v>
      </c>
    </row>
    <row r="24" spans="1:19">
      <c r="B24" s="342" t="s">
        <v>1243</v>
      </c>
      <c r="C24" s="549">
        <v>0.98</v>
      </c>
      <c r="D24" s="549">
        <f t="shared" si="0"/>
        <v>2.0000000000000018E-2</v>
      </c>
      <c r="E24" s="549">
        <v>0</v>
      </c>
    </row>
    <row r="25" spans="1:19">
      <c r="C25" s="549"/>
      <c r="D25" s="549"/>
      <c r="E25" s="549"/>
    </row>
    <row r="27" spans="1:19">
      <c r="A27" s="1725" t="s">
        <v>562</v>
      </c>
      <c r="B27" s="1725"/>
      <c r="C27" s="1725"/>
      <c r="D27" s="1725"/>
      <c r="E27" s="1725"/>
      <c r="F27" s="1725"/>
      <c r="G27" s="1725"/>
      <c r="H27" s="1725"/>
      <c r="I27" s="1725"/>
      <c r="J27" s="1725"/>
      <c r="K27" s="1725"/>
      <c r="L27" s="1725"/>
      <c r="M27" s="1725"/>
      <c r="N27" s="1725"/>
      <c r="O27" s="1725"/>
      <c r="P27" s="1725"/>
      <c r="Q27" s="1725"/>
      <c r="R27" s="1725"/>
      <c r="S27" s="1725"/>
    </row>
    <row r="28" spans="1:19">
      <c r="A28" s="1725"/>
      <c r="B28" s="1725"/>
      <c r="C28" s="1725"/>
      <c r="D28" s="1725"/>
      <c r="E28" s="1725"/>
      <c r="F28" s="1725"/>
      <c r="G28" s="1725"/>
      <c r="H28" s="1725"/>
      <c r="I28" s="1725"/>
      <c r="J28" s="1725"/>
      <c r="K28" s="1725"/>
      <c r="L28" s="1725"/>
      <c r="M28" s="1725"/>
      <c r="N28" s="1725"/>
      <c r="O28" s="1725"/>
      <c r="P28" s="1725"/>
      <c r="Q28" s="1725"/>
      <c r="R28" s="1725"/>
      <c r="S28" s="1725"/>
    </row>
    <row r="29" spans="1:19">
      <c r="A29" s="1725"/>
      <c r="B29" s="1725"/>
      <c r="C29" s="1725"/>
      <c r="D29" s="1725"/>
      <c r="E29" s="1725"/>
      <c r="F29" s="1725"/>
      <c r="G29" s="1725"/>
      <c r="H29" s="1725"/>
      <c r="I29" s="1725"/>
      <c r="J29" s="1725"/>
      <c r="K29" s="1725"/>
      <c r="L29" s="1725"/>
      <c r="M29" s="1725"/>
      <c r="N29" s="1725"/>
      <c r="O29" s="1725"/>
      <c r="P29" s="1725"/>
      <c r="Q29" s="1725"/>
      <c r="R29" s="1725"/>
      <c r="S29" s="1725"/>
    </row>
  </sheetData>
  <mergeCells count="1">
    <mergeCell ref="A27:S29"/>
  </mergeCells>
  <phoneticPr fontId="75" type="noConversion"/>
  <pageMargins left="0.7" right="0.7" top="0.75" bottom="0.75" header="0.3" footer="0.3"/>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253"/>
  <sheetViews>
    <sheetView showGridLines="0" workbookViewId="0">
      <selection activeCell="M5" sqref="M5"/>
    </sheetView>
  </sheetViews>
  <sheetFormatPr defaultRowHeight="12.75"/>
  <cols>
    <col min="1" max="2" width="9" style="1620"/>
    <col min="3" max="3" width="10" style="1620" bestFit="1" customWidth="1"/>
    <col min="4" max="4" width="7.875" style="1620" bestFit="1" customWidth="1"/>
    <col min="5" max="5" width="11.5" style="1620" bestFit="1" customWidth="1"/>
    <col min="6" max="7" width="9" style="1620"/>
    <col min="8" max="8" width="10" style="1620" bestFit="1" customWidth="1"/>
    <col min="9" max="11" width="9" style="1620"/>
    <col min="12" max="12" width="12" style="1620" bestFit="1" customWidth="1"/>
    <col min="13" max="13" width="7.25" style="1620" bestFit="1" customWidth="1"/>
    <col min="14" max="16384" width="9" style="1620"/>
  </cols>
  <sheetData>
    <row r="1" spans="2:13">
      <c r="M1" s="1634"/>
    </row>
    <row r="2" spans="2:13" ht="13.5" thickBot="1"/>
    <row r="3" spans="2:13" ht="13.5" thickBot="1">
      <c r="B3" s="1621" t="s">
        <v>2630</v>
      </c>
      <c r="E3" s="1630">
        <f>SUM(E9:E250)</f>
        <v>0.13997877469031067</v>
      </c>
      <c r="G3" s="1621" t="s">
        <v>2635</v>
      </c>
      <c r="J3" s="1630">
        <f>SUM(J9:J250)</f>
        <v>7.1987828085951194E-2</v>
      </c>
      <c r="L3" s="1621" t="s">
        <v>2636</v>
      </c>
      <c r="M3" s="1632">
        <f>_xlfn.COVARIANCE.P(E9:E250,J9:J250)</f>
        <v>4.3517057524922675E-5</v>
      </c>
    </row>
    <row r="4" spans="2:13" ht="13.5" thickBot="1">
      <c r="B4" s="1621" t="s">
        <v>2631</v>
      </c>
      <c r="E4" s="1631">
        <f>_xlfn.VAR.P(E9:E250)</f>
        <v>5.2191209678137668E-5</v>
      </c>
      <c r="G4" s="1621" t="s">
        <v>2634</v>
      </c>
      <c r="J4" s="1631">
        <f>_xlfn.VAR.S(J10:J250)</f>
        <v>1.5491589694230807E-4</v>
      </c>
    </row>
    <row r="5" spans="2:13" ht="13.5" thickBot="1">
      <c r="B5" s="1621"/>
      <c r="E5" s="1622"/>
      <c r="L5" s="1621" t="s">
        <v>1678</v>
      </c>
      <c r="M5" s="1633">
        <f>M3/E4</f>
        <v>0.83380051532224786</v>
      </c>
    </row>
    <row r="6" spans="2:13">
      <c r="B6" s="1621"/>
      <c r="C6" s="1621" t="s">
        <v>2632</v>
      </c>
      <c r="F6" s="1623"/>
    </row>
    <row r="7" spans="2:13">
      <c r="C7" s="1624" t="s">
        <v>302</v>
      </c>
      <c r="D7" s="1624" t="s">
        <v>2629</v>
      </c>
      <c r="E7" s="1624" t="s">
        <v>2633</v>
      </c>
      <c r="H7" s="1624" t="s">
        <v>302</v>
      </c>
      <c r="I7" s="1624" t="s">
        <v>2629</v>
      </c>
      <c r="J7" s="1624" t="s">
        <v>2633</v>
      </c>
    </row>
    <row r="8" spans="2:13" ht="13.5">
      <c r="C8" s="1625">
        <v>42521</v>
      </c>
      <c r="D8" s="1626">
        <v>8160.1</v>
      </c>
      <c r="E8" s="1626"/>
      <c r="H8" s="1625">
        <v>42521</v>
      </c>
      <c r="I8" s="1627">
        <v>2617.15</v>
      </c>
    </row>
    <row r="9" spans="2:13" ht="13.5">
      <c r="C9" s="1625">
        <v>42522</v>
      </c>
      <c r="D9" s="1626">
        <v>8179.95</v>
      </c>
      <c r="E9" s="1628">
        <f>LN(D9/D8)</f>
        <v>2.4296143236509325E-3</v>
      </c>
      <c r="H9" s="1625">
        <v>42522</v>
      </c>
      <c r="I9" s="1627">
        <v>2612</v>
      </c>
      <c r="J9" s="1628">
        <f>LN(I9/I8)</f>
        <v>-1.9697280304038335E-3</v>
      </c>
    </row>
    <row r="10" spans="2:13" ht="13.5">
      <c r="C10" s="1625">
        <v>42523</v>
      </c>
      <c r="D10" s="1626">
        <v>8218.9500000000007</v>
      </c>
      <c r="E10" s="1628">
        <f t="shared" ref="E10:E73" si="0">LN(D10/D9)</f>
        <v>4.7564255561801478E-3</v>
      </c>
      <c r="H10" s="1625">
        <v>42523</v>
      </c>
      <c r="I10" s="1627">
        <v>2595</v>
      </c>
      <c r="J10" s="1628">
        <f t="shared" ref="J10:J73" si="1">LN(I10/I9)</f>
        <v>-6.5296947963326725E-3</v>
      </c>
    </row>
    <row r="11" spans="2:13" ht="13.5">
      <c r="C11" s="1625">
        <v>42524</v>
      </c>
      <c r="D11" s="1626">
        <v>8220.7999999999993</v>
      </c>
      <c r="E11" s="1628">
        <f t="shared" si="0"/>
        <v>2.250642507103704E-4</v>
      </c>
      <c r="H11" s="1625">
        <v>42524</v>
      </c>
      <c r="I11" s="1627">
        <v>2625.15</v>
      </c>
      <c r="J11" s="1628">
        <f t="shared" si="1"/>
        <v>1.1551520650287051E-2</v>
      </c>
    </row>
    <row r="12" spans="2:13" ht="13.5">
      <c r="C12" s="1625">
        <v>42527</v>
      </c>
      <c r="D12" s="1626">
        <v>8201.0499999999993</v>
      </c>
      <c r="E12" s="1628">
        <f t="shared" si="0"/>
        <v>-2.4053330802774366E-3</v>
      </c>
      <c r="H12" s="1625">
        <v>42527</v>
      </c>
      <c r="I12" s="1627">
        <v>2630</v>
      </c>
      <c r="J12" s="1628">
        <f t="shared" si="1"/>
        <v>1.8458089215340103E-3</v>
      </c>
    </row>
    <row r="13" spans="2:13" ht="13.5">
      <c r="C13" s="1625">
        <v>42528</v>
      </c>
      <c r="D13" s="1626">
        <v>8266.4500000000007</v>
      </c>
      <c r="E13" s="1628">
        <f t="shared" si="0"/>
        <v>7.9429596287779892E-3</v>
      </c>
      <c r="H13" s="1625">
        <v>42528</v>
      </c>
      <c r="I13" s="1627">
        <v>2640</v>
      </c>
      <c r="J13" s="1628">
        <f t="shared" si="1"/>
        <v>3.7950709685515343E-3</v>
      </c>
    </row>
    <row r="14" spans="2:13" ht="13.5">
      <c r="C14" s="1625">
        <v>42529</v>
      </c>
      <c r="D14" s="1626">
        <v>8273.0499999999993</v>
      </c>
      <c r="E14" s="1628">
        <f t="shared" si="0"/>
        <v>7.9808946465361862E-4</v>
      </c>
      <c r="H14" s="1625">
        <v>42529</v>
      </c>
      <c r="I14" s="1627">
        <v>2633</v>
      </c>
      <c r="J14" s="1628">
        <f t="shared" si="1"/>
        <v>-2.6550366440524767E-3</v>
      </c>
    </row>
    <row r="15" spans="2:13" ht="13.5">
      <c r="C15" s="1625">
        <v>42530</v>
      </c>
      <c r="D15" s="1626">
        <v>8203.6</v>
      </c>
      <c r="E15" s="1628">
        <f t="shared" si="0"/>
        <v>-8.4301616291408577E-3</v>
      </c>
      <c r="H15" s="1625">
        <v>42530</v>
      </c>
      <c r="I15" s="1627">
        <v>2590.6</v>
      </c>
      <c r="J15" s="1628">
        <f t="shared" si="1"/>
        <v>-1.6234371400153876E-2</v>
      </c>
    </row>
    <row r="16" spans="2:13" ht="13.5">
      <c r="C16" s="1625">
        <v>42531</v>
      </c>
      <c r="D16" s="1626">
        <v>8170.05</v>
      </c>
      <c r="E16" s="1628">
        <f t="shared" si="0"/>
        <v>-4.0980535132155429E-3</v>
      </c>
      <c r="H16" s="1625">
        <v>42531</v>
      </c>
      <c r="I16" s="1627">
        <v>2580.9499999999998</v>
      </c>
      <c r="J16" s="1628">
        <f t="shared" si="1"/>
        <v>-3.7319609014916269E-3</v>
      </c>
    </row>
    <row r="17" spans="3:10" ht="13.5">
      <c r="C17" s="1625">
        <v>42534</v>
      </c>
      <c r="D17" s="1626">
        <v>8110.6</v>
      </c>
      <c r="E17" s="1628">
        <f t="shared" si="0"/>
        <v>-7.3031806761300142E-3</v>
      </c>
      <c r="H17" s="1625">
        <v>42534</v>
      </c>
      <c r="I17" s="1627">
        <v>2589.9</v>
      </c>
      <c r="J17" s="1628">
        <f t="shared" si="1"/>
        <v>3.4617167149228333E-3</v>
      </c>
    </row>
    <row r="18" spans="3:10" ht="13.5">
      <c r="C18" s="1625">
        <v>42535</v>
      </c>
      <c r="D18" s="1626">
        <v>8108.85</v>
      </c>
      <c r="E18" s="1628">
        <f t="shared" si="0"/>
        <v>-2.1579030198819746E-4</v>
      </c>
      <c r="H18" s="1625">
        <v>42535</v>
      </c>
      <c r="I18" s="1627">
        <v>2557.1</v>
      </c>
      <c r="J18" s="1628">
        <f t="shared" si="1"/>
        <v>-1.2745461053036646E-2</v>
      </c>
    </row>
    <row r="19" spans="3:10" ht="13.5">
      <c r="C19" s="1625">
        <v>42536</v>
      </c>
      <c r="D19" s="1626">
        <v>8206.6</v>
      </c>
      <c r="E19" s="1628">
        <f t="shared" si="0"/>
        <v>1.1982650752247075E-2</v>
      </c>
      <c r="H19" s="1625">
        <v>42536</v>
      </c>
      <c r="I19" s="1627">
        <v>2605</v>
      </c>
      <c r="J19" s="1628">
        <f t="shared" si="1"/>
        <v>1.85588713309171E-2</v>
      </c>
    </row>
    <row r="20" spans="3:10" ht="13.5">
      <c r="C20" s="1625">
        <v>42537</v>
      </c>
      <c r="D20" s="1626">
        <v>8140.75</v>
      </c>
      <c r="E20" s="1628">
        <f t="shared" si="0"/>
        <v>-8.0563952161747613E-3</v>
      </c>
      <c r="H20" s="1625">
        <v>42537</v>
      </c>
      <c r="I20" s="1627">
        <v>2571</v>
      </c>
      <c r="J20" s="1628">
        <f t="shared" si="1"/>
        <v>-1.3137746921577775E-2</v>
      </c>
    </row>
    <row r="21" spans="3:10" ht="13.5">
      <c r="C21" s="1625">
        <v>42538</v>
      </c>
      <c r="D21" s="1626">
        <v>8170.2</v>
      </c>
      <c r="E21" s="1628">
        <f t="shared" si="0"/>
        <v>3.6110750142681778E-3</v>
      </c>
      <c r="H21" s="1625">
        <v>42538</v>
      </c>
      <c r="I21" s="1627">
        <v>2572</v>
      </c>
      <c r="J21" s="1628">
        <f t="shared" si="1"/>
        <v>3.8887809162041877E-4</v>
      </c>
    </row>
    <row r="22" spans="3:10" ht="13.5">
      <c r="C22" s="1625">
        <v>42541</v>
      </c>
      <c r="D22" s="1626">
        <v>8238.5</v>
      </c>
      <c r="E22" s="1628">
        <f t="shared" si="0"/>
        <v>8.3249001389015705E-3</v>
      </c>
      <c r="H22" s="1625">
        <v>42541</v>
      </c>
      <c r="I22" s="1627">
        <v>2612.0500000000002</v>
      </c>
      <c r="J22" s="1628">
        <f t="shared" si="1"/>
        <v>1.5451547275199885E-2</v>
      </c>
    </row>
    <row r="23" spans="3:10" ht="13.5">
      <c r="C23" s="1625">
        <v>42542</v>
      </c>
      <c r="D23" s="1626">
        <v>8219.9</v>
      </c>
      <c r="E23" s="1628">
        <f t="shared" si="0"/>
        <v>-2.26024497138191E-3</v>
      </c>
      <c r="H23" s="1625">
        <v>42542</v>
      </c>
      <c r="I23" s="1627">
        <v>2629.05</v>
      </c>
      <c r="J23" s="1628">
        <f t="shared" si="1"/>
        <v>6.48721055458505E-3</v>
      </c>
    </row>
    <row r="24" spans="3:10" ht="13.5">
      <c r="C24" s="1625">
        <v>42543</v>
      </c>
      <c r="D24" s="1626">
        <v>8203.7000000000007</v>
      </c>
      <c r="E24" s="1628">
        <f t="shared" si="0"/>
        <v>-1.972771530476316E-3</v>
      </c>
      <c r="H24" s="1625">
        <v>42543</v>
      </c>
      <c r="I24" s="1627">
        <v>2626.95</v>
      </c>
      <c r="J24" s="1628">
        <f t="shared" si="1"/>
        <v>-7.9908680051168294E-4</v>
      </c>
    </row>
    <row r="25" spans="3:10" ht="13.5">
      <c r="C25" s="1625">
        <v>42544</v>
      </c>
      <c r="D25" s="1626">
        <v>8270.4500000000007</v>
      </c>
      <c r="E25" s="1628">
        <f t="shared" si="0"/>
        <v>8.1036490846724193E-3</v>
      </c>
      <c r="H25" s="1625">
        <v>42544</v>
      </c>
      <c r="I25" s="1627">
        <v>2652</v>
      </c>
      <c r="J25" s="1628">
        <f t="shared" si="1"/>
        <v>9.4905949189701619E-3</v>
      </c>
    </row>
    <row r="26" spans="3:10" ht="13.5">
      <c r="C26" s="1625">
        <v>42545</v>
      </c>
      <c r="D26" s="1626">
        <v>8088.6</v>
      </c>
      <c r="E26" s="1628">
        <f t="shared" si="0"/>
        <v>-2.2233258155226799E-2</v>
      </c>
      <c r="H26" s="1625">
        <v>42545</v>
      </c>
      <c r="I26" s="1627">
        <v>2662.45</v>
      </c>
      <c r="J26" s="1628">
        <f t="shared" si="1"/>
        <v>3.9326791928703435E-3</v>
      </c>
    </row>
    <row r="27" spans="3:10" ht="13.5">
      <c r="C27" s="1625">
        <v>42548</v>
      </c>
      <c r="D27" s="1626">
        <v>8094.7</v>
      </c>
      <c r="E27" s="1628">
        <f t="shared" si="0"/>
        <v>7.5386358639968956E-4</v>
      </c>
      <c r="H27" s="1625">
        <v>42548</v>
      </c>
      <c r="I27" s="1627">
        <v>2646.7</v>
      </c>
      <c r="J27" s="1628">
        <f t="shared" si="1"/>
        <v>-5.9331705464230255E-3</v>
      </c>
    </row>
    <row r="28" spans="3:10" ht="13.5">
      <c r="C28" s="1625">
        <v>42549</v>
      </c>
      <c r="D28" s="1626">
        <v>8127.85</v>
      </c>
      <c r="E28" s="1628">
        <f t="shared" si="0"/>
        <v>4.0869094120902271E-3</v>
      </c>
      <c r="H28" s="1625">
        <v>42549</v>
      </c>
      <c r="I28" s="1627">
        <v>2630</v>
      </c>
      <c r="J28" s="1628">
        <f t="shared" si="1"/>
        <v>-6.3297347803901787E-3</v>
      </c>
    </row>
    <row r="29" spans="3:10" ht="13.5">
      <c r="C29" s="1625">
        <v>42550</v>
      </c>
      <c r="D29" s="1626">
        <v>8204</v>
      </c>
      <c r="E29" s="1628">
        <f t="shared" si="0"/>
        <v>9.3254042687080322E-3</v>
      </c>
      <c r="H29" s="1625">
        <v>42550</v>
      </c>
      <c r="I29" s="1627">
        <v>2647</v>
      </c>
      <c r="J29" s="1628">
        <f t="shared" si="1"/>
        <v>6.4430770552909673E-3</v>
      </c>
    </row>
    <row r="30" spans="3:10" ht="13.5">
      <c r="C30" s="1625">
        <v>42551</v>
      </c>
      <c r="D30" s="1626">
        <v>8287.75</v>
      </c>
      <c r="E30" s="1628">
        <f t="shared" si="0"/>
        <v>1.0156680759383653E-2</v>
      </c>
      <c r="H30" s="1625">
        <v>42551</v>
      </c>
      <c r="I30" s="1627">
        <v>2699</v>
      </c>
      <c r="J30" s="1628">
        <f t="shared" si="1"/>
        <v>1.9454410790903397E-2</v>
      </c>
    </row>
    <row r="31" spans="3:10" ht="13.5">
      <c r="C31" s="1625">
        <v>42552</v>
      </c>
      <c r="D31" s="1626">
        <v>8328.35</v>
      </c>
      <c r="E31" s="1628">
        <f t="shared" si="0"/>
        <v>4.8868363572590074E-3</v>
      </c>
      <c r="H31" s="1625">
        <v>42552</v>
      </c>
      <c r="I31" s="1627">
        <v>2667</v>
      </c>
      <c r="J31" s="1628">
        <f t="shared" si="1"/>
        <v>-1.1927088835990406E-2</v>
      </c>
    </row>
    <row r="32" spans="3:10" ht="13.5">
      <c r="C32" s="1625">
        <v>42555</v>
      </c>
      <c r="D32" s="1626">
        <v>8370.7000000000007</v>
      </c>
      <c r="E32" s="1628">
        <f t="shared" si="0"/>
        <v>5.0721556967608331E-3</v>
      </c>
      <c r="H32" s="1625">
        <v>42555</v>
      </c>
      <c r="I32" s="1627">
        <v>2655</v>
      </c>
      <c r="J32" s="1628">
        <f t="shared" si="1"/>
        <v>-4.5095905059750379E-3</v>
      </c>
    </row>
    <row r="33" spans="3:10" ht="13.5">
      <c r="C33" s="1625">
        <v>42556</v>
      </c>
      <c r="D33" s="1626">
        <v>8335.9500000000007</v>
      </c>
      <c r="E33" s="1628">
        <f t="shared" si="0"/>
        <v>-4.160026111129104E-3</v>
      </c>
      <c r="H33" s="1625">
        <v>42556</v>
      </c>
      <c r="I33" s="1627">
        <v>2611.0500000000002</v>
      </c>
      <c r="J33" s="1628">
        <f t="shared" si="1"/>
        <v>-1.6692215409211248E-2</v>
      </c>
    </row>
    <row r="34" spans="3:10" ht="13.5">
      <c r="C34" s="1625">
        <v>42558</v>
      </c>
      <c r="D34" s="1626">
        <v>8337.9</v>
      </c>
      <c r="E34" s="1628">
        <f t="shared" si="0"/>
        <v>2.3389919051559977E-4</v>
      </c>
      <c r="H34" s="1625">
        <v>42558</v>
      </c>
      <c r="I34" s="1627">
        <v>2608.1</v>
      </c>
      <c r="J34" s="1628">
        <f t="shared" si="1"/>
        <v>-1.1304523970977543E-3</v>
      </c>
    </row>
    <row r="35" spans="3:10" ht="13.5">
      <c r="C35" s="1625">
        <v>42559</v>
      </c>
      <c r="D35" s="1626">
        <v>8323.2000000000007</v>
      </c>
      <c r="E35" s="1628">
        <f t="shared" si="0"/>
        <v>-1.7645898307286068E-3</v>
      </c>
      <c r="H35" s="1625">
        <v>42559</v>
      </c>
      <c r="I35" s="1627">
        <v>2601</v>
      </c>
      <c r="J35" s="1628">
        <f t="shared" si="1"/>
        <v>-2.7260004210787128E-3</v>
      </c>
    </row>
    <row r="36" spans="3:10" ht="13.5">
      <c r="C36" s="1625">
        <v>42562</v>
      </c>
      <c r="D36" s="1626">
        <v>8467.9</v>
      </c>
      <c r="E36" s="1628">
        <f t="shared" si="0"/>
        <v>1.7235747766783369E-2</v>
      </c>
      <c r="H36" s="1625">
        <v>42562</v>
      </c>
      <c r="I36" s="1627">
        <v>2652</v>
      </c>
      <c r="J36" s="1628">
        <f t="shared" si="1"/>
        <v>1.9418085857101516E-2</v>
      </c>
    </row>
    <row r="37" spans="3:10" ht="13.5">
      <c r="C37" s="1625">
        <v>42563</v>
      </c>
      <c r="D37" s="1626">
        <v>8521.0499999999993</v>
      </c>
      <c r="E37" s="1628">
        <f t="shared" si="0"/>
        <v>6.2570286455097815E-3</v>
      </c>
      <c r="H37" s="1625">
        <v>42563</v>
      </c>
      <c r="I37" s="1627">
        <v>2650</v>
      </c>
      <c r="J37" s="1628">
        <f t="shared" si="1"/>
        <v>-7.5443232548523108E-4</v>
      </c>
    </row>
    <row r="38" spans="3:10" ht="13.5">
      <c r="C38" s="1625">
        <v>42564</v>
      </c>
      <c r="D38" s="1626">
        <v>8519.5</v>
      </c>
      <c r="E38" s="1628">
        <f t="shared" si="0"/>
        <v>-1.819190113316264E-4</v>
      </c>
      <c r="H38" s="1625">
        <v>42564</v>
      </c>
      <c r="I38" s="1627">
        <v>2648</v>
      </c>
      <c r="J38" s="1628">
        <f t="shared" si="1"/>
        <v>-7.5500192336904132E-4</v>
      </c>
    </row>
    <row r="39" spans="3:10" ht="13.5">
      <c r="C39" s="1625">
        <v>42565</v>
      </c>
      <c r="D39" s="1626">
        <v>8565</v>
      </c>
      <c r="E39" s="1628">
        <f t="shared" si="0"/>
        <v>5.3264781029264477E-3</v>
      </c>
      <c r="H39" s="1625">
        <v>42565</v>
      </c>
      <c r="I39" s="1627">
        <v>2660</v>
      </c>
      <c r="J39" s="1628">
        <f t="shared" si="1"/>
        <v>4.5214847188458371E-3</v>
      </c>
    </row>
    <row r="40" spans="3:10" ht="13.5">
      <c r="C40" s="1625">
        <v>42566</v>
      </c>
      <c r="D40" s="1626">
        <v>8541.4</v>
      </c>
      <c r="E40" s="1628">
        <f t="shared" si="0"/>
        <v>-2.7592029851549417E-3</v>
      </c>
      <c r="H40" s="1625">
        <v>42566</v>
      </c>
      <c r="I40" s="1627">
        <v>2694.8</v>
      </c>
      <c r="J40" s="1628">
        <f t="shared" si="1"/>
        <v>1.2997867310759982E-2</v>
      </c>
    </row>
    <row r="41" spans="3:10" ht="13.5">
      <c r="C41" s="1625">
        <v>42569</v>
      </c>
      <c r="D41" s="1626">
        <v>8508.7000000000007</v>
      </c>
      <c r="E41" s="1628">
        <f t="shared" si="0"/>
        <v>-3.8357593319745743E-3</v>
      </c>
      <c r="H41" s="1625">
        <v>42569</v>
      </c>
      <c r="I41" s="1627">
        <v>2755.1</v>
      </c>
      <c r="J41" s="1628">
        <f t="shared" si="1"/>
        <v>2.2129749482419969E-2</v>
      </c>
    </row>
    <row r="42" spans="3:10" ht="13.5">
      <c r="C42" s="1625">
        <v>42570</v>
      </c>
      <c r="D42" s="1626">
        <v>8528.5499999999993</v>
      </c>
      <c r="E42" s="1628">
        <f t="shared" si="0"/>
        <v>2.3301893183188E-3</v>
      </c>
      <c r="H42" s="1625">
        <v>42570</v>
      </c>
      <c r="I42" s="1627">
        <v>2761.9</v>
      </c>
      <c r="J42" s="1628">
        <f t="shared" si="1"/>
        <v>2.4651090967912686E-3</v>
      </c>
    </row>
    <row r="43" spans="3:10" ht="13.5">
      <c r="C43" s="1625">
        <v>42571</v>
      </c>
      <c r="D43" s="1626">
        <v>8565.85</v>
      </c>
      <c r="E43" s="1628">
        <f t="shared" si="0"/>
        <v>4.3640091722287767E-3</v>
      </c>
      <c r="H43" s="1625">
        <v>42571</v>
      </c>
      <c r="I43" s="1627">
        <v>2783.4</v>
      </c>
      <c r="J43" s="1628">
        <f t="shared" si="1"/>
        <v>7.7543533200369894E-3</v>
      </c>
    </row>
    <row r="44" spans="3:10" ht="13.5">
      <c r="C44" s="1625">
        <v>42572</v>
      </c>
      <c r="D44" s="1626">
        <v>8510.1</v>
      </c>
      <c r="E44" s="1628">
        <f t="shared" si="0"/>
        <v>-6.5296745519432715E-3</v>
      </c>
      <c r="H44" s="1625">
        <v>42572</v>
      </c>
      <c r="I44" s="1627">
        <v>2767.2</v>
      </c>
      <c r="J44" s="1628">
        <f t="shared" si="1"/>
        <v>-5.837223362794141E-3</v>
      </c>
    </row>
    <row r="45" spans="3:10" ht="13.5">
      <c r="C45" s="1625">
        <v>42573</v>
      </c>
      <c r="D45" s="1626">
        <v>8541.2000000000007</v>
      </c>
      <c r="E45" s="1628">
        <f t="shared" si="0"/>
        <v>3.6478197540639554E-3</v>
      </c>
      <c r="H45" s="1625">
        <v>42573</v>
      </c>
      <c r="I45" s="1627">
        <v>2720</v>
      </c>
      <c r="J45" s="1628">
        <f t="shared" si="1"/>
        <v>-1.7204098332915883E-2</v>
      </c>
    </row>
    <row r="46" spans="3:10" ht="13.5">
      <c r="C46" s="1625">
        <v>42576</v>
      </c>
      <c r="D46" s="1626">
        <v>8635.65</v>
      </c>
      <c r="E46" s="1628">
        <f t="shared" si="0"/>
        <v>1.0997470657424058E-2</v>
      </c>
      <c r="H46" s="1625">
        <v>42576</v>
      </c>
      <c r="I46" s="1627">
        <v>2697</v>
      </c>
      <c r="J46" s="1628">
        <f t="shared" si="1"/>
        <v>-8.4918361503130077E-3</v>
      </c>
    </row>
    <row r="47" spans="3:10" ht="13.5">
      <c r="C47" s="1625">
        <v>42577</v>
      </c>
      <c r="D47" s="1626">
        <v>8590.65</v>
      </c>
      <c r="E47" s="1628">
        <f t="shared" si="0"/>
        <v>-5.2245812926618018E-3</v>
      </c>
      <c r="H47" s="1625">
        <v>42577</v>
      </c>
      <c r="I47" s="1627">
        <v>2667.25</v>
      </c>
      <c r="J47" s="1628">
        <f t="shared" si="1"/>
        <v>-1.1092065068159296E-2</v>
      </c>
    </row>
    <row r="48" spans="3:10" ht="13.5">
      <c r="C48" s="1625">
        <v>42578</v>
      </c>
      <c r="D48" s="1626">
        <v>8615.7999999999993</v>
      </c>
      <c r="E48" s="1628">
        <f t="shared" si="0"/>
        <v>2.9233244406166444E-3</v>
      </c>
      <c r="H48" s="1625">
        <v>42578</v>
      </c>
      <c r="I48" s="1627">
        <v>2665</v>
      </c>
      <c r="J48" s="1628">
        <f t="shared" si="1"/>
        <v>-8.4392147162567826E-4</v>
      </c>
    </row>
    <row r="49" spans="3:10" ht="13.5">
      <c r="C49" s="1625">
        <v>42579</v>
      </c>
      <c r="D49" s="1626">
        <v>8666.2999999999993</v>
      </c>
      <c r="E49" s="1628">
        <f t="shared" si="0"/>
        <v>5.8442138090683098E-3</v>
      </c>
      <c r="H49" s="1625">
        <v>42579</v>
      </c>
      <c r="I49" s="1627">
        <v>2657.9</v>
      </c>
      <c r="J49" s="1628">
        <f t="shared" si="1"/>
        <v>-2.667720306874928E-3</v>
      </c>
    </row>
    <row r="50" spans="3:10" ht="13.5">
      <c r="C50" s="1625">
        <v>42580</v>
      </c>
      <c r="D50" s="1626">
        <v>8638.5</v>
      </c>
      <c r="E50" s="1628">
        <f t="shared" si="0"/>
        <v>-3.2129841333691732E-3</v>
      </c>
      <c r="H50" s="1625">
        <v>42580</v>
      </c>
      <c r="I50" s="1627">
        <v>2702</v>
      </c>
      <c r="J50" s="1628">
        <f t="shared" si="1"/>
        <v>1.6455902227074187E-2</v>
      </c>
    </row>
    <row r="51" spans="3:10" ht="13.5">
      <c r="C51" s="1625">
        <v>42583</v>
      </c>
      <c r="D51" s="1626">
        <v>8636.5499999999993</v>
      </c>
      <c r="E51" s="1628">
        <f t="shared" si="0"/>
        <v>-2.2575911598316892E-4</v>
      </c>
      <c r="H51" s="1625">
        <v>42583</v>
      </c>
      <c r="I51" s="1627">
        <v>2744</v>
      </c>
      <c r="J51" s="1628">
        <f t="shared" si="1"/>
        <v>1.5424470325631731E-2</v>
      </c>
    </row>
    <row r="52" spans="3:10" ht="13.5">
      <c r="C52" s="1625">
        <v>42584</v>
      </c>
      <c r="D52" s="1626">
        <v>8622.9</v>
      </c>
      <c r="E52" s="1628">
        <f t="shared" si="0"/>
        <v>-1.581742505806558E-3</v>
      </c>
      <c r="H52" s="1625">
        <v>42584</v>
      </c>
      <c r="I52" s="1627">
        <v>2745</v>
      </c>
      <c r="J52" s="1628">
        <f t="shared" si="1"/>
        <v>3.6436509785517488E-4</v>
      </c>
    </row>
    <row r="53" spans="3:10" ht="13.5">
      <c r="C53" s="1625">
        <v>42585</v>
      </c>
      <c r="D53" s="1626">
        <v>8544.85</v>
      </c>
      <c r="E53" s="1628">
        <f t="shared" si="0"/>
        <v>-9.0926927226505187E-3</v>
      </c>
      <c r="H53" s="1625">
        <v>42585</v>
      </c>
      <c r="I53" s="1627">
        <v>2710.1</v>
      </c>
      <c r="J53" s="1628">
        <f t="shared" si="1"/>
        <v>-1.2795540381682685E-2</v>
      </c>
    </row>
    <row r="54" spans="3:10" ht="13.5">
      <c r="C54" s="1625">
        <v>42586</v>
      </c>
      <c r="D54" s="1626">
        <v>8551.1</v>
      </c>
      <c r="E54" s="1628">
        <f t="shared" si="0"/>
        <v>7.3116735582867687E-4</v>
      </c>
      <c r="H54" s="1625">
        <v>42586</v>
      </c>
      <c r="I54" s="1627">
        <v>2744</v>
      </c>
      <c r="J54" s="1628">
        <f t="shared" si="1"/>
        <v>1.2431175283827527E-2</v>
      </c>
    </row>
    <row r="55" spans="3:10" ht="13.5">
      <c r="C55" s="1625">
        <v>42587</v>
      </c>
      <c r="D55" s="1626">
        <v>8683.15</v>
      </c>
      <c r="E55" s="1628">
        <f t="shared" si="0"/>
        <v>1.5324436420528317E-2</v>
      </c>
      <c r="H55" s="1625">
        <v>42587</v>
      </c>
      <c r="I55" s="1627">
        <v>2879</v>
      </c>
      <c r="J55" s="1628">
        <f t="shared" si="1"/>
        <v>4.8026301766400131E-2</v>
      </c>
    </row>
    <row r="56" spans="3:10" ht="13.5">
      <c r="C56" s="1625">
        <v>42590</v>
      </c>
      <c r="D56" s="1626">
        <v>8711.35</v>
      </c>
      <c r="E56" s="1628">
        <f t="shared" si="0"/>
        <v>3.2424070488976451E-3</v>
      </c>
      <c r="H56" s="1625">
        <v>42590</v>
      </c>
      <c r="I56" s="1627">
        <v>2864.8</v>
      </c>
      <c r="J56" s="1628">
        <f t="shared" si="1"/>
        <v>-4.9444719279528515E-3</v>
      </c>
    </row>
    <row r="57" spans="3:10" ht="13.5">
      <c r="C57" s="1625">
        <v>42591</v>
      </c>
      <c r="D57" s="1626">
        <v>8678.25</v>
      </c>
      <c r="E57" s="1628">
        <f t="shared" si="0"/>
        <v>-3.8068776710945842E-3</v>
      </c>
      <c r="H57" s="1625">
        <v>42591</v>
      </c>
      <c r="I57" s="1627">
        <v>2863.1</v>
      </c>
      <c r="J57" s="1628">
        <f t="shared" si="1"/>
        <v>-5.9358579930363445E-4</v>
      </c>
    </row>
    <row r="58" spans="3:10" ht="13.5">
      <c r="C58" s="1625">
        <v>42592</v>
      </c>
      <c r="D58" s="1626">
        <v>8575.2999999999993</v>
      </c>
      <c r="E58" s="1628">
        <f t="shared" si="0"/>
        <v>-1.1933917579651119E-2</v>
      </c>
      <c r="H58" s="1625">
        <v>42592</v>
      </c>
      <c r="I58" s="1627">
        <v>2851.05</v>
      </c>
      <c r="J58" s="1628">
        <f t="shared" si="1"/>
        <v>-4.21760641996307E-3</v>
      </c>
    </row>
    <row r="59" spans="3:10" ht="13.5">
      <c r="C59" s="1625">
        <v>42593</v>
      </c>
      <c r="D59" s="1626">
        <v>8592.15</v>
      </c>
      <c r="E59" s="1628">
        <f t="shared" si="0"/>
        <v>1.9630178519081331E-3</v>
      </c>
      <c r="H59" s="1625">
        <v>42593</v>
      </c>
      <c r="I59" s="1627">
        <v>2842.95</v>
      </c>
      <c r="J59" s="1628">
        <f t="shared" si="1"/>
        <v>-2.8451020245375174E-3</v>
      </c>
    </row>
    <row r="60" spans="3:10" ht="13.5">
      <c r="C60" s="1625">
        <v>42594</v>
      </c>
      <c r="D60" s="1626">
        <v>8672.15</v>
      </c>
      <c r="E60" s="1628">
        <f t="shared" si="0"/>
        <v>9.2677458809919573E-3</v>
      </c>
      <c r="H60" s="1625">
        <v>42594</v>
      </c>
      <c r="I60" s="1627">
        <v>2866.65</v>
      </c>
      <c r="J60" s="1628">
        <f t="shared" si="1"/>
        <v>8.3018551626812247E-3</v>
      </c>
    </row>
    <row r="61" spans="3:10" ht="13.5">
      <c r="C61" s="1625">
        <v>42598</v>
      </c>
      <c r="D61" s="1626">
        <v>8642.5499999999993</v>
      </c>
      <c r="E61" s="1628">
        <f t="shared" si="0"/>
        <v>-3.4190634357298241E-3</v>
      </c>
      <c r="H61" s="1625">
        <v>42598</v>
      </c>
      <c r="I61" s="1627">
        <v>2890</v>
      </c>
      <c r="J61" s="1628">
        <f t="shared" si="1"/>
        <v>8.1124015033779695E-3</v>
      </c>
    </row>
    <row r="62" spans="3:10" ht="13.5">
      <c r="C62" s="1625">
        <v>42599</v>
      </c>
      <c r="D62" s="1626">
        <v>8624.0499999999993</v>
      </c>
      <c r="E62" s="1628">
        <f t="shared" si="0"/>
        <v>-2.1428662364497363E-3</v>
      </c>
      <c r="H62" s="1625">
        <v>42599</v>
      </c>
      <c r="I62" s="1627">
        <v>2931.65</v>
      </c>
      <c r="J62" s="1628">
        <f t="shared" si="1"/>
        <v>1.4308902332588143E-2</v>
      </c>
    </row>
    <row r="63" spans="3:10" ht="13.5">
      <c r="C63" s="1625">
        <v>42600</v>
      </c>
      <c r="D63" s="1626">
        <v>8673.25</v>
      </c>
      <c r="E63" s="1628">
        <f t="shared" si="0"/>
        <v>5.6887644527524204E-3</v>
      </c>
      <c r="H63" s="1625">
        <v>42600</v>
      </c>
      <c r="I63" s="1627">
        <v>2942.3</v>
      </c>
      <c r="J63" s="1628">
        <f t="shared" si="1"/>
        <v>3.6261839715768279E-3</v>
      </c>
    </row>
    <row r="64" spans="3:10" ht="13.5">
      <c r="C64" s="1625">
        <v>42601</v>
      </c>
      <c r="D64" s="1626">
        <v>8666.9</v>
      </c>
      <c r="E64" s="1628">
        <f t="shared" si="0"/>
        <v>-7.3240430836568507E-4</v>
      </c>
      <c r="H64" s="1625">
        <v>42601</v>
      </c>
      <c r="I64" s="1627">
        <v>2930.7</v>
      </c>
      <c r="J64" s="1628">
        <f t="shared" si="1"/>
        <v>-3.9502860836362749E-3</v>
      </c>
    </row>
    <row r="65" spans="3:10" ht="13.5">
      <c r="C65" s="1625">
        <v>42604</v>
      </c>
      <c r="D65" s="1626">
        <v>8629.15</v>
      </c>
      <c r="E65" s="1628">
        <f t="shared" si="0"/>
        <v>-4.3651654502381131E-3</v>
      </c>
      <c r="H65" s="1625">
        <v>42604</v>
      </c>
      <c r="I65" s="1627">
        <v>2930</v>
      </c>
      <c r="J65" s="1628">
        <f t="shared" si="1"/>
        <v>-2.3887931589347398E-4</v>
      </c>
    </row>
    <row r="66" spans="3:10" ht="13.5">
      <c r="C66" s="1625">
        <v>42605</v>
      </c>
      <c r="D66" s="1626">
        <v>8632.6</v>
      </c>
      <c r="E66" s="1628">
        <f t="shared" si="0"/>
        <v>3.997277270193764E-4</v>
      </c>
      <c r="H66" s="1625">
        <v>42605</v>
      </c>
      <c r="I66" s="1627">
        <v>2885</v>
      </c>
      <c r="J66" s="1628">
        <f t="shared" si="1"/>
        <v>-1.5477523068913061E-2</v>
      </c>
    </row>
    <row r="67" spans="3:10" ht="13.5">
      <c r="C67" s="1625">
        <v>42606</v>
      </c>
      <c r="D67" s="1626">
        <v>8650.2999999999993</v>
      </c>
      <c r="E67" s="1628">
        <f t="shared" si="0"/>
        <v>2.0482680786460994E-3</v>
      </c>
      <c r="H67" s="1625">
        <v>42606</v>
      </c>
      <c r="I67" s="1627">
        <v>2873</v>
      </c>
      <c r="J67" s="1628">
        <f t="shared" si="1"/>
        <v>-4.1681199629104377E-3</v>
      </c>
    </row>
    <row r="68" spans="3:10" ht="13.5">
      <c r="C68" s="1625">
        <v>42607</v>
      </c>
      <c r="D68" s="1626">
        <v>8592.2000000000007</v>
      </c>
      <c r="E68" s="1628">
        <f t="shared" si="0"/>
        <v>-6.7391874602988093E-3</v>
      </c>
      <c r="H68" s="1625">
        <v>42607</v>
      </c>
      <c r="I68" s="1627">
        <v>2866.35</v>
      </c>
      <c r="J68" s="1628">
        <f t="shared" si="1"/>
        <v>-2.3173366237995941E-3</v>
      </c>
    </row>
    <row r="69" spans="3:10" ht="13.5">
      <c r="C69" s="1625">
        <v>42608</v>
      </c>
      <c r="D69" s="1626">
        <v>8572.5499999999993</v>
      </c>
      <c r="E69" s="1628">
        <f t="shared" si="0"/>
        <v>-2.2895770208179967E-3</v>
      </c>
      <c r="H69" s="1625">
        <v>42608</v>
      </c>
      <c r="I69" s="1627">
        <v>2853.25</v>
      </c>
      <c r="J69" s="1628">
        <f t="shared" si="1"/>
        <v>-4.5807479217805491E-3</v>
      </c>
    </row>
    <row r="70" spans="3:10" ht="13.5">
      <c r="C70" s="1625">
        <v>42611</v>
      </c>
      <c r="D70" s="1626">
        <v>8607.4500000000007</v>
      </c>
      <c r="E70" s="1628">
        <f t="shared" si="0"/>
        <v>4.0628693838857168E-3</v>
      </c>
      <c r="H70" s="1625">
        <v>42611</v>
      </c>
      <c r="I70" s="1627">
        <v>2901</v>
      </c>
      <c r="J70" s="1628">
        <f t="shared" si="1"/>
        <v>1.6596809687694704E-2</v>
      </c>
    </row>
    <row r="71" spans="3:10" ht="13.5">
      <c r="C71" s="1625">
        <v>42612</v>
      </c>
      <c r="D71" s="1626">
        <v>8744.35</v>
      </c>
      <c r="E71" s="1628">
        <f t="shared" si="0"/>
        <v>1.5779670194480996E-2</v>
      </c>
      <c r="H71" s="1625">
        <v>42612</v>
      </c>
      <c r="I71" s="1627">
        <v>2975</v>
      </c>
      <c r="J71" s="1628">
        <f t="shared" si="1"/>
        <v>2.5188533858326222E-2</v>
      </c>
    </row>
    <row r="72" spans="3:10" ht="13.5">
      <c r="C72" s="1625">
        <v>42613</v>
      </c>
      <c r="D72" s="1626">
        <v>8786.2000000000007</v>
      </c>
      <c r="E72" s="1628">
        <f t="shared" si="0"/>
        <v>4.7745312613167471E-3</v>
      </c>
      <c r="H72" s="1625">
        <v>42613</v>
      </c>
      <c r="I72" s="1627">
        <v>2975.5</v>
      </c>
      <c r="J72" s="1628">
        <f t="shared" si="1"/>
        <v>1.6805310517653226E-4</v>
      </c>
    </row>
    <row r="73" spans="3:10" ht="13.5">
      <c r="C73" s="1625">
        <v>42614</v>
      </c>
      <c r="D73" s="1626">
        <v>8774.65</v>
      </c>
      <c r="E73" s="1628">
        <f t="shared" si="0"/>
        <v>-1.3154262652956953E-3</v>
      </c>
      <c r="H73" s="1625">
        <v>42614</v>
      </c>
      <c r="I73" s="1627">
        <v>2990</v>
      </c>
      <c r="J73" s="1628">
        <f t="shared" si="1"/>
        <v>4.861295299825436E-3</v>
      </c>
    </row>
    <row r="74" spans="3:10" ht="13.5">
      <c r="C74" s="1625">
        <v>42615</v>
      </c>
      <c r="D74" s="1626">
        <v>8809.65</v>
      </c>
      <c r="E74" s="1628">
        <f t="shared" ref="E74:E137" si="2">LN(D74/D73)</f>
        <v>3.9808290600597063E-3</v>
      </c>
      <c r="H74" s="1625">
        <v>42615</v>
      </c>
      <c r="I74" s="1627">
        <v>2999</v>
      </c>
      <c r="J74" s="1628">
        <f t="shared" ref="J74:J137" si="3">LN(I74/I73)</f>
        <v>3.0055123642769091E-3</v>
      </c>
    </row>
    <row r="75" spans="3:10" ht="13.5">
      <c r="C75" s="1625">
        <v>42619</v>
      </c>
      <c r="D75" s="1626">
        <v>8943</v>
      </c>
      <c r="E75" s="1628">
        <f t="shared" si="2"/>
        <v>1.5023391787410141E-2</v>
      </c>
      <c r="H75" s="1625">
        <v>42619</v>
      </c>
      <c r="I75" s="1627">
        <v>3010</v>
      </c>
      <c r="J75" s="1628">
        <f t="shared" si="3"/>
        <v>3.6611789939123168E-3</v>
      </c>
    </row>
    <row r="76" spans="3:10" ht="13.5">
      <c r="C76" s="1625">
        <v>42620</v>
      </c>
      <c r="D76" s="1626">
        <v>8917.9500000000007</v>
      </c>
      <c r="E76" s="1628">
        <f t="shared" si="2"/>
        <v>-2.8050038127360455E-3</v>
      </c>
      <c r="H76" s="1625">
        <v>42620</v>
      </c>
      <c r="I76" s="1627">
        <v>2980</v>
      </c>
      <c r="J76" s="1628">
        <f t="shared" si="3"/>
        <v>-1.0016778243471232E-2</v>
      </c>
    </row>
    <row r="77" spans="3:10" ht="13.5">
      <c r="C77" s="1625">
        <v>42621</v>
      </c>
      <c r="D77" s="1626">
        <v>8952.5</v>
      </c>
      <c r="E77" s="1628">
        <f t="shared" si="2"/>
        <v>3.8667233391427029E-3</v>
      </c>
      <c r="H77" s="1625">
        <v>42621</v>
      </c>
      <c r="I77" s="1627">
        <v>3084</v>
      </c>
      <c r="J77" s="1628">
        <f t="shared" si="3"/>
        <v>3.4304155183770009E-2</v>
      </c>
    </row>
    <row r="78" spans="3:10" ht="13.5">
      <c r="C78" s="1625">
        <v>42622</v>
      </c>
      <c r="D78" s="1626">
        <v>8866.7000000000007</v>
      </c>
      <c r="E78" s="1628">
        <f t="shared" si="2"/>
        <v>-9.6301363794772023E-3</v>
      </c>
      <c r="H78" s="1625">
        <v>42622</v>
      </c>
      <c r="I78" s="1627">
        <v>3023.1</v>
      </c>
      <c r="J78" s="1628">
        <f t="shared" si="3"/>
        <v>-1.9944660728753706E-2</v>
      </c>
    </row>
    <row r="79" spans="3:10" ht="13.5">
      <c r="C79" s="1625">
        <v>42625</v>
      </c>
      <c r="D79" s="1626">
        <v>8715.6</v>
      </c>
      <c r="E79" s="1628">
        <f t="shared" si="2"/>
        <v>-1.7188163092987728E-2</v>
      </c>
      <c r="H79" s="1625">
        <v>42625</v>
      </c>
      <c r="I79" s="1627">
        <v>2953</v>
      </c>
      <c r="J79" s="1628">
        <f t="shared" si="3"/>
        <v>-2.3461192210543762E-2</v>
      </c>
    </row>
    <row r="80" spans="3:10" ht="13.5">
      <c r="C80" s="1625">
        <v>42627</v>
      </c>
      <c r="D80" s="1626">
        <v>8726.6</v>
      </c>
      <c r="E80" s="1628">
        <f t="shared" si="2"/>
        <v>1.2613089470737829E-3</v>
      </c>
      <c r="H80" s="1625">
        <v>42627</v>
      </c>
      <c r="I80" s="1627">
        <v>2965</v>
      </c>
      <c r="J80" s="1628">
        <f t="shared" si="3"/>
        <v>4.0554296879031044E-3</v>
      </c>
    </row>
    <row r="81" spans="3:10" ht="13.5">
      <c r="C81" s="1625">
        <v>42628</v>
      </c>
      <c r="D81" s="1626">
        <v>8742.5499999999993</v>
      </c>
      <c r="E81" s="1628">
        <f t="shared" si="2"/>
        <v>1.8260767618550118E-3</v>
      </c>
      <c r="H81" s="1625">
        <v>42628</v>
      </c>
      <c r="I81" s="1627">
        <v>2929.75</v>
      </c>
      <c r="J81" s="1628">
        <f t="shared" si="3"/>
        <v>-1.1959937293114137E-2</v>
      </c>
    </row>
    <row r="82" spans="3:10" ht="13.5">
      <c r="C82" s="1625">
        <v>42629</v>
      </c>
      <c r="D82" s="1626">
        <v>8779.85</v>
      </c>
      <c r="E82" s="1628">
        <f t="shared" si="2"/>
        <v>4.2574140917125084E-3</v>
      </c>
      <c r="H82" s="1625">
        <v>42629</v>
      </c>
      <c r="I82" s="1627">
        <v>2974.75</v>
      </c>
      <c r="J82" s="1628">
        <f t="shared" si="3"/>
        <v>1.5242906696551196E-2</v>
      </c>
    </row>
    <row r="83" spans="3:10" ht="13.5">
      <c r="C83" s="1625">
        <v>42632</v>
      </c>
      <c r="D83" s="1626">
        <v>8808.4</v>
      </c>
      <c r="E83" s="1628">
        <f t="shared" si="2"/>
        <v>3.2464884312727363E-3</v>
      </c>
      <c r="H83" s="1625">
        <v>42632</v>
      </c>
      <c r="I83" s="1627">
        <v>2945</v>
      </c>
      <c r="J83" s="1628">
        <f t="shared" si="3"/>
        <v>-1.0051184749575755E-2</v>
      </c>
    </row>
    <row r="84" spans="3:10" ht="13.5">
      <c r="C84" s="1625">
        <v>42633</v>
      </c>
      <c r="D84" s="1626">
        <v>8775.9</v>
      </c>
      <c r="E84" s="1628">
        <f t="shared" si="2"/>
        <v>-3.6964834547443554E-3</v>
      </c>
      <c r="H84" s="1625">
        <v>42633</v>
      </c>
      <c r="I84" s="1627">
        <v>2888.3</v>
      </c>
      <c r="J84" s="1628">
        <f t="shared" si="3"/>
        <v>-1.944072335158455E-2</v>
      </c>
    </row>
    <row r="85" spans="3:10" ht="13.5">
      <c r="C85" s="1625">
        <v>42634</v>
      </c>
      <c r="D85" s="1626">
        <v>8777.15</v>
      </c>
      <c r="E85" s="1628">
        <f t="shared" si="2"/>
        <v>1.4242539069994042E-4</v>
      </c>
      <c r="H85" s="1625">
        <v>42634</v>
      </c>
      <c r="I85" s="1627">
        <v>2899.65</v>
      </c>
      <c r="J85" s="1628">
        <f t="shared" si="3"/>
        <v>3.9219463017081575E-3</v>
      </c>
    </row>
    <row r="86" spans="3:10" ht="13.5">
      <c r="C86" s="1625">
        <v>42635</v>
      </c>
      <c r="D86" s="1626">
        <v>8867.4500000000007</v>
      </c>
      <c r="E86" s="1628">
        <f t="shared" si="2"/>
        <v>1.0235515496083751E-2</v>
      </c>
      <c r="H86" s="1625">
        <v>42635</v>
      </c>
      <c r="I86" s="1627">
        <v>2925.7</v>
      </c>
      <c r="J86" s="1628">
        <f t="shared" si="3"/>
        <v>8.9437282378992105E-3</v>
      </c>
    </row>
    <row r="87" spans="3:10" ht="13.5">
      <c r="C87" s="1625">
        <v>42636</v>
      </c>
      <c r="D87" s="1626">
        <v>8831.5499999999993</v>
      </c>
      <c r="E87" s="1628">
        <f t="shared" si="2"/>
        <v>-4.056731932207209E-3</v>
      </c>
      <c r="H87" s="1625">
        <v>42636</v>
      </c>
      <c r="I87" s="1627">
        <v>2928</v>
      </c>
      <c r="J87" s="1628">
        <f t="shared" si="3"/>
        <v>7.8582780749247459E-4</v>
      </c>
    </row>
    <row r="88" spans="3:10" ht="13.5">
      <c r="C88" s="1625">
        <v>42639</v>
      </c>
      <c r="D88" s="1626">
        <v>8723.0499999999993</v>
      </c>
      <c r="E88" s="1628">
        <f t="shared" si="2"/>
        <v>-1.2361589742133385E-2</v>
      </c>
      <c r="H88" s="1625">
        <v>42639</v>
      </c>
      <c r="I88" s="1627">
        <v>2889</v>
      </c>
      <c r="J88" s="1628">
        <f t="shared" si="3"/>
        <v>-1.3409174614966875E-2</v>
      </c>
    </row>
    <row r="89" spans="3:10" ht="13.5">
      <c r="C89" s="1625">
        <v>42640</v>
      </c>
      <c r="D89" s="1626">
        <v>8706.4</v>
      </c>
      <c r="E89" s="1628">
        <f t="shared" si="2"/>
        <v>-1.9105600078839372E-3</v>
      </c>
      <c r="H89" s="1625">
        <v>42640</v>
      </c>
      <c r="I89" s="1627">
        <v>2876</v>
      </c>
      <c r="J89" s="1628">
        <f t="shared" si="3"/>
        <v>-4.509981625297965E-3</v>
      </c>
    </row>
    <row r="90" spans="3:10" ht="13.5">
      <c r="C90" s="1625">
        <v>42641</v>
      </c>
      <c r="D90" s="1626">
        <v>8745.15</v>
      </c>
      <c r="E90" s="1628">
        <f t="shared" si="2"/>
        <v>4.440873582407444E-3</v>
      </c>
      <c r="H90" s="1625">
        <v>42641</v>
      </c>
      <c r="I90" s="1627">
        <v>2912</v>
      </c>
      <c r="J90" s="1628">
        <f t="shared" si="3"/>
        <v>1.2439690475639201E-2</v>
      </c>
    </row>
    <row r="91" spans="3:10" ht="13.5">
      <c r="C91" s="1625">
        <v>42642</v>
      </c>
      <c r="D91" s="1626">
        <v>8591.25</v>
      </c>
      <c r="E91" s="1628">
        <f t="shared" si="2"/>
        <v>-1.7755017528444331E-2</v>
      </c>
      <c r="H91" s="1625">
        <v>42642</v>
      </c>
      <c r="I91" s="1627">
        <v>2858</v>
      </c>
      <c r="J91" s="1628">
        <f t="shared" si="3"/>
        <v>-1.8718050826763918E-2</v>
      </c>
    </row>
    <row r="92" spans="3:10" ht="13.5">
      <c r="C92" s="1625">
        <v>42643</v>
      </c>
      <c r="D92" s="1626">
        <v>8611.15</v>
      </c>
      <c r="E92" s="1628">
        <f t="shared" si="2"/>
        <v>2.313631688238527E-3</v>
      </c>
      <c r="H92" s="1625">
        <v>42643</v>
      </c>
      <c r="I92" s="1627">
        <v>2840</v>
      </c>
      <c r="J92" s="1628">
        <f t="shared" si="3"/>
        <v>-6.31802733456098E-3</v>
      </c>
    </row>
    <row r="93" spans="3:10" ht="13.5">
      <c r="C93" s="1625">
        <v>42646</v>
      </c>
      <c r="D93" s="1626">
        <v>8738.1</v>
      </c>
      <c r="E93" s="1628">
        <f t="shared" si="2"/>
        <v>1.4634899588265053E-2</v>
      </c>
      <c r="H93" s="1625">
        <v>42646</v>
      </c>
      <c r="I93" s="1627">
        <v>2876.1</v>
      </c>
      <c r="J93" s="1628">
        <f t="shared" si="3"/>
        <v>1.2631157595808858E-2</v>
      </c>
    </row>
    <row r="94" spans="3:10" ht="13.5">
      <c r="C94" s="1625">
        <v>42647</v>
      </c>
      <c r="D94" s="1626">
        <v>8769.15</v>
      </c>
      <c r="E94" s="1628">
        <f t="shared" si="2"/>
        <v>3.5471056340442638E-3</v>
      </c>
      <c r="H94" s="1625">
        <v>42647</v>
      </c>
      <c r="I94" s="1627">
        <v>2894</v>
      </c>
      <c r="J94" s="1628">
        <f t="shared" si="3"/>
        <v>6.204418440368553E-3</v>
      </c>
    </row>
    <row r="95" spans="3:10" ht="13.5">
      <c r="C95" s="1625">
        <v>42648</v>
      </c>
      <c r="D95" s="1626">
        <v>8743.9500000000007</v>
      </c>
      <c r="E95" s="1628">
        <f t="shared" si="2"/>
        <v>-2.8778477131076213E-3</v>
      </c>
      <c r="H95" s="1625">
        <v>42648</v>
      </c>
      <c r="I95" s="1627">
        <v>2854</v>
      </c>
      <c r="J95" s="1628">
        <f t="shared" si="3"/>
        <v>-1.3918109154647489E-2</v>
      </c>
    </row>
    <row r="96" spans="3:10" ht="13.5">
      <c r="C96" s="1625">
        <v>42649</v>
      </c>
      <c r="D96" s="1626">
        <v>8709.5499999999993</v>
      </c>
      <c r="E96" s="1628">
        <f t="shared" si="2"/>
        <v>-3.9419078745333977E-3</v>
      </c>
      <c r="H96" s="1625">
        <v>42649</v>
      </c>
      <c r="I96" s="1627">
        <v>2820.95</v>
      </c>
      <c r="J96" s="1628">
        <f t="shared" si="3"/>
        <v>-1.1647811403133746E-2</v>
      </c>
    </row>
    <row r="97" spans="3:10" ht="13.5">
      <c r="C97" s="1625">
        <v>42650</v>
      </c>
      <c r="D97" s="1626">
        <v>8697.6</v>
      </c>
      <c r="E97" s="1628">
        <f t="shared" si="2"/>
        <v>-1.3729992419518038E-3</v>
      </c>
      <c r="H97" s="1625">
        <v>42650</v>
      </c>
      <c r="I97" s="1627">
        <v>2888</v>
      </c>
      <c r="J97" s="1628">
        <f t="shared" si="3"/>
        <v>2.3490513379068871E-2</v>
      </c>
    </row>
    <row r="98" spans="3:10" ht="13.5">
      <c r="C98" s="1625">
        <v>42653</v>
      </c>
      <c r="D98" s="1626">
        <v>8708.7999999999993</v>
      </c>
      <c r="E98" s="1628">
        <f t="shared" si="2"/>
        <v>1.2868831631654618E-3</v>
      </c>
      <c r="H98" s="1625">
        <v>42653</v>
      </c>
      <c r="I98" s="1627">
        <v>2881</v>
      </c>
      <c r="J98" s="1628">
        <f t="shared" si="3"/>
        <v>-2.4267649281883696E-3</v>
      </c>
    </row>
    <row r="99" spans="3:10" ht="13.5">
      <c r="C99" s="1625">
        <v>42656</v>
      </c>
      <c r="D99" s="1626">
        <v>8573.35</v>
      </c>
      <c r="E99" s="1628">
        <f t="shared" si="2"/>
        <v>-1.5675453985937313E-2</v>
      </c>
      <c r="H99" s="1625">
        <v>42656</v>
      </c>
      <c r="I99" s="1627">
        <v>2819</v>
      </c>
      <c r="J99" s="1628">
        <f t="shared" si="3"/>
        <v>-2.1755243970415911E-2</v>
      </c>
    </row>
    <row r="100" spans="3:10" ht="13.5">
      <c r="C100" s="1625">
        <v>42657</v>
      </c>
      <c r="D100" s="1626">
        <v>8583.4</v>
      </c>
      <c r="E100" s="1628">
        <f t="shared" si="2"/>
        <v>1.1715506899027308E-3</v>
      </c>
      <c r="H100" s="1625">
        <v>42657</v>
      </c>
      <c r="I100" s="1627">
        <v>2803.85</v>
      </c>
      <c r="J100" s="1628">
        <f t="shared" si="3"/>
        <v>-5.388739397673435E-3</v>
      </c>
    </row>
    <row r="101" spans="3:10" ht="13.5">
      <c r="C101" s="1625">
        <v>42660</v>
      </c>
      <c r="D101" s="1626">
        <v>8520.4</v>
      </c>
      <c r="E101" s="1628">
        <f t="shared" si="2"/>
        <v>-7.3668173057715248E-3</v>
      </c>
      <c r="H101" s="1625">
        <v>42660</v>
      </c>
      <c r="I101" s="1627">
        <v>2744.8</v>
      </c>
      <c r="J101" s="1628">
        <f t="shared" si="3"/>
        <v>-2.1285260172199068E-2</v>
      </c>
    </row>
    <row r="102" spans="3:10" ht="13.5">
      <c r="C102" s="1625">
        <v>42661</v>
      </c>
      <c r="D102" s="1626">
        <v>8677.9</v>
      </c>
      <c r="E102" s="1628">
        <f t="shared" si="2"/>
        <v>1.8316275821285182E-2</v>
      </c>
      <c r="H102" s="1625">
        <v>42661</v>
      </c>
      <c r="I102" s="1627">
        <v>2795</v>
      </c>
      <c r="J102" s="1628">
        <f t="shared" si="3"/>
        <v>1.8123894044959496E-2</v>
      </c>
    </row>
    <row r="103" spans="3:10" ht="13.5">
      <c r="C103" s="1625">
        <v>42662</v>
      </c>
      <c r="D103" s="1626">
        <v>8659.1</v>
      </c>
      <c r="E103" s="1628">
        <f t="shared" si="2"/>
        <v>-2.1687728406222717E-3</v>
      </c>
      <c r="H103" s="1625">
        <v>42662</v>
      </c>
      <c r="I103" s="1627">
        <v>2797</v>
      </c>
      <c r="J103" s="1628">
        <f t="shared" si="3"/>
        <v>7.1530761276024076E-4</v>
      </c>
    </row>
    <row r="104" spans="3:10" ht="13.5">
      <c r="C104" s="1625">
        <v>42663</v>
      </c>
      <c r="D104" s="1626">
        <v>8699.4</v>
      </c>
      <c r="E104" s="1628">
        <f t="shared" si="2"/>
        <v>4.6432666884109117E-3</v>
      </c>
      <c r="H104" s="1625">
        <v>42663</v>
      </c>
      <c r="I104" s="1627">
        <v>2804.85</v>
      </c>
      <c r="J104" s="1628">
        <f t="shared" si="3"/>
        <v>2.8026473891192239E-3</v>
      </c>
    </row>
    <row r="105" spans="3:10" ht="13.5">
      <c r="C105" s="1625">
        <v>42664</v>
      </c>
      <c r="D105" s="1626">
        <v>8693.0499999999993</v>
      </c>
      <c r="E105" s="1628">
        <f t="shared" si="2"/>
        <v>-7.3020193039504062E-4</v>
      </c>
      <c r="H105" s="1625">
        <v>42664</v>
      </c>
      <c r="I105" s="1627">
        <v>2803</v>
      </c>
      <c r="J105" s="1628">
        <f t="shared" si="3"/>
        <v>-6.5978942629064887E-4</v>
      </c>
    </row>
    <row r="106" spans="3:10" ht="13.5">
      <c r="C106" s="1625">
        <v>42667</v>
      </c>
      <c r="D106" s="1626">
        <v>8708.9500000000007</v>
      </c>
      <c r="E106" s="1628">
        <f t="shared" si="2"/>
        <v>1.8273766721734427E-3</v>
      </c>
      <c r="H106" s="1625">
        <v>42667</v>
      </c>
      <c r="I106" s="1627">
        <v>2792.75</v>
      </c>
      <c r="J106" s="1628">
        <f t="shared" si="3"/>
        <v>-3.6634987138305371E-3</v>
      </c>
    </row>
    <row r="107" spans="3:10" ht="13.5">
      <c r="C107" s="1625">
        <v>42668</v>
      </c>
      <c r="D107" s="1626">
        <v>8691.2999999999993</v>
      </c>
      <c r="E107" s="1628">
        <f t="shared" si="2"/>
        <v>-2.0287071798899977E-3</v>
      </c>
      <c r="H107" s="1625">
        <v>42668</v>
      </c>
      <c r="I107" s="1627">
        <v>2801</v>
      </c>
      <c r="J107" s="1628">
        <f t="shared" si="3"/>
        <v>2.949722809150681E-3</v>
      </c>
    </row>
    <row r="108" spans="3:10" ht="13.5">
      <c r="C108" s="1625">
        <v>42669</v>
      </c>
      <c r="D108" s="1626">
        <v>8615.25</v>
      </c>
      <c r="E108" s="1628">
        <f t="shared" si="2"/>
        <v>-8.7886366154681476E-3</v>
      </c>
      <c r="H108" s="1625">
        <v>42669</v>
      </c>
      <c r="I108" s="1627">
        <v>2815</v>
      </c>
      <c r="J108" s="1628">
        <f t="shared" si="3"/>
        <v>4.9857653136822395E-3</v>
      </c>
    </row>
    <row r="109" spans="3:10" ht="13.5">
      <c r="C109" s="1625">
        <v>42670</v>
      </c>
      <c r="D109" s="1626">
        <v>8615.25</v>
      </c>
      <c r="E109" s="1628">
        <f t="shared" si="2"/>
        <v>0</v>
      </c>
      <c r="H109" s="1625">
        <v>42670</v>
      </c>
      <c r="I109" s="1627">
        <v>2776</v>
      </c>
      <c r="J109" s="1628">
        <f t="shared" si="3"/>
        <v>-1.3951218947095671E-2</v>
      </c>
    </row>
    <row r="110" spans="3:10" ht="13.5">
      <c r="C110" s="1625">
        <v>42671</v>
      </c>
      <c r="D110" s="1626">
        <v>8638</v>
      </c>
      <c r="E110" s="1628">
        <f t="shared" si="2"/>
        <v>2.6371858270232084E-3</v>
      </c>
      <c r="H110" s="1625">
        <v>42671</v>
      </c>
      <c r="I110" s="1627">
        <v>2854</v>
      </c>
      <c r="J110" s="1628">
        <f t="shared" si="3"/>
        <v>2.7710476410086709E-2</v>
      </c>
    </row>
    <row r="111" spans="3:10" ht="13.5">
      <c r="C111" s="1625">
        <v>42673</v>
      </c>
      <c r="D111" s="1626">
        <v>8625.7000000000007</v>
      </c>
      <c r="E111" s="1628">
        <f t="shared" si="2"/>
        <v>-1.4249554940435026E-3</v>
      </c>
      <c r="H111" s="1625">
        <v>42673</v>
      </c>
      <c r="I111" s="1627">
        <v>2830</v>
      </c>
      <c r="J111" s="1628">
        <f t="shared" si="3"/>
        <v>-8.4448073994983774E-3</v>
      </c>
    </row>
    <row r="112" spans="3:10" ht="13.5">
      <c r="C112" s="1625">
        <v>42675</v>
      </c>
      <c r="D112" s="1626">
        <v>8626.25</v>
      </c>
      <c r="E112" s="1628">
        <f t="shared" si="2"/>
        <v>6.3760908208628758E-5</v>
      </c>
      <c r="H112" s="1625">
        <v>42675</v>
      </c>
      <c r="I112" s="1627">
        <v>2827.6</v>
      </c>
      <c r="J112" s="1628">
        <f t="shared" si="3"/>
        <v>-8.4841634048436559E-4</v>
      </c>
    </row>
    <row r="113" spans="3:10" ht="13.5">
      <c r="C113" s="1625">
        <v>42676</v>
      </c>
      <c r="D113" s="1626">
        <v>8514</v>
      </c>
      <c r="E113" s="1628">
        <f t="shared" si="2"/>
        <v>-1.3098012546713908E-2</v>
      </c>
      <c r="H113" s="1625">
        <v>42676</v>
      </c>
      <c r="I113" s="1627">
        <v>2821.15</v>
      </c>
      <c r="J113" s="1628">
        <f t="shared" si="3"/>
        <v>-2.2836920745991718E-3</v>
      </c>
    </row>
    <row r="114" spans="3:10" ht="13.5">
      <c r="C114" s="1625">
        <v>42677</v>
      </c>
      <c r="D114" s="1626">
        <v>8484.9500000000007</v>
      </c>
      <c r="E114" s="1628">
        <f t="shared" si="2"/>
        <v>-3.4178614890483976E-3</v>
      </c>
      <c r="H114" s="1625">
        <v>42677</v>
      </c>
      <c r="I114" s="1627">
        <v>2833.5</v>
      </c>
      <c r="J114" s="1628">
        <f t="shared" si="3"/>
        <v>4.3680933874741604E-3</v>
      </c>
    </row>
    <row r="115" spans="3:10" ht="13.5">
      <c r="C115" s="1625">
        <v>42678</v>
      </c>
      <c r="D115" s="1626">
        <v>8433.75</v>
      </c>
      <c r="E115" s="1628">
        <f t="shared" si="2"/>
        <v>-6.0524929574141441E-3</v>
      </c>
      <c r="H115" s="1625">
        <v>42678</v>
      </c>
      <c r="I115" s="1627">
        <v>2812.25</v>
      </c>
      <c r="J115" s="1628">
        <f t="shared" si="3"/>
        <v>-7.5278219367386117E-3</v>
      </c>
    </row>
    <row r="116" spans="3:10" ht="13.5">
      <c r="C116" s="1625">
        <v>42681</v>
      </c>
      <c r="D116" s="1626">
        <v>8497.0499999999993</v>
      </c>
      <c r="E116" s="1628">
        <f t="shared" si="2"/>
        <v>7.4775314743917541E-3</v>
      </c>
      <c r="H116" s="1625">
        <v>42681</v>
      </c>
      <c r="I116" s="1627">
        <v>2832</v>
      </c>
      <c r="J116" s="1628">
        <f t="shared" si="3"/>
        <v>6.9983011406750699E-3</v>
      </c>
    </row>
    <row r="117" spans="3:10" ht="13.5">
      <c r="C117" s="1625">
        <v>42682</v>
      </c>
      <c r="D117" s="1626">
        <v>8543.5499999999993</v>
      </c>
      <c r="E117" s="1628">
        <f t="shared" si="2"/>
        <v>5.4575678575871974E-3</v>
      </c>
      <c r="H117" s="1625">
        <v>42682</v>
      </c>
      <c r="I117" s="1627">
        <v>2866.9</v>
      </c>
      <c r="J117" s="1628">
        <f t="shared" si="3"/>
        <v>1.2248130796294523E-2</v>
      </c>
    </row>
    <row r="118" spans="3:10" ht="13.5">
      <c r="C118" s="1625">
        <v>42683</v>
      </c>
      <c r="D118" s="1626">
        <v>8432</v>
      </c>
      <c r="E118" s="1628">
        <f t="shared" si="2"/>
        <v>-1.3142620492470334E-2</v>
      </c>
      <c r="H118" s="1625">
        <v>42683</v>
      </c>
      <c r="I118" s="1627">
        <v>2783.8</v>
      </c>
      <c r="J118" s="1628">
        <f t="shared" si="3"/>
        <v>-2.9414405816604722E-2</v>
      </c>
    </row>
    <row r="119" spans="3:10" ht="13.5">
      <c r="C119" s="1625">
        <v>42684</v>
      </c>
      <c r="D119" s="1626">
        <v>8525.75</v>
      </c>
      <c r="E119" s="1628">
        <f t="shared" si="2"/>
        <v>1.105700404045472E-2</v>
      </c>
      <c r="H119" s="1625">
        <v>42684</v>
      </c>
      <c r="I119" s="1627">
        <v>2715.7</v>
      </c>
      <c r="J119" s="1628">
        <f t="shared" si="3"/>
        <v>-2.476715376924344E-2</v>
      </c>
    </row>
    <row r="120" spans="3:10" ht="13.5">
      <c r="C120" s="1625">
        <v>42685</v>
      </c>
      <c r="D120" s="1626">
        <v>8296.2999999999993</v>
      </c>
      <c r="E120" s="1628">
        <f t="shared" si="2"/>
        <v>-2.728136356027867E-2</v>
      </c>
      <c r="H120" s="1625">
        <v>42685</v>
      </c>
      <c r="I120" s="1627">
        <v>2635.25</v>
      </c>
      <c r="J120" s="1628">
        <f t="shared" si="3"/>
        <v>-3.0071692888758186E-2</v>
      </c>
    </row>
    <row r="121" spans="3:10" ht="13.5">
      <c r="C121" s="1625">
        <v>42689</v>
      </c>
      <c r="D121" s="1626">
        <v>8108.45</v>
      </c>
      <c r="E121" s="1628">
        <f t="shared" si="2"/>
        <v>-2.2902904489528118E-2</v>
      </c>
      <c r="H121" s="1625">
        <v>42689</v>
      </c>
      <c r="I121" s="1627">
        <v>2577.5500000000002</v>
      </c>
      <c r="J121" s="1628">
        <f t="shared" si="3"/>
        <v>-2.2138718790239657E-2</v>
      </c>
    </row>
    <row r="122" spans="3:10" ht="13.5">
      <c r="C122" s="1625">
        <v>42690</v>
      </c>
      <c r="D122" s="1626">
        <v>8111.6</v>
      </c>
      <c r="E122" s="1628">
        <f t="shared" si="2"/>
        <v>3.8840817871719602E-4</v>
      </c>
      <c r="H122" s="1625">
        <v>42690</v>
      </c>
      <c r="I122" s="1627">
        <v>2615.35</v>
      </c>
      <c r="J122" s="1628">
        <f t="shared" si="3"/>
        <v>1.4558596409997748E-2</v>
      </c>
    </row>
    <row r="123" spans="3:10" ht="13.5">
      <c r="C123" s="1625">
        <v>42691</v>
      </c>
      <c r="D123" s="1626">
        <v>8079.95</v>
      </c>
      <c r="E123" s="1628">
        <f t="shared" si="2"/>
        <v>-3.9094515733259947E-3</v>
      </c>
      <c r="H123" s="1625">
        <v>42691</v>
      </c>
      <c r="I123" s="1627">
        <v>2560</v>
      </c>
      <c r="J123" s="1628">
        <f t="shared" si="3"/>
        <v>-2.1390673281448579E-2</v>
      </c>
    </row>
    <row r="124" spans="3:10" ht="13.5">
      <c r="C124" s="1625">
        <v>42692</v>
      </c>
      <c r="D124" s="1626">
        <v>8074.1</v>
      </c>
      <c r="E124" s="1628">
        <f t="shared" si="2"/>
        <v>-7.2427660626656813E-4</v>
      </c>
      <c r="H124" s="1625">
        <v>42692</v>
      </c>
      <c r="I124" s="1627">
        <v>2579.9</v>
      </c>
      <c r="J124" s="1628">
        <f t="shared" si="3"/>
        <v>7.7433800009563116E-3</v>
      </c>
    </row>
    <row r="125" spans="3:10" ht="13.5">
      <c r="C125" s="1625">
        <v>42695</v>
      </c>
      <c r="D125" s="1626">
        <v>7929.1</v>
      </c>
      <c r="E125" s="1628">
        <f t="shared" si="2"/>
        <v>-1.8121871647160233E-2</v>
      </c>
      <c r="H125" s="1625">
        <v>42695</v>
      </c>
      <c r="I125" s="1627">
        <v>2522.15</v>
      </c>
      <c r="J125" s="1628">
        <f t="shared" si="3"/>
        <v>-2.2638926112494347E-2</v>
      </c>
    </row>
    <row r="126" spans="3:10" ht="13.5">
      <c r="C126" s="1625">
        <v>42696</v>
      </c>
      <c r="D126" s="1626">
        <v>8002.3</v>
      </c>
      <c r="E126" s="1628">
        <f t="shared" si="2"/>
        <v>9.1894642180117506E-3</v>
      </c>
      <c r="H126" s="1625">
        <v>42696</v>
      </c>
      <c r="I126" s="1627">
        <v>2611</v>
      </c>
      <c r="J126" s="1628">
        <f t="shared" si="3"/>
        <v>3.4621577337058881E-2</v>
      </c>
    </row>
    <row r="127" spans="3:10" ht="13.5">
      <c r="C127" s="1625">
        <v>42697</v>
      </c>
      <c r="D127" s="1626">
        <v>8033.3</v>
      </c>
      <c r="E127" s="1628">
        <f t="shared" si="2"/>
        <v>3.8664020826672321E-3</v>
      </c>
      <c r="H127" s="1625">
        <v>42697</v>
      </c>
      <c r="I127" s="1627">
        <v>2600</v>
      </c>
      <c r="J127" s="1628">
        <f t="shared" si="3"/>
        <v>-4.2218446895554516E-3</v>
      </c>
    </row>
    <row r="128" spans="3:10" ht="13.5">
      <c r="C128" s="1625">
        <v>42698</v>
      </c>
      <c r="D128" s="1626">
        <v>7965.5</v>
      </c>
      <c r="E128" s="1628">
        <f t="shared" si="2"/>
        <v>-8.4756864114850679E-3</v>
      </c>
      <c r="H128" s="1625">
        <v>42698</v>
      </c>
      <c r="I128" s="1627">
        <v>2628.35</v>
      </c>
      <c r="J128" s="1628">
        <f t="shared" si="3"/>
        <v>1.0844827853440719E-2</v>
      </c>
    </row>
    <row r="129" spans="3:10" ht="13.5">
      <c r="C129" s="1625">
        <v>42699</v>
      </c>
      <c r="D129" s="1626">
        <v>8114.3</v>
      </c>
      <c r="E129" s="1628">
        <f t="shared" si="2"/>
        <v>1.8508221202810329E-2</v>
      </c>
      <c r="H129" s="1625">
        <v>42699</v>
      </c>
      <c r="I129" s="1627">
        <v>2610</v>
      </c>
      <c r="J129" s="1628">
        <f t="shared" si="3"/>
        <v>-7.0060515462749074E-3</v>
      </c>
    </row>
    <row r="130" spans="3:10" ht="13.5">
      <c r="C130" s="1625">
        <v>42702</v>
      </c>
      <c r="D130" s="1626">
        <v>8126.9</v>
      </c>
      <c r="E130" s="1628">
        <f t="shared" si="2"/>
        <v>1.5516097982744459E-3</v>
      </c>
      <c r="H130" s="1625">
        <v>42702</v>
      </c>
      <c r="I130" s="1627">
        <v>2627</v>
      </c>
      <c r="J130" s="1628">
        <f t="shared" si="3"/>
        <v>6.4922893688008701E-3</v>
      </c>
    </row>
    <row r="131" spans="3:10" ht="13.5">
      <c r="C131" s="1625">
        <v>42703</v>
      </c>
      <c r="D131" s="1626">
        <v>8142.15</v>
      </c>
      <c r="E131" s="1628">
        <f t="shared" si="2"/>
        <v>1.8747258710823762E-3</v>
      </c>
      <c r="H131" s="1625">
        <v>42703</v>
      </c>
      <c r="I131" s="1627">
        <v>2669</v>
      </c>
      <c r="J131" s="1628">
        <f t="shared" si="3"/>
        <v>1.586135971898428E-2</v>
      </c>
    </row>
    <row r="132" spans="3:10" ht="13.5">
      <c r="C132" s="1625">
        <v>42704</v>
      </c>
      <c r="D132" s="1626">
        <v>8224.5</v>
      </c>
      <c r="E132" s="1628">
        <f t="shared" si="2"/>
        <v>1.0063231627096166E-2</v>
      </c>
      <c r="H132" s="1625">
        <v>42704</v>
      </c>
      <c r="I132" s="1627">
        <v>2690</v>
      </c>
      <c r="J132" s="1628">
        <f t="shared" si="3"/>
        <v>7.8373231913606775E-3</v>
      </c>
    </row>
    <row r="133" spans="3:10" ht="13.5">
      <c r="C133" s="1625">
        <v>42705</v>
      </c>
      <c r="D133" s="1626">
        <v>8192.9</v>
      </c>
      <c r="E133" s="1628">
        <f t="shared" si="2"/>
        <v>-3.8495789862022099E-3</v>
      </c>
      <c r="H133" s="1625">
        <v>42705</v>
      </c>
      <c r="I133" s="1627">
        <v>2718</v>
      </c>
      <c r="J133" s="1628">
        <f t="shared" si="3"/>
        <v>1.0355122115204132E-2</v>
      </c>
    </row>
    <row r="134" spans="3:10" ht="13.5">
      <c r="C134" s="1625">
        <v>42706</v>
      </c>
      <c r="D134" s="1626">
        <v>8086.8</v>
      </c>
      <c r="E134" s="1628">
        <f t="shared" si="2"/>
        <v>-1.3034822785839032E-2</v>
      </c>
      <c r="H134" s="1625">
        <v>42706</v>
      </c>
      <c r="I134" s="1627">
        <v>2714.3</v>
      </c>
      <c r="J134" s="1628">
        <f t="shared" si="3"/>
        <v>-1.3622224737803361E-3</v>
      </c>
    </row>
    <row r="135" spans="3:10" ht="13.5">
      <c r="C135" s="1625">
        <v>42709</v>
      </c>
      <c r="D135" s="1626">
        <v>8128.75</v>
      </c>
      <c r="E135" s="1628">
        <f t="shared" si="2"/>
        <v>5.1740574431899484E-3</v>
      </c>
      <c r="H135" s="1625">
        <v>42709</v>
      </c>
      <c r="I135" s="1627">
        <v>2752</v>
      </c>
      <c r="J135" s="1628">
        <f t="shared" si="3"/>
        <v>1.3793826815925699E-2</v>
      </c>
    </row>
    <row r="136" spans="3:10" ht="13.5">
      <c r="C136" s="1625">
        <v>42710</v>
      </c>
      <c r="D136" s="1626">
        <v>8143.15</v>
      </c>
      <c r="E136" s="1628">
        <f t="shared" si="2"/>
        <v>1.7699228435711283E-3</v>
      </c>
      <c r="H136" s="1625">
        <v>42710</v>
      </c>
      <c r="I136" s="1627">
        <v>2734</v>
      </c>
      <c r="J136" s="1628">
        <f t="shared" si="3"/>
        <v>-6.5621817693393659E-3</v>
      </c>
    </row>
    <row r="137" spans="3:10" ht="13.5">
      <c r="C137" s="1625">
        <v>42711</v>
      </c>
      <c r="D137" s="1626">
        <v>8102.05</v>
      </c>
      <c r="E137" s="1628">
        <f t="shared" si="2"/>
        <v>-5.0599669676146394E-3</v>
      </c>
      <c r="H137" s="1625">
        <v>42711</v>
      </c>
      <c r="I137" s="1627">
        <v>2697.55</v>
      </c>
      <c r="J137" s="1628">
        <f t="shared" si="3"/>
        <v>-1.342178464220245E-2</v>
      </c>
    </row>
    <row r="138" spans="3:10" ht="13.5">
      <c r="C138" s="1625">
        <v>42712</v>
      </c>
      <c r="D138" s="1626">
        <v>8246.85</v>
      </c>
      <c r="E138" s="1628">
        <f t="shared" ref="E138:E201" si="4">LN(D138/D137)</f>
        <v>1.7714193176468933E-2</v>
      </c>
      <c r="H138" s="1625">
        <v>42712</v>
      </c>
      <c r="I138" s="1627">
        <v>2780</v>
      </c>
      <c r="J138" s="1628">
        <f t="shared" ref="J138:J201" si="5">LN(I138/I137)</f>
        <v>3.0106974042990359E-2</v>
      </c>
    </row>
    <row r="139" spans="3:10" ht="13.5">
      <c r="C139" s="1625">
        <v>42713</v>
      </c>
      <c r="D139" s="1626">
        <v>8261.75</v>
      </c>
      <c r="E139" s="1628">
        <f t="shared" si="4"/>
        <v>1.805120245922591E-3</v>
      </c>
      <c r="H139" s="1625">
        <v>42713</v>
      </c>
      <c r="I139" s="1627">
        <v>2720</v>
      </c>
      <c r="J139" s="1628">
        <f t="shared" si="5"/>
        <v>-2.1819047394639725E-2</v>
      </c>
    </row>
    <row r="140" spans="3:10" ht="13.5">
      <c r="C140" s="1625">
        <v>42716</v>
      </c>
      <c r="D140" s="1626">
        <v>8170.8</v>
      </c>
      <c r="E140" s="1628">
        <f t="shared" si="4"/>
        <v>-1.1069606204788154E-2</v>
      </c>
      <c r="H140" s="1625">
        <v>42716</v>
      </c>
      <c r="I140" s="1627">
        <v>2655</v>
      </c>
      <c r="J140" s="1628">
        <f t="shared" si="5"/>
        <v>-2.418722561400382E-2</v>
      </c>
    </row>
    <row r="141" spans="3:10" ht="13.5">
      <c r="C141" s="1625">
        <v>42717</v>
      </c>
      <c r="D141" s="1626">
        <v>8221.7999999999993</v>
      </c>
      <c r="E141" s="1628">
        <f t="shared" si="4"/>
        <v>6.2223399032888815E-3</v>
      </c>
      <c r="H141" s="1625">
        <v>42717</v>
      </c>
      <c r="I141" s="1627">
        <v>2660</v>
      </c>
      <c r="J141" s="1628">
        <f t="shared" si="5"/>
        <v>1.8814680997055703E-3</v>
      </c>
    </row>
    <row r="142" spans="3:10" ht="13.5">
      <c r="C142" s="1625">
        <v>42718</v>
      </c>
      <c r="D142" s="1626">
        <v>8182.45</v>
      </c>
      <c r="E142" s="1628">
        <f t="shared" si="4"/>
        <v>-4.7975464254387387E-3</v>
      </c>
      <c r="H142" s="1625">
        <v>42718</v>
      </c>
      <c r="I142" s="1627">
        <v>2652</v>
      </c>
      <c r="J142" s="1628">
        <f t="shared" si="5"/>
        <v>-3.0120504699916095E-3</v>
      </c>
    </row>
    <row r="143" spans="3:10" ht="13.5">
      <c r="C143" s="1625">
        <v>42719</v>
      </c>
      <c r="D143" s="1626">
        <v>8153.6</v>
      </c>
      <c r="E143" s="1628">
        <f t="shared" si="4"/>
        <v>-3.5320692570365406E-3</v>
      </c>
      <c r="H143" s="1625">
        <v>42719</v>
      </c>
      <c r="I143" s="1627">
        <v>2674.5</v>
      </c>
      <c r="J143" s="1628">
        <f t="shared" si="5"/>
        <v>8.4483746655516345E-3</v>
      </c>
    </row>
    <row r="144" spans="3:10" ht="13.5">
      <c r="C144" s="1625">
        <v>42720</v>
      </c>
      <c r="D144" s="1626">
        <v>8139.45</v>
      </c>
      <c r="E144" s="1628">
        <f t="shared" si="4"/>
        <v>-1.7369373515074115E-3</v>
      </c>
      <c r="H144" s="1625">
        <v>42720</v>
      </c>
      <c r="I144" s="1627">
        <v>2656</v>
      </c>
      <c r="J144" s="1628">
        <f t="shared" si="5"/>
        <v>-6.9412153749802662E-3</v>
      </c>
    </row>
    <row r="145" spans="3:10" ht="13.5">
      <c r="C145" s="1625">
        <v>42723</v>
      </c>
      <c r="D145" s="1626">
        <v>8104.35</v>
      </c>
      <c r="E145" s="1628">
        <f t="shared" si="4"/>
        <v>-4.3216556014418778E-3</v>
      </c>
      <c r="H145" s="1625">
        <v>42723</v>
      </c>
      <c r="I145" s="1627">
        <v>2643.6</v>
      </c>
      <c r="J145" s="1628">
        <f t="shared" si="5"/>
        <v>-4.6796070000267118E-3</v>
      </c>
    </row>
    <row r="146" spans="3:10" ht="13.5">
      <c r="C146" s="1625">
        <v>42724</v>
      </c>
      <c r="D146" s="1626">
        <v>8082.4</v>
      </c>
      <c r="E146" s="1628">
        <f t="shared" si="4"/>
        <v>-2.712096431263081E-3</v>
      </c>
      <c r="H146" s="1625">
        <v>42724</v>
      </c>
      <c r="I146" s="1627">
        <v>2599.8000000000002</v>
      </c>
      <c r="J146" s="1628">
        <f t="shared" si="5"/>
        <v>-1.6707105622378964E-2</v>
      </c>
    </row>
    <row r="147" spans="3:10" ht="13.5">
      <c r="C147" s="1625">
        <v>42725</v>
      </c>
      <c r="D147" s="1626">
        <v>8061.3</v>
      </c>
      <c r="E147" s="1628">
        <f t="shared" si="4"/>
        <v>-2.6140242961534598E-3</v>
      </c>
      <c r="H147" s="1625">
        <v>42725</v>
      </c>
      <c r="I147" s="1627">
        <v>2586</v>
      </c>
      <c r="J147" s="1628">
        <f t="shared" si="5"/>
        <v>-5.3222386421160027E-3</v>
      </c>
    </row>
    <row r="148" spans="3:10" ht="13.5">
      <c r="C148" s="1625">
        <v>42726</v>
      </c>
      <c r="D148" s="1626">
        <v>7979.1</v>
      </c>
      <c r="E148" s="1628">
        <f t="shared" si="4"/>
        <v>-1.0249210688764674E-2</v>
      </c>
      <c r="H148" s="1625">
        <v>42726</v>
      </c>
      <c r="I148" s="1627">
        <v>2576</v>
      </c>
      <c r="J148" s="1628">
        <f t="shared" si="5"/>
        <v>-3.8744721075585223E-3</v>
      </c>
    </row>
    <row r="149" spans="3:10" ht="13.5">
      <c r="C149" s="1625">
        <v>42727</v>
      </c>
      <c r="D149" s="1626">
        <v>7985.75</v>
      </c>
      <c r="E149" s="1628">
        <f t="shared" si="4"/>
        <v>8.3308022118649971E-4</v>
      </c>
      <c r="H149" s="1625">
        <v>42727</v>
      </c>
      <c r="I149" s="1627">
        <v>2620</v>
      </c>
      <c r="J149" s="1628">
        <f t="shared" si="5"/>
        <v>1.6936509530898255E-2</v>
      </c>
    </row>
    <row r="150" spans="3:10" ht="13.5">
      <c r="C150" s="1625">
        <v>42730</v>
      </c>
      <c r="D150" s="1626">
        <v>7908.25</v>
      </c>
      <c r="E150" s="1628">
        <f t="shared" si="4"/>
        <v>-9.7521850030884583E-3</v>
      </c>
      <c r="H150" s="1625">
        <v>42730</v>
      </c>
      <c r="I150" s="1627">
        <v>2609.9499999999998</v>
      </c>
      <c r="J150" s="1628">
        <f t="shared" si="5"/>
        <v>-3.8432537100255241E-3</v>
      </c>
    </row>
    <row r="151" spans="3:10" ht="13.5">
      <c r="C151" s="1625">
        <v>42731</v>
      </c>
      <c r="D151" s="1626">
        <v>8032.85</v>
      </c>
      <c r="E151" s="1628">
        <f t="shared" si="4"/>
        <v>1.563286567878568E-2</v>
      </c>
      <c r="H151" s="1625">
        <v>42731</v>
      </c>
      <c r="I151" s="1627">
        <v>2637.35</v>
      </c>
      <c r="J151" s="1628">
        <f t="shared" si="5"/>
        <v>1.044356108401444E-2</v>
      </c>
    </row>
    <row r="152" spans="3:10" ht="13.5">
      <c r="C152" s="1625">
        <v>42732</v>
      </c>
      <c r="D152" s="1626">
        <v>8034.85</v>
      </c>
      <c r="E152" s="1628">
        <f t="shared" si="4"/>
        <v>2.4894664579607243E-4</v>
      </c>
      <c r="H152" s="1625">
        <v>42732</v>
      </c>
      <c r="I152" s="1627">
        <v>2630</v>
      </c>
      <c r="J152" s="1628">
        <f t="shared" si="5"/>
        <v>-2.7907789573213128E-3</v>
      </c>
    </row>
    <row r="153" spans="3:10" ht="13.5">
      <c r="C153" s="1625">
        <v>42733</v>
      </c>
      <c r="D153" s="1626">
        <v>8103.6</v>
      </c>
      <c r="E153" s="1628">
        <f t="shared" si="4"/>
        <v>8.5200766975122855E-3</v>
      </c>
      <c r="H153" s="1625">
        <v>42733</v>
      </c>
      <c r="I153" s="1627">
        <v>2643.55</v>
      </c>
      <c r="J153" s="1628">
        <f t="shared" si="5"/>
        <v>5.1388646429601E-3</v>
      </c>
    </row>
    <row r="154" spans="3:10" ht="13.5">
      <c r="C154" s="1625">
        <v>42734</v>
      </c>
      <c r="D154" s="1626">
        <v>8185.8</v>
      </c>
      <c r="E154" s="1628">
        <f t="shared" si="4"/>
        <v>1.009253842808683E-2</v>
      </c>
      <c r="H154" s="1625">
        <v>42734</v>
      </c>
      <c r="I154" s="1627">
        <v>2634</v>
      </c>
      <c r="J154" s="1628">
        <f t="shared" si="5"/>
        <v>-3.6191075115439989E-3</v>
      </c>
    </row>
    <row r="155" spans="3:10" ht="13.5">
      <c r="C155" s="1625">
        <v>42737</v>
      </c>
      <c r="D155" s="1626">
        <v>8179.5</v>
      </c>
      <c r="E155" s="1628">
        <f t="shared" si="4"/>
        <v>-7.6992176265751149E-4</v>
      </c>
      <c r="H155" s="1625">
        <v>42737</v>
      </c>
      <c r="I155" s="1627">
        <v>2602</v>
      </c>
      <c r="J155" s="1628">
        <f t="shared" si="5"/>
        <v>-1.2223223230775793E-2</v>
      </c>
    </row>
    <row r="156" spans="3:10" ht="13.5">
      <c r="C156" s="1625">
        <v>42738</v>
      </c>
      <c r="D156" s="1626">
        <v>8192.25</v>
      </c>
      <c r="E156" s="1628">
        <f t="shared" si="4"/>
        <v>1.5575613575361691E-3</v>
      </c>
      <c r="H156" s="1625">
        <v>42738</v>
      </c>
      <c r="I156" s="1627">
        <v>2618.9</v>
      </c>
      <c r="J156" s="1628">
        <f t="shared" si="5"/>
        <v>6.4740021938814486E-3</v>
      </c>
    </row>
    <row r="157" spans="3:10" ht="13.5">
      <c r="C157" s="1625">
        <v>42739</v>
      </c>
      <c r="D157" s="1626">
        <v>8190.5</v>
      </c>
      <c r="E157" s="1628">
        <f t="shared" si="4"/>
        <v>-2.1363934707617968E-4</v>
      </c>
      <c r="H157" s="1625">
        <v>42739</v>
      </c>
      <c r="I157" s="1627">
        <v>2694</v>
      </c>
      <c r="J157" s="1628">
        <f t="shared" si="5"/>
        <v>2.8272695703977283E-2</v>
      </c>
    </row>
    <row r="158" spans="3:10" ht="13.5">
      <c r="C158" s="1625">
        <v>42740</v>
      </c>
      <c r="D158" s="1626">
        <v>8273.7999999999993</v>
      </c>
      <c r="E158" s="1628">
        <f t="shared" si="4"/>
        <v>1.0118949579130353E-2</v>
      </c>
      <c r="H158" s="1625">
        <v>42740</v>
      </c>
      <c r="I158" s="1627">
        <v>2724</v>
      </c>
      <c r="J158" s="1628">
        <f t="shared" si="5"/>
        <v>1.1074310299093715E-2</v>
      </c>
    </row>
    <row r="159" spans="3:10" ht="13.5">
      <c r="C159" s="1625">
        <v>42741</v>
      </c>
      <c r="D159" s="1626">
        <v>8243.7999999999993</v>
      </c>
      <c r="E159" s="1628">
        <f t="shared" si="4"/>
        <v>-3.6324929756751554E-3</v>
      </c>
      <c r="H159" s="1625">
        <v>42741</v>
      </c>
      <c r="I159" s="1627">
        <v>2710.1</v>
      </c>
      <c r="J159" s="1628">
        <f t="shared" si="5"/>
        <v>-5.115853707454569E-3</v>
      </c>
    </row>
    <row r="160" spans="3:10" ht="13.5">
      <c r="C160" s="1625">
        <v>42744</v>
      </c>
      <c r="D160" s="1626">
        <v>8236.0499999999993</v>
      </c>
      <c r="E160" s="1628">
        <f t="shared" si="4"/>
        <v>-9.4054261068117571E-4</v>
      </c>
      <c r="H160" s="1625">
        <v>42744</v>
      </c>
      <c r="I160" s="1627">
        <v>2722.3</v>
      </c>
      <c r="J160" s="1628">
        <f t="shared" si="5"/>
        <v>4.4915766550665892E-3</v>
      </c>
    </row>
    <row r="161" spans="3:10" ht="13.5">
      <c r="C161" s="1625">
        <v>42745</v>
      </c>
      <c r="D161" s="1626">
        <v>8288.6</v>
      </c>
      <c r="E161" s="1628">
        <f t="shared" si="4"/>
        <v>6.3602166638919953E-3</v>
      </c>
      <c r="H161" s="1625">
        <v>42745</v>
      </c>
      <c r="I161" s="1627">
        <v>2728.95</v>
      </c>
      <c r="J161" s="1628">
        <f t="shared" si="5"/>
        <v>2.439808593907241E-3</v>
      </c>
    </row>
    <row r="162" spans="3:10" ht="13.5">
      <c r="C162" s="1625">
        <v>42746</v>
      </c>
      <c r="D162" s="1626">
        <v>8380.65</v>
      </c>
      <c r="E162" s="1628">
        <f t="shared" si="4"/>
        <v>1.1044400399176861E-2</v>
      </c>
      <c r="H162" s="1625">
        <v>42746</v>
      </c>
      <c r="I162" s="1627">
        <v>2710.25</v>
      </c>
      <c r="J162" s="1628">
        <f t="shared" si="5"/>
        <v>-6.876038269521113E-3</v>
      </c>
    </row>
    <row r="163" spans="3:10" ht="13.5">
      <c r="C163" s="1625">
        <v>42747</v>
      </c>
      <c r="D163" s="1626">
        <v>8407.2000000000007</v>
      </c>
      <c r="E163" s="1628">
        <f t="shared" si="4"/>
        <v>3.1630044508581222E-3</v>
      </c>
      <c r="H163" s="1625">
        <v>42747</v>
      </c>
      <c r="I163" s="1627">
        <v>2734.9</v>
      </c>
      <c r="J163" s="1628">
        <f t="shared" si="5"/>
        <v>9.0539905749370871E-3</v>
      </c>
    </row>
    <row r="164" spans="3:10" ht="13.5">
      <c r="C164" s="1625">
        <v>42748</v>
      </c>
      <c r="D164" s="1626">
        <v>8400.35</v>
      </c>
      <c r="E164" s="1628">
        <f t="shared" si="4"/>
        <v>-8.1510992134660248E-4</v>
      </c>
      <c r="H164" s="1625">
        <v>42748</v>
      </c>
      <c r="I164" s="1627">
        <v>2700</v>
      </c>
      <c r="J164" s="1628">
        <f t="shared" si="5"/>
        <v>-1.2843099123917807E-2</v>
      </c>
    </row>
    <row r="165" spans="3:10" ht="13.5">
      <c r="C165" s="1625">
        <v>42751</v>
      </c>
      <c r="D165" s="1626">
        <v>8412.7999999999993</v>
      </c>
      <c r="E165" s="1628">
        <f t="shared" si="4"/>
        <v>1.4809839055218003E-3</v>
      </c>
      <c r="H165" s="1625">
        <v>42751</v>
      </c>
      <c r="I165" s="1627">
        <v>2720</v>
      </c>
      <c r="J165" s="1628">
        <f t="shared" si="5"/>
        <v>7.38010729762246E-3</v>
      </c>
    </row>
    <row r="166" spans="3:10" ht="13.5">
      <c r="C166" s="1625">
        <v>42752</v>
      </c>
      <c r="D166" s="1626">
        <v>8398</v>
      </c>
      <c r="E166" s="1628">
        <f t="shared" si="4"/>
        <v>-1.7607732914233583E-3</v>
      </c>
      <c r="H166" s="1625">
        <v>42752</v>
      </c>
      <c r="I166" s="1627">
        <v>2733.85</v>
      </c>
      <c r="J166" s="1628">
        <f t="shared" si="5"/>
        <v>5.0789918215766441E-3</v>
      </c>
    </row>
    <row r="167" spans="3:10" ht="13.5">
      <c r="C167" s="1625">
        <v>42753</v>
      </c>
      <c r="D167" s="1626">
        <v>8417</v>
      </c>
      <c r="E167" s="1628">
        <f t="shared" si="4"/>
        <v>2.2598879674375042E-3</v>
      </c>
      <c r="H167" s="1625">
        <v>42753</v>
      </c>
      <c r="I167" s="1627">
        <v>2701</v>
      </c>
      <c r="J167" s="1628">
        <f t="shared" si="5"/>
        <v>-1.2088797319003962E-2</v>
      </c>
    </row>
    <row r="168" spans="3:10" ht="13.5">
      <c r="C168" s="1625">
        <v>42754</v>
      </c>
      <c r="D168" s="1626">
        <v>8435.1</v>
      </c>
      <c r="E168" s="1628">
        <f t="shared" si="4"/>
        <v>2.1481010627708392E-3</v>
      </c>
      <c r="H168" s="1625">
        <v>42754</v>
      </c>
      <c r="I168" s="1627">
        <v>2693</v>
      </c>
      <c r="J168" s="1628">
        <f t="shared" si="5"/>
        <v>-2.9662609810166404E-3</v>
      </c>
    </row>
    <row r="169" spans="3:10" ht="13.5">
      <c r="C169" s="1625">
        <v>42755</v>
      </c>
      <c r="D169" s="1626">
        <v>8349.35</v>
      </c>
      <c r="E169" s="1628">
        <f t="shared" si="4"/>
        <v>-1.0217879770848582E-2</v>
      </c>
      <c r="H169" s="1625">
        <v>42755</v>
      </c>
      <c r="I169" s="1627">
        <v>2706</v>
      </c>
      <c r="J169" s="1628">
        <f t="shared" si="5"/>
        <v>4.8157159191343441E-3</v>
      </c>
    </row>
    <row r="170" spans="3:10" ht="13.5">
      <c r="C170" s="1625">
        <v>42758</v>
      </c>
      <c r="D170" s="1626">
        <v>8391.5</v>
      </c>
      <c r="E170" s="1628">
        <f t="shared" si="4"/>
        <v>5.035597244735685E-3</v>
      </c>
      <c r="H170" s="1625">
        <v>42758</v>
      </c>
      <c r="I170" s="1627">
        <v>2708.95</v>
      </c>
      <c r="J170" s="1628">
        <f t="shared" si="5"/>
        <v>1.0895761888280464E-3</v>
      </c>
    </row>
    <row r="171" spans="3:10" ht="13.5">
      <c r="C171" s="1625">
        <v>42759</v>
      </c>
      <c r="D171" s="1626">
        <v>8475.7999999999993</v>
      </c>
      <c r="E171" s="1628">
        <f t="shared" si="4"/>
        <v>9.9957553256989056E-3</v>
      </c>
      <c r="H171" s="1625">
        <v>42759</v>
      </c>
      <c r="I171" s="1627">
        <v>2800.05</v>
      </c>
      <c r="J171" s="1628">
        <f t="shared" si="5"/>
        <v>3.3076168227154278E-2</v>
      </c>
    </row>
    <row r="172" spans="3:10" ht="13.5">
      <c r="C172" s="1625">
        <v>42760</v>
      </c>
      <c r="D172" s="1626">
        <v>8602.75</v>
      </c>
      <c r="E172" s="1628">
        <f t="shared" si="4"/>
        <v>1.4866875494814625E-2</v>
      </c>
      <c r="H172" s="1625">
        <v>42760</v>
      </c>
      <c r="I172" s="1627">
        <v>2834</v>
      </c>
      <c r="J172" s="1628">
        <f t="shared" si="5"/>
        <v>1.2051867103910215E-2</v>
      </c>
    </row>
    <row r="173" spans="3:10" ht="13.5">
      <c r="C173" s="1625">
        <v>42762</v>
      </c>
      <c r="D173" s="1626">
        <v>8641.25</v>
      </c>
      <c r="E173" s="1628">
        <f t="shared" si="4"/>
        <v>4.4653286907273063E-3</v>
      </c>
      <c r="H173" s="1625">
        <v>42762</v>
      </c>
      <c r="I173" s="1627">
        <v>2859</v>
      </c>
      <c r="J173" s="1628">
        <f t="shared" si="5"/>
        <v>8.7827720716860316E-3</v>
      </c>
    </row>
    <row r="174" spans="3:10" ht="13.5">
      <c r="C174" s="1625">
        <v>42765</v>
      </c>
      <c r="D174" s="1626">
        <v>8632.75</v>
      </c>
      <c r="E174" s="1628">
        <f t="shared" si="4"/>
        <v>-9.8413809031377042E-4</v>
      </c>
      <c r="H174" s="1625">
        <v>42765</v>
      </c>
      <c r="I174" s="1627">
        <v>2827.6</v>
      </c>
      <c r="J174" s="1628">
        <f t="shared" si="5"/>
        <v>-1.1043618025512802E-2</v>
      </c>
    </row>
    <row r="175" spans="3:10" ht="13.5">
      <c r="C175" s="1625">
        <v>42766</v>
      </c>
      <c r="D175" s="1626">
        <v>8561.2999999999993</v>
      </c>
      <c r="E175" s="1628">
        <f t="shared" si="4"/>
        <v>-8.3110624054480442E-3</v>
      </c>
      <c r="H175" s="1625">
        <v>42766</v>
      </c>
      <c r="I175" s="1627">
        <v>2838.3</v>
      </c>
      <c r="J175" s="1628">
        <f t="shared" si="5"/>
        <v>3.7769860817094486E-3</v>
      </c>
    </row>
    <row r="176" spans="3:10" ht="13.5">
      <c r="C176" s="1625">
        <v>42767</v>
      </c>
      <c r="D176" s="1626">
        <v>8716.4</v>
      </c>
      <c r="E176" s="1628">
        <f t="shared" si="4"/>
        <v>1.7954260859053356E-2</v>
      </c>
      <c r="H176" s="1625">
        <v>42767</v>
      </c>
      <c r="I176" s="1627">
        <v>2845</v>
      </c>
      <c r="J176" s="1628">
        <f t="shared" si="5"/>
        <v>2.3577861819229426E-3</v>
      </c>
    </row>
    <row r="177" spans="3:10" ht="13.5">
      <c r="C177" s="1625">
        <v>42768</v>
      </c>
      <c r="D177" s="1626">
        <v>8734.25</v>
      </c>
      <c r="E177" s="1628">
        <f t="shared" si="4"/>
        <v>2.0457697822656349E-3</v>
      </c>
      <c r="H177" s="1625">
        <v>42768</v>
      </c>
      <c r="I177" s="1627">
        <v>2805</v>
      </c>
      <c r="J177" s="1628">
        <f t="shared" si="5"/>
        <v>-1.4159528603634616E-2</v>
      </c>
    </row>
    <row r="178" spans="3:10" ht="13.5">
      <c r="C178" s="1625">
        <v>42769</v>
      </c>
      <c r="D178" s="1626">
        <v>8740.9500000000007</v>
      </c>
      <c r="E178" s="1628">
        <f t="shared" si="4"/>
        <v>7.6680098977881088E-4</v>
      </c>
      <c r="H178" s="1625">
        <v>42769</v>
      </c>
      <c r="I178" s="1627">
        <v>2802.3</v>
      </c>
      <c r="J178" s="1628">
        <f t="shared" si="5"/>
        <v>-9.6303040988387437E-4</v>
      </c>
    </row>
    <row r="179" spans="3:10" ht="13.5">
      <c r="C179" s="1625">
        <v>42772</v>
      </c>
      <c r="D179" s="1626">
        <v>8801.0499999999993</v>
      </c>
      <c r="E179" s="1628">
        <f t="shared" si="4"/>
        <v>6.8521531354571339E-3</v>
      </c>
      <c r="H179" s="1625">
        <v>42772</v>
      </c>
      <c r="I179" s="1627">
        <v>2805</v>
      </c>
      <c r="J179" s="1628">
        <f t="shared" si="5"/>
        <v>9.6303040988396415E-4</v>
      </c>
    </row>
    <row r="180" spans="3:10" ht="13.5">
      <c r="C180" s="1625">
        <v>42773</v>
      </c>
      <c r="D180" s="1626">
        <v>8768.2999999999993</v>
      </c>
      <c r="E180" s="1628">
        <f t="shared" si="4"/>
        <v>-3.7280875993350071E-3</v>
      </c>
      <c r="H180" s="1625">
        <v>42773</v>
      </c>
      <c r="I180" s="1627">
        <v>2777.2</v>
      </c>
      <c r="J180" s="1628">
        <f t="shared" si="5"/>
        <v>-9.960313077678468E-3</v>
      </c>
    </row>
    <row r="181" spans="3:10" ht="13.5">
      <c r="C181" s="1625">
        <v>42774</v>
      </c>
      <c r="D181" s="1626">
        <v>8769.0499999999993</v>
      </c>
      <c r="E181" s="1628">
        <f t="shared" si="4"/>
        <v>8.5531736603092993E-5</v>
      </c>
      <c r="H181" s="1625">
        <v>42774</v>
      </c>
      <c r="I181" s="1627">
        <v>2782</v>
      </c>
      <c r="J181" s="1628">
        <f t="shared" si="5"/>
        <v>1.7268676042699713E-3</v>
      </c>
    </row>
    <row r="182" spans="3:10" ht="13.5">
      <c r="C182" s="1625">
        <v>42775</v>
      </c>
      <c r="D182" s="1626">
        <v>8778.4</v>
      </c>
      <c r="E182" s="1628">
        <f t="shared" si="4"/>
        <v>1.0656820090535477E-3</v>
      </c>
      <c r="H182" s="1625">
        <v>42775</v>
      </c>
      <c r="I182" s="1627">
        <v>2796</v>
      </c>
      <c r="J182" s="1628">
        <f t="shared" si="5"/>
        <v>5.0197308703126657E-3</v>
      </c>
    </row>
    <row r="183" spans="3:10" ht="13.5">
      <c r="C183" s="1625">
        <v>42776</v>
      </c>
      <c r="D183" s="1626">
        <v>8793.5499999999993</v>
      </c>
      <c r="E183" s="1628">
        <f t="shared" si="4"/>
        <v>1.7243395017456963E-3</v>
      </c>
      <c r="H183" s="1625">
        <v>42776</v>
      </c>
      <c r="I183" s="1627">
        <v>2798.4</v>
      </c>
      <c r="J183" s="1628">
        <f t="shared" si="5"/>
        <v>8.5800091063680938E-4</v>
      </c>
    </row>
    <row r="184" spans="3:10" ht="13.5">
      <c r="C184" s="1625">
        <v>42779</v>
      </c>
      <c r="D184" s="1626">
        <v>8805.0499999999993</v>
      </c>
      <c r="E184" s="1628">
        <f t="shared" si="4"/>
        <v>1.306922327557468E-3</v>
      </c>
      <c r="H184" s="1625">
        <v>42779</v>
      </c>
      <c r="I184" s="1627">
        <v>2810.5</v>
      </c>
      <c r="J184" s="1628">
        <f t="shared" si="5"/>
        <v>4.3145781777921138E-3</v>
      </c>
    </row>
    <row r="185" spans="3:10" ht="13.5">
      <c r="C185" s="1625">
        <v>42780</v>
      </c>
      <c r="D185" s="1626">
        <v>8792.2999999999993</v>
      </c>
      <c r="E185" s="1628">
        <f t="shared" si="4"/>
        <v>-1.4490820755487257E-3</v>
      </c>
      <c r="H185" s="1625">
        <v>42780</v>
      </c>
      <c r="I185" s="1627">
        <v>2778.25</v>
      </c>
      <c r="J185" s="1628">
        <f t="shared" si="5"/>
        <v>-1.1541170376373758E-2</v>
      </c>
    </row>
    <row r="186" spans="3:10" ht="13.5">
      <c r="C186" s="1625">
        <v>42781</v>
      </c>
      <c r="D186" s="1626">
        <v>8724.7000000000007</v>
      </c>
      <c r="E186" s="1628">
        <f t="shared" si="4"/>
        <v>-7.7182549050122812E-3</v>
      </c>
      <c r="H186" s="1625">
        <v>42781</v>
      </c>
      <c r="I186" s="1627">
        <v>2790</v>
      </c>
      <c r="J186" s="1628">
        <f t="shared" si="5"/>
        <v>4.2203627496554099E-3</v>
      </c>
    </row>
    <row r="187" spans="3:10" ht="13.5">
      <c r="C187" s="1625">
        <v>42782</v>
      </c>
      <c r="D187" s="1626">
        <v>8778</v>
      </c>
      <c r="E187" s="1628">
        <f t="shared" si="4"/>
        <v>6.0905077228478183E-3</v>
      </c>
      <c r="H187" s="1625">
        <v>42782</v>
      </c>
      <c r="I187" s="1627">
        <v>2783</v>
      </c>
      <c r="J187" s="1628">
        <f t="shared" si="5"/>
        <v>-2.5121132895205463E-3</v>
      </c>
    </row>
    <row r="188" spans="3:10" ht="13.5">
      <c r="C188" s="1625">
        <v>42783</v>
      </c>
      <c r="D188" s="1626">
        <v>8821.7000000000007</v>
      </c>
      <c r="E188" s="1628">
        <f t="shared" si="4"/>
        <v>4.9660039441372771E-3</v>
      </c>
      <c r="H188" s="1625">
        <v>42783</v>
      </c>
      <c r="I188" s="1627">
        <v>2784.4</v>
      </c>
      <c r="J188" s="1628">
        <f t="shared" si="5"/>
        <v>5.029277686205637E-4</v>
      </c>
    </row>
    <row r="189" spans="3:10" ht="13.5">
      <c r="C189" s="1625">
        <v>42786</v>
      </c>
      <c r="D189" s="1626">
        <v>8879.2000000000007</v>
      </c>
      <c r="E189" s="1628">
        <f t="shared" si="4"/>
        <v>6.4968676454531952E-3</v>
      </c>
      <c r="H189" s="1625">
        <v>42786</v>
      </c>
      <c r="I189" s="1627">
        <v>2785.3</v>
      </c>
      <c r="J189" s="1628">
        <f t="shared" si="5"/>
        <v>3.2317719368488298E-4</v>
      </c>
    </row>
    <row r="190" spans="3:10" ht="13.5">
      <c r="C190" s="1625">
        <v>42787</v>
      </c>
      <c r="D190" s="1626">
        <v>8907.85</v>
      </c>
      <c r="E190" s="1628">
        <f t="shared" si="4"/>
        <v>3.2214476011268849E-3</v>
      </c>
      <c r="H190" s="1625">
        <v>42787</v>
      </c>
      <c r="I190" s="1627">
        <v>2794.9</v>
      </c>
      <c r="J190" s="1628">
        <f t="shared" si="5"/>
        <v>3.4407402856359306E-3</v>
      </c>
    </row>
    <row r="191" spans="3:10" ht="13.5">
      <c r="C191" s="1625">
        <v>42788</v>
      </c>
      <c r="D191" s="1626">
        <v>8926.9</v>
      </c>
      <c r="E191" s="1628">
        <f t="shared" si="4"/>
        <v>2.136279706175582E-3</v>
      </c>
      <c r="H191" s="1625">
        <v>42788</v>
      </c>
      <c r="I191" s="1627">
        <v>2798</v>
      </c>
      <c r="J191" s="1628">
        <f t="shared" si="5"/>
        <v>1.1085484515942256E-3</v>
      </c>
    </row>
    <row r="192" spans="3:10" ht="13.5">
      <c r="C192" s="1625">
        <v>42789</v>
      </c>
      <c r="D192" s="1626">
        <v>8939.5</v>
      </c>
      <c r="E192" s="1628">
        <f t="shared" si="4"/>
        <v>1.4104690468023052E-3</v>
      </c>
      <c r="H192" s="1625">
        <v>42789</v>
      </c>
      <c r="I192" s="1627">
        <v>2811</v>
      </c>
      <c r="J192" s="1628">
        <f t="shared" si="5"/>
        <v>4.6354156811054528E-3</v>
      </c>
    </row>
    <row r="193" spans="3:10" ht="13.5">
      <c r="C193" s="1625">
        <v>42793</v>
      </c>
      <c r="D193" s="1626">
        <v>8896.7000000000007</v>
      </c>
      <c r="E193" s="1628">
        <f t="shared" si="4"/>
        <v>-4.7992377468149853E-3</v>
      </c>
      <c r="H193" s="1625">
        <v>42793</v>
      </c>
      <c r="I193" s="1627">
        <v>2791</v>
      </c>
      <c r="J193" s="1628">
        <f t="shared" si="5"/>
        <v>-7.1403373702096633E-3</v>
      </c>
    </row>
    <row r="194" spans="3:10" ht="13.5">
      <c r="C194" s="1625">
        <v>42794</v>
      </c>
      <c r="D194" s="1626">
        <v>8879.6</v>
      </c>
      <c r="E194" s="1628">
        <f t="shared" si="4"/>
        <v>-1.923910518447593E-3</v>
      </c>
      <c r="H194" s="1625">
        <v>42794</v>
      </c>
      <c r="I194" s="1627">
        <v>2751.1</v>
      </c>
      <c r="J194" s="1628">
        <f t="shared" si="5"/>
        <v>-1.4399122854378325E-2</v>
      </c>
    </row>
    <row r="195" spans="3:10" ht="13.5">
      <c r="C195" s="1625">
        <v>42795</v>
      </c>
      <c r="D195" s="1626">
        <v>8945.7999999999993</v>
      </c>
      <c r="E195" s="1628">
        <f t="shared" si="4"/>
        <v>7.4276374558894988E-3</v>
      </c>
      <c r="H195" s="1625">
        <v>42795</v>
      </c>
      <c r="I195" s="1627">
        <v>2770</v>
      </c>
      <c r="J195" s="1628">
        <f t="shared" si="5"/>
        <v>6.8464884994403636E-3</v>
      </c>
    </row>
    <row r="196" spans="3:10" ht="13.5">
      <c r="C196" s="1625">
        <v>42796</v>
      </c>
      <c r="D196" s="1626">
        <v>8899.75</v>
      </c>
      <c r="E196" s="1628">
        <f t="shared" si="4"/>
        <v>-5.1609619444392294E-3</v>
      </c>
      <c r="H196" s="1625">
        <v>42796</v>
      </c>
      <c r="I196" s="1627">
        <v>2835</v>
      </c>
      <c r="J196" s="1628">
        <f t="shared" si="5"/>
        <v>2.3194616980468152E-2</v>
      </c>
    </row>
    <row r="197" spans="3:10" ht="13.5">
      <c r="C197" s="1625">
        <v>42797</v>
      </c>
      <c r="D197" s="1626">
        <v>8897.5499999999993</v>
      </c>
      <c r="E197" s="1628">
        <f t="shared" si="4"/>
        <v>-2.4722851344940712E-4</v>
      </c>
      <c r="H197" s="1625">
        <v>42797</v>
      </c>
      <c r="I197" s="1627">
        <v>2830</v>
      </c>
      <c r="J197" s="1628">
        <f t="shared" si="5"/>
        <v>-1.7652255245691922E-3</v>
      </c>
    </row>
    <row r="198" spans="3:10" ht="13.5">
      <c r="C198" s="1625">
        <v>42800</v>
      </c>
      <c r="D198" s="1626">
        <v>8963.4500000000007</v>
      </c>
      <c r="E198" s="1628">
        <f t="shared" si="4"/>
        <v>7.3792395765551015E-3</v>
      </c>
      <c r="H198" s="1625">
        <v>42800</v>
      </c>
      <c r="I198" s="1627">
        <v>2885.7</v>
      </c>
      <c r="J198" s="1628">
        <f t="shared" si="5"/>
        <v>1.9490793189396161E-2</v>
      </c>
    </row>
    <row r="199" spans="3:10" ht="13.5">
      <c r="C199" s="1625">
        <v>42801</v>
      </c>
      <c r="D199" s="1626">
        <v>8946.9</v>
      </c>
      <c r="E199" s="1628">
        <f t="shared" si="4"/>
        <v>-1.848093946849372E-3</v>
      </c>
      <c r="H199" s="1625">
        <v>42801</v>
      </c>
      <c r="I199" s="1627">
        <v>2875.05</v>
      </c>
      <c r="J199" s="1628">
        <f t="shared" si="5"/>
        <v>-3.6974394421077721E-3</v>
      </c>
    </row>
    <row r="200" spans="3:10" ht="13.5">
      <c r="C200" s="1625">
        <v>42802</v>
      </c>
      <c r="D200" s="1626">
        <v>8924.2999999999993</v>
      </c>
      <c r="E200" s="1628">
        <f t="shared" si="4"/>
        <v>-2.5292103549289409E-3</v>
      </c>
      <c r="H200" s="1625">
        <v>42802</v>
      </c>
      <c r="I200" s="1627">
        <v>2870</v>
      </c>
      <c r="J200" s="1628">
        <f t="shared" si="5"/>
        <v>-1.7580356309049264E-3</v>
      </c>
    </row>
    <row r="201" spans="3:10" ht="13.5">
      <c r="C201" s="1625">
        <v>42803</v>
      </c>
      <c r="D201" s="1626">
        <v>8927</v>
      </c>
      <c r="E201" s="1628">
        <f t="shared" si="4"/>
        <v>3.0249897997235912E-4</v>
      </c>
      <c r="H201" s="1625">
        <v>42803</v>
      </c>
      <c r="I201" s="1627">
        <v>2866</v>
      </c>
      <c r="J201" s="1628">
        <f t="shared" si="5"/>
        <v>-1.3947003655496665E-3</v>
      </c>
    </row>
    <row r="202" spans="3:10" ht="13.5">
      <c r="C202" s="1625">
        <v>42804</v>
      </c>
      <c r="D202" s="1626">
        <v>8934.5499999999993</v>
      </c>
      <c r="E202" s="1628">
        <f t="shared" ref="E202:E250" si="6">LN(D202/D201)</f>
        <v>8.4539140776212151E-4</v>
      </c>
      <c r="H202" s="1625">
        <v>42804</v>
      </c>
      <c r="I202" s="1627">
        <v>2863</v>
      </c>
      <c r="J202" s="1628">
        <f t="shared" ref="J202:J250" si="7">LN(I202/I201)</f>
        <v>-1.0473032900021621E-3</v>
      </c>
    </row>
    <row r="203" spans="3:10" ht="13.5">
      <c r="C203" s="1625">
        <v>42808</v>
      </c>
      <c r="D203" s="1626">
        <v>9087</v>
      </c>
      <c r="E203" s="1628">
        <f t="shared" si="6"/>
        <v>1.6919037108222915E-2</v>
      </c>
      <c r="H203" s="1625">
        <v>42808</v>
      </c>
      <c r="I203" s="1627">
        <v>2867.1</v>
      </c>
      <c r="J203" s="1628">
        <f t="shared" si="7"/>
        <v>1.4310398421286906E-3</v>
      </c>
    </row>
    <row r="204" spans="3:10" ht="13.5">
      <c r="C204" s="1625">
        <v>42809</v>
      </c>
      <c r="D204" s="1626">
        <v>9084.7999999999993</v>
      </c>
      <c r="E204" s="1628">
        <f t="shared" si="6"/>
        <v>-2.4213341669499945E-4</v>
      </c>
      <c r="H204" s="1625">
        <v>42809</v>
      </c>
      <c r="I204" s="1627">
        <v>2879.9</v>
      </c>
      <c r="J204" s="1628">
        <f t="shared" si="7"/>
        <v>4.4545053646955438E-3</v>
      </c>
    </row>
    <row r="205" spans="3:10" ht="13.5">
      <c r="C205" s="1625">
        <v>42810</v>
      </c>
      <c r="D205" s="1626">
        <v>9153.7000000000007</v>
      </c>
      <c r="E205" s="1628">
        <f t="shared" si="6"/>
        <v>7.5554818394591335E-3</v>
      </c>
      <c r="H205" s="1625">
        <v>42810</v>
      </c>
      <c r="I205" s="1627">
        <v>2940</v>
      </c>
      <c r="J205" s="1628">
        <f t="shared" si="7"/>
        <v>2.0654010027788161E-2</v>
      </c>
    </row>
    <row r="206" spans="3:10" ht="13.5">
      <c r="C206" s="1625">
        <v>42811</v>
      </c>
      <c r="D206" s="1626">
        <v>9160.0499999999993</v>
      </c>
      <c r="E206" s="1628">
        <f t="shared" si="6"/>
        <v>6.9346805045091388E-4</v>
      </c>
      <c r="H206" s="1625">
        <v>42811</v>
      </c>
      <c r="I206" s="1627">
        <v>2908.75</v>
      </c>
      <c r="J206" s="1628">
        <f t="shared" si="7"/>
        <v>-1.0686145716225833E-2</v>
      </c>
    </row>
    <row r="207" spans="3:10" ht="13.5">
      <c r="C207" s="1625">
        <v>42814</v>
      </c>
      <c r="D207" s="1626">
        <v>9126.85</v>
      </c>
      <c r="E207" s="1628">
        <f t="shared" si="6"/>
        <v>-3.631018540763328E-3</v>
      </c>
      <c r="H207" s="1625">
        <v>42814</v>
      </c>
      <c r="I207" s="1627">
        <v>2920</v>
      </c>
      <c r="J207" s="1628">
        <f t="shared" si="7"/>
        <v>3.8601806458259612E-3</v>
      </c>
    </row>
    <row r="208" spans="3:10" ht="13.5">
      <c r="C208" s="1625">
        <v>42815</v>
      </c>
      <c r="D208" s="1626">
        <v>9121.5</v>
      </c>
      <c r="E208" s="1628">
        <f t="shared" si="6"/>
        <v>-5.8635439952469282E-4</v>
      </c>
      <c r="H208" s="1625">
        <v>42815</v>
      </c>
      <c r="I208" s="1627">
        <v>2910</v>
      </c>
      <c r="J208" s="1628">
        <f t="shared" si="7"/>
        <v>-3.4305350967892482E-3</v>
      </c>
    </row>
    <row r="209" spans="3:10" ht="13.5">
      <c r="C209" s="1625">
        <v>42816</v>
      </c>
      <c r="D209" s="1626">
        <v>9030.4500000000007</v>
      </c>
      <c r="E209" s="1628">
        <f t="shared" si="6"/>
        <v>-1.0032064171866618E-2</v>
      </c>
      <c r="H209" s="1625">
        <v>42816</v>
      </c>
      <c r="I209" s="1627">
        <v>2850</v>
      </c>
      <c r="J209" s="1628">
        <f t="shared" si="7"/>
        <v>-2.0834086902842025E-2</v>
      </c>
    </row>
    <row r="210" spans="3:10" ht="13.5">
      <c r="C210" s="1625">
        <v>42817</v>
      </c>
      <c r="D210" s="1626">
        <v>9086.2999999999993</v>
      </c>
      <c r="E210" s="1628">
        <f t="shared" si="6"/>
        <v>6.1655845474926016E-3</v>
      </c>
      <c r="H210" s="1625">
        <v>42817</v>
      </c>
      <c r="I210" s="1627">
        <v>2861</v>
      </c>
      <c r="J210" s="1628">
        <f t="shared" si="7"/>
        <v>3.85221978741415E-3</v>
      </c>
    </row>
    <row r="211" spans="3:10" ht="13.5">
      <c r="C211" s="1625">
        <v>42818</v>
      </c>
      <c r="D211" s="1626">
        <v>9108</v>
      </c>
      <c r="E211" s="1628">
        <f t="shared" si="6"/>
        <v>2.3853635797301672E-3</v>
      </c>
      <c r="H211" s="1625">
        <v>42818</v>
      </c>
      <c r="I211" s="1627">
        <v>2839</v>
      </c>
      <c r="J211" s="1628">
        <f t="shared" si="7"/>
        <v>-7.7193365771390469E-3</v>
      </c>
    </row>
    <row r="212" spans="3:10" ht="13.5">
      <c r="C212" s="1625">
        <v>42821</v>
      </c>
      <c r="D212" s="1626">
        <v>9045.2000000000007</v>
      </c>
      <c r="E212" s="1628">
        <f t="shared" si="6"/>
        <v>-6.9189179347912038E-3</v>
      </c>
      <c r="H212" s="1625">
        <v>42821</v>
      </c>
      <c r="I212" s="1627">
        <v>2818.8</v>
      </c>
      <c r="J212" s="1628">
        <f t="shared" si="7"/>
        <v>-7.140615020103728E-3</v>
      </c>
    </row>
    <row r="213" spans="3:10" ht="13.5">
      <c r="C213" s="1625">
        <v>42822</v>
      </c>
      <c r="D213" s="1626">
        <v>9100.7999999999993</v>
      </c>
      <c r="E213" s="1628">
        <f t="shared" si="6"/>
        <v>6.1280914799732768E-3</v>
      </c>
      <c r="H213" s="1625">
        <v>42822</v>
      </c>
      <c r="I213" s="1627">
        <v>2831.4</v>
      </c>
      <c r="J213" s="1628">
        <f t="shared" si="7"/>
        <v>4.4600265075293039E-3</v>
      </c>
    </row>
    <row r="214" spans="3:10" ht="13.5">
      <c r="C214" s="1625">
        <v>42823</v>
      </c>
      <c r="D214" s="1626">
        <v>9143.7999999999993</v>
      </c>
      <c r="E214" s="1628">
        <f t="shared" si="6"/>
        <v>4.7137322406658666E-3</v>
      </c>
      <c r="H214" s="1625">
        <v>42823</v>
      </c>
      <c r="I214" s="1627">
        <v>2824</v>
      </c>
      <c r="J214" s="1628">
        <f t="shared" si="7"/>
        <v>-2.616969347264166E-3</v>
      </c>
    </row>
    <row r="215" spans="3:10" ht="13.5">
      <c r="C215" s="1625">
        <v>42824</v>
      </c>
      <c r="D215" s="1626">
        <v>9173.75</v>
      </c>
      <c r="E215" s="1628">
        <f t="shared" si="6"/>
        <v>3.2700908897943361E-3</v>
      </c>
      <c r="H215" s="1625">
        <v>42824</v>
      </c>
      <c r="I215" s="1627">
        <v>2820</v>
      </c>
      <c r="J215" s="1628">
        <f t="shared" si="7"/>
        <v>-1.4174346809733935E-3</v>
      </c>
    </row>
    <row r="216" spans="3:10" ht="13.5">
      <c r="C216" s="1625">
        <v>42825</v>
      </c>
      <c r="D216" s="1626">
        <v>9173.75</v>
      </c>
      <c r="E216" s="1628">
        <f t="shared" si="6"/>
        <v>0</v>
      </c>
      <c r="H216" s="1625">
        <v>42825</v>
      </c>
      <c r="I216" s="1627">
        <v>2806</v>
      </c>
      <c r="J216" s="1628">
        <f t="shared" si="7"/>
        <v>-4.9769032697529738E-3</v>
      </c>
    </row>
    <row r="217" spans="3:10" ht="13.5">
      <c r="C217" s="1625">
        <v>42828</v>
      </c>
      <c r="D217" s="1626">
        <v>9237.85</v>
      </c>
      <c r="E217" s="1628">
        <f t="shared" si="6"/>
        <v>6.9630297186553496E-3</v>
      </c>
      <c r="H217" s="1625">
        <v>42828</v>
      </c>
      <c r="I217" s="1627">
        <v>2791</v>
      </c>
      <c r="J217" s="1628">
        <f t="shared" si="7"/>
        <v>-5.3600271260840458E-3</v>
      </c>
    </row>
    <row r="218" spans="3:10" ht="13.5">
      <c r="C218" s="1625">
        <v>42830</v>
      </c>
      <c r="D218" s="1626">
        <v>9265.15</v>
      </c>
      <c r="E218" s="1628">
        <f t="shared" si="6"/>
        <v>2.9508749726995459E-3</v>
      </c>
      <c r="H218" s="1625">
        <v>42830</v>
      </c>
      <c r="I218" s="1627">
        <v>2763.75</v>
      </c>
      <c r="J218" s="1628">
        <f t="shared" si="7"/>
        <v>-9.8115013646661205E-3</v>
      </c>
    </row>
    <row r="219" spans="3:10" ht="13.5">
      <c r="C219" s="1625">
        <v>42831</v>
      </c>
      <c r="D219" s="1626">
        <v>9261.9500000000007</v>
      </c>
      <c r="E219" s="1628">
        <f t="shared" si="6"/>
        <v>-3.4543992657459197E-4</v>
      </c>
      <c r="H219" s="1625">
        <v>42831</v>
      </c>
      <c r="I219" s="1627">
        <v>2807</v>
      </c>
      <c r="J219" s="1628">
        <f t="shared" si="7"/>
        <v>1.5527844190226523E-2</v>
      </c>
    </row>
    <row r="220" spans="3:10" ht="13.5">
      <c r="C220" s="1625">
        <v>42832</v>
      </c>
      <c r="D220" s="1626">
        <v>9198.2999999999993</v>
      </c>
      <c r="E220" s="1628">
        <f t="shared" si="6"/>
        <v>-6.8959252700266293E-3</v>
      </c>
      <c r="H220" s="1625">
        <v>42832</v>
      </c>
      <c r="I220" s="1627">
        <v>2827.05</v>
      </c>
      <c r="J220" s="1628">
        <f t="shared" si="7"/>
        <v>7.1174677688639549E-3</v>
      </c>
    </row>
    <row r="221" spans="3:10" ht="13.5">
      <c r="C221" s="1625">
        <v>42835</v>
      </c>
      <c r="D221" s="1626">
        <v>9181.4500000000007</v>
      </c>
      <c r="E221" s="1628">
        <f t="shared" si="6"/>
        <v>-1.8335401428880005E-3</v>
      </c>
      <c r="H221" s="1625">
        <v>42835</v>
      </c>
      <c r="I221" s="1627">
        <v>2835</v>
      </c>
      <c r="J221" s="1628">
        <f t="shared" si="7"/>
        <v>2.8081720311060048E-3</v>
      </c>
    </row>
    <row r="222" spans="3:10" ht="13.5">
      <c r="C222" s="1625">
        <v>42836</v>
      </c>
      <c r="D222" s="1626">
        <v>9237</v>
      </c>
      <c r="E222" s="1628">
        <f t="shared" si="6"/>
        <v>6.0320133814717155E-3</v>
      </c>
      <c r="H222" s="1625">
        <v>42836</v>
      </c>
      <c r="I222" s="1627">
        <v>2820</v>
      </c>
      <c r="J222" s="1628">
        <f t="shared" si="7"/>
        <v>-5.3050522296932291E-3</v>
      </c>
    </row>
    <row r="223" spans="3:10" ht="13.5">
      <c r="C223" s="1625">
        <v>42837</v>
      </c>
      <c r="D223" s="1626">
        <v>9203.4500000000007</v>
      </c>
      <c r="E223" s="1628">
        <f t="shared" si="6"/>
        <v>-3.63874385040507E-3</v>
      </c>
      <c r="H223" s="1625">
        <v>42837</v>
      </c>
      <c r="I223" s="1627">
        <v>2836</v>
      </c>
      <c r="J223" s="1628">
        <f t="shared" si="7"/>
        <v>5.6577237198588547E-3</v>
      </c>
    </row>
    <row r="224" spans="3:10" ht="13.5">
      <c r="C224" s="1625">
        <v>42838</v>
      </c>
      <c r="D224" s="1626">
        <v>9150.7999999999993</v>
      </c>
      <c r="E224" s="1628">
        <f t="shared" si="6"/>
        <v>-5.7371066005767095E-3</v>
      </c>
      <c r="H224" s="1625">
        <v>42838</v>
      </c>
      <c r="I224" s="1627">
        <v>2841</v>
      </c>
      <c r="J224" s="1628">
        <f t="shared" si="7"/>
        <v>1.7614942021697592E-3</v>
      </c>
    </row>
    <row r="225" spans="3:10" ht="13.5">
      <c r="C225" s="1625">
        <v>42842</v>
      </c>
      <c r="D225" s="1626">
        <v>9139.2999999999993</v>
      </c>
      <c r="E225" s="1628">
        <f t="shared" si="6"/>
        <v>-1.2575110595836488E-3</v>
      </c>
      <c r="H225" s="1625">
        <v>42842</v>
      </c>
      <c r="I225" s="1627">
        <v>2847.5</v>
      </c>
      <c r="J225" s="1628">
        <f t="shared" si="7"/>
        <v>2.2853134671493632E-3</v>
      </c>
    </row>
    <row r="226" spans="3:10" ht="13.5">
      <c r="C226" s="1625">
        <v>42843</v>
      </c>
      <c r="D226" s="1626">
        <v>9105.15</v>
      </c>
      <c r="E226" s="1628">
        <f t="shared" si="6"/>
        <v>-3.7436085914588713E-3</v>
      </c>
      <c r="H226" s="1625">
        <v>42843</v>
      </c>
      <c r="I226" s="1627">
        <v>2810.2</v>
      </c>
      <c r="J226" s="1628">
        <f t="shared" si="7"/>
        <v>-1.3185761149097379E-2</v>
      </c>
    </row>
    <row r="227" spans="3:10" ht="13.5">
      <c r="C227" s="1625">
        <v>42844</v>
      </c>
      <c r="D227" s="1626">
        <v>9103.5</v>
      </c>
      <c r="E227" s="1628">
        <f t="shared" si="6"/>
        <v>-1.8123254656617248E-4</v>
      </c>
      <c r="H227" s="1625">
        <v>42844</v>
      </c>
      <c r="I227" s="1627">
        <v>2817.65</v>
      </c>
      <c r="J227" s="1628">
        <f t="shared" si="7"/>
        <v>2.6475490113420075E-3</v>
      </c>
    </row>
    <row r="228" spans="3:10" ht="13.5">
      <c r="C228" s="1625">
        <v>42845</v>
      </c>
      <c r="D228" s="1626">
        <v>9136.4</v>
      </c>
      <c r="E228" s="1628">
        <f t="shared" si="6"/>
        <v>3.6074798304592064E-3</v>
      </c>
      <c r="H228" s="1625">
        <v>42845</v>
      </c>
      <c r="I228" s="1627">
        <v>2830</v>
      </c>
      <c r="J228" s="1628">
        <f t="shared" si="7"/>
        <v>4.3735074537015082E-3</v>
      </c>
    </row>
    <row r="229" spans="3:10" ht="13.5">
      <c r="C229" s="1625">
        <v>42846</v>
      </c>
      <c r="D229" s="1626">
        <v>9119.4</v>
      </c>
      <c r="E229" s="1628">
        <f t="shared" si="6"/>
        <v>-1.8624223440083505E-3</v>
      </c>
      <c r="H229" s="1625">
        <v>42846</v>
      </c>
      <c r="I229" s="1627">
        <v>2825.95</v>
      </c>
      <c r="J229" s="1628">
        <f t="shared" si="7"/>
        <v>-1.4321204014186839E-3</v>
      </c>
    </row>
    <row r="230" spans="3:10" ht="13.5">
      <c r="C230" s="1625">
        <v>42849</v>
      </c>
      <c r="D230" s="1626">
        <v>9217.9500000000007</v>
      </c>
      <c r="E230" s="1628">
        <f t="shared" si="6"/>
        <v>1.0748657665170285E-2</v>
      </c>
      <c r="H230" s="1625">
        <v>42849</v>
      </c>
      <c r="I230" s="1627">
        <v>2869.95</v>
      </c>
      <c r="J230" s="1628">
        <f t="shared" si="7"/>
        <v>1.5450016763256779E-2</v>
      </c>
    </row>
    <row r="231" spans="3:10" ht="13.5">
      <c r="C231" s="1625">
        <v>42850</v>
      </c>
      <c r="D231" s="1626">
        <v>9306.6</v>
      </c>
      <c r="E231" s="1628">
        <f t="shared" si="6"/>
        <v>9.5711557631192896E-3</v>
      </c>
      <c r="H231" s="1625">
        <v>42850</v>
      </c>
      <c r="I231" s="1627">
        <v>2882.6</v>
      </c>
      <c r="J231" s="1628">
        <f t="shared" si="7"/>
        <v>4.3980566498810431E-3</v>
      </c>
    </row>
    <row r="232" spans="3:10" ht="13.5">
      <c r="C232" s="1625">
        <v>42851</v>
      </c>
      <c r="D232" s="1626">
        <v>9351.85</v>
      </c>
      <c r="E232" s="1628">
        <f t="shared" si="6"/>
        <v>4.8503588146408773E-3</v>
      </c>
      <c r="H232" s="1625">
        <v>42851</v>
      </c>
      <c r="I232" s="1627">
        <v>2877.6</v>
      </c>
      <c r="J232" s="1628">
        <f t="shared" si="7"/>
        <v>-1.7360512675881452E-3</v>
      </c>
    </row>
    <row r="233" spans="3:10" ht="13.5">
      <c r="C233" s="1625">
        <v>42852</v>
      </c>
      <c r="D233" s="1626">
        <v>9342.15</v>
      </c>
      <c r="E233" s="1628">
        <f t="shared" si="6"/>
        <v>-1.0377662213055345E-3</v>
      </c>
      <c r="H233" s="1625">
        <v>42852</v>
      </c>
      <c r="I233" s="1627">
        <v>2858.7</v>
      </c>
      <c r="J233" s="1628">
        <f t="shared" si="7"/>
        <v>-6.5896373591619681E-3</v>
      </c>
    </row>
    <row r="234" spans="3:10" ht="13.5">
      <c r="C234" s="1625">
        <v>42853</v>
      </c>
      <c r="D234" s="1626">
        <v>9304.0499999999993</v>
      </c>
      <c r="E234" s="1628">
        <f t="shared" si="6"/>
        <v>-4.086629235361126E-3</v>
      </c>
      <c r="H234" s="1625">
        <v>42853</v>
      </c>
      <c r="I234" s="1627">
        <v>2871</v>
      </c>
      <c r="J234" s="1628">
        <f t="shared" si="7"/>
        <v>4.2934250988116976E-3</v>
      </c>
    </row>
    <row r="235" spans="3:10" ht="13.5">
      <c r="C235" s="1625">
        <v>42857</v>
      </c>
      <c r="D235" s="1626">
        <v>9313.7999999999993</v>
      </c>
      <c r="E235" s="1628">
        <f t="shared" si="6"/>
        <v>1.0473820437181462E-3</v>
      </c>
      <c r="H235" s="1625">
        <v>42857</v>
      </c>
      <c r="I235" s="1627">
        <v>2900</v>
      </c>
      <c r="J235" s="1628">
        <f t="shared" si="7"/>
        <v>1.0050335853501506E-2</v>
      </c>
    </row>
    <row r="236" spans="3:10" ht="13.5">
      <c r="C236" s="1625">
        <v>42858</v>
      </c>
      <c r="D236" s="1626">
        <v>9311.9500000000007</v>
      </c>
      <c r="E236" s="1628">
        <f t="shared" si="6"/>
        <v>-1.9864971945634827E-4</v>
      </c>
      <c r="H236" s="1625">
        <v>42858</v>
      </c>
      <c r="I236" s="1627">
        <v>2928.1</v>
      </c>
      <c r="J236" s="1628">
        <f t="shared" si="7"/>
        <v>9.6430115289005726E-3</v>
      </c>
    </row>
    <row r="237" spans="3:10" ht="13.5">
      <c r="C237" s="1625">
        <v>42859</v>
      </c>
      <c r="D237" s="1626">
        <v>9359.9</v>
      </c>
      <c r="E237" s="1628">
        <f t="shared" si="6"/>
        <v>5.136085112886035E-3</v>
      </c>
      <c r="H237" s="1625">
        <v>42859</v>
      </c>
      <c r="I237" s="1627">
        <v>2940</v>
      </c>
      <c r="J237" s="1628">
        <f t="shared" si="7"/>
        <v>4.0558328292613528E-3</v>
      </c>
    </row>
    <row r="238" spans="3:10" ht="13.5">
      <c r="C238" s="1625">
        <v>42860</v>
      </c>
      <c r="D238" s="1626">
        <v>9285.2999999999993</v>
      </c>
      <c r="E238" s="1628">
        <f t="shared" si="6"/>
        <v>-8.0021022113326845E-3</v>
      </c>
      <c r="H238" s="1625">
        <v>42860</v>
      </c>
      <c r="I238" s="1627">
        <v>2882</v>
      </c>
      <c r="J238" s="1628">
        <f t="shared" si="7"/>
        <v>-1.9925083773259876E-2</v>
      </c>
    </row>
    <row r="239" spans="3:10" ht="13.5">
      <c r="C239" s="1625">
        <v>42863</v>
      </c>
      <c r="D239" s="1626">
        <v>9314.0499999999993</v>
      </c>
      <c r="E239" s="1628">
        <f t="shared" si="6"/>
        <v>3.0915083481940896E-3</v>
      </c>
      <c r="H239" s="1625">
        <v>42863</v>
      </c>
      <c r="I239" s="1627">
        <v>2853.05</v>
      </c>
      <c r="J239" s="1628">
        <f t="shared" si="7"/>
        <v>-1.0095900087688448E-2</v>
      </c>
    </row>
    <row r="240" spans="3:10" ht="13.5">
      <c r="C240" s="1625">
        <v>42864</v>
      </c>
      <c r="D240" s="1626">
        <v>9316.85</v>
      </c>
      <c r="E240" s="1628">
        <f t="shared" si="6"/>
        <v>3.0057592720489969E-4</v>
      </c>
      <c r="H240" s="1625">
        <v>42864</v>
      </c>
      <c r="I240" s="1627">
        <v>2874.95</v>
      </c>
      <c r="J240" s="1628">
        <f t="shared" si="7"/>
        <v>7.6466853040933558E-3</v>
      </c>
    </row>
    <row r="241" spans="3:10" ht="13.5">
      <c r="C241" s="1625">
        <v>42865</v>
      </c>
      <c r="D241" s="1626">
        <v>9407.2999999999993</v>
      </c>
      <c r="E241" s="1628">
        <f t="shared" si="6"/>
        <v>9.661394890383165E-3</v>
      </c>
      <c r="H241" s="1625">
        <v>42865</v>
      </c>
      <c r="I241" s="1627">
        <v>2905</v>
      </c>
      <c r="J241" s="1628">
        <f t="shared" si="7"/>
        <v>1.0398107510139233E-2</v>
      </c>
    </row>
    <row r="242" spans="3:10" ht="13.5">
      <c r="C242" s="1625">
        <v>42866</v>
      </c>
      <c r="D242" s="1626">
        <v>9422.4</v>
      </c>
      <c r="E242" s="1628">
        <f t="shared" si="6"/>
        <v>1.6038495819746207E-3</v>
      </c>
      <c r="H242" s="1625">
        <v>42866</v>
      </c>
      <c r="I242" s="1627">
        <v>2993.7</v>
      </c>
      <c r="J242" s="1628">
        <f t="shared" si="7"/>
        <v>3.0076690272364946E-2</v>
      </c>
    </row>
    <row r="243" spans="3:10" ht="13.5">
      <c r="C243" s="1625">
        <v>42867</v>
      </c>
      <c r="D243" s="1626">
        <v>9400.9</v>
      </c>
      <c r="E243" s="1628">
        <f t="shared" si="6"/>
        <v>-2.284403834589391E-3</v>
      </c>
      <c r="H243" s="1625">
        <v>42867</v>
      </c>
      <c r="I243" s="1627">
        <v>3000</v>
      </c>
      <c r="J243" s="1628">
        <f t="shared" si="7"/>
        <v>2.1022080918702809E-3</v>
      </c>
    </row>
    <row r="244" spans="3:10" ht="13.5">
      <c r="C244" s="1625">
        <v>42870</v>
      </c>
      <c r="D244" s="1626">
        <v>9445.4</v>
      </c>
      <c r="E244" s="1628">
        <f t="shared" si="6"/>
        <v>4.7224211331115791E-3</v>
      </c>
      <c r="H244" s="1625">
        <v>42870</v>
      </c>
      <c r="I244" s="1627">
        <v>2998.25</v>
      </c>
      <c r="J244" s="1628">
        <f t="shared" si="7"/>
        <v>-5.8350353841635325E-4</v>
      </c>
    </row>
    <row r="245" spans="3:10" ht="13.5">
      <c r="C245" s="1625">
        <v>42871</v>
      </c>
      <c r="D245" s="1626">
        <v>9512.25</v>
      </c>
      <c r="E245" s="1628">
        <f t="shared" si="6"/>
        <v>7.0525911268201676E-3</v>
      </c>
      <c r="H245" s="1625">
        <v>42871</v>
      </c>
      <c r="I245" s="1627">
        <v>3015.5</v>
      </c>
      <c r="J245" s="1628">
        <f t="shared" si="7"/>
        <v>5.7368687792109909E-3</v>
      </c>
    </row>
    <row r="246" spans="3:10" ht="13.5">
      <c r="C246" s="1625">
        <v>42872</v>
      </c>
      <c r="D246" s="1626">
        <v>9525.75</v>
      </c>
      <c r="E246" s="1628">
        <f t="shared" si="6"/>
        <v>1.4182164368899746E-3</v>
      </c>
      <c r="H246" s="1625">
        <v>42872</v>
      </c>
      <c r="I246" s="1627">
        <v>3041</v>
      </c>
      <c r="J246" s="1628">
        <f t="shared" si="7"/>
        <v>8.4207547863231636E-3</v>
      </c>
    </row>
    <row r="247" spans="3:10" ht="13.5">
      <c r="C247" s="1625">
        <v>42873</v>
      </c>
      <c r="D247" s="1626">
        <v>9429.4500000000007</v>
      </c>
      <c r="E247" s="1628">
        <f t="shared" si="6"/>
        <v>-1.0160887622263356E-2</v>
      </c>
      <c r="H247" s="1625">
        <v>42873</v>
      </c>
      <c r="I247" s="1627">
        <v>2965</v>
      </c>
      <c r="J247" s="1628">
        <f t="shared" si="7"/>
        <v>-2.5309376245538851E-2</v>
      </c>
    </row>
    <row r="248" spans="3:10" ht="13.5">
      <c r="C248" s="1625">
        <v>42874</v>
      </c>
      <c r="D248" s="1626">
        <v>9427.9</v>
      </c>
      <c r="E248" s="1628">
        <f t="shared" si="6"/>
        <v>-1.6439213394156289E-4</v>
      </c>
      <c r="H248" s="1625">
        <v>42874</v>
      </c>
      <c r="I248" s="1627">
        <v>2970.1</v>
      </c>
      <c r="J248" s="1628">
        <f t="shared" si="7"/>
        <v>1.7185898317665341E-3</v>
      </c>
    </row>
    <row r="249" spans="3:10" ht="13.5">
      <c r="C249" s="1625">
        <v>42877</v>
      </c>
      <c r="D249" s="1626">
        <v>9438.25</v>
      </c>
      <c r="E249" s="1628">
        <f t="shared" si="6"/>
        <v>1.0972033020330829E-3</v>
      </c>
      <c r="H249" s="1625">
        <v>42877</v>
      </c>
      <c r="I249" s="1627">
        <v>2910</v>
      </c>
      <c r="J249" s="1628">
        <f t="shared" si="7"/>
        <v>-2.0442541098054257E-2</v>
      </c>
    </row>
    <row r="250" spans="3:10" ht="13.5">
      <c r="C250" s="1625">
        <v>42878</v>
      </c>
      <c r="D250" s="1626">
        <v>9386.15</v>
      </c>
      <c r="E250" s="1628">
        <f t="shared" si="6"/>
        <v>-5.5353831230343315E-3</v>
      </c>
      <c r="H250" s="1625">
        <v>42878</v>
      </c>
      <c r="I250" s="1627">
        <v>2812.5</v>
      </c>
      <c r="J250" s="1628">
        <f t="shared" si="7"/>
        <v>-3.4079313652862618E-2</v>
      </c>
    </row>
    <row r="251" spans="3:10">
      <c r="H251" s="1629"/>
    </row>
    <row r="252" spans="3:10">
      <c r="H252" s="1629"/>
    </row>
    <row r="253" spans="3:10">
      <c r="H253" s="1629"/>
    </row>
  </sheetData>
  <sheetProtection password="CF34"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1</vt:i4>
      </vt:variant>
    </vt:vector>
  </HeadingPairs>
  <TitlesOfParts>
    <vt:vector size="32" baseType="lpstr">
      <vt:lpstr>Dashboard</vt:lpstr>
      <vt:lpstr>Summary Financials</vt:lpstr>
      <vt:lpstr>DCF</vt:lpstr>
      <vt:lpstr>KTM</vt:lpstr>
      <vt:lpstr> Valuation</vt:lpstr>
      <vt:lpstr>Uploader</vt:lpstr>
      <vt:lpstr>Ratio Sheet</vt:lpstr>
      <vt:lpstr>Quarterly</vt:lpstr>
      <vt:lpstr>Qtrly Tables</vt:lpstr>
      <vt:lpstr>Monthly Volumes</vt:lpstr>
      <vt:lpstr>Scenario analysis</vt:lpstr>
      <vt:lpstr>Inc Stmt</vt:lpstr>
      <vt:lpstr>Model wise sales</vt:lpstr>
      <vt:lpstr>Bal Sheet</vt:lpstr>
      <vt:lpstr>Driver Sheet</vt:lpstr>
      <vt:lpstr>Quarterly Mix</vt:lpstr>
      <vt:lpstr>Biz highlights</vt:lpstr>
      <vt:lpstr>PantNagar</vt:lpstr>
      <vt:lpstr>Monthly Volume Trend</vt:lpstr>
      <vt:lpstr>Investments</vt:lpstr>
      <vt:lpstr>Fixed Assets</vt:lpstr>
      <vt:lpstr>Cashflow</vt:lpstr>
      <vt:lpstr>Product launches</vt:lpstr>
      <vt:lpstr>Price Hikes</vt:lpstr>
      <vt:lpstr>Plants n capacities</vt:lpstr>
      <vt:lpstr>Export analysis</vt:lpstr>
      <vt:lpstr>Exp mkt data</vt:lpstr>
      <vt:lpstr>AR Highlights</vt:lpstr>
      <vt:lpstr>Export-addn</vt:lpstr>
      <vt:lpstr>Exp mkt share</vt:lpstr>
      <vt:lpstr>Market Return and Beta</vt:lpstr>
      <vt:lpstr>Quarterly!_MailAutoSig</vt:lpstr>
    </vt:vector>
  </TitlesOfParts>
  <Company>Religare Securities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Religare</dc:creator>
  <cp:lastModifiedBy>allen aravindan</cp:lastModifiedBy>
  <cp:lastPrinted>2017-05-28T11:28:18Z</cp:lastPrinted>
  <dcterms:created xsi:type="dcterms:W3CDTF">2008-06-02T08:54:01Z</dcterms:created>
  <dcterms:modified xsi:type="dcterms:W3CDTF">2017-06-12T19:00:34Z</dcterms:modified>
</cp:coreProperties>
</file>